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drawings/drawing12.xml" ContentType="application/vnd.openxmlformats-officedocument.drawing+xml"/>
  <Override PartName="/xl/activeX/activeX6.xml" ContentType="application/vnd.ms-office.activeX+xml"/>
  <Override PartName="/xl/activeX/activeX6.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7.xml" ContentType="application/vnd.ms-office.activeX+xml"/>
  <Override PartName="/xl/activeX/activeX7.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8.xml" ContentType="application/vnd.ms-office.activeX+xml"/>
  <Override PartName="/xl/activeX/activeX8.bin" ContentType="application/vnd.ms-office.activeX"/>
  <Override PartName="/xl/drawings/drawing17.xml" ContentType="application/vnd.openxmlformats-officedocument.drawing+xml"/>
  <Override PartName="/xl/activeX/activeX9.xml" ContentType="application/vnd.ms-office.activeX+xml"/>
  <Override PartName="/xl/activeX/activeX9.bin" ContentType="application/vnd.ms-office.activeX"/>
  <Override PartName="/xl/drawings/drawing1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Temp\ER8\"/>
    </mc:Choice>
  </mc:AlternateContent>
  <bookViews>
    <workbookView xWindow="240" yWindow="75" windowWidth="15120" windowHeight="7800" activeTab="2"/>
  </bookViews>
  <sheets>
    <sheet name="QUERIES" sheetId="44" r:id="rId1"/>
    <sheet name="Identities" sheetId="77" r:id="rId2"/>
    <sheet name="Member Lookup" sheetId="76" r:id="rId3"/>
    <sheet name="Kennismatrix" sheetId="1" r:id="rId4"/>
    <sheet name="Behoeftes" sheetId="17" r:id="rId5"/>
    <sheet name="Aanvullende opmerkingen" sheetId="2" r:id="rId6"/>
    <sheet name="Matrix 171007_1827" sheetId="74" r:id="rId7"/>
    <sheet name="Needs 171007_1827" sheetId="75" r:id="rId8"/>
    <sheet name="Matrix 171007_1818" sheetId="72" r:id="rId9"/>
    <sheet name="Needs 171007_1818" sheetId="73" r:id="rId10"/>
    <sheet name="Matrix 171007_1815" sheetId="70" r:id="rId11"/>
    <sheet name="Needs 171007_1815" sheetId="71" r:id="rId12"/>
    <sheet name="Matrix 171007_1812" sheetId="68" r:id="rId13"/>
    <sheet name="Needs 171007_1812" sheetId="69" r:id="rId14"/>
    <sheet name="Matrix 171007_1810" sheetId="66" r:id="rId15"/>
    <sheet name="Needs 171007_1810" sheetId="67" r:id="rId16"/>
    <sheet name="Matrix 171007_1806" sheetId="64" r:id="rId17"/>
    <sheet name="Needs 171007_1806" sheetId="65" r:id="rId18"/>
    <sheet name="Categories" sheetId="3" r:id="rId19"/>
    <sheet name="Skills" sheetId="4" r:id="rId20"/>
    <sheet name="Departments" sheetId="5" r:id="rId21"/>
    <sheet name="Members" sheetId="6" r:id="rId22"/>
    <sheet name="TEST" sheetId="7" r:id="rId23"/>
    <sheet name="RESOURCES" sheetId="8" r:id="rId24"/>
  </sheets>
  <functionGroups builtInGroupCount="18"/>
  <externalReferences>
    <externalReference r:id="rId25"/>
    <externalReference r:id="rId26"/>
  </externalReferences>
  <definedNames>
    <definedName name="_xlnm._FilterDatabase" localSheetId="1" hidden="1">Identities!$B$8:$O$108</definedName>
    <definedName name="_xlnm._FilterDatabase" localSheetId="2" hidden="1">'Member Lookup'!$B$12:$R$97</definedName>
    <definedName name="_xlnm._FilterDatabase" localSheetId="21" hidden="1">Members!$B$4:$F$88</definedName>
    <definedName name="_xlnm._FilterDatabase" localSheetId="19" hidden="1">Skills!$B$4:$D$4</definedName>
    <definedName name="Batchrun_Templates" localSheetId="0">[1]DEFINITIONS!$O$3:$T$45</definedName>
    <definedName name="Batchrun_Templates">[2]DEFINITIONS!$O$3:$T$45</definedName>
    <definedName name="_xlnm.Database" localSheetId="1">Identities!$B$8:$O$108</definedName>
    <definedName name="_xlnm.Database" localSheetId="16">'Matrix 171007_1806'!$C$2:$DA$108</definedName>
    <definedName name="_xlnm.Database" localSheetId="14">'Matrix 171007_1810'!$C$2:$DA$108</definedName>
    <definedName name="_xlnm.Database" localSheetId="12">'Matrix 171007_1812'!$C$2:$DA$108</definedName>
    <definedName name="_xlnm.Database" localSheetId="10">'Matrix 171007_1815'!$C$2:$DA$108</definedName>
    <definedName name="_xlnm.Database" localSheetId="8">'Matrix 171007_1818'!$C$2:$DA$108</definedName>
    <definedName name="_xlnm.Database" localSheetId="6">'Matrix 171007_1827'!$C$2:$DA$108</definedName>
    <definedName name="_xlnm.Database" localSheetId="2">'Member Lookup'!$B$12:$R$97</definedName>
    <definedName name="_xlnm.Database" localSheetId="21">Members!$B$4:$F$88</definedName>
    <definedName name="_xlnm.Database" localSheetId="17">'Needs 171007_1806'!$C$2:$CA$101</definedName>
    <definedName name="_xlnm.Database" localSheetId="15">'Needs 171007_1810'!$C$2:$CA$101</definedName>
    <definedName name="_xlnm.Database" localSheetId="13">'Needs 171007_1812'!$C$2:$CA$101</definedName>
    <definedName name="_xlnm.Database" localSheetId="11">'Needs 171007_1815'!$C$2:$CA$101</definedName>
    <definedName name="_xlnm.Database" localSheetId="9">'Needs 171007_1818'!$C$2:$CA$101</definedName>
    <definedName name="_xlnm.Database" localSheetId="7">'Needs 171007_1827'!$C$2:$CA$101</definedName>
    <definedName name="_xlnm.Database" localSheetId="19">Skills!$B$4:$D$4</definedName>
    <definedName name="Entity_Lookup" localSheetId="0">[1]DEFINITIONS!$C$33:$G$83</definedName>
    <definedName name="Entity_Lookup">[2]DEFINITIONS!$C$33:$G$83</definedName>
    <definedName name="Entity_Lookup_New" localSheetId="0">[1]DEFINITIONS!$I$33:$M$83</definedName>
    <definedName name="Entity_Lookup_New">[2]DEFINITIONS!$I$33:$M$83</definedName>
    <definedName name="EssOptions" localSheetId="3">"A1100000000030000000001100020_0000"</definedName>
    <definedName name="EssSamplingValue" localSheetId="3">100</definedName>
    <definedName name="Header" localSheetId="1">Identities!$B$8:$O$8</definedName>
    <definedName name="Header" localSheetId="2">'Member Lookup'!$B$12:$R$12</definedName>
    <definedName name="Header" localSheetId="21">Members!$B$4:$F$4</definedName>
    <definedName name="Header" localSheetId="0">QUERIES!$B$4:$D$4</definedName>
    <definedName name="Header" localSheetId="19">Skills!$B$4:$D$4</definedName>
    <definedName name="Identities">Identities!$B$8:$O$108</definedName>
    <definedName name="iNewNames" localSheetId="0">[1]QUERY!$AC$16</definedName>
    <definedName name="iNewNames">[2]QUERY!$AC$16</definedName>
    <definedName name="Matrix_170915_0701">#REF!</definedName>
    <definedName name="Matrix_170915_0722">#REF!</definedName>
    <definedName name="Matrix_170915_0735">#REF!</definedName>
    <definedName name="Matrix_170915_0741">#REF!</definedName>
    <definedName name="Matrix_170918_1337">#REF!</definedName>
    <definedName name="Matrix_170918_1342">#REF!</definedName>
    <definedName name="Matrix_170918_1350">#REF!</definedName>
    <definedName name="Matrix_170918_1357">#REF!</definedName>
    <definedName name="Matrix_170918_1509">#REF!</definedName>
    <definedName name="Matrix_170929_1657">#REF!</definedName>
    <definedName name="Matrix_170929_1705">#REF!</definedName>
    <definedName name="Matrix_170929_1715">#REF!</definedName>
    <definedName name="Matrix_170929_1829">#REF!</definedName>
    <definedName name="Matrix_170929_1834">#REF!</definedName>
    <definedName name="Matrix_170929_1836">#REF!</definedName>
    <definedName name="Matrix_170929_1839">#REF!</definedName>
    <definedName name="Matrix_170929_1842">#REF!</definedName>
    <definedName name="Matrix_171004_1518">#REF!</definedName>
    <definedName name="Matrix_171005_0724">#REF!</definedName>
    <definedName name="Matrix_171005_0755">#REF!</definedName>
    <definedName name="Matrix_171005_0758">#REF!</definedName>
    <definedName name="Matrix_171005_0805">#REF!</definedName>
    <definedName name="Matrix_171005_0920">#REF!</definedName>
    <definedName name="Matrix_171005_1011">#REF!</definedName>
    <definedName name="Matrix_171005_1013">#REF!</definedName>
    <definedName name="Matrix_171005_2037">#REF!</definedName>
    <definedName name="Matrix_171006_0730">#REF!</definedName>
    <definedName name="Matrix_171006_0735">#REF!</definedName>
    <definedName name="Matrix_171006_0742">#REF!</definedName>
    <definedName name="Matrix_171006_0814">#REF!</definedName>
    <definedName name="Matrix_171006_0822">#REF!</definedName>
    <definedName name="Matrix_171006_1058">#REF!</definedName>
    <definedName name="Matrix_171006_1415">#REF!</definedName>
    <definedName name="Matrix_171006_1423">#REF!</definedName>
    <definedName name="Matrix_171006_1452">#REF!</definedName>
    <definedName name="Matrix_171006_2119">#REF!</definedName>
    <definedName name="Matrix_171006_2239">#REF!</definedName>
    <definedName name="Matrix_171006_2243">#REF!</definedName>
    <definedName name="Matrix_171006_2247">#REF!</definedName>
    <definedName name="Matrix_171006_2312">#REF!</definedName>
    <definedName name="Matrix_171007_0102">#REF!</definedName>
    <definedName name="Matrix_171007_0111">#REF!</definedName>
    <definedName name="Matrix_171007_1058">#REF!</definedName>
    <definedName name="Matrix_171007_1208">#REF!</definedName>
    <definedName name="Matrix_171007_1215">#REF!</definedName>
    <definedName name="Matrix_171007_1228">#REF!</definedName>
    <definedName name="Matrix_171007_1242">#REF!</definedName>
    <definedName name="Matrix_171007_1255">#REF!</definedName>
    <definedName name="Matrix_171007_1309">#REF!</definedName>
    <definedName name="Matrix_171007_1323">#REF!</definedName>
    <definedName name="Matrix_171007_1326">#REF!</definedName>
    <definedName name="Matrix_171007_1334">#REF!</definedName>
    <definedName name="Matrix_171007_1345">#REF!</definedName>
    <definedName name="Matrix_171007_1451">#REF!</definedName>
    <definedName name="Matrix_171007_1453">#REF!</definedName>
    <definedName name="Matrix_171007_1511">#REF!</definedName>
    <definedName name="Matrix_171007_1513">#REF!</definedName>
    <definedName name="Matrix_171007_1517">#REF!</definedName>
    <definedName name="Matrix_171007_1616">#REF!</definedName>
    <definedName name="Matrix_171007_1621">#REF!</definedName>
    <definedName name="Matrix_171007_1633">#REF!</definedName>
    <definedName name="Matrix_171007_1806">'Matrix 171007_1806'!$C$2:$DA$108</definedName>
    <definedName name="Matrix_171007_1810">'Matrix 171007_1810'!$C$2:$DA$108</definedName>
    <definedName name="Matrix_171007_1812">'Matrix 171007_1812'!$C$2:$DA$108</definedName>
    <definedName name="Matrix_171007_1815">'Matrix 171007_1815'!$C$2:$DA$108</definedName>
    <definedName name="Matrix_171007_1818">'Matrix 171007_1818'!$C$2:$DA$108</definedName>
    <definedName name="Matrix_171007_1827">'Matrix 171007_1827'!$C$2:$DA$108</definedName>
    <definedName name="Member_Lookup">'Member Lookup'!$B$12:$R$97</definedName>
    <definedName name="Members">Members!$B$4:$F$88</definedName>
    <definedName name="Needs_170915_0701">#REF!</definedName>
    <definedName name="Needs_170915_0722">#REF!</definedName>
    <definedName name="Needs_170915_0735">#REF!</definedName>
    <definedName name="Needs_170915_0741">#REF!</definedName>
    <definedName name="Needs_170918_1337">#REF!</definedName>
    <definedName name="Needs_170918_1342">#REF!</definedName>
    <definedName name="Needs_170918_1350">#REF!</definedName>
    <definedName name="Needs_170918_1357">#REF!</definedName>
    <definedName name="Needs_170918_1509">#REF!</definedName>
    <definedName name="Needs_170929_1657">#REF!</definedName>
    <definedName name="Needs_170929_1705">#REF!</definedName>
    <definedName name="Needs_170929_1829">#REF!</definedName>
    <definedName name="Needs_170929_1834">#REF!</definedName>
    <definedName name="Needs_170929_1836">#REF!</definedName>
    <definedName name="Needs_170929_1842">#REF!</definedName>
    <definedName name="Needs_171004_1518">#REF!</definedName>
    <definedName name="Needs_171007_1208">#REF!</definedName>
    <definedName name="Needs_171007_1215">#REF!</definedName>
    <definedName name="Needs_171007_1228">#REF!</definedName>
    <definedName name="Needs_171007_1242">#REF!</definedName>
    <definedName name="Needs_171007_1255">#REF!</definedName>
    <definedName name="Needs_171007_1451">#REF!</definedName>
    <definedName name="Needs_171007_1453">#REF!</definedName>
    <definedName name="Needs_171007_1511">#REF!</definedName>
    <definedName name="Needs_171007_1513">#REF!</definedName>
    <definedName name="Needs_171007_1517">#REF!</definedName>
    <definedName name="Needs_171007_1616">#REF!</definedName>
    <definedName name="Needs_171007_1621">#REF!</definedName>
    <definedName name="Needs_171007_1633">#REF!</definedName>
    <definedName name="Needs_171007_1806">'Needs 171007_1806'!$C$2:$CA$101</definedName>
    <definedName name="Needs_171007_1810">'Needs 171007_1810'!$C$2:$CA$101</definedName>
    <definedName name="Needs_171007_1812">'Needs 171007_1812'!$C$2:$CA$101</definedName>
    <definedName name="Needs_171007_1815">'Needs 171007_1815'!$C$2:$CA$101</definedName>
    <definedName name="Needs_171007_1818">'Needs 171007_1818'!$C$2:$CA$101</definedName>
    <definedName name="Needs_171007_1827">'Needs 171007_1827'!$C$2:$CA$101</definedName>
    <definedName name="paren_test" localSheetId="0">#REF!</definedName>
    <definedName name="paren_test">#REF!</definedName>
    <definedName name="_xlnm.Print_Area" localSheetId="1">Identities!$A$4:$P$116</definedName>
    <definedName name="_xlnm.Print_Area" localSheetId="2">'Member Lookup'!$A$8:$S$109</definedName>
    <definedName name="_xlnm.Print_Area" localSheetId="21">Members!$B$1:$G$89</definedName>
    <definedName name="_xlnm.Print_Area" localSheetId="0">QUERIES!$A$1:$R$6</definedName>
    <definedName name="_xlnm.Print_Area" localSheetId="19">Skills!$B$1:$E$4</definedName>
    <definedName name="_xlnm.Print_Titles" localSheetId="1">Identities!$8:$8</definedName>
    <definedName name="_xlnm.Print_Titles" localSheetId="2">'Member Lookup'!$12:$12</definedName>
    <definedName name="_xlnm.Print_Titles" localSheetId="21">Members!$4:$4</definedName>
    <definedName name="_xlnm.Print_Titles" localSheetId="0">QUERIES!$1:$4</definedName>
    <definedName name="_xlnm.Print_Titles" localSheetId="19">Skills!$4:$4</definedName>
    <definedName name="Saved_Queries" localSheetId="0">QUERIES!$B$4:$Q$6</definedName>
    <definedName name="Saved_Queries">'Member Lookup'!$B$4:$Q$6</definedName>
    <definedName name="Special_Entities_New" localSheetId="0">[1]DEFINITIONS!$I$3:$M$30</definedName>
    <definedName name="Special_Entities_New">[2]DEFINITIONS!$I$3:$M$30</definedName>
    <definedName name="Special_Joins" localSheetId="0">[1]CONNECTION!$AM$28,[1]CONNECTION!$AN$24,[1]CONNECTION!$M$24,[1]CONNECTION!$AN$26,[1]CONNECTION!$M$26,[1]CONNECTION!$M$27,[1]CONNECTION!$AM$28,[1]CONNECTION!$M$30,[1]CONNECTION!$M$38,[1]CONNECTION!$AC$38,[1]CONNECTION!$Y$39,[1]CONNECTION!$F$39</definedName>
    <definedName name="Special_Joins">[2]CONNECTION!$AM$28,[2]CONNECTION!$AN$24,[2]CONNECTION!$M$24,[2]CONNECTION!$AN$26,[2]CONNECTION!$M$26,[2]CONNECTION!$M$27,[2]CONNECTION!$AM$28,[2]CONNECTION!$M$30,[2]CONNECTION!$M$38,[2]CONNECTION!$AC$38,[2]CONNECTION!$Y$39,[2]CONNECTION!$F$39</definedName>
  </definedNames>
  <calcPr calcId="152511" calcOnSave="0"/>
</workbook>
</file>

<file path=xl/calcChain.xml><?xml version="1.0" encoding="utf-8"?>
<calcChain xmlns="http://schemas.openxmlformats.org/spreadsheetml/2006/main">
  <c r="CO99" i="74" l="1"/>
  <c r="CN99" i="74"/>
  <c r="CM99" i="74"/>
  <c r="CL99" i="74"/>
  <c r="CK99" i="74"/>
  <c r="CO98" i="74"/>
  <c r="CN98" i="74"/>
  <c r="CM98" i="74"/>
  <c r="CL98" i="74"/>
  <c r="CK98" i="74"/>
  <c r="CO97" i="74"/>
  <c r="CN97" i="74"/>
  <c r="CM97" i="74"/>
  <c r="CL97" i="74"/>
  <c r="CK97" i="74"/>
  <c r="CO96" i="74"/>
  <c r="CN96" i="74"/>
  <c r="CM96" i="74"/>
  <c r="CL96" i="74"/>
  <c r="CK96" i="74"/>
  <c r="CO94" i="74"/>
  <c r="CN94" i="74"/>
  <c r="CM94" i="74"/>
  <c r="CL94" i="74"/>
  <c r="CK94" i="74"/>
  <c r="CO93" i="74"/>
  <c r="CN93" i="74"/>
  <c r="CM93" i="74"/>
  <c r="CL93" i="74"/>
  <c r="CK93" i="74"/>
  <c r="CO92" i="74"/>
  <c r="CN92" i="74"/>
  <c r="CM92" i="74"/>
  <c r="CL92" i="74"/>
  <c r="CK92" i="74"/>
  <c r="CO91" i="74"/>
  <c r="CN91" i="74"/>
  <c r="CM91" i="74"/>
  <c r="CL91" i="74"/>
  <c r="CK91" i="74"/>
  <c r="CO90" i="74"/>
  <c r="CN90" i="74"/>
  <c r="CM90" i="74"/>
  <c r="CL90" i="74"/>
  <c r="CK90" i="74"/>
  <c r="CO89" i="74"/>
  <c r="CN89" i="74"/>
  <c r="CM89" i="74"/>
  <c r="CL89" i="74"/>
  <c r="CK89" i="74"/>
  <c r="CO88" i="74"/>
  <c r="CN88" i="74"/>
  <c r="CM88" i="74"/>
  <c r="CL88" i="74"/>
  <c r="CK88" i="74"/>
  <c r="CO87" i="74"/>
  <c r="CN87" i="74"/>
  <c r="CM87" i="74"/>
  <c r="CL87" i="74"/>
  <c r="CK87" i="74"/>
  <c r="CO86" i="74"/>
  <c r="CN86" i="74"/>
  <c r="CM86" i="74"/>
  <c r="CL86" i="74"/>
  <c r="CK86" i="74"/>
  <c r="CO85" i="74"/>
  <c r="CN85" i="74"/>
  <c r="CM85" i="74"/>
  <c r="CL85" i="74"/>
  <c r="CK85" i="74"/>
  <c r="CO84" i="74"/>
  <c r="CN84" i="74"/>
  <c r="CM84" i="74"/>
  <c r="CL84" i="74"/>
  <c r="CK84" i="74"/>
  <c r="CO83" i="74"/>
  <c r="CN83" i="74"/>
  <c r="CM83" i="74"/>
  <c r="CL83" i="74"/>
  <c r="CK83" i="74"/>
  <c r="CO82" i="74"/>
  <c r="CN82" i="74"/>
  <c r="CM82" i="74"/>
  <c r="CL82" i="74"/>
  <c r="CK82" i="74"/>
  <c r="CO81" i="74"/>
  <c r="CN81" i="74"/>
  <c r="CM81" i="74"/>
  <c r="CL81" i="74"/>
  <c r="CK81" i="74"/>
  <c r="CO80" i="74"/>
  <c r="CN80" i="74"/>
  <c r="CM80" i="74"/>
  <c r="CL80" i="74"/>
  <c r="CK80" i="74"/>
  <c r="CO78" i="74"/>
  <c r="CN78" i="74"/>
  <c r="CM78" i="74"/>
  <c r="CL78" i="74"/>
  <c r="CK78" i="74"/>
  <c r="CO77" i="74"/>
  <c r="CN77" i="74"/>
  <c r="CM77" i="74"/>
  <c r="CL77" i="74"/>
  <c r="CK77" i="74"/>
  <c r="CO76" i="74"/>
  <c r="CN76" i="74"/>
  <c r="CM76" i="74"/>
  <c r="CL76" i="74"/>
  <c r="CK76" i="74"/>
  <c r="CO75" i="74"/>
  <c r="CN75" i="74"/>
  <c r="CM75" i="74"/>
  <c r="CL75" i="74"/>
  <c r="CK75" i="74"/>
  <c r="CO74" i="74"/>
  <c r="CN74" i="74"/>
  <c r="CM74" i="74"/>
  <c r="CL74" i="74"/>
  <c r="CK74" i="74"/>
  <c r="CO73" i="74"/>
  <c r="CN73" i="74"/>
  <c r="CM73" i="74"/>
  <c r="CL73" i="74"/>
  <c r="CK73" i="74"/>
  <c r="CO72" i="74"/>
  <c r="CN72" i="74"/>
  <c r="CM72" i="74"/>
  <c r="CL72" i="74"/>
  <c r="CK72" i="74"/>
  <c r="CO71" i="74"/>
  <c r="CN71" i="74"/>
  <c r="CM71" i="74"/>
  <c r="CL71" i="74"/>
  <c r="CK71" i="74"/>
  <c r="CO70" i="74"/>
  <c r="CN70" i="74"/>
  <c r="CM70" i="74"/>
  <c r="CL70" i="74"/>
  <c r="CK70" i="74"/>
  <c r="CO69" i="74"/>
  <c r="CN69" i="74"/>
  <c r="CM69" i="74"/>
  <c r="CL69" i="74"/>
  <c r="CK69" i="74"/>
  <c r="CO68" i="74"/>
  <c r="CN68" i="74"/>
  <c r="CM68" i="74"/>
  <c r="CL68" i="74"/>
  <c r="CK68" i="74"/>
  <c r="CO67" i="74"/>
  <c r="CN67" i="74"/>
  <c r="CM67" i="74"/>
  <c r="CL67" i="74"/>
  <c r="CK67" i="74"/>
  <c r="CO66" i="74"/>
  <c r="CN66" i="74"/>
  <c r="CM66" i="74"/>
  <c r="CL66" i="74"/>
  <c r="CK66" i="74"/>
  <c r="CO65" i="74"/>
  <c r="CN65" i="74"/>
  <c r="CM65" i="74"/>
  <c r="CL65" i="74"/>
  <c r="CK65" i="74"/>
  <c r="CO64" i="74"/>
  <c r="CN64" i="74"/>
  <c r="CM64" i="74"/>
  <c r="CL64" i="74"/>
  <c r="CK64" i="74"/>
  <c r="CO63" i="74"/>
  <c r="CN63" i="74"/>
  <c r="CM63" i="74"/>
  <c r="CL63" i="74"/>
  <c r="CK63" i="74"/>
  <c r="CO62" i="74"/>
  <c r="CN62" i="74"/>
  <c r="CM62" i="74"/>
  <c r="CL62" i="74"/>
  <c r="CK62" i="74"/>
  <c r="CO61" i="74"/>
  <c r="CN61" i="74"/>
  <c r="CM61" i="74"/>
  <c r="CL61" i="74"/>
  <c r="CK61" i="74"/>
  <c r="CO59" i="74"/>
  <c r="CN59" i="74"/>
  <c r="CM59" i="74"/>
  <c r="CL59" i="74"/>
  <c r="CK59" i="74"/>
  <c r="CO58" i="74"/>
  <c r="CN58" i="74"/>
  <c r="CM58" i="74"/>
  <c r="CL58" i="74"/>
  <c r="CK58" i="74"/>
  <c r="CO57" i="74"/>
  <c r="CN57" i="74"/>
  <c r="CM57" i="74"/>
  <c r="CL57" i="74"/>
  <c r="CK57" i="74"/>
  <c r="CO56" i="74"/>
  <c r="CN56" i="74"/>
  <c r="CM56" i="74"/>
  <c r="CL56" i="74"/>
  <c r="CK56" i="74"/>
  <c r="CO55" i="74"/>
  <c r="CN55" i="74"/>
  <c r="CM55" i="74"/>
  <c r="CL55" i="74"/>
  <c r="CK55" i="74"/>
  <c r="CO54" i="74"/>
  <c r="CN54" i="74"/>
  <c r="CM54" i="74"/>
  <c r="CL54" i="74"/>
  <c r="CK54" i="74"/>
  <c r="CO53" i="74"/>
  <c r="CN53" i="74"/>
  <c r="CM53" i="74"/>
  <c r="CL53" i="74"/>
  <c r="CK53" i="74"/>
  <c r="CO52" i="74"/>
  <c r="CN52" i="74"/>
  <c r="CM52" i="74"/>
  <c r="CL52" i="74"/>
  <c r="CK52" i="74"/>
  <c r="CO50" i="74"/>
  <c r="CN50" i="74"/>
  <c r="CM50" i="74"/>
  <c r="CL50" i="74"/>
  <c r="CK50" i="74"/>
  <c r="CO49" i="74"/>
  <c r="CN49" i="74"/>
  <c r="CM49" i="74"/>
  <c r="CL49" i="74"/>
  <c r="CK49" i="74"/>
  <c r="CO48" i="74"/>
  <c r="CN48" i="74"/>
  <c r="CM48" i="74"/>
  <c r="CL48" i="74"/>
  <c r="CK48" i="74"/>
  <c r="CO47" i="74"/>
  <c r="CN47" i="74"/>
  <c r="CM47" i="74"/>
  <c r="CL47" i="74"/>
  <c r="CK47" i="74"/>
  <c r="CO46" i="74"/>
  <c r="CN46" i="74"/>
  <c r="CM46" i="74"/>
  <c r="CL46" i="74"/>
  <c r="CK46" i="74"/>
  <c r="CO45" i="74"/>
  <c r="CN45" i="74"/>
  <c r="CM45" i="74"/>
  <c r="CL45" i="74"/>
  <c r="CK45" i="74"/>
  <c r="CO44" i="74"/>
  <c r="CN44" i="74"/>
  <c r="CM44" i="74"/>
  <c r="CL44" i="74"/>
  <c r="CK44" i="74"/>
  <c r="CO43" i="74"/>
  <c r="CN43" i="74"/>
  <c r="CM43" i="74"/>
  <c r="CL43" i="74"/>
  <c r="CK43" i="74"/>
  <c r="CO42" i="74"/>
  <c r="CN42" i="74"/>
  <c r="CM42" i="74"/>
  <c r="CL42" i="74"/>
  <c r="CK42" i="74"/>
  <c r="CO41" i="74"/>
  <c r="CN41" i="74"/>
  <c r="CM41" i="74"/>
  <c r="CL41" i="74"/>
  <c r="CK41" i="74"/>
  <c r="CO40" i="74"/>
  <c r="CN40" i="74"/>
  <c r="CM40" i="74"/>
  <c r="CL40" i="74"/>
  <c r="CK40" i="74"/>
  <c r="CO39" i="74"/>
  <c r="CN39" i="74"/>
  <c r="CM39" i="74"/>
  <c r="CL39" i="74"/>
  <c r="CK39" i="74"/>
  <c r="CO37" i="74"/>
  <c r="CN37" i="74"/>
  <c r="CM37" i="74"/>
  <c r="CL37" i="74"/>
  <c r="CK37" i="74"/>
  <c r="CO36" i="74"/>
  <c r="CN36" i="74"/>
  <c r="CM36" i="74"/>
  <c r="CL36" i="74"/>
  <c r="CK36" i="74"/>
  <c r="CO35" i="74"/>
  <c r="CN35" i="74"/>
  <c r="CM35" i="74"/>
  <c r="CL35" i="74"/>
  <c r="CK35" i="74"/>
  <c r="CO34" i="74"/>
  <c r="CN34" i="74"/>
  <c r="CM34" i="74"/>
  <c r="CL34" i="74"/>
  <c r="CK34" i="74"/>
  <c r="CO33" i="74"/>
  <c r="CN33" i="74"/>
  <c r="CM33" i="74"/>
  <c r="CL33" i="74"/>
  <c r="CK33" i="74"/>
  <c r="CO32" i="74"/>
  <c r="CN32" i="74"/>
  <c r="CM32" i="74"/>
  <c r="CL32" i="74"/>
  <c r="CK32" i="74"/>
  <c r="CO31" i="74"/>
  <c r="CN31" i="74"/>
  <c r="CM31" i="74"/>
  <c r="CL31" i="74"/>
  <c r="CK31" i="74"/>
  <c r="CO30" i="74"/>
  <c r="CN30" i="74"/>
  <c r="CM30" i="74"/>
  <c r="CL30" i="74"/>
  <c r="CK30" i="74"/>
  <c r="CO29" i="74"/>
  <c r="CN29" i="74"/>
  <c r="CM29" i="74"/>
  <c r="CL29" i="74"/>
  <c r="CK29" i="74"/>
  <c r="CO28" i="74"/>
  <c r="CN28" i="74"/>
  <c r="CM28" i="74"/>
  <c r="CL28" i="74"/>
  <c r="CK28" i="74"/>
  <c r="CO26" i="74"/>
  <c r="CN26" i="74"/>
  <c r="CM26" i="74"/>
  <c r="CL26" i="74"/>
  <c r="CK26" i="74"/>
  <c r="CO25" i="74"/>
  <c r="CN25" i="74"/>
  <c r="CM25" i="74"/>
  <c r="CL25" i="74"/>
  <c r="CK25" i="74"/>
  <c r="CO24" i="74"/>
  <c r="CN24" i="74"/>
  <c r="CM24" i="74"/>
  <c r="CL24" i="74"/>
  <c r="CK24" i="74"/>
  <c r="CO23" i="74"/>
  <c r="CN23" i="74"/>
  <c r="CM23" i="74"/>
  <c r="CL23" i="74"/>
  <c r="CK23" i="74"/>
  <c r="CO22" i="74"/>
  <c r="CN22" i="74"/>
  <c r="CM22" i="74"/>
  <c r="CL22" i="74"/>
  <c r="CK22" i="74"/>
  <c r="CO21" i="74"/>
  <c r="CN21" i="74"/>
  <c r="CM21" i="74"/>
  <c r="CL21" i="74"/>
  <c r="CK21" i="74"/>
  <c r="CO20" i="74"/>
  <c r="CN20" i="74"/>
  <c r="CM20" i="74"/>
  <c r="CL20" i="74"/>
  <c r="CK20" i="74"/>
  <c r="CO19" i="74"/>
  <c r="CN19" i="74"/>
  <c r="CM19" i="74"/>
  <c r="CL19" i="74"/>
  <c r="CK19" i="74"/>
  <c r="CO18" i="74"/>
  <c r="CN18" i="74"/>
  <c r="CM18" i="74"/>
  <c r="CL18" i="74"/>
  <c r="CK18" i="74"/>
  <c r="CO16" i="74"/>
  <c r="CN16" i="74"/>
  <c r="CM16" i="74"/>
  <c r="CL16" i="74"/>
  <c r="CK16" i="74"/>
  <c r="CO15" i="74"/>
  <c r="CN15" i="74"/>
  <c r="CM15" i="74"/>
  <c r="CL15" i="74"/>
  <c r="CK15" i="74"/>
  <c r="CO14" i="74"/>
  <c r="CN14" i="74"/>
  <c r="CM14" i="74"/>
  <c r="CL14" i="74"/>
  <c r="CK14" i="74"/>
  <c r="CO13" i="74"/>
  <c r="CN13" i="74"/>
  <c r="CM13" i="74"/>
  <c r="CL13" i="74"/>
  <c r="CK13" i="74"/>
  <c r="CO12" i="74"/>
  <c r="CN12" i="74"/>
  <c r="CM12" i="74"/>
  <c r="CL12" i="74"/>
  <c r="CK12" i="74"/>
  <c r="CO11" i="74"/>
  <c r="CN11" i="74"/>
  <c r="CM11" i="74"/>
  <c r="CL11" i="74"/>
  <c r="CK11" i="74"/>
  <c r="CO10" i="74"/>
  <c r="CN10" i="74"/>
  <c r="CM10" i="74"/>
  <c r="CL10" i="74"/>
  <c r="CK10" i="74"/>
  <c r="CO9" i="74"/>
  <c r="CN9" i="74"/>
  <c r="CM9" i="74"/>
  <c r="CL9" i="74"/>
  <c r="CK9" i="74"/>
  <c r="CO8" i="74"/>
  <c r="CN8" i="74"/>
  <c r="CM8" i="74"/>
  <c r="CL8" i="74"/>
  <c r="CK8" i="74"/>
  <c r="CO7" i="74"/>
  <c r="CN7" i="74"/>
  <c r="CM7" i="74"/>
  <c r="CL7" i="74"/>
  <c r="CK7" i="74"/>
  <c r="CO6" i="74"/>
  <c r="CN6" i="74"/>
  <c r="CM6" i="74"/>
  <c r="CL6" i="74"/>
  <c r="CK6" i="74"/>
  <c r="CO5" i="74"/>
  <c r="CN5" i="74"/>
  <c r="CM5" i="74"/>
  <c r="CL5" i="74"/>
  <c r="CK5" i="74"/>
  <c r="CO4" i="74"/>
  <c r="CN4" i="74"/>
  <c r="CM4" i="74"/>
  <c r="CL4" i="74"/>
  <c r="CK4" i="74"/>
  <c r="CI109" i="74"/>
  <c r="CI106" i="74"/>
  <c r="CI105" i="74"/>
  <c r="CI104" i="74"/>
  <c r="CI103" i="74"/>
  <c r="CI102" i="74"/>
  <c r="CH109" i="74"/>
  <c r="CH106" i="74"/>
  <c r="CH105" i="74"/>
  <c r="CH104" i="74"/>
  <c r="CH103" i="74"/>
  <c r="CH102" i="74"/>
  <c r="CG109" i="74"/>
  <c r="CG106" i="74"/>
  <c r="CG105" i="74"/>
  <c r="CG104" i="74"/>
  <c r="CG103" i="74"/>
  <c r="CG102" i="74"/>
  <c r="CF109" i="74"/>
  <c r="CF106" i="74"/>
  <c r="CF105" i="74"/>
  <c r="CF104" i="74"/>
  <c r="CF103" i="74"/>
  <c r="CF102" i="74"/>
  <c r="CE109" i="74"/>
  <c r="CE106" i="74"/>
  <c r="CE105" i="74"/>
  <c r="CE104" i="74"/>
  <c r="CE103" i="74"/>
  <c r="CE102" i="74"/>
  <c r="CD109" i="74"/>
  <c r="CD106" i="74"/>
  <c r="CD105" i="74"/>
  <c r="CD104" i="74"/>
  <c r="CD103" i="74"/>
  <c r="CD102" i="74"/>
  <c r="CC109" i="74"/>
  <c r="CC106" i="74"/>
  <c r="CC105" i="74"/>
  <c r="CC104" i="74"/>
  <c r="CC103" i="74"/>
  <c r="CC102" i="74"/>
  <c r="CB109" i="74"/>
  <c r="CB106" i="74"/>
  <c r="CB105" i="74"/>
  <c r="CB104" i="74"/>
  <c r="CB103" i="74"/>
  <c r="CB102" i="74"/>
  <c r="CA109" i="74"/>
  <c r="CA106" i="74"/>
  <c r="CA105" i="74"/>
  <c r="CA104" i="74"/>
  <c r="CA103" i="74"/>
  <c r="CA102" i="74"/>
  <c r="BZ109" i="74"/>
  <c r="BZ106" i="74"/>
  <c r="BZ105" i="74"/>
  <c r="BZ104" i="74"/>
  <c r="BZ103" i="74"/>
  <c r="BZ102" i="74"/>
  <c r="BY109" i="74"/>
  <c r="BY106" i="74"/>
  <c r="BY105" i="74"/>
  <c r="BY104" i="74"/>
  <c r="BY103" i="74"/>
  <c r="BY102" i="74"/>
  <c r="BX109" i="74"/>
  <c r="BX106" i="74"/>
  <c r="BX105" i="74"/>
  <c r="BX104" i="74"/>
  <c r="BX103" i="74"/>
  <c r="BX102" i="74"/>
  <c r="BW109" i="74"/>
  <c r="BW106" i="74"/>
  <c r="BW105" i="74"/>
  <c r="BW104" i="74"/>
  <c r="BW103" i="74"/>
  <c r="BW102" i="74"/>
  <c r="BV109" i="74"/>
  <c r="BV106" i="74"/>
  <c r="BV105" i="74"/>
  <c r="BV104" i="74"/>
  <c r="BV103" i="74"/>
  <c r="BV102" i="74"/>
  <c r="BU109" i="74"/>
  <c r="BU106" i="74"/>
  <c r="BU105" i="74"/>
  <c r="BU104" i="74"/>
  <c r="BU103" i="74"/>
  <c r="BU102" i="74"/>
  <c r="BT109" i="74"/>
  <c r="BT106" i="74"/>
  <c r="BT105" i="74"/>
  <c r="BT104" i="74"/>
  <c r="BT103" i="74"/>
  <c r="BT102" i="74"/>
  <c r="BS109" i="74"/>
  <c r="BS106" i="74"/>
  <c r="BS105" i="74"/>
  <c r="BS104" i="74"/>
  <c r="BS103" i="74"/>
  <c r="BS102" i="74"/>
  <c r="BR109" i="74"/>
  <c r="BR106" i="74"/>
  <c r="BR105" i="74"/>
  <c r="BR104" i="74"/>
  <c r="BR103" i="74"/>
  <c r="BR102" i="74"/>
  <c r="BQ109" i="74"/>
  <c r="BQ106" i="74"/>
  <c r="BQ105" i="74"/>
  <c r="BQ104" i="74"/>
  <c r="BQ103" i="74"/>
  <c r="BQ102" i="74"/>
  <c r="BP109" i="74"/>
  <c r="BP106" i="74"/>
  <c r="BP105" i="74"/>
  <c r="BP104" i="74"/>
  <c r="BP103" i="74"/>
  <c r="BP102" i="74"/>
  <c r="BO109" i="74"/>
  <c r="BO106" i="74"/>
  <c r="BO105" i="74"/>
  <c r="BO104" i="74"/>
  <c r="BO103" i="74"/>
  <c r="BO102" i="74"/>
  <c r="BN109" i="74"/>
  <c r="BN106" i="74"/>
  <c r="BN105" i="74"/>
  <c r="BN104" i="74"/>
  <c r="BN103" i="74"/>
  <c r="BN102" i="74"/>
  <c r="BM109" i="74"/>
  <c r="BM106" i="74"/>
  <c r="BM105" i="74"/>
  <c r="BM104" i="74"/>
  <c r="BM103" i="74"/>
  <c r="BM102" i="74"/>
  <c r="BL109" i="74"/>
  <c r="BL106" i="74"/>
  <c r="BL105" i="74"/>
  <c r="BL104" i="74"/>
  <c r="BL103" i="74"/>
  <c r="BL102" i="74"/>
  <c r="BK109" i="74"/>
  <c r="BK106" i="74"/>
  <c r="BK105" i="74"/>
  <c r="BK104" i="74"/>
  <c r="BK103" i="74"/>
  <c r="BK102" i="74"/>
  <c r="BJ109" i="74"/>
  <c r="BJ106" i="74"/>
  <c r="BJ105" i="74"/>
  <c r="BJ104" i="74"/>
  <c r="BJ103" i="74"/>
  <c r="BJ102" i="74"/>
  <c r="BI109" i="74"/>
  <c r="BI106" i="74"/>
  <c r="BI105" i="74"/>
  <c r="BI104" i="74"/>
  <c r="BI103" i="74"/>
  <c r="BI102" i="74"/>
  <c r="BH109" i="74"/>
  <c r="BH106" i="74"/>
  <c r="BH105" i="74"/>
  <c r="BH104" i="74"/>
  <c r="BH103" i="74"/>
  <c r="BH102" i="74"/>
  <c r="BG109" i="74"/>
  <c r="BG106" i="74"/>
  <c r="BG105" i="74"/>
  <c r="BG104" i="74"/>
  <c r="BG103" i="74"/>
  <c r="BG102" i="74"/>
  <c r="BF109" i="74"/>
  <c r="BF106" i="74"/>
  <c r="BF105" i="74"/>
  <c r="BF104" i="74"/>
  <c r="BF103" i="74"/>
  <c r="BF102" i="74"/>
  <c r="BE109" i="74"/>
  <c r="BE106" i="74"/>
  <c r="BE105" i="74"/>
  <c r="BE104" i="74"/>
  <c r="BE103" i="74"/>
  <c r="BE102" i="74"/>
  <c r="BD109" i="74"/>
  <c r="BD106" i="74"/>
  <c r="BD105" i="74"/>
  <c r="BD104" i="74"/>
  <c r="BD103" i="74"/>
  <c r="BD102" i="74"/>
  <c r="BC109" i="74"/>
  <c r="BC106" i="74"/>
  <c r="BC105" i="74"/>
  <c r="BC104" i="74"/>
  <c r="BC103" i="74"/>
  <c r="BC102" i="74"/>
  <c r="BB109" i="74"/>
  <c r="BB106" i="74"/>
  <c r="BB105" i="74"/>
  <c r="BB104" i="74"/>
  <c r="BB103" i="74"/>
  <c r="BB102" i="74"/>
  <c r="BA109" i="74"/>
  <c r="BA106" i="74"/>
  <c r="BA105" i="74"/>
  <c r="BA104" i="74"/>
  <c r="BA103" i="74"/>
  <c r="BA102" i="74"/>
  <c r="AZ109" i="74"/>
  <c r="AZ106" i="74"/>
  <c r="AZ105" i="74"/>
  <c r="AZ104" i="74"/>
  <c r="AZ103" i="74"/>
  <c r="AZ102" i="74"/>
  <c r="AY109" i="74"/>
  <c r="AY106" i="74"/>
  <c r="AY105" i="74"/>
  <c r="AY104" i="74"/>
  <c r="AY103" i="74"/>
  <c r="AY102" i="74"/>
  <c r="AX109" i="74"/>
  <c r="AX106" i="74"/>
  <c r="AX105" i="74"/>
  <c r="AX104" i="74"/>
  <c r="AX103" i="74"/>
  <c r="AX102" i="74"/>
  <c r="AW109" i="74"/>
  <c r="AW106" i="74"/>
  <c r="AW105" i="74"/>
  <c r="AW104" i="74"/>
  <c r="AW103" i="74"/>
  <c r="AW102" i="74"/>
  <c r="AV109" i="74"/>
  <c r="AV106" i="74"/>
  <c r="AV105" i="74"/>
  <c r="AV104" i="74"/>
  <c r="AV103" i="74"/>
  <c r="AV102" i="74"/>
  <c r="AU109" i="74"/>
  <c r="AU106" i="74"/>
  <c r="AU105" i="74"/>
  <c r="AU104" i="74"/>
  <c r="AU103" i="74"/>
  <c r="AU102" i="74"/>
  <c r="AT109" i="74"/>
  <c r="AT106" i="74"/>
  <c r="AT105" i="74"/>
  <c r="AT104" i="74"/>
  <c r="AT103" i="74"/>
  <c r="AT102" i="74"/>
  <c r="AS109" i="74"/>
  <c r="AS106" i="74"/>
  <c r="AS105" i="74"/>
  <c r="AS104" i="74"/>
  <c r="AS103" i="74"/>
  <c r="AS102" i="74"/>
  <c r="AR109" i="74"/>
  <c r="AR106" i="74"/>
  <c r="AR105" i="74"/>
  <c r="AR104" i="74"/>
  <c r="AR103" i="74"/>
  <c r="AR102" i="74"/>
  <c r="AQ109" i="74"/>
  <c r="AQ106" i="74"/>
  <c r="AQ105" i="74"/>
  <c r="AQ104" i="74"/>
  <c r="AQ103" i="74"/>
  <c r="AQ102" i="74"/>
  <c r="AP109" i="74"/>
  <c r="AP106" i="74"/>
  <c r="AP105" i="74"/>
  <c r="AP104" i="74"/>
  <c r="AP103" i="74"/>
  <c r="AP102" i="74"/>
  <c r="AO109" i="74"/>
  <c r="AO106" i="74"/>
  <c r="AO105" i="74"/>
  <c r="AO104" i="74"/>
  <c r="AO103" i="74"/>
  <c r="AO102" i="74"/>
  <c r="AN109" i="74"/>
  <c r="AN106" i="74"/>
  <c r="AN105" i="74"/>
  <c r="AN104" i="74"/>
  <c r="AN103" i="74"/>
  <c r="AN102" i="74"/>
  <c r="AM109" i="74"/>
  <c r="AM106" i="74"/>
  <c r="AM105" i="74"/>
  <c r="AM104" i="74"/>
  <c r="AM103" i="74"/>
  <c r="AM102" i="74"/>
  <c r="AL109" i="74"/>
  <c r="AL106" i="74"/>
  <c r="AL105" i="74"/>
  <c r="AL104" i="74"/>
  <c r="AL103" i="74"/>
  <c r="AL102" i="74"/>
  <c r="AK109" i="74"/>
  <c r="AK106" i="74"/>
  <c r="AK105" i="74"/>
  <c r="AK104" i="74"/>
  <c r="AK103" i="74"/>
  <c r="AK102" i="74"/>
  <c r="AJ109" i="74"/>
  <c r="AJ106" i="74"/>
  <c r="AJ105" i="74"/>
  <c r="AJ104" i="74"/>
  <c r="AJ103" i="74"/>
  <c r="AJ102" i="74"/>
  <c r="AI109" i="74"/>
  <c r="AI106" i="74"/>
  <c r="AI105" i="74"/>
  <c r="AI104" i="74"/>
  <c r="AI103" i="74"/>
  <c r="AI102" i="74"/>
  <c r="AH109" i="74"/>
  <c r="AH106" i="74"/>
  <c r="AH105" i="74"/>
  <c r="AH104" i="74"/>
  <c r="AH103" i="74"/>
  <c r="AH102" i="74"/>
  <c r="AG109" i="74"/>
  <c r="AG106" i="74"/>
  <c r="AG105" i="74"/>
  <c r="AG104" i="74"/>
  <c r="AG103" i="74"/>
  <c r="AG102" i="74"/>
  <c r="AF109" i="74"/>
  <c r="AF106" i="74"/>
  <c r="AF105" i="74"/>
  <c r="AF104" i="74"/>
  <c r="AF103" i="74"/>
  <c r="AF102" i="74"/>
  <c r="AE109" i="74"/>
  <c r="AE106" i="74"/>
  <c r="AE105" i="74"/>
  <c r="AE104" i="74"/>
  <c r="AE103" i="74"/>
  <c r="AE102" i="74"/>
  <c r="AD109" i="74"/>
  <c r="AD106" i="74"/>
  <c r="AD105" i="74"/>
  <c r="AD104" i="74"/>
  <c r="AD103" i="74"/>
  <c r="AD102" i="74"/>
  <c r="AC109" i="74"/>
  <c r="AC106" i="74"/>
  <c r="AC105" i="74"/>
  <c r="AC104" i="74"/>
  <c r="AC103" i="74"/>
  <c r="AC102" i="74"/>
  <c r="AB109" i="74"/>
  <c r="AB106" i="74"/>
  <c r="AB105" i="74"/>
  <c r="AB104" i="74"/>
  <c r="AB103" i="74"/>
  <c r="AB102" i="74"/>
  <c r="AA109" i="74"/>
  <c r="AA106" i="74"/>
  <c r="AA105" i="74"/>
  <c r="AA104" i="74"/>
  <c r="AA103" i="74"/>
  <c r="AA102" i="74"/>
  <c r="Z109" i="74"/>
  <c r="Z106" i="74"/>
  <c r="Z105" i="74"/>
  <c r="Z104" i="74"/>
  <c r="Z103" i="74"/>
  <c r="Z102" i="74"/>
  <c r="Y109" i="74"/>
  <c r="Y106" i="74"/>
  <c r="Y105" i="74"/>
  <c r="Y104" i="74"/>
  <c r="Y103" i="74"/>
  <c r="Y102" i="74"/>
  <c r="X109" i="74"/>
  <c r="X106" i="74"/>
  <c r="X105" i="74"/>
  <c r="X104" i="74"/>
  <c r="X103" i="74"/>
  <c r="X102" i="74"/>
  <c r="W109" i="74"/>
  <c r="W106" i="74"/>
  <c r="W105" i="74"/>
  <c r="W104" i="74"/>
  <c r="W103" i="74"/>
  <c r="W102" i="74"/>
  <c r="V109" i="74"/>
  <c r="V106" i="74"/>
  <c r="V105" i="74"/>
  <c r="V104" i="74"/>
  <c r="V103" i="74"/>
  <c r="V102" i="74"/>
  <c r="U109" i="74"/>
  <c r="U106" i="74"/>
  <c r="U105" i="74"/>
  <c r="U104" i="74"/>
  <c r="U103" i="74"/>
  <c r="U102" i="74"/>
  <c r="T109" i="74"/>
  <c r="T106" i="74"/>
  <c r="T105" i="74"/>
  <c r="T104" i="74"/>
  <c r="T103" i="74"/>
  <c r="T102" i="74"/>
  <c r="S109" i="74"/>
  <c r="S106" i="74"/>
  <c r="S105" i="74"/>
  <c r="S104" i="74"/>
  <c r="S103" i="74"/>
  <c r="S102" i="74"/>
  <c r="R109" i="74"/>
  <c r="R106" i="74"/>
  <c r="R105" i="74"/>
  <c r="R104" i="74"/>
  <c r="R103" i="74"/>
  <c r="R102" i="74"/>
  <c r="Q109" i="74"/>
  <c r="Q106" i="74"/>
  <c r="Q105" i="74"/>
  <c r="Q104" i="74"/>
  <c r="Q103" i="74"/>
  <c r="Q102" i="74"/>
  <c r="P109" i="74"/>
  <c r="P106" i="74"/>
  <c r="P105" i="74"/>
  <c r="P104" i="74"/>
  <c r="P103" i="74"/>
  <c r="P102" i="74"/>
  <c r="O109" i="74"/>
  <c r="O106" i="74"/>
  <c r="O105" i="74"/>
  <c r="O104" i="74"/>
  <c r="O103" i="74"/>
  <c r="O102" i="74"/>
  <c r="N109" i="74"/>
  <c r="N106" i="74"/>
  <c r="N105" i="74"/>
  <c r="N104" i="74"/>
  <c r="N103" i="74"/>
  <c r="N102" i="74"/>
  <c r="M109" i="74"/>
  <c r="M106" i="74"/>
  <c r="M105" i="74"/>
  <c r="M104" i="74"/>
  <c r="M103" i="74"/>
  <c r="M102" i="74"/>
  <c r="L109" i="74"/>
  <c r="L106" i="74"/>
  <c r="L105" i="74"/>
  <c r="L104" i="74"/>
  <c r="L103" i="74"/>
  <c r="L102" i="74"/>
  <c r="K109" i="74"/>
  <c r="K106" i="74"/>
  <c r="K105" i="74"/>
  <c r="K104" i="74"/>
  <c r="K103" i="74"/>
  <c r="K102" i="74"/>
  <c r="J109" i="74"/>
  <c r="J106" i="74"/>
  <c r="J105" i="74"/>
  <c r="J104" i="74"/>
  <c r="J103" i="74"/>
  <c r="J102" i="74"/>
  <c r="I109" i="74"/>
  <c r="I106" i="74"/>
  <c r="I105" i="74"/>
  <c r="I104" i="74"/>
  <c r="I103" i="74"/>
  <c r="I102" i="74"/>
  <c r="H109" i="74"/>
  <c r="H106" i="74"/>
  <c r="H105" i="74"/>
  <c r="H104" i="74"/>
  <c r="H103" i="74"/>
  <c r="H102" i="74"/>
  <c r="G109" i="74"/>
  <c r="G106" i="74"/>
  <c r="G105" i="74"/>
  <c r="G104" i="74"/>
  <c r="G103" i="74"/>
  <c r="G102" i="74"/>
  <c r="F109" i="74"/>
  <c r="F106" i="74"/>
  <c r="F105" i="74"/>
  <c r="F104" i="74"/>
  <c r="F103" i="74"/>
  <c r="F102" i="74"/>
  <c r="E109" i="74"/>
  <c r="E106" i="74"/>
  <c r="E105" i="74"/>
  <c r="E104" i="74"/>
  <c r="E103" i="74"/>
  <c r="E102" i="74"/>
  <c r="D109" i="74"/>
  <c r="D106" i="74"/>
  <c r="D105" i="74"/>
  <c r="D104" i="74"/>
  <c r="D103" i="74"/>
  <c r="D102" i="74"/>
  <c r="BU101" i="75"/>
  <c r="BT101" i="75"/>
  <c r="BS101" i="75"/>
  <c r="BR101" i="75"/>
  <c r="BQ101" i="75"/>
  <c r="BP101" i="75"/>
  <c r="BO101" i="75"/>
  <c r="BN101" i="75"/>
  <c r="BM101" i="75"/>
  <c r="BL101" i="75"/>
  <c r="BK101" i="75"/>
  <c r="BJ101" i="75"/>
  <c r="BI101" i="75"/>
  <c r="BH101" i="75"/>
  <c r="BG101" i="75"/>
  <c r="BF101" i="75"/>
  <c r="BE101" i="75"/>
  <c r="BD101" i="75"/>
  <c r="BC101" i="75"/>
  <c r="BB101" i="75"/>
  <c r="BA101" i="75"/>
  <c r="AZ101" i="75"/>
  <c r="AY101" i="75"/>
  <c r="AX101" i="75"/>
  <c r="AW101" i="75"/>
  <c r="AV101" i="75"/>
  <c r="AU101" i="75"/>
  <c r="AT101" i="75"/>
  <c r="AS101" i="75"/>
  <c r="AR101" i="75"/>
  <c r="AQ101" i="75"/>
  <c r="AP101" i="75"/>
  <c r="AO101" i="75"/>
  <c r="AN101" i="75"/>
  <c r="AM101" i="75"/>
  <c r="AL101" i="75"/>
  <c r="AK101" i="75"/>
  <c r="AJ101" i="75"/>
  <c r="AI101" i="75"/>
  <c r="AH101" i="75"/>
  <c r="AG101" i="75"/>
  <c r="AF101" i="75"/>
  <c r="AE101" i="75"/>
  <c r="AD101" i="75"/>
  <c r="AC101" i="75"/>
  <c r="AB101" i="75"/>
  <c r="AA101" i="75"/>
  <c r="Z101" i="75"/>
  <c r="Y101" i="75"/>
  <c r="X101" i="75"/>
  <c r="W101" i="75"/>
  <c r="V101" i="75"/>
  <c r="U101" i="75"/>
  <c r="T101" i="75"/>
  <c r="S101" i="75"/>
  <c r="R101" i="75"/>
  <c r="Q101" i="75"/>
  <c r="P101" i="75"/>
  <c r="O101" i="75"/>
  <c r="N101" i="75"/>
  <c r="M101" i="75"/>
  <c r="L101" i="75"/>
  <c r="K101" i="75"/>
  <c r="J101" i="75"/>
  <c r="I101" i="75"/>
  <c r="H101" i="75"/>
  <c r="G101" i="75"/>
  <c r="F101" i="75"/>
  <c r="E101" i="75"/>
  <c r="D101" i="75"/>
  <c r="CO99" i="72"/>
  <c r="CN99" i="72"/>
  <c r="CM99" i="72"/>
  <c r="CL99" i="72"/>
  <c r="CK99" i="72"/>
  <c r="CO98" i="72"/>
  <c r="CN98" i="72"/>
  <c r="CM98" i="72"/>
  <c r="CL98" i="72"/>
  <c r="CK98" i="72"/>
  <c r="CO97" i="72"/>
  <c r="CN97" i="72"/>
  <c r="CM97" i="72"/>
  <c r="CL97" i="72"/>
  <c r="CK97" i="72"/>
  <c r="CO96" i="72"/>
  <c r="CN96" i="72"/>
  <c r="CM96" i="72"/>
  <c r="CL96" i="72"/>
  <c r="CK96" i="72"/>
  <c r="CO94" i="72"/>
  <c r="CN94" i="72"/>
  <c r="CM94" i="72"/>
  <c r="CL94" i="72"/>
  <c r="CK94" i="72"/>
  <c r="CO93" i="72"/>
  <c r="CN93" i="72"/>
  <c r="CM93" i="72"/>
  <c r="CL93" i="72"/>
  <c r="CK93" i="72"/>
  <c r="CO92" i="72"/>
  <c r="CN92" i="72"/>
  <c r="CM92" i="72"/>
  <c r="CL92" i="72"/>
  <c r="CK92" i="72"/>
  <c r="CO91" i="72"/>
  <c r="CN91" i="72"/>
  <c r="CM91" i="72"/>
  <c r="CL91" i="72"/>
  <c r="CK91" i="72"/>
  <c r="CO90" i="72"/>
  <c r="CN90" i="72"/>
  <c r="CM90" i="72"/>
  <c r="CL90" i="72"/>
  <c r="CK90" i="72"/>
  <c r="CO89" i="72"/>
  <c r="CN89" i="72"/>
  <c r="CM89" i="72"/>
  <c r="CL89" i="72"/>
  <c r="CK89" i="72"/>
  <c r="CO88" i="72"/>
  <c r="CN88" i="72"/>
  <c r="CM88" i="72"/>
  <c r="CL88" i="72"/>
  <c r="CK88" i="72"/>
  <c r="CO87" i="72"/>
  <c r="CN87" i="72"/>
  <c r="CM87" i="72"/>
  <c r="CL87" i="72"/>
  <c r="CK87" i="72"/>
  <c r="CO86" i="72"/>
  <c r="CN86" i="72"/>
  <c r="CM86" i="72"/>
  <c r="CL86" i="72"/>
  <c r="CK86" i="72"/>
  <c r="CO85" i="72"/>
  <c r="CN85" i="72"/>
  <c r="CM85" i="72"/>
  <c r="CL85" i="72"/>
  <c r="CK85" i="72"/>
  <c r="CO84" i="72"/>
  <c r="CN84" i="72"/>
  <c r="CM84" i="72"/>
  <c r="CL84" i="72"/>
  <c r="CK84" i="72"/>
  <c r="CO83" i="72"/>
  <c r="CN83" i="72"/>
  <c r="CM83" i="72"/>
  <c r="CL83" i="72"/>
  <c r="CK83" i="72"/>
  <c r="CO82" i="72"/>
  <c r="CN82" i="72"/>
  <c r="CM82" i="72"/>
  <c r="CL82" i="72"/>
  <c r="CK82" i="72"/>
  <c r="CO81" i="72"/>
  <c r="CN81" i="72"/>
  <c r="CM81" i="72"/>
  <c r="CL81" i="72"/>
  <c r="CK81" i="72"/>
  <c r="CO80" i="72"/>
  <c r="CN80" i="72"/>
  <c r="CM80" i="72"/>
  <c r="CL80" i="72"/>
  <c r="CK80" i="72"/>
  <c r="CO78" i="72"/>
  <c r="CN78" i="72"/>
  <c r="CM78" i="72"/>
  <c r="CL78" i="72"/>
  <c r="CK78" i="72"/>
  <c r="CO77" i="72"/>
  <c r="CN77" i="72"/>
  <c r="CM77" i="72"/>
  <c r="CL77" i="72"/>
  <c r="CK77" i="72"/>
  <c r="CO76" i="72"/>
  <c r="CN76" i="72"/>
  <c r="CM76" i="72"/>
  <c r="CL76" i="72"/>
  <c r="CK76" i="72"/>
  <c r="CO75" i="72"/>
  <c r="CN75" i="72"/>
  <c r="CM75" i="72"/>
  <c r="CL75" i="72"/>
  <c r="CK75" i="72"/>
  <c r="CO74" i="72"/>
  <c r="CN74" i="72"/>
  <c r="CM74" i="72"/>
  <c r="CL74" i="72"/>
  <c r="CK74" i="72"/>
  <c r="CO73" i="72"/>
  <c r="CN73" i="72"/>
  <c r="CM73" i="72"/>
  <c r="CL73" i="72"/>
  <c r="CK73" i="72"/>
  <c r="CO72" i="72"/>
  <c r="CN72" i="72"/>
  <c r="CM72" i="72"/>
  <c r="CL72" i="72"/>
  <c r="CK72" i="72"/>
  <c r="CO71" i="72"/>
  <c r="CN71" i="72"/>
  <c r="CM71" i="72"/>
  <c r="CL71" i="72"/>
  <c r="CK71" i="72"/>
  <c r="CO70" i="72"/>
  <c r="CN70" i="72"/>
  <c r="CM70" i="72"/>
  <c r="CL70" i="72"/>
  <c r="CK70" i="72"/>
  <c r="CO69" i="72"/>
  <c r="CN69" i="72"/>
  <c r="CM69" i="72"/>
  <c r="CL69" i="72"/>
  <c r="CK69" i="72"/>
  <c r="CO68" i="72"/>
  <c r="CN68" i="72"/>
  <c r="CM68" i="72"/>
  <c r="CL68" i="72"/>
  <c r="CK68" i="72"/>
  <c r="CO67" i="72"/>
  <c r="CN67" i="72"/>
  <c r="CM67" i="72"/>
  <c r="CL67" i="72"/>
  <c r="CK67" i="72"/>
  <c r="CO66" i="72"/>
  <c r="CN66" i="72"/>
  <c r="CM66" i="72"/>
  <c r="CL66" i="72"/>
  <c r="CK66" i="72"/>
  <c r="CO65" i="72"/>
  <c r="CN65" i="72"/>
  <c r="CM65" i="72"/>
  <c r="CL65" i="72"/>
  <c r="CK65" i="72"/>
  <c r="CO64" i="72"/>
  <c r="CN64" i="72"/>
  <c r="CM64" i="72"/>
  <c r="CL64" i="72"/>
  <c r="CK64" i="72"/>
  <c r="CO63" i="72"/>
  <c r="CN63" i="72"/>
  <c r="CM63" i="72"/>
  <c r="CL63" i="72"/>
  <c r="CK63" i="72"/>
  <c r="CO62" i="72"/>
  <c r="CN62" i="72"/>
  <c r="CM62" i="72"/>
  <c r="CL62" i="72"/>
  <c r="CK62" i="72"/>
  <c r="CO61" i="72"/>
  <c r="CN61" i="72"/>
  <c r="CM61" i="72"/>
  <c r="CL61" i="72"/>
  <c r="CK61" i="72"/>
  <c r="CO59" i="72"/>
  <c r="CN59" i="72"/>
  <c r="CM59" i="72"/>
  <c r="CL59" i="72"/>
  <c r="CK59" i="72"/>
  <c r="CO58" i="72"/>
  <c r="CN58" i="72"/>
  <c r="CM58" i="72"/>
  <c r="CL58" i="72"/>
  <c r="CK58" i="72"/>
  <c r="CO57" i="72"/>
  <c r="CN57" i="72"/>
  <c r="CM57" i="72"/>
  <c r="CL57" i="72"/>
  <c r="CK57" i="72"/>
  <c r="CO56" i="72"/>
  <c r="CN56" i="72"/>
  <c r="CM56" i="72"/>
  <c r="CL56" i="72"/>
  <c r="CK56" i="72"/>
  <c r="CO55" i="72"/>
  <c r="CN55" i="72"/>
  <c r="CM55" i="72"/>
  <c r="CL55" i="72"/>
  <c r="CK55" i="72"/>
  <c r="CO54" i="72"/>
  <c r="CN54" i="72"/>
  <c r="CM54" i="72"/>
  <c r="CL54" i="72"/>
  <c r="CK54" i="72"/>
  <c r="CO53" i="72"/>
  <c r="CN53" i="72"/>
  <c r="CM53" i="72"/>
  <c r="CL53" i="72"/>
  <c r="CK53" i="72"/>
  <c r="CO52" i="72"/>
  <c r="CN52" i="72"/>
  <c r="CM52" i="72"/>
  <c r="CL52" i="72"/>
  <c r="CK52" i="72"/>
  <c r="CO50" i="72"/>
  <c r="CN50" i="72"/>
  <c r="CM50" i="72"/>
  <c r="CL50" i="72"/>
  <c r="CK50" i="72"/>
  <c r="CO49" i="72"/>
  <c r="CN49" i="72"/>
  <c r="CM49" i="72"/>
  <c r="CL49" i="72"/>
  <c r="CK49" i="72"/>
  <c r="CO48" i="72"/>
  <c r="CN48" i="72"/>
  <c r="CM48" i="72"/>
  <c r="CL48" i="72"/>
  <c r="CK48" i="72"/>
  <c r="CO47" i="72"/>
  <c r="CN47" i="72"/>
  <c r="CM47" i="72"/>
  <c r="CL47" i="72"/>
  <c r="CK47" i="72"/>
  <c r="CO46" i="72"/>
  <c r="CN46" i="72"/>
  <c r="CM46" i="72"/>
  <c r="CL46" i="72"/>
  <c r="CK46" i="72"/>
  <c r="CO45" i="72"/>
  <c r="CN45" i="72"/>
  <c r="CM45" i="72"/>
  <c r="CL45" i="72"/>
  <c r="CK45" i="72"/>
  <c r="CO44" i="72"/>
  <c r="CN44" i="72"/>
  <c r="CM44" i="72"/>
  <c r="CL44" i="72"/>
  <c r="CK44" i="72"/>
  <c r="CO43" i="72"/>
  <c r="CN43" i="72"/>
  <c r="CM43" i="72"/>
  <c r="CL43" i="72"/>
  <c r="CK43" i="72"/>
  <c r="CO42" i="72"/>
  <c r="CN42" i="72"/>
  <c r="CM42" i="72"/>
  <c r="CL42" i="72"/>
  <c r="CK42" i="72"/>
  <c r="CO41" i="72"/>
  <c r="CN41" i="72"/>
  <c r="CM41" i="72"/>
  <c r="CL41" i="72"/>
  <c r="CK41" i="72"/>
  <c r="CO40" i="72"/>
  <c r="CN40" i="72"/>
  <c r="CM40" i="72"/>
  <c r="CL40" i="72"/>
  <c r="CK40" i="72"/>
  <c r="CO39" i="72"/>
  <c r="CN39" i="72"/>
  <c r="CM39" i="72"/>
  <c r="CL39" i="72"/>
  <c r="CK39" i="72"/>
  <c r="CO37" i="72"/>
  <c r="CN37" i="72"/>
  <c r="CM37" i="72"/>
  <c r="CL37" i="72"/>
  <c r="CK37" i="72"/>
  <c r="CO36" i="72"/>
  <c r="CN36" i="72"/>
  <c r="CM36" i="72"/>
  <c r="CL36" i="72"/>
  <c r="CK36" i="72"/>
  <c r="CO35" i="72"/>
  <c r="CN35" i="72"/>
  <c r="CM35" i="72"/>
  <c r="CL35" i="72"/>
  <c r="CK35" i="72"/>
  <c r="CO34" i="72"/>
  <c r="CN34" i="72"/>
  <c r="CM34" i="72"/>
  <c r="CL34" i="72"/>
  <c r="CK34" i="72"/>
  <c r="CO33" i="72"/>
  <c r="CN33" i="72"/>
  <c r="CM33" i="72"/>
  <c r="CL33" i="72"/>
  <c r="CK33" i="72"/>
  <c r="CO32" i="72"/>
  <c r="CN32" i="72"/>
  <c r="CM32" i="72"/>
  <c r="CL32" i="72"/>
  <c r="CK32" i="72"/>
  <c r="CO31" i="72"/>
  <c r="CN31" i="72"/>
  <c r="CM31" i="72"/>
  <c r="CL31" i="72"/>
  <c r="CK31" i="72"/>
  <c r="CO30" i="72"/>
  <c r="CN30" i="72"/>
  <c r="CM30" i="72"/>
  <c r="CL30" i="72"/>
  <c r="CK30" i="72"/>
  <c r="CO29" i="72"/>
  <c r="CN29" i="72"/>
  <c r="CM29" i="72"/>
  <c r="CL29" i="72"/>
  <c r="CK29" i="72"/>
  <c r="CO28" i="72"/>
  <c r="CN28" i="72"/>
  <c r="CM28" i="72"/>
  <c r="CL28" i="72"/>
  <c r="CK28" i="72"/>
  <c r="CO26" i="72"/>
  <c r="CN26" i="72"/>
  <c r="CM26" i="72"/>
  <c r="CL26" i="72"/>
  <c r="CK26" i="72"/>
  <c r="CO25" i="72"/>
  <c r="CN25" i="72"/>
  <c r="CM25" i="72"/>
  <c r="CL25" i="72"/>
  <c r="CK25" i="72"/>
  <c r="CO24" i="72"/>
  <c r="CN24" i="72"/>
  <c r="CM24" i="72"/>
  <c r="CL24" i="72"/>
  <c r="CK24" i="72"/>
  <c r="CO23" i="72"/>
  <c r="CN23" i="72"/>
  <c r="CM23" i="72"/>
  <c r="CL23" i="72"/>
  <c r="CK23" i="72"/>
  <c r="CO22" i="72"/>
  <c r="CN22" i="72"/>
  <c r="CM22" i="72"/>
  <c r="CL22" i="72"/>
  <c r="CK22" i="72"/>
  <c r="CO21" i="72"/>
  <c r="CN21" i="72"/>
  <c r="CM21" i="72"/>
  <c r="CL21" i="72"/>
  <c r="CK21" i="72"/>
  <c r="CO20" i="72"/>
  <c r="CN20" i="72"/>
  <c r="CM20" i="72"/>
  <c r="CL20" i="72"/>
  <c r="CK20" i="72"/>
  <c r="CO19" i="72"/>
  <c r="CN19" i="72"/>
  <c r="CM19" i="72"/>
  <c r="CL19" i="72"/>
  <c r="CK19" i="72"/>
  <c r="CO18" i="72"/>
  <c r="CN18" i="72"/>
  <c r="CM18" i="72"/>
  <c r="CL18" i="72"/>
  <c r="CK18" i="72"/>
  <c r="CO16" i="72"/>
  <c r="CN16" i="72"/>
  <c r="CM16" i="72"/>
  <c r="CL16" i="72"/>
  <c r="CK16" i="72"/>
  <c r="CO15" i="72"/>
  <c r="CN15" i="72"/>
  <c r="CM15" i="72"/>
  <c r="CL15" i="72"/>
  <c r="CK15" i="72"/>
  <c r="CO14" i="72"/>
  <c r="CN14" i="72"/>
  <c r="CM14" i="72"/>
  <c r="CL14" i="72"/>
  <c r="CK14" i="72"/>
  <c r="CO13" i="72"/>
  <c r="CN13" i="72"/>
  <c r="CM13" i="72"/>
  <c r="CL13" i="72"/>
  <c r="CK13" i="72"/>
  <c r="CO12" i="72"/>
  <c r="CN12" i="72"/>
  <c r="CM12" i="72"/>
  <c r="CL12" i="72"/>
  <c r="CK12" i="72"/>
  <c r="CO11" i="72"/>
  <c r="CN11" i="72"/>
  <c r="CM11" i="72"/>
  <c r="CL11" i="72"/>
  <c r="CK11" i="72"/>
  <c r="CO10" i="72"/>
  <c r="CN10" i="72"/>
  <c r="CM10" i="72"/>
  <c r="CL10" i="72"/>
  <c r="CK10" i="72"/>
  <c r="CO9" i="72"/>
  <c r="CN9" i="72"/>
  <c r="CM9" i="72"/>
  <c r="CL9" i="72"/>
  <c r="CK9" i="72"/>
  <c r="CO8" i="72"/>
  <c r="CN8" i="72"/>
  <c r="CM8" i="72"/>
  <c r="CL8" i="72"/>
  <c r="CK8" i="72"/>
  <c r="CO7" i="72"/>
  <c r="CN7" i="72"/>
  <c r="CM7" i="72"/>
  <c r="CL7" i="72"/>
  <c r="CK7" i="72"/>
  <c r="CO6" i="72"/>
  <c r="CN6" i="72"/>
  <c r="CM6" i="72"/>
  <c r="CL6" i="72"/>
  <c r="CK6" i="72"/>
  <c r="CO5" i="72"/>
  <c r="CN5" i="72"/>
  <c r="CM5" i="72"/>
  <c r="CL5" i="72"/>
  <c r="CK5" i="72"/>
  <c r="CO4" i="72"/>
  <c r="CN4" i="72"/>
  <c r="CM4" i="72"/>
  <c r="CL4" i="72"/>
  <c r="CK4" i="72"/>
  <c r="CI109" i="72"/>
  <c r="CI106" i="72"/>
  <c r="CI105" i="72"/>
  <c r="CI104" i="72"/>
  <c r="CI103" i="72"/>
  <c r="CI102" i="72"/>
  <c r="CH109" i="72"/>
  <c r="CH106" i="72"/>
  <c r="CH105" i="72"/>
  <c r="CH104" i="72"/>
  <c r="CH103" i="72"/>
  <c r="CH102" i="72"/>
  <c r="CG109" i="72"/>
  <c r="CG106" i="72"/>
  <c r="CG105" i="72"/>
  <c r="CG104" i="72"/>
  <c r="CG103" i="72"/>
  <c r="CG102" i="72"/>
  <c r="CF109" i="72"/>
  <c r="CF106" i="72"/>
  <c r="CF105" i="72"/>
  <c r="CF104" i="72"/>
  <c r="CF103" i="72"/>
  <c r="CF102" i="72"/>
  <c r="CE109" i="72"/>
  <c r="CE106" i="72"/>
  <c r="CE105" i="72"/>
  <c r="CE104" i="72"/>
  <c r="CE103" i="72"/>
  <c r="CE102" i="72"/>
  <c r="CD109" i="72"/>
  <c r="CD106" i="72"/>
  <c r="CD105" i="72"/>
  <c r="CD104" i="72"/>
  <c r="CD103" i="72"/>
  <c r="CD102" i="72"/>
  <c r="CC109" i="72"/>
  <c r="CC106" i="72"/>
  <c r="CC105" i="72"/>
  <c r="CC104" i="72"/>
  <c r="CC103" i="72"/>
  <c r="CC102" i="72"/>
  <c r="CB109" i="72"/>
  <c r="CB106" i="72"/>
  <c r="CB105" i="72"/>
  <c r="CB104" i="72"/>
  <c r="CB103" i="72"/>
  <c r="CB102" i="72"/>
  <c r="CA109" i="72"/>
  <c r="CA106" i="72"/>
  <c r="CA105" i="72"/>
  <c r="CA104" i="72"/>
  <c r="CA103" i="72"/>
  <c r="CA102" i="72"/>
  <c r="BZ109" i="72"/>
  <c r="BZ106" i="72"/>
  <c r="BZ105" i="72"/>
  <c r="BZ104" i="72"/>
  <c r="BZ103" i="72"/>
  <c r="BZ102" i="72"/>
  <c r="BY109" i="72"/>
  <c r="BY106" i="72"/>
  <c r="BY105" i="72"/>
  <c r="BY104" i="72"/>
  <c r="BY103" i="72"/>
  <c r="BY102" i="72"/>
  <c r="BX109" i="72"/>
  <c r="BX106" i="72"/>
  <c r="BX105" i="72"/>
  <c r="BX104" i="72"/>
  <c r="BX103" i="72"/>
  <c r="BX102" i="72"/>
  <c r="BW109" i="72"/>
  <c r="BW106" i="72"/>
  <c r="BW105" i="72"/>
  <c r="BW104" i="72"/>
  <c r="BW103" i="72"/>
  <c r="BW102" i="72"/>
  <c r="BV109" i="72"/>
  <c r="BV106" i="72"/>
  <c r="BV105" i="72"/>
  <c r="BV104" i="72"/>
  <c r="BV103" i="72"/>
  <c r="BV102" i="72"/>
  <c r="BU109" i="72"/>
  <c r="BU106" i="72"/>
  <c r="BU105" i="72"/>
  <c r="BU104" i="72"/>
  <c r="BU103" i="72"/>
  <c r="BU102" i="72"/>
  <c r="BT109" i="72"/>
  <c r="BT106" i="72"/>
  <c r="BT105" i="72"/>
  <c r="BT104" i="72"/>
  <c r="BT103" i="72"/>
  <c r="BT102" i="72"/>
  <c r="BS109" i="72"/>
  <c r="BS106" i="72"/>
  <c r="BS105" i="72"/>
  <c r="BS104" i="72"/>
  <c r="BS103" i="72"/>
  <c r="BS102" i="72"/>
  <c r="BR109" i="72"/>
  <c r="BR106" i="72"/>
  <c r="BR105" i="72"/>
  <c r="BR104" i="72"/>
  <c r="BR103" i="72"/>
  <c r="BR102" i="72"/>
  <c r="BQ109" i="72"/>
  <c r="BQ106" i="72"/>
  <c r="BQ105" i="72"/>
  <c r="BQ104" i="72"/>
  <c r="BQ103" i="72"/>
  <c r="BQ102" i="72"/>
  <c r="BP109" i="72"/>
  <c r="BP106" i="72"/>
  <c r="BP105" i="72"/>
  <c r="BP104" i="72"/>
  <c r="BP103" i="72"/>
  <c r="BP102" i="72"/>
  <c r="BO109" i="72"/>
  <c r="BO106" i="72"/>
  <c r="BO105" i="72"/>
  <c r="BO104" i="72"/>
  <c r="BO103" i="72"/>
  <c r="BO102" i="72"/>
  <c r="BN109" i="72"/>
  <c r="BN106" i="72"/>
  <c r="BN105" i="72"/>
  <c r="BN104" i="72"/>
  <c r="BN103" i="72"/>
  <c r="BN102" i="72"/>
  <c r="BM109" i="72"/>
  <c r="BM106" i="72"/>
  <c r="BM105" i="72"/>
  <c r="BM104" i="72"/>
  <c r="BM103" i="72"/>
  <c r="BM102" i="72"/>
  <c r="BL109" i="72"/>
  <c r="BL106" i="72"/>
  <c r="BL105" i="72"/>
  <c r="BL104" i="72"/>
  <c r="BL103" i="72"/>
  <c r="BL102" i="72"/>
  <c r="BK109" i="72"/>
  <c r="BK106" i="72"/>
  <c r="BK105" i="72"/>
  <c r="BK104" i="72"/>
  <c r="BK103" i="72"/>
  <c r="BK102" i="72"/>
  <c r="BJ109" i="72"/>
  <c r="BJ106" i="72"/>
  <c r="BJ105" i="72"/>
  <c r="BJ104" i="72"/>
  <c r="BJ103" i="72"/>
  <c r="BJ102" i="72"/>
  <c r="BI109" i="72"/>
  <c r="BI106" i="72"/>
  <c r="BI105" i="72"/>
  <c r="BI104" i="72"/>
  <c r="BI103" i="72"/>
  <c r="BI102" i="72"/>
  <c r="BH109" i="72"/>
  <c r="BH106" i="72"/>
  <c r="BH105" i="72"/>
  <c r="BH104" i="72"/>
  <c r="BH103" i="72"/>
  <c r="BH102" i="72"/>
  <c r="BG109" i="72"/>
  <c r="BG106" i="72"/>
  <c r="BG105" i="72"/>
  <c r="BG104" i="72"/>
  <c r="BG103" i="72"/>
  <c r="BG102" i="72"/>
  <c r="BF109" i="72"/>
  <c r="BF106" i="72"/>
  <c r="BF105" i="72"/>
  <c r="BF104" i="72"/>
  <c r="BF103" i="72"/>
  <c r="BF102" i="72"/>
  <c r="BE109" i="72"/>
  <c r="BE106" i="72"/>
  <c r="BE105" i="72"/>
  <c r="BE104" i="72"/>
  <c r="BE103" i="72"/>
  <c r="BE102" i="72"/>
  <c r="BD109" i="72"/>
  <c r="BD106" i="72"/>
  <c r="BD105" i="72"/>
  <c r="BD104" i="72"/>
  <c r="BD103" i="72"/>
  <c r="BD102" i="72"/>
  <c r="BC109" i="72"/>
  <c r="BC106" i="72"/>
  <c r="BC105" i="72"/>
  <c r="BC104" i="72"/>
  <c r="BC103" i="72"/>
  <c r="BC102" i="72"/>
  <c r="BB109" i="72"/>
  <c r="BB106" i="72"/>
  <c r="BB105" i="72"/>
  <c r="BB104" i="72"/>
  <c r="BB103" i="72"/>
  <c r="BB102" i="72"/>
  <c r="BA109" i="72"/>
  <c r="BA106" i="72"/>
  <c r="BA105" i="72"/>
  <c r="BA104" i="72"/>
  <c r="BA103" i="72"/>
  <c r="BA102" i="72"/>
  <c r="AZ109" i="72"/>
  <c r="AZ106" i="72"/>
  <c r="AZ105" i="72"/>
  <c r="AZ104" i="72"/>
  <c r="AZ103" i="72"/>
  <c r="AZ102" i="72"/>
  <c r="AY109" i="72"/>
  <c r="AY106" i="72"/>
  <c r="AY105" i="72"/>
  <c r="AY104" i="72"/>
  <c r="AY103" i="72"/>
  <c r="AY102" i="72"/>
  <c r="AX109" i="72"/>
  <c r="AX106" i="72"/>
  <c r="AX105" i="72"/>
  <c r="AX104" i="72"/>
  <c r="AX103" i="72"/>
  <c r="AX102" i="72"/>
  <c r="AW109" i="72"/>
  <c r="AW106" i="72"/>
  <c r="AW105" i="72"/>
  <c r="AW104" i="72"/>
  <c r="AW103" i="72"/>
  <c r="AW102" i="72"/>
  <c r="AV109" i="72"/>
  <c r="AV106" i="72"/>
  <c r="AV105" i="72"/>
  <c r="AV104" i="72"/>
  <c r="AV103" i="72"/>
  <c r="AV102" i="72"/>
  <c r="AU109" i="72"/>
  <c r="AU106" i="72"/>
  <c r="AU105" i="72"/>
  <c r="AU104" i="72"/>
  <c r="AU103" i="72"/>
  <c r="AU102" i="72"/>
  <c r="AT109" i="72"/>
  <c r="AT106" i="72"/>
  <c r="AT105" i="72"/>
  <c r="AT104" i="72"/>
  <c r="AT103" i="72"/>
  <c r="AT102" i="72"/>
  <c r="AS109" i="72"/>
  <c r="AS106" i="72"/>
  <c r="AS105" i="72"/>
  <c r="AS104" i="72"/>
  <c r="AS103" i="72"/>
  <c r="AS102" i="72"/>
  <c r="AR109" i="72"/>
  <c r="AR106" i="72"/>
  <c r="AR105" i="72"/>
  <c r="AR104" i="72"/>
  <c r="AR103" i="72"/>
  <c r="AR102" i="72"/>
  <c r="AQ109" i="72"/>
  <c r="AQ106" i="72"/>
  <c r="AQ105" i="72"/>
  <c r="AQ104" i="72"/>
  <c r="AQ103" i="72"/>
  <c r="AQ102" i="72"/>
  <c r="AP109" i="72"/>
  <c r="AP106" i="72"/>
  <c r="AP105" i="72"/>
  <c r="AP104" i="72"/>
  <c r="AP103" i="72"/>
  <c r="AP102" i="72"/>
  <c r="AO109" i="72"/>
  <c r="AO106" i="72"/>
  <c r="AO105" i="72"/>
  <c r="AO104" i="72"/>
  <c r="AO103" i="72"/>
  <c r="AO102" i="72"/>
  <c r="AN109" i="72"/>
  <c r="AN106" i="72"/>
  <c r="AN105" i="72"/>
  <c r="AN104" i="72"/>
  <c r="AN103" i="72"/>
  <c r="AN102" i="72"/>
  <c r="AM109" i="72"/>
  <c r="AM106" i="72"/>
  <c r="AM105" i="72"/>
  <c r="AM104" i="72"/>
  <c r="AM103" i="72"/>
  <c r="AM102" i="72"/>
  <c r="AL109" i="72"/>
  <c r="AL106" i="72"/>
  <c r="AL105" i="72"/>
  <c r="AL104" i="72"/>
  <c r="AL103" i="72"/>
  <c r="AL102" i="72"/>
  <c r="AK109" i="72"/>
  <c r="AK106" i="72"/>
  <c r="AK105" i="72"/>
  <c r="AK104" i="72"/>
  <c r="AK103" i="72"/>
  <c r="AK102" i="72"/>
  <c r="AJ109" i="72"/>
  <c r="AJ106" i="72"/>
  <c r="AJ105" i="72"/>
  <c r="AJ104" i="72"/>
  <c r="AJ103" i="72"/>
  <c r="AJ102" i="72"/>
  <c r="AI109" i="72"/>
  <c r="AI106" i="72"/>
  <c r="AI105" i="72"/>
  <c r="AI104" i="72"/>
  <c r="AI103" i="72"/>
  <c r="AI102" i="72"/>
  <c r="AH109" i="72"/>
  <c r="AH106" i="72"/>
  <c r="AH105" i="72"/>
  <c r="AH104" i="72"/>
  <c r="AH103" i="72"/>
  <c r="AH102" i="72"/>
  <c r="AG109" i="72"/>
  <c r="AG106" i="72"/>
  <c r="AG105" i="72"/>
  <c r="AG104" i="72"/>
  <c r="AG103" i="72"/>
  <c r="AG102" i="72"/>
  <c r="AF109" i="72"/>
  <c r="AF106" i="72"/>
  <c r="AF105" i="72"/>
  <c r="AF104" i="72"/>
  <c r="AF103" i="72"/>
  <c r="AF102" i="72"/>
  <c r="AE109" i="72"/>
  <c r="AE106" i="72"/>
  <c r="AE105" i="72"/>
  <c r="AE104" i="72"/>
  <c r="AE103" i="72"/>
  <c r="AE102" i="72"/>
  <c r="AD109" i="72"/>
  <c r="AD106" i="72"/>
  <c r="AD105" i="72"/>
  <c r="AD104" i="72"/>
  <c r="AD103" i="72"/>
  <c r="AD102" i="72"/>
  <c r="AC109" i="72"/>
  <c r="AC106" i="72"/>
  <c r="AC105" i="72"/>
  <c r="AC104" i="72"/>
  <c r="AC103" i="72"/>
  <c r="AC102" i="72"/>
  <c r="AB109" i="72"/>
  <c r="AB106" i="72"/>
  <c r="AB105" i="72"/>
  <c r="AB104" i="72"/>
  <c r="AB103" i="72"/>
  <c r="AB102" i="72"/>
  <c r="AA109" i="72"/>
  <c r="AA106" i="72"/>
  <c r="AA105" i="72"/>
  <c r="AA104" i="72"/>
  <c r="AA103" i="72"/>
  <c r="AA102" i="72"/>
  <c r="Z109" i="72"/>
  <c r="Z106" i="72"/>
  <c r="Z105" i="72"/>
  <c r="Z104" i="72"/>
  <c r="Z103" i="72"/>
  <c r="Z102" i="72"/>
  <c r="Y109" i="72"/>
  <c r="Y106" i="72"/>
  <c r="Y105" i="72"/>
  <c r="Y104" i="72"/>
  <c r="Y103" i="72"/>
  <c r="Y102" i="72"/>
  <c r="X109" i="72"/>
  <c r="X106" i="72"/>
  <c r="X105" i="72"/>
  <c r="X104" i="72"/>
  <c r="X103" i="72"/>
  <c r="X102" i="72"/>
  <c r="W109" i="72"/>
  <c r="W106" i="72"/>
  <c r="W105" i="72"/>
  <c r="W104" i="72"/>
  <c r="W103" i="72"/>
  <c r="W102" i="72"/>
  <c r="V109" i="72"/>
  <c r="V106" i="72"/>
  <c r="V105" i="72"/>
  <c r="V104" i="72"/>
  <c r="V103" i="72"/>
  <c r="V102" i="72"/>
  <c r="U109" i="72"/>
  <c r="U106" i="72"/>
  <c r="U105" i="72"/>
  <c r="U104" i="72"/>
  <c r="U103" i="72"/>
  <c r="U102" i="72"/>
  <c r="T109" i="72"/>
  <c r="T106" i="72"/>
  <c r="T105" i="72"/>
  <c r="T104" i="72"/>
  <c r="T103" i="72"/>
  <c r="T102" i="72"/>
  <c r="S109" i="72"/>
  <c r="S106" i="72"/>
  <c r="S105" i="72"/>
  <c r="S104" i="72"/>
  <c r="S103" i="72"/>
  <c r="S102" i="72"/>
  <c r="R109" i="72"/>
  <c r="R106" i="72"/>
  <c r="R105" i="72"/>
  <c r="R104" i="72"/>
  <c r="R103" i="72"/>
  <c r="R102" i="72"/>
  <c r="Q109" i="72"/>
  <c r="Q106" i="72"/>
  <c r="Q105" i="72"/>
  <c r="Q104" i="72"/>
  <c r="Q103" i="72"/>
  <c r="Q102" i="72"/>
  <c r="P109" i="72"/>
  <c r="P106" i="72"/>
  <c r="P105" i="72"/>
  <c r="P104" i="72"/>
  <c r="P103" i="72"/>
  <c r="P102" i="72"/>
  <c r="O109" i="72"/>
  <c r="O106" i="72"/>
  <c r="O105" i="72"/>
  <c r="O104" i="72"/>
  <c r="O103" i="72"/>
  <c r="O102" i="72"/>
  <c r="N109" i="72"/>
  <c r="N106" i="72"/>
  <c r="N105" i="72"/>
  <c r="N104" i="72"/>
  <c r="N103" i="72"/>
  <c r="N102" i="72"/>
  <c r="M109" i="72"/>
  <c r="M106" i="72"/>
  <c r="M105" i="72"/>
  <c r="M104" i="72"/>
  <c r="M103" i="72"/>
  <c r="M102" i="72"/>
  <c r="L109" i="72"/>
  <c r="L106" i="72"/>
  <c r="L105" i="72"/>
  <c r="L104" i="72"/>
  <c r="L103" i="72"/>
  <c r="L102" i="72"/>
  <c r="K109" i="72"/>
  <c r="K106" i="72"/>
  <c r="K105" i="72"/>
  <c r="K104" i="72"/>
  <c r="K103" i="72"/>
  <c r="K102" i="72"/>
  <c r="J109" i="72"/>
  <c r="J106" i="72"/>
  <c r="J105" i="72"/>
  <c r="J104" i="72"/>
  <c r="J103" i="72"/>
  <c r="J102" i="72"/>
  <c r="I109" i="72"/>
  <c r="I106" i="72"/>
  <c r="I105" i="72"/>
  <c r="I104" i="72"/>
  <c r="I103" i="72"/>
  <c r="I102" i="72"/>
  <c r="H109" i="72"/>
  <c r="H106" i="72"/>
  <c r="H105" i="72"/>
  <c r="H104" i="72"/>
  <c r="H103" i="72"/>
  <c r="H102" i="72"/>
  <c r="G109" i="72"/>
  <c r="G106" i="72"/>
  <c r="G105" i="72"/>
  <c r="G104" i="72"/>
  <c r="G103" i="72"/>
  <c r="G102" i="72"/>
  <c r="F109" i="72"/>
  <c r="F106" i="72"/>
  <c r="F105" i="72"/>
  <c r="F104" i="72"/>
  <c r="F103" i="72"/>
  <c r="F102" i="72"/>
  <c r="E109" i="72"/>
  <c r="E106" i="72"/>
  <c r="E105" i="72"/>
  <c r="E104" i="72"/>
  <c r="E103" i="72"/>
  <c r="E102" i="72"/>
  <c r="D109" i="72"/>
  <c r="D106" i="72"/>
  <c r="D105" i="72"/>
  <c r="D104" i="72"/>
  <c r="D103" i="72"/>
  <c r="D102" i="72"/>
  <c r="BU101" i="73"/>
  <c r="BT101" i="73"/>
  <c r="BS101" i="73"/>
  <c r="BR101" i="73"/>
  <c r="BQ101" i="73"/>
  <c r="BP101" i="73"/>
  <c r="BO101" i="73"/>
  <c r="BN101" i="73"/>
  <c r="BM101" i="73"/>
  <c r="BL101" i="73"/>
  <c r="BK101" i="73"/>
  <c r="BJ101" i="73"/>
  <c r="BI101" i="73"/>
  <c r="BH101" i="73"/>
  <c r="BG101" i="73"/>
  <c r="BF101" i="73"/>
  <c r="BE101" i="73"/>
  <c r="BD101" i="73"/>
  <c r="BC101" i="73"/>
  <c r="BB101" i="73"/>
  <c r="BA101" i="73"/>
  <c r="AZ101" i="73"/>
  <c r="AY101" i="73"/>
  <c r="AX101" i="73"/>
  <c r="AW101" i="73"/>
  <c r="AV101" i="73"/>
  <c r="AU101" i="73"/>
  <c r="AT101" i="73"/>
  <c r="AS101" i="73"/>
  <c r="AR101" i="73"/>
  <c r="AQ101" i="73"/>
  <c r="AP101" i="73"/>
  <c r="AO101" i="73"/>
  <c r="AN101" i="73"/>
  <c r="AM101" i="73"/>
  <c r="AL101" i="73"/>
  <c r="AK101" i="73"/>
  <c r="AJ101" i="73"/>
  <c r="AI101" i="73"/>
  <c r="AH101" i="73"/>
  <c r="AG101" i="73"/>
  <c r="AF101" i="73"/>
  <c r="AE101" i="73"/>
  <c r="AD101" i="73"/>
  <c r="AC101" i="73"/>
  <c r="AB101" i="73"/>
  <c r="AA101" i="73"/>
  <c r="Z101" i="73"/>
  <c r="Y101" i="73"/>
  <c r="X101" i="73"/>
  <c r="W101" i="73"/>
  <c r="V101" i="73"/>
  <c r="U101" i="73"/>
  <c r="T101" i="73"/>
  <c r="S101" i="73"/>
  <c r="R101" i="73"/>
  <c r="Q101" i="73"/>
  <c r="P101" i="73"/>
  <c r="O101" i="73"/>
  <c r="N101" i="73"/>
  <c r="M101" i="73"/>
  <c r="L101" i="73"/>
  <c r="K101" i="73"/>
  <c r="J101" i="73"/>
  <c r="I101" i="73"/>
  <c r="H101" i="73"/>
  <c r="G101" i="73"/>
  <c r="F101" i="73"/>
  <c r="E101" i="73"/>
  <c r="D101" i="73"/>
  <c r="CO99" i="70"/>
  <c r="CN99" i="70"/>
  <c r="CM99" i="70"/>
  <c r="CL99" i="70"/>
  <c r="CK99" i="70"/>
  <c r="CO98" i="70"/>
  <c r="CN98" i="70"/>
  <c r="CM98" i="70"/>
  <c r="CL98" i="70"/>
  <c r="CK98" i="70"/>
  <c r="CO97" i="70"/>
  <c r="CN97" i="70"/>
  <c r="CM97" i="70"/>
  <c r="CL97" i="70"/>
  <c r="CK97" i="70"/>
  <c r="CO96" i="70"/>
  <c r="CN96" i="70"/>
  <c r="CM96" i="70"/>
  <c r="CL96" i="70"/>
  <c r="CK96" i="70"/>
  <c r="CO94" i="70"/>
  <c r="CN94" i="70"/>
  <c r="CM94" i="70"/>
  <c r="CL94" i="70"/>
  <c r="CK94" i="70"/>
  <c r="CO93" i="70"/>
  <c r="CN93" i="70"/>
  <c r="CM93" i="70"/>
  <c r="CL93" i="70"/>
  <c r="CK93" i="70"/>
  <c r="CO92" i="70"/>
  <c r="CN92" i="70"/>
  <c r="CM92" i="70"/>
  <c r="CL92" i="70"/>
  <c r="CK92" i="70"/>
  <c r="CO91" i="70"/>
  <c r="CN91" i="70"/>
  <c r="CM91" i="70"/>
  <c r="CL91" i="70"/>
  <c r="CK91" i="70"/>
  <c r="CO90" i="70"/>
  <c r="CN90" i="70"/>
  <c r="CM90" i="70"/>
  <c r="CL90" i="70"/>
  <c r="CK90" i="70"/>
  <c r="CO89" i="70"/>
  <c r="CN89" i="70"/>
  <c r="CM89" i="70"/>
  <c r="CL89" i="70"/>
  <c r="CK89" i="70"/>
  <c r="CO88" i="70"/>
  <c r="CN88" i="70"/>
  <c r="CM88" i="70"/>
  <c r="CL88" i="70"/>
  <c r="CK88" i="70"/>
  <c r="CO87" i="70"/>
  <c r="CN87" i="70"/>
  <c r="CM87" i="70"/>
  <c r="CL87" i="70"/>
  <c r="CK87" i="70"/>
  <c r="CO86" i="70"/>
  <c r="CN86" i="70"/>
  <c r="CM86" i="70"/>
  <c r="CL86" i="70"/>
  <c r="CK86" i="70"/>
  <c r="CO85" i="70"/>
  <c r="CN85" i="70"/>
  <c r="CM85" i="70"/>
  <c r="CL85" i="70"/>
  <c r="CK85" i="70"/>
  <c r="CO84" i="70"/>
  <c r="CN84" i="70"/>
  <c r="CM84" i="70"/>
  <c r="CL84" i="70"/>
  <c r="CK84" i="70"/>
  <c r="CO83" i="70"/>
  <c r="CN83" i="70"/>
  <c r="CM83" i="70"/>
  <c r="CL83" i="70"/>
  <c r="CK83" i="70"/>
  <c r="CO82" i="70"/>
  <c r="CN82" i="70"/>
  <c r="CM82" i="70"/>
  <c r="CL82" i="70"/>
  <c r="CK82" i="70"/>
  <c r="CO81" i="70"/>
  <c r="CN81" i="70"/>
  <c r="CM81" i="70"/>
  <c r="CL81" i="70"/>
  <c r="CK81" i="70"/>
  <c r="CO80" i="70"/>
  <c r="CN80" i="70"/>
  <c r="CM80" i="70"/>
  <c r="CL80" i="70"/>
  <c r="CK80" i="70"/>
  <c r="CO78" i="70"/>
  <c r="CN78" i="70"/>
  <c r="CM78" i="70"/>
  <c r="CL78" i="70"/>
  <c r="CK78" i="70"/>
  <c r="CO77" i="70"/>
  <c r="CN77" i="70"/>
  <c r="CM77" i="70"/>
  <c r="CL77" i="70"/>
  <c r="CK77" i="70"/>
  <c r="CO76" i="70"/>
  <c r="CN76" i="70"/>
  <c r="CM76" i="70"/>
  <c r="CL76" i="70"/>
  <c r="CK76" i="70"/>
  <c r="CO75" i="70"/>
  <c r="CN75" i="70"/>
  <c r="CM75" i="70"/>
  <c r="CL75" i="70"/>
  <c r="CK75" i="70"/>
  <c r="CO74" i="70"/>
  <c r="CN74" i="70"/>
  <c r="CM74" i="70"/>
  <c r="CL74" i="70"/>
  <c r="CK74" i="70"/>
  <c r="CO73" i="70"/>
  <c r="CN73" i="70"/>
  <c r="CM73" i="70"/>
  <c r="CL73" i="70"/>
  <c r="CK73" i="70"/>
  <c r="CO72" i="70"/>
  <c r="CN72" i="70"/>
  <c r="CM72" i="70"/>
  <c r="CL72" i="70"/>
  <c r="CK72" i="70"/>
  <c r="CO71" i="70"/>
  <c r="CN71" i="70"/>
  <c r="CM71" i="70"/>
  <c r="CL71" i="70"/>
  <c r="CK71" i="70"/>
  <c r="CO70" i="70"/>
  <c r="CN70" i="70"/>
  <c r="CM70" i="70"/>
  <c r="CL70" i="70"/>
  <c r="CK70" i="70"/>
  <c r="CO69" i="70"/>
  <c r="CN69" i="70"/>
  <c r="CM69" i="70"/>
  <c r="CL69" i="70"/>
  <c r="CK69" i="70"/>
  <c r="CO68" i="70"/>
  <c r="CN68" i="70"/>
  <c r="CM68" i="70"/>
  <c r="CL68" i="70"/>
  <c r="CK68" i="70"/>
  <c r="CO67" i="70"/>
  <c r="CN67" i="70"/>
  <c r="CM67" i="70"/>
  <c r="CL67" i="70"/>
  <c r="CK67" i="70"/>
  <c r="CO66" i="70"/>
  <c r="CN66" i="70"/>
  <c r="CM66" i="70"/>
  <c r="CL66" i="70"/>
  <c r="CK66" i="70"/>
  <c r="CO65" i="70"/>
  <c r="CN65" i="70"/>
  <c r="CM65" i="70"/>
  <c r="CL65" i="70"/>
  <c r="CK65" i="70"/>
  <c r="CO64" i="70"/>
  <c r="CN64" i="70"/>
  <c r="CM64" i="70"/>
  <c r="CL64" i="70"/>
  <c r="CK64" i="70"/>
  <c r="CO63" i="70"/>
  <c r="CN63" i="70"/>
  <c r="CM63" i="70"/>
  <c r="CL63" i="70"/>
  <c r="CK63" i="70"/>
  <c r="CO62" i="70"/>
  <c r="CN62" i="70"/>
  <c r="CM62" i="70"/>
  <c r="CL62" i="70"/>
  <c r="CK62" i="70"/>
  <c r="CO61" i="70"/>
  <c r="CN61" i="70"/>
  <c r="CM61" i="70"/>
  <c r="CL61" i="70"/>
  <c r="CK61" i="70"/>
  <c r="CO59" i="70"/>
  <c r="CN59" i="70"/>
  <c r="CM59" i="70"/>
  <c r="CL59" i="70"/>
  <c r="CK59" i="70"/>
  <c r="CO58" i="70"/>
  <c r="CN58" i="70"/>
  <c r="CM58" i="70"/>
  <c r="CL58" i="70"/>
  <c r="CK58" i="70"/>
  <c r="CO57" i="70"/>
  <c r="CN57" i="70"/>
  <c r="CM57" i="70"/>
  <c r="CL57" i="70"/>
  <c r="CK57" i="70"/>
  <c r="CO56" i="70"/>
  <c r="CN56" i="70"/>
  <c r="CM56" i="70"/>
  <c r="CL56" i="70"/>
  <c r="CK56" i="70"/>
  <c r="CO55" i="70"/>
  <c r="CN55" i="70"/>
  <c r="CM55" i="70"/>
  <c r="CL55" i="70"/>
  <c r="CK55" i="70"/>
  <c r="CO54" i="70"/>
  <c r="CN54" i="70"/>
  <c r="CM54" i="70"/>
  <c r="CL54" i="70"/>
  <c r="CK54" i="70"/>
  <c r="CO53" i="70"/>
  <c r="CN53" i="70"/>
  <c r="CM53" i="70"/>
  <c r="CL53" i="70"/>
  <c r="CK53" i="70"/>
  <c r="CO52" i="70"/>
  <c r="CN52" i="70"/>
  <c r="CM52" i="70"/>
  <c r="CL52" i="70"/>
  <c r="CK52" i="70"/>
  <c r="CO50" i="70"/>
  <c r="CN50" i="70"/>
  <c r="CM50" i="70"/>
  <c r="CL50" i="70"/>
  <c r="CK50" i="70"/>
  <c r="CO49" i="70"/>
  <c r="CN49" i="70"/>
  <c r="CM49" i="70"/>
  <c r="CL49" i="70"/>
  <c r="CK49" i="70"/>
  <c r="CO48" i="70"/>
  <c r="CN48" i="70"/>
  <c r="CM48" i="70"/>
  <c r="CL48" i="70"/>
  <c r="CK48" i="70"/>
  <c r="CO47" i="70"/>
  <c r="CN47" i="70"/>
  <c r="CM47" i="70"/>
  <c r="CL47" i="70"/>
  <c r="CK47" i="70"/>
  <c r="CO46" i="70"/>
  <c r="CN46" i="70"/>
  <c r="CM46" i="70"/>
  <c r="CL46" i="70"/>
  <c r="CK46" i="70"/>
  <c r="CO45" i="70"/>
  <c r="CN45" i="70"/>
  <c r="CM45" i="70"/>
  <c r="CL45" i="70"/>
  <c r="CK45" i="70"/>
  <c r="CO44" i="70"/>
  <c r="CN44" i="70"/>
  <c r="CM44" i="70"/>
  <c r="CL44" i="70"/>
  <c r="CK44" i="70"/>
  <c r="CO43" i="70"/>
  <c r="CN43" i="70"/>
  <c r="CM43" i="70"/>
  <c r="CL43" i="70"/>
  <c r="CK43" i="70"/>
  <c r="CO42" i="70"/>
  <c r="CN42" i="70"/>
  <c r="CM42" i="70"/>
  <c r="CL42" i="70"/>
  <c r="CK42" i="70"/>
  <c r="CO41" i="70"/>
  <c r="CN41" i="70"/>
  <c r="CM41" i="70"/>
  <c r="CL41" i="70"/>
  <c r="CK41" i="70"/>
  <c r="CO40" i="70"/>
  <c r="CN40" i="70"/>
  <c r="CM40" i="70"/>
  <c r="CL40" i="70"/>
  <c r="CK40" i="70"/>
  <c r="CO39" i="70"/>
  <c r="CN39" i="70"/>
  <c r="CM39" i="70"/>
  <c r="CL39" i="70"/>
  <c r="CK39" i="70"/>
  <c r="CO37" i="70"/>
  <c r="CN37" i="70"/>
  <c r="CM37" i="70"/>
  <c r="CL37" i="70"/>
  <c r="CK37" i="70"/>
  <c r="CO36" i="70"/>
  <c r="CN36" i="70"/>
  <c r="CM36" i="70"/>
  <c r="CL36" i="70"/>
  <c r="CK36" i="70"/>
  <c r="CO35" i="70"/>
  <c r="CN35" i="70"/>
  <c r="CM35" i="70"/>
  <c r="CL35" i="70"/>
  <c r="CK35" i="70"/>
  <c r="CO34" i="70"/>
  <c r="CN34" i="70"/>
  <c r="CM34" i="70"/>
  <c r="CL34" i="70"/>
  <c r="CK34" i="70"/>
  <c r="CO33" i="70"/>
  <c r="CN33" i="70"/>
  <c r="CM33" i="70"/>
  <c r="CL33" i="70"/>
  <c r="CK33" i="70"/>
  <c r="CO32" i="70"/>
  <c r="CN32" i="70"/>
  <c r="CM32" i="70"/>
  <c r="CL32" i="70"/>
  <c r="CK32" i="70"/>
  <c r="CO31" i="70"/>
  <c r="CN31" i="70"/>
  <c r="CM31" i="70"/>
  <c r="CL31" i="70"/>
  <c r="CK31" i="70"/>
  <c r="CO30" i="70"/>
  <c r="CN30" i="70"/>
  <c r="CM30" i="70"/>
  <c r="CL30" i="70"/>
  <c r="CK30" i="70"/>
  <c r="CO29" i="70"/>
  <c r="CN29" i="70"/>
  <c r="CM29" i="70"/>
  <c r="CL29" i="70"/>
  <c r="CK29" i="70"/>
  <c r="CO28" i="70"/>
  <c r="CN28" i="70"/>
  <c r="CM28" i="70"/>
  <c r="CL28" i="70"/>
  <c r="CK28" i="70"/>
  <c r="CO26" i="70"/>
  <c r="CN26" i="70"/>
  <c r="CM26" i="70"/>
  <c r="CL26" i="70"/>
  <c r="CK26" i="70"/>
  <c r="CO25" i="70"/>
  <c r="CN25" i="70"/>
  <c r="CM25" i="70"/>
  <c r="CL25" i="70"/>
  <c r="CK25" i="70"/>
  <c r="CO24" i="70"/>
  <c r="CN24" i="70"/>
  <c r="CM24" i="70"/>
  <c r="CL24" i="70"/>
  <c r="CK24" i="70"/>
  <c r="CO23" i="70"/>
  <c r="CN23" i="70"/>
  <c r="CM23" i="70"/>
  <c r="CL23" i="70"/>
  <c r="CK23" i="70"/>
  <c r="CO22" i="70"/>
  <c r="CN22" i="70"/>
  <c r="CM22" i="70"/>
  <c r="CL22" i="70"/>
  <c r="CK22" i="70"/>
  <c r="CO21" i="70"/>
  <c r="CN21" i="70"/>
  <c r="CM21" i="70"/>
  <c r="CL21" i="70"/>
  <c r="CK21" i="70"/>
  <c r="CO20" i="70"/>
  <c r="CN20" i="70"/>
  <c r="CM20" i="70"/>
  <c r="CL20" i="70"/>
  <c r="CK20" i="70"/>
  <c r="CO19" i="70"/>
  <c r="CN19" i="70"/>
  <c r="CM19" i="70"/>
  <c r="CL19" i="70"/>
  <c r="CK19" i="70"/>
  <c r="CO18" i="70"/>
  <c r="CN18" i="70"/>
  <c r="CM18" i="70"/>
  <c r="CL18" i="70"/>
  <c r="CK18" i="70"/>
  <c r="CO16" i="70"/>
  <c r="CN16" i="70"/>
  <c r="CM16" i="70"/>
  <c r="CL16" i="70"/>
  <c r="CK16" i="70"/>
  <c r="CO15" i="70"/>
  <c r="CN15" i="70"/>
  <c r="CM15" i="70"/>
  <c r="CL15" i="70"/>
  <c r="CK15" i="70"/>
  <c r="CO14" i="70"/>
  <c r="CN14" i="70"/>
  <c r="CM14" i="70"/>
  <c r="CL14" i="70"/>
  <c r="CK14" i="70"/>
  <c r="CO13" i="70"/>
  <c r="CN13" i="70"/>
  <c r="CM13" i="70"/>
  <c r="CL13" i="70"/>
  <c r="CK13" i="70"/>
  <c r="CO12" i="70"/>
  <c r="CN12" i="70"/>
  <c r="CM12" i="70"/>
  <c r="CL12" i="70"/>
  <c r="CK12" i="70"/>
  <c r="CO11" i="70"/>
  <c r="CN11" i="70"/>
  <c r="CM11" i="70"/>
  <c r="CL11" i="70"/>
  <c r="CK11" i="70"/>
  <c r="CO10" i="70"/>
  <c r="CN10" i="70"/>
  <c r="CM10" i="70"/>
  <c r="CL10" i="70"/>
  <c r="CK10" i="70"/>
  <c r="CO9" i="70"/>
  <c r="CN9" i="70"/>
  <c r="CM9" i="70"/>
  <c r="CL9" i="70"/>
  <c r="CK9" i="70"/>
  <c r="CO8" i="70"/>
  <c r="CN8" i="70"/>
  <c r="CM8" i="70"/>
  <c r="CL8" i="70"/>
  <c r="CK8" i="70"/>
  <c r="CO7" i="70"/>
  <c r="CN7" i="70"/>
  <c r="CM7" i="70"/>
  <c r="CL7" i="70"/>
  <c r="CK7" i="70"/>
  <c r="CO6" i="70"/>
  <c r="CN6" i="70"/>
  <c r="CM6" i="70"/>
  <c r="CL6" i="70"/>
  <c r="CK6" i="70"/>
  <c r="CO5" i="70"/>
  <c r="CN5" i="70"/>
  <c r="CM5" i="70"/>
  <c r="CL5" i="70"/>
  <c r="CK5" i="70"/>
  <c r="CO4" i="70"/>
  <c r="CN4" i="70"/>
  <c r="CM4" i="70"/>
  <c r="CL4" i="70"/>
  <c r="CK4" i="70"/>
  <c r="CI109" i="70"/>
  <c r="CI106" i="70"/>
  <c r="CI105" i="70"/>
  <c r="CI104" i="70"/>
  <c r="CI103" i="70"/>
  <c r="CI102" i="70"/>
  <c r="CH109" i="70"/>
  <c r="CH106" i="70"/>
  <c r="CH105" i="70"/>
  <c r="CH104" i="70"/>
  <c r="CH103" i="70"/>
  <c r="CH102" i="70"/>
  <c r="CG109" i="70"/>
  <c r="CG106" i="70"/>
  <c r="CG105" i="70"/>
  <c r="CG104" i="70"/>
  <c r="CG103" i="70"/>
  <c r="CG102" i="70"/>
  <c r="CF109" i="70"/>
  <c r="CF106" i="70"/>
  <c r="CF105" i="70"/>
  <c r="CF104" i="70"/>
  <c r="CF103" i="70"/>
  <c r="CF102" i="70"/>
  <c r="CE109" i="70"/>
  <c r="CE106" i="70"/>
  <c r="CE105" i="70"/>
  <c r="CE104" i="70"/>
  <c r="CE103" i="70"/>
  <c r="CE102" i="70"/>
  <c r="CD109" i="70"/>
  <c r="CD106" i="70"/>
  <c r="CD105" i="70"/>
  <c r="CD104" i="70"/>
  <c r="CD103" i="70"/>
  <c r="CD102" i="70"/>
  <c r="CC109" i="70"/>
  <c r="CC106" i="70"/>
  <c r="CC105" i="70"/>
  <c r="CC104" i="70"/>
  <c r="CC103" i="70"/>
  <c r="CC102" i="70"/>
  <c r="CB109" i="70"/>
  <c r="CB106" i="70"/>
  <c r="CB105" i="70"/>
  <c r="CB104" i="70"/>
  <c r="CB103" i="70"/>
  <c r="CB102" i="70"/>
  <c r="CA109" i="70"/>
  <c r="CA106" i="70"/>
  <c r="CA105" i="70"/>
  <c r="CA104" i="70"/>
  <c r="CA103" i="70"/>
  <c r="CA102" i="70"/>
  <c r="BZ109" i="70"/>
  <c r="BZ106" i="70"/>
  <c r="BZ105" i="70"/>
  <c r="BZ104" i="70"/>
  <c r="BZ103" i="70"/>
  <c r="BZ102" i="70"/>
  <c r="BY109" i="70"/>
  <c r="BY106" i="70"/>
  <c r="BY105" i="70"/>
  <c r="BY104" i="70"/>
  <c r="BY103" i="70"/>
  <c r="BY102" i="70"/>
  <c r="BX109" i="70"/>
  <c r="BX106" i="70"/>
  <c r="BX105" i="70"/>
  <c r="BX104" i="70"/>
  <c r="BX103" i="70"/>
  <c r="BX102" i="70"/>
  <c r="BW109" i="70"/>
  <c r="BW106" i="70"/>
  <c r="BW105" i="70"/>
  <c r="BW104" i="70"/>
  <c r="BW103" i="70"/>
  <c r="BW102" i="70"/>
  <c r="BV109" i="70"/>
  <c r="BV106" i="70"/>
  <c r="BV105" i="70"/>
  <c r="BV104" i="70"/>
  <c r="BV103" i="70"/>
  <c r="BV102" i="70"/>
  <c r="BU109" i="70"/>
  <c r="BU106" i="70"/>
  <c r="BU105" i="70"/>
  <c r="BU104" i="70"/>
  <c r="BU103" i="70"/>
  <c r="BU102" i="70"/>
  <c r="BT109" i="70"/>
  <c r="BT106" i="70"/>
  <c r="BT105" i="70"/>
  <c r="BT104" i="70"/>
  <c r="BT103" i="70"/>
  <c r="BT102" i="70"/>
  <c r="BS109" i="70"/>
  <c r="BS106" i="70"/>
  <c r="BS105" i="70"/>
  <c r="BS104" i="70"/>
  <c r="BS103" i="70"/>
  <c r="BS102" i="70"/>
  <c r="BR109" i="70"/>
  <c r="BR106" i="70"/>
  <c r="BR105" i="70"/>
  <c r="BR104" i="70"/>
  <c r="BR103" i="70"/>
  <c r="BR102" i="70"/>
  <c r="BQ109" i="70"/>
  <c r="BQ106" i="70"/>
  <c r="BQ105" i="70"/>
  <c r="BQ104" i="70"/>
  <c r="BQ103" i="70"/>
  <c r="BQ102" i="70"/>
  <c r="BP109" i="70"/>
  <c r="BP106" i="70"/>
  <c r="BP105" i="70"/>
  <c r="BP104" i="70"/>
  <c r="BP103" i="70"/>
  <c r="BP102" i="70"/>
  <c r="BO109" i="70"/>
  <c r="BO106" i="70"/>
  <c r="BO105" i="70"/>
  <c r="BO104" i="70"/>
  <c r="BO103" i="70"/>
  <c r="BO102" i="70"/>
  <c r="BN109" i="70"/>
  <c r="BN106" i="70"/>
  <c r="BN105" i="70"/>
  <c r="BN104" i="70"/>
  <c r="BN103" i="70"/>
  <c r="BN102" i="70"/>
  <c r="BM109" i="70"/>
  <c r="BM106" i="70"/>
  <c r="BM105" i="70"/>
  <c r="BM104" i="70"/>
  <c r="BM103" i="70"/>
  <c r="BM102" i="70"/>
  <c r="BL109" i="70"/>
  <c r="BL106" i="70"/>
  <c r="BL105" i="70"/>
  <c r="BL104" i="70"/>
  <c r="BL103" i="70"/>
  <c r="BL102" i="70"/>
  <c r="BK109" i="70"/>
  <c r="BK106" i="70"/>
  <c r="BK105" i="70"/>
  <c r="BK104" i="70"/>
  <c r="BK103" i="70"/>
  <c r="BK102" i="70"/>
  <c r="BJ109" i="70"/>
  <c r="BJ106" i="70"/>
  <c r="BJ105" i="70"/>
  <c r="BJ104" i="70"/>
  <c r="BJ103" i="70"/>
  <c r="BJ102" i="70"/>
  <c r="BI109" i="70"/>
  <c r="BI106" i="70"/>
  <c r="BI105" i="70"/>
  <c r="BI104" i="70"/>
  <c r="BI103" i="70"/>
  <c r="BI102" i="70"/>
  <c r="BH109" i="70"/>
  <c r="BH106" i="70"/>
  <c r="BH105" i="70"/>
  <c r="BH104" i="70"/>
  <c r="BH103" i="70"/>
  <c r="BH102" i="70"/>
  <c r="BG109" i="70"/>
  <c r="BG106" i="70"/>
  <c r="BG105" i="70"/>
  <c r="BG104" i="70"/>
  <c r="BG103" i="70"/>
  <c r="BG102" i="70"/>
  <c r="BF109" i="70"/>
  <c r="BF106" i="70"/>
  <c r="BF105" i="70"/>
  <c r="BF104" i="70"/>
  <c r="BF103" i="70"/>
  <c r="BF102" i="70"/>
  <c r="BE109" i="70"/>
  <c r="BE106" i="70"/>
  <c r="BE105" i="70"/>
  <c r="BE104" i="70"/>
  <c r="BE103" i="70"/>
  <c r="BE102" i="70"/>
  <c r="BD109" i="70"/>
  <c r="BD106" i="70"/>
  <c r="BD105" i="70"/>
  <c r="BD104" i="70"/>
  <c r="BD103" i="70"/>
  <c r="BD102" i="70"/>
  <c r="BC109" i="70"/>
  <c r="BC106" i="70"/>
  <c r="BC105" i="70"/>
  <c r="BC104" i="70"/>
  <c r="BC103" i="70"/>
  <c r="BC102" i="70"/>
  <c r="BB109" i="70"/>
  <c r="BB106" i="70"/>
  <c r="BB105" i="70"/>
  <c r="BB104" i="70"/>
  <c r="BB103" i="70"/>
  <c r="BB102" i="70"/>
  <c r="BA109" i="70"/>
  <c r="BA106" i="70"/>
  <c r="BA105" i="70"/>
  <c r="BA104" i="70"/>
  <c r="BA103" i="70"/>
  <c r="BA102" i="70"/>
  <c r="AZ109" i="70"/>
  <c r="AZ106" i="70"/>
  <c r="AZ105" i="70"/>
  <c r="AZ104" i="70"/>
  <c r="AZ103" i="70"/>
  <c r="AZ102" i="70"/>
  <c r="AY109" i="70"/>
  <c r="AY106" i="70"/>
  <c r="AY105" i="70"/>
  <c r="AY104" i="70"/>
  <c r="AY103" i="70"/>
  <c r="AY102" i="70"/>
  <c r="AX109" i="70"/>
  <c r="AX106" i="70"/>
  <c r="AX105" i="70"/>
  <c r="AX104" i="70"/>
  <c r="AX103" i="70"/>
  <c r="AX102" i="70"/>
  <c r="AW109" i="70"/>
  <c r="AW106" i="70"/>
  <c r="AW105" i="70"/>
  <c r="AW104" i="70"/>
  <c r="AW103" i="70"/>
  <c r="AW102" i="70"/>
  <c r="AV109" i="70"/>
  <c r="AV106" i="70"/>
  <c r="AV105" i="70"/>
  <c r="AV104" i="70"/>
  <c r="AV103" i="70"/>
  <c r="AV102" i="70"/>
  <c r="AU109" i="70"/>
  <c r="AU106" i="70"/>
  <c r="AU105" i="70"/>
  <c r="AU104" i="70"/>
  <c r="AU103" i="70"/>
  <c r="AU102" i="70"/>
  <c r="AT109" i="70"/>
  <c r="AT106" i="70"/>
  <c r="AT105" i="70"/>
  <c r="AT104" i="70"/>
  <c r="AT103" i="70"/>
  <c r="AT102" i="70"/>
  <c r="AS109" i="70"/>
  <c r="AS106" i="70"/>
  <c r="AS105" i="70"/>
  <c r="AS104" i="70"/>
  <c r="AS103" i="70"/>
  <c r="AS102" i="70"/>
  <c r="AR109" i="70"/>
  <c r="AR106" i="70"/>
  <c r="AR105" i="70"/>
  <c r="AR104" i="70"/>
  <c r="AR103" i="70"/>
  <c r="AR102" i="70"/>
  <c r="AQ109" i="70"/>
  <c r="AQ106" i="70"/>
  <c r="AQ105" i="70"/>
  <c r="AQ104" i="70"/>
  <c r="AQ103" i="70"/>
  <c r="AQ102" i="70"/>
  <c r="AP109" i="70"/>
  <c r="AP106" i="70"/>
  <c r="AP105" i="70"/>
  <c r="AP104" i="70"/>
  <c r="AP103" i="70"/>
  <c r="AP102" i="70"/>
  <c r="AO109" i="70"/>
  <c r="AO106" i="70"/>
  <c r="AO105" i="70"/>
  <c r="AO104" i="70"/>
  <c r="AO103" i="70"/>
  <c r="AO102" i="70"/>
  <c r="AN109" i="70"/>
  <c r="AN106" i="70"/>
  <c r="AN105" i="70"/>
  <c r="AN104" i="70"/>
  <c r="AN103" i="70"/>
  <c r="AN102" i="70"/>
  <c r="AM109" i="70"/>
  <c r="AM106" i="70"/>
  <c r="AM105" i="70"/>
  <c r="AM104" i="70"/>
  <c r="AM103" i="70"/>
  <c r="AM102" i="70"/>
  <c r="AL109" i="70"/>
  <c r="AL106" i="70"/>
  <c r="AL105" i="70"/>
  <c r="AL104" i="70"/>
  <c r="AL103" i="70"/>
  <c r="AL102" i="70"/>
  <c r="AK109" i="70"/>
  <c r="AK106" i="70"/>
  <c r="AK105" i="70"/>
  <c r="AK104" i="70"/>
  <c r="AK103" i="70"/>
  <c r="AK102" i="70"/>
  <c r="AJ109" i="70"/>
  <c r="AJ106" i="70"/>
  <c r="AJ105" i="70"/>
  <c r="AJ104" i="70"/>
  <c r="AJ103" i="70"/>
  <c r="AJ102" i="70"/>
  <c r="AI109" i="70"/>
  <c r="AI106" i="70"/>
  <c r="AI105" i="70"/>
  <c r="AI104" i="70"/>
  <c r="AI103" i="70"/>
  <c r="AI102" i="70"/>
  <c r="AH109" i="70"/>
  <c r="AH106" i="70"/>
  <c r="AH105" i="70"/>
  <c r="AH104" i="70"/>
  <c r="AH103" i="70"/>
  <c r="AH102" i="70"/>
  <c r="AG109" i="70"/>
  <c r="AG106" i="70"/>
  <c r="AG105" i="70"/>
  <c r="AG104" i="70"/>
  <c r="AG103" i="70"/>
  <c r="AG102" i="70"/>
  <c r="AF109" i="70"/>
  <c r="AF106" i="70"/>
  <c r="AF105" i="70"/>
  <c r="AF104" i="70"/>
  <c r="AF103" i="70"/>
  <c r="AF102" i="70"/>
  <c r="AE109" i="70"/>
  <c r="AE106" i="70"/>
  <c r="AE105" i="70"/>
  <c r="AE104" i="70"/>
  <c r="AE103" i="70"/>
  <c r="AE102" i="70"/>
  <c r="AD109" i="70"/>
  <c r="AD106" i="70"/>
  <c r="AD105" i="70"/>
  <c r="AD104" i="70"/>
  <c r="AD103" i="70"/>
  <c r="AD102" i="70"/>
  <c r="AC109" i="70"/>
  <c r="AC106" i="70"/>
  <c r="AC105" i="70"/>
  <c r="AC104" i="70"/>
  <c r="AC103" i="70"/>
  <c r="AC102" i="70"/>
  <c r="AB109" i="70"/>
  <c r="AB106" i="70"/>
  <c r="AB105" i="70"/>
  <c r="AB104" i="70"/>
  <c r="AB103" i="70"/>
  <c r="AB102" i="70"/>
  <c r="AA109" i="70"/>
  <c r="AA106" i="70"/>
  <c r="AA105" i="70"/>
  <c r="AA104" i="70"/>
  <c r="AA103" i="70"/>
  <c r="AA102" i="70"/>
  <c r="Z109" i="70"/>
  <c r="Z106" i="70"/>
  <c r="Z105" i="70"/>
  <c r="Z104" i="70"/>
  <c r="Z103" i="70"/>
  <c r="Z102" i="70"/>
  <c r="Y109" i="70"/>
  <c r="Y106" i="70"/>
  <c r="Y105" i="70"/>
  <c r="Y104" i="70"/>
  <c r="Y103" i="70"/>
  <c r="Y102" i="70"/>
  <c r="X109" i="70"/>
  <c r="X106" i="70"/>
  <c r="X105" i="70"/>
  <c r="X104" i="70"/>
  <c r="X103" i="70"/>
  <c r="X102" i="70"/>
  <c r="W109" i="70"/>
  <c r="W106" i="70"/>
  <c r="W105" i="70"/>
  <c r="W104" i="70"/>
  <c r="W103" i="70"/>
  <c r="W102" i="70"/>
  <c r="V109" i="70"/>
  <c r="V106" i="70"/>
  <c r="V105" i="70"/>
  <c r="V104" i="70"/>
  <c r="V103" i="70"/>
  <c r="V102" i="70"/>
  <c r="U109" i="70"/>
  <c r="U106" i="70"/>
  <c r="U105" i="70"/>
  <c r="U104" i="70"/>
  <c r="U103" i="70"/>
  <c r="U102" i="70"/>
  <c r="T109" i="70"/>
  <c r="T106" i="70"/>
  <c r="T105" i="70"/>
  <c r="T104" i="70"/>
  <c r="T103" i="70"/>
  <c r="T102" i="70"/>
  <c r="S109" i="70"/>
  <c r="S106" i="70"/>
  <c r="S105" i="70"/>
  <c r="S104" i="70"/>
  <c r="S103" i="70"/>
  <c r="S102" i="70"/>
  <c r="R109" i="70"/>
  <c r="R106" i="70"/>
  <c r="R105" i="70"/>
  <c r="R104" i="70"/>
  <c r="R103" i="70"/>
  <c r="R102" i="70"/>
  <c r="Q109" i="70"/>
  <c r="Q106" i="70"/>
  <c r="Q105" i="70"/>
  <c r="Q104" i="70"/>
  <c r="Q103" i="70"/>
  <c r="Q102" i="70"/>
  <c r="P109" i="70"/>
  <c r="P106" i="70"/>
  <c r="P105" i="70"/>
  <c r="P104" i="70"/>
  <c r="P103" i="70"/>
  <c r="P102" i="70"/>
  <c r="O109" i="70"/>
  <c r="O106" i="70"/>
  <c r="O105" i="70"/>
  <c r="O104" i="70"/>
  <c r="O103" i="70"/>
  <c r="O102" i="70"/>
  <c r="N109" i="70"/>
  <c r="N106" i="70"/>
  <c r="N105" i="70"/>
  <c r="N104" i="70"/>
  <c r="N103" i="70"/>
  <c r="N102" i="70"/>
  <c r="M109" i="70"/>
  <c r="M106" i="70"/>
  <c r="M105" i="70"/>
  <c r="M104" i="70"/>
  <c r="M103" i="70"/>
  <c r="M102" i="70"/>
  <c r="L109" i="70"/>
  <c r="L106" i="70"/>
  <c r="L105" i="70"/>
  <c r="L104" i="70"/>
  <c r="L103" i="70"/>
  <c r="L102" i="70"/>
  <c r="K109" i="70"/>
  <c r="K106" i="70"/>
  <c r="K105" i="70"/>
  <c r="K104" i="70"/>
  <c r="K103" i="70"/>
  <c r="K102" i="70"/>
  <c r="J109" i="70"/>
  <c r="J106" i="70"/>
  <c r="J105" i="70"/>
  <c r="J104" i="70"/>
  <c r="J103" i="70"/>
  <c r="J102" i="70"/>
  <c r="I109" i="70"/>
  <c r="I106" i="70"/>
  <c r="I105" i="70"/>
  <c r="I104" i="70"/>
  <c r="I103" i="70"/>
  <c r="I102" i="70"/>
  <c r="H109" i="70"/>
  <c r="H106" i="70"/>
  <c r="H105" i="70"/>
  <c r="H104" i="70"/>
  <c r="H103" i="70"/>
  <c r="H102" i="70"/>
  <c r="G109" i="70"/>
  <c r="G106" i="70"/>
  <c r="G105" i="70"/>
  <c r="G104" i="70"/>
  <c r="G103" i="70"/>
  <c r="G102" i="70"/>
  <c r="F109" i="70"/>
  <c r="F106" i="70"/>
  <c r="F105" i="70"/>
  <c r="F104" i="70"/>
  <c r="F103" i="70"/>
  <c r="F102" i="70"/>
  <c r="E109" i="70"/>
  <c r="E106" i="70"/>
  <c r="E105" i="70"/>
  <c r="E104" i="70"/>
  <c r="E103" i="70"/>
  <c r="E102" i="70"/>
  <c r="D109" i="70"/>
  <c r="D106" i="70"/>
  <c r="D105" i="70"/>
  <c r="D104" i="70"/>
  <c r="D103" i="70"/>
  <c r="D102" i="70"/>
  <c r="BU101" i="71"/>
  <c r="BT101" i="71"/>
  <c r="BS101" i="71"/>
  <c r="BR101" i="71"/>
  <c r="BQ101" i="71"/>
  <c r="BP101" i="71"/>
  <c r="BO101" i="71"/>
  <c r="BN101" i="71"/>
  <c r="BM101" i="71"/>
  <c r="BL101" i="71"/>
  <c r="BK101" i="71"/>
  <c r="BJ101" i="71"/>
  <c r="BI101" i="71"/>
  <c r="BH101" i="71"/>
  <c r="BG101" i="71"/>
  <c r="BF101" i="71"/>
  <c r="BE101" i="71"/>
  <c r="BD101" i="71"/>
  <c r="BC101" i="71"/>
  <c r="BB101" i="71"/>
  <c r="BA101" i="71"/>
  <c r="AZ101" i="71"/>
  <c r="AY101" i="71"/>
  <c r="AX101" i="71"/>
  <c r="AW101" i="71"/>
  <c r="AV101" i="71"/>
  <c r="AU101" i="71"/>
  <c r="AT101" i="71"/>
  <c r="AS101" i="71"/>
  <c r="AR101" i="71"/>
  <c r="AQ101" i="71"/>
  <c r="AP101" i="71"/>
  <c r="AO101" i="71"/>
  <c r="AN101" i="71"/>
  <c r="AM101" i="71"/>
  <c r="AL101" i="71"/>
  <c r="AK101" i="71"/>
  <c r="AJ101" i="71"/>
  <c r="AI101" i="71"/>
  <c r="AH101" i="71"/>
  <c r="AG101" i="71"/>
  <c r="AF101" i="71"/>
  <c r="AE101" i="71"/>
  <c r="AD101" i="71"/>
  <c r="AC101" i="71"/>
  <c r="AB101" i="71"/>
  <c r="AA101" i="71"/>
  <c r="Z101" i="71"/>
  <c r="Y101" i="71"/>
  <c r="X101" i="71"/>
  <c r="W101" i="71"/>
  <c r="V101" i="71"/>
  <c r="U101" i="71"/>
  <c r="T101" i="71"/>
  <c r="S101" i="71"/>
  <c r="R101" i="71"/>
  <c r="Q101" i="71"/>
  <c r="P101" i="71"/>
  <c r="O101" i="71"/>
  <c r="N101" i="71"/>
  <c r="M101" i="71"/>
  <c r="L101" i="71"/>
  <c r="K101" i="71"/>
  <c r="J101" i="71"/>
  <c r="I101" i="71"/>
  <c r="H101" i="71"/>
  <c r="G101" i="71"/>
  <c r="F101" i="71"/>
  <c r="E101" i="71"/>
  <c r="D101" i="71"/>
  <c r="CO99" i="68"/>
  <c r="CN99" i="68"/>
  <c r="CM99" i="68"/>
  <c r="CL99" i="68"/>
  <c r="CK99" i="68"/>
  <c r="CO98" i="68"/>
  <c r="CN98" i="68"/>
  <c r="CM98" i="68"/>
  <c r="CL98" i="68"/>
  <c r="CK98" i="68"/>
  <c r="CO97" i="68"/>
  <c r="CN97" i="68"/>
  <c r="CM97" i="68"/>
  <c r="CL97" i="68"/>
  <c r="CK97" i="68"/>
  <c r="CO96" i="68"/>
  <c r="CN96" i="68"/>
  <c r="CM96" i="68"/>
  <c r="CL96" i="68"/>
  <c r="CK96" i="68"/>
  <c r="CO94" i="68"/>
  <c r="CN94" i="68"/>
  <c r="CM94" i="68"/>
  <c r="CL94" i="68"/>
  <c r="CK94" i="68"/>
  <c r="CO93" i="68"/>
  <c r="CN93" i="68"/>
  <c r="CM93" i="68"/>
  <c r="CL93" i="68"/>
  <c r="CK93" i="68"/>
  <c r="CO92" i="68"/>
  <c r="CN92" i="68"/>
  <c r="CM92" i="68"/>
  <c r="CL92" i="68"/>
  <c r="CK92" i="68"/>
  <c r="CO91" i="68"/>
  <c r="CN91" i="68"/>
  <c r="CM91" i="68"/>
  <c r="CL91" i="68"/>
  <c r="CK91" i="68"/>
  <c r="CO90" i="68"/>
  <c r="CN90" i="68"/>
  <c r="CM90" i="68"/>
  <c r="CL90" i="68"/>
  <c r="CK90" i="68"/>
  <c r="CO89" i="68"/>
  <c r="CN89" i="68"/>
  <c r="CM89" i="68"/>
  <c r="CL89" i="68"/>
  <c r="CK89" i="68"/>
  <c r="CO88" i="68"/>
  <c r="CN88" i="68"/>
  <c r="CM88" i="68"/>
  <c r="CL88" i="68"/>
  <c r="CK88" i="68"/>
  <c r="CO87" i="68"/>
  <c r="CN87" i="68"/>
  <c r="CM87" i="68"/>
  <c r="CL87" i="68"/>
  <c r="CK87" i="68"/>
  <c r="CO86" i="68"/>
  <c r="CN86" i="68"/>
  <c r="CM86" i="68"/>
  <c r="CL86" i="68"/>
  <c r="CK86" i="68"/>
  <c r="CO85" i="68"/>
  <c r="CN85" i="68"/>
  <c r="CM85" i="68"/>
  <c r="CL85" i="68"/>
  <c r="CK85" i="68"/>
  <c r="CO84" i="68"/>
  <c r="CN84" i="68"/>
  <c r="CM84" i="68"/>
  <c r="CL84" i="68"/>
  <c r="CK84" i="68"/>
  <c r="CO83" i="68"/>
  <c r="CN83" i="68"/>
  <c r="CM83" i="68"/>
  <c r="CL83" i="68"/>
  <c r="CK83" i="68"/>
  <c r="CO82" i="68"/>
  <c r="CN82" i="68"/>
  <c r="CM82" i="68"/>
  <c r="CL82" i="68"/>
  <c r="CK82" i="68"/>
  <c r="CO81" i="68"/>
  <c r="CN81" i="68"/>
  <c r="CM81" i="68"/>
  <c r="CL81" i="68"/>
  <c r="CK81" i="68"/>
  <c r="CO80" i="68"/>
  <c r="CN80" i="68"/>
  <c r="CM80" i="68"/>
  <c r="CL80" i="68"/>
  <c r="CK80" i="68"/>
  <c r="CO78" i="68"/>
  <c r="CN78" i="68"/>
  <c r="CM78" i="68"/>
  <c r="CL78" i="68"/>
  <c r="CK78" i="68"/>
  <c r="CO77" i="68"/>
  <c r="CN77" i="68"/>
  <c r="CM77" i="68"/>
  <c r="CL77" i="68"/>
  <c r="CK77" i="68"/>
  <c r="CO76" i="68"/>
  <c r="CN76" i="68"/>
  <c r="CM76" i="68"/>
  <c r="CL76" i="68"/>
  <c r="CK76" i="68"/>
  <c r="CO75" i="68"/>
  <c r="CN75" i="68"/>
  <c r="CM75" i="68"/>
  <c r="CL75" i="68"/>
  <c r="CK75" i="68"/>
  <c r="CO74" i="68"/>
  <c r="CN74" i="68"/>
  <c r="CM74" i="68"/>
  <c r="CL74" i="68"/>
  <c r="CK74" i="68"/>
  <c r="CO73" i="68"/>
  <c r="CN73" i="68"/>
  <c r="CM73" i="68"/>
  <c r="CL73" i="68"/>
  <c r="CK73" i="68"/>
  <c r="CO72" i="68"/>
  <c r="CN72" i="68"/>
  <c r="CM72" i="68"/>
  <c r="CL72" i="68"/>
  <c r="CK72" i="68"/>
  <c r="CO71" i="68"/>
  <c r="CN71" i="68"/>
  <c r="CM71" i="68"/>
  <c r="CL71" i="68"/>
  <c r="CK71" i="68"/>
  <c r="CO70" i="68"/>
  <c r="CN70" i="68"/>
  <c r="CM70" i="68"/>
  <c r="CL70" i="68"/>
  <c r="CK70" i="68"/>
  <c r="CO69" i="68"/>
  <c r="CN69" i="68"/>
  <c r="CM69" i="68"/>
  <c r="CL69" i="68"/>
  <c r="CK69" i="68"/>
  <c r="CO68" i="68"/>
  <c r="CN68" i="68"/>
  <c r="CM68" i="68"/>
  <c r="CL68" i="68"/>
  <c r="CK68" i="68"/>
  <c r="CO67" i="68"/>
  <c r="CN67" i="68"/>
  <c r="CM67" i="68"/>
  <c r="CL67" i="68"/>
  <c r="CK67" i="68"/>
  <c r="CO66" i="68"/>
  <c r="CN66" i="68"/>
  <c r="CM66" i="68"/>
  <c r="CL66" i="68"/>
  <c r="CK66" i="68"/>
  <c r="CO65" i="68"/>
  <c r="CN65" i="68"/>
  <c r="CM65" i="68"/>
  <c r="CL65" i="68"/>
  <c r="CK65" i="68"/>
  <c r="CO64" i="68"/>
  <c r="CN64" i="68"/>
  <c r="CM64" i="68"/>
  <c r="CL64" i="68"/>
  <c r="CK64" i="68"/>
  <c r="CO63" i="68"/>
  <c r="CN63" i="68"/>
  <c r="CM63" i="68"/>
  <c r="CL63" i="68"/>
  <c r="CK63" i="68"/>
  <c r="CO62" i="68"/>
  <c r="CN62" i="68"/>
  <c r="CM62" i="68"/>
  <c r="CL62" i="68"/>
  <c r="CK62" i="68"/>
  <c r="CO61" i="68"/>
  <c r="CN61" i="68"/>
  <c r="CM61" i="68"/>
  <c r="CL61" i="68"/>
  <c r="CK61" i="68"/>
  <c r="CO59" i="68"/>
  <c r="CN59" i="68"/>
  <c r="CM59" i="68"/>
  <c r="CL59" i="68"/>
  <c r="CK59" i="68"/>
  <c r="CO58" i="68"/>
  <c r="CN58" i="68"/>
  <c r="CM58" i="68"/>
  <c r="CL58" i="68"/>
  <c r="CK58" i="68"/>
  <c r="CO57" i="68"/>
  <c r="CN57" i="68"/>
  <c r="CM57" i="68"/>
  <c r="CL57" i="68"/>
  <c r="CK57" i="68"/>
  <c r="CO56" i="68"/>
  <c r="CN56" i="68"/>
  <c r="CM56" i="68"/>
  <c r="CL56" i="68"/>
  <c r="CK56" i="68"/>
  <c r="CO55" i="68"/>
  <c r="CN55" i="68"/>
  <c r="CM55" i="68"/>
  <c r="CL55" i="68"/>
  <c r="CK55" i="68"/>
  <c r="CO54" i="68"/>
  <c r="CN54" i="68"/>
  <c r="CM54" i="68"/>
  <c r="CL54" i="68"/>
  <c r="CK54" i="68"/>
  <c r="CO53" i="68"/>
  <c r="CN53" i="68"/>
  <c r="CM53" i="68"/>
  <c r="CL53" i="68"/>
  <c r="CK53" i="68"/>
  <c r="CO52" i="68"/>
  <c r="CN52" i="68"/>
  <c r="CM52" i="68"/>
  <c r="CL52" i="68"/>
  <c r="CK52" i="68"/>
  <c r="CO50" i="68"/>
  <c r="CN50" i="68"/>
  <c r="CM50" i="68"/>
  <c r="CL50" i="68"/>
  <c r="CK50" i="68"/>
  <c r="CO49" i="68"/>
  <c r="CN49" i="68"/>
  <c r="CM49" i="68"/>
  <c r="CL49" i="68"/>
  <c r="CK49" i="68"/>
  <c r="CO48" i="68"/>
  <c r="CN48" i="68"/>
  <c r="CM48" i="68"/>
  <c r="CL48" i="68"/>
  <c r="CK48" i="68"/>
  <c r="CO47" i="68"/>
  <c r="CN47" i="68"/>
  <c r="CM47" i="68"/>
  <c r="CL47" i="68"/>
  <c r="CK47" i="68"/>
  <c r="CO46" i="68"/>
  <c r="CN46" i="68"/>
  <c r="CM46" i="68"/>
  <c r="CL46" i="68"/>
  <c r="CK46" i="68"/>
  <c r="CO45" i="68"/>
  <c r="CN45" i="68"/>
  <c r="CM45" i="68"/>
  <c r="CL45" i="68"/>
  <c r="CK45" i="68"/>
  <c r="CO44" i="68"/>
  <c r="CN44" i="68"/>
  <c r="CM44" i="68"/>
  <c r="CL44" i="68"/>
  <c r="CK44" i="68"/>
  <c r="CO43" i="68"/>
  <c r="CN43" i="68"/>
  <c r="CM43" i="68"/>
  <c r="CL43" i="68"/>
  <c r="CK43" i="68"/>
  <c r="CO42" i="68"/>
  <c r="CN42" i="68"/>
  <c r="CM42" i="68"/>
  <c r="CL42" i="68"/>
  <c r="CK42" i="68"/>
  <c r="CO41" i="68"/>
  <c r="CN41" i="68"/>
  <c r="CM41" i="68"/>
  <c r="CL41" i="68"/>
  <c r="CK41" i="68"/>
  <c r="CO40" i="68"/>
  <c r="CN40" i="68"/>
  <c r="CM40" i="68"/>
  <c r="CL40" i="68"/>
  <c r="CK40" i="68"/>
  <c r="CO39" i="68"/>
  <c r="CN39" i="68"/>
  <c r="CM39" i="68"/>
  <c r="CL39" i="68"/>
  <c r="CK39" i="68"/>
  <c r="CO37" i="68"/>
  <c r="CN37" i="68"/>
  <c r="CM37" i="68"/>
  <c r="CL37" i="68"/>
  <c r="CK37" i="68"/>
  <c r="CO36" i="68"/>
  <c r="CN36" i="68"/>
  <c r="CM36" i="68"/>
  <c r="CL36" i="68"/>
  <c r="CK36" i="68"/>
  <c r="CO35" i="68"/>
  <c r="CN35" i="68"/>
  <c r="CM35" i="68"/>
  <c r="CL35" i="68"/>
  <c r="CK35" i="68"/>
  <c r="CO34" i="68"/>
  <c r="CN34" i="68"/>
  <c r="CM34" i="68"/>
  <c r="CL34" i="68"/>
  <c r="CK34" i="68"/>
  <c r="CO33" i="68"/>
  <c r="CN33" i="68"/>
  <c r="CM33" i="68"/>
  <c r="CL33" i="68"/>
  <c r="CK33" i="68"/>
  <c r="CO32" i="68"/>
  <c r="CN32" i="68"/>
  <c r="CM32" i="68"/>
  <c r="CL32" i="68"/>
  <c r="CK32" i="68"/>
  <c r="CO31" i="68"/>
  <c r="CN31" i="68"/>
  <c r="CM31" i="68"/>
  <c r="CL31" i="68"/>
  <c r="CK31" i="68"/>
  <c r="CO30" i="68"/>
  <c r="CN30" i="68"/>
  <c r="CM30" i="68"/>
  <c r="CL30" i="68"/>
  <c r="CK30" i="68"/>
  <c r="CO29" i="68"/>
  <c r="CN29" i="68"/>
  <c r="CM29" i="68"/>
  <c r="CL29" i="68"/>
  <c r="CK29" i="68"/>
  <c r="CO28" i="68"/>
  <c r="CN28" i="68"/>
  <c r="CM28" i="68"/>
  <c r="CL28" i="68"/>
  <c r="CK28" i="68"/>
  <c r="CO26" i="68"/>
  <c r="CN26" i="68"/>
  <c r="CM26" i="68"/>
  <c r="CL26" i="68"/>
  <c r="CK26" i="68"/>
  <c r="CO25" i="68"/>
  <c r="CN25" i="68"/>
  <c r="CM25" i="68"/>
  <c r="CL25" i="68"/>
  <c r="CK25" i="68"/>
  <c r="CO24" i="68"/>
  <c r="CN24" i="68"/>
  <c r="CM24" i="68"/>
  <c r="CL24" i="68"/>
  <c r="CK24" i="68"/>
  <c r="CO23" i="68"/>
  <c r="CN23" i="68"/>
  <c r="CM23" i="68"/>
  <c r="CL23" i="68"/>
  <c r="CK23" i="68"/>
  <c r="CO22" i="68"/>
  <c r="CN22" i="68"/>
  <c r="CM22" i="68"/>
  <c r="CL22" i="68"/>
  <c r="CK22" i="68"/>
  <c r="CO21" i="68"/>
  <c r="CN21" i="68"/>
  <c r="CM21" i="68"/>
  <c r="CL21" i="68"/>
  <c r="CK21" i="68"/>
  <c r="CO20" i="68"/>
  <c r="CN20" i="68"/>
  <c r="CM20" i="68"/>
  <c r="CL20" i="68"/>
  <c r="CK20" i="68"/>
  <c r="CO19" i="68"/>
  <c r="CN19" i="68"/>
  <c r="CM19" i="68"/>
  <c r="CL19" i="68"/>
  <c r="CK19" i="68"/>
  <c r="CO18" i="68"/>
  <c r="CN18" i="68"/>
  <c r="CM18" i="68"/>
  <c r="CL18" i="68"/>
  <c r="CK18" i="68"/>
  <c r="CO16" i="68"/>
  <c r="CN16" i="68"/>
  <c r="CM16" i="68"/>
  <c r="CL16" i="68"/>
  <c r="CK16" i="68"/>
  <c r="CO15" i="68"/>
  <c r="CN15" i="68"/>
  <c r="CM15" i="68"/>
  <c r="CL15" i="68"/>
  <c r="CK15" i="68"/>
  <c r="CO14" i="68"/>
  <c r="CN14" i="68"/>
  <c r="CM14" i="68"/>
  <c r="CL14" i="68"/>
  <c r="CK14" i="68"/>
  <c r="CO13" i="68"/>
  <c r="CN13" i="68"/>
  <c r="CM13" i="68"/>
  <c r="CL13" i="68"/>
  <c r="CK13" i="68"/>
  <c r="CO12" i="68"/>
  <c r="CN12" i="68"/>
  <c r="CM12" i="68"/>
  <c r="CL12" i="68"/>
  <c r="CK12" i="68"/>
  <c r="CO11" i="68"/>
  <c r="CN11" i="68"/>
  <c r="CM11" i="68"/>
  <c r="CL11" i="68"/>
  <c r="CK11" i="68"/>
  <c r="CO10" i="68"/>
  <c r="CN10" i="68"/>
  <c r="CM10" i="68"/>
  <c r="CL10" i="68"/>
  <c r="CK10" i="68"/>
  <c r="CO9" i="68"/>
  <c r="CN9" i="68"/>
  <c r="CM9" i="68"/>
  <c r="CL9" i="68"/>
  <c r="CK9" i="68"/>
  <c r="CO8" i="68"/>
  <c r="CN8" i="68"/>
  <c r="CM8" i="68"/>
  <c r="CL8" i="68"/>
  <c r="CK8" i="68"/>
  <c r="CO7" i="68"/>
  <c r="CN7" i="68"/>
  <c r="CM7" i="68"/>
  <c r="CL7" i="68"/>
  <c r="CK7" i="68"/>
  <c r="CO6" i="68"/>
  <c r="CN6" i="68"/>
  <c r="CM6" i="68"/>
  <c r="CL6" i="68"/>
  <c r="CK6" i="68"/>
  <c r="CO5" i="68"/>
  <c r="CN5" i="68"/>
  <c r="CM5" i="68"/>
  <c r="CL5" i="68"/>
  <c r="CK5" i="68"/>
  <c r="CO4" i="68"/>
  <c r="CN4" i="68"/>
  <c r="CM4" i="68"/>
  <c r="CL4" i="68"/>
  <c r="CK4" i="68"/>
  <c r="CI109" i="68"/>
  <c r="CI106" i="68"/>
  <c r="CI105" i="68"/>
  <c r="CI104" i="68"/>
  <c r="CI103" i="68"/>
  <c r="CI102" i="68"/>
  <c r="CH109" i="68"/>
  <c r="CH106" i="68"/>
  <c r="CH105" i="68"/>
  <c r="CH104" i="68"/>
  <c r="CH103" i="68"/>
  <c r="CH102" i="68"/>
  <c r="CG109" i="68"/>
  <c r="CG106" i="68"/>
  <c r="CG105" i="68"/>
  <c r="CG104" i="68"/>
  <c r="CG103" i="68"/>
  <c r="CG102" i="68"/>
  <c r="CF109" i="68"/>
  <c r="CF106" i="68"/>
  <c r="CF105" i="68"/>
  <c r="CF104" i="68"/>
  <c r="CF103" i="68"/>
  <c r="CF102" i="68"/>
  <c r="CE109" i="68"/>
  <c r="CE106" i="68"/>
  <c r="CE105" i="68"/>
  <c r="CE104" i="68"/>
  <c r="CE103" i="68"/>
  <c r="CE102" i="68"/>
  <c r="CD109" i="68"/>
  <c r="CD106" i="68"/>
  <c r="CD105" i="68"/>
  <c r="CD104" i="68"/>
  <c r="CD103" i="68"/>
  <c r="CD102" i="68"/>
  <c r="CC109" i="68"/>
  <c r="CC106" i="68"/>
  <c r="CC105" i="68"/>
  <c r="CC104" i="68"/>
  <c r="CC103" i="68"/>
  <c r="CC102" i="68"/>
  <c r="CB109" i="68"/>
  <c r="CB106" i="68"/>
  <c r="CB105" i="68"/>
  <c r="CB104" i="68"/>
  <c r="CB103" i="68"/>
  <c r="CB102" i="68"/>
  <c r="CA109" i="68"/>
  <c r="CA106" i="68"/>
  <c r="CA105" i="68"/>
  <c r="CA104" i="68"/>
  <c r="CA103" i="68"/>
  <c r="CA102" i="68"/>
  <c r="BZ109" i="68"/>
  <c r="BZ106" i="68"/>
  <c r="BZ105" i="68"/>
  <c r="BZ104" i="68"/>
  <c r="BZ103" i="68"/>
  <c r="BZ102" i="68"/>
  <c r="BY109" i="68"/>
  <c r="BY106" i="68"/>
  <c r="BY105" i="68"/>
  <c r="BY104" i="68"/>
  <c r="BY103" i="68"/>
  <c r="BY102" i="68"/>
  <c r="BX109" i="68"/>
  <c r="BX106" i="68"/>
  <c r="BX105" i="68"/>
  <c r="BX104" i="68"/>
  <c r="BX103" i="68"/>
  <c r="BX102" i="68"/>
  <c r="BW109" i="68"/>
  <c r="BW106" i="68"/>
  <c r="BW105" i="68"/>
  <c r="BW104" i="68"/>
  <c r="BW103" i="68"/>
  <c r="BW102" i="68"/>
  <c r="BV109" i="68"/>
  <c r="BV106" i="68"/>
  <c r="BV105" i="68"/>
  <c r="BV104" i="68"/>
  <c r="BV103" i="68"/>
  <c r="BV102" i="68"/>
  <c r="BU109" i="68"/>
  <c r="BU106" i="68"/>
  <c r="BU105" i="68"/>
  <c r="BU104" i="68"/>
  <c r="BU103" i="68"/>
  <c r="BU102" i="68"/>
  <c r="BT109" i="68"/>
  <c r="BT106" i="68"/>
  <c r="BT105" i="68"/>
  <c r="BT104" i="68"/>
  <c r="BT103" i="68"/>
  <c r="BT102" i="68"/>
  <c r="BS109" i="68"/>
  <c r="BS106" i="68"/>
  <c r="BS105" i="68"/>
  <c r="BS104" i="68"/>
  <c r="BS103" i="68"/>
  <c r="BS102" i="68"/>
  <c r="BR109" i="68"/>
  <c r="BR106" i="68"/>
  <c r="BR105" i="68"/>
  <c r="BR104" i="68"/>
  <c r="BR103" i="68"/>
  <c r="BR102" i="68"/>
  <c r="BQ109" i="68"/>
  <c r="BQ106" i="68"/>
  <c r="BQ105" i="68"/>
  <c r="BQ104" i="68"/>
  <c r="BQ103" i="68"/>
  <c r="BQ102" i="68"/>
  <c r="BP109" i="68"/>
  <c r="BP106" i="68"/>
  <c r="BP105" i="68"/>
  <c r="BP104" i="68"/>
  <c r="BP103" i="68"/>
  <c r="BP102" i="68"/>
  <c r="BO109" i="68"/>
  <c r="BO106" i="68"/>
  <c r="BO105" i="68"/>
  <c r="BO104" i="68"/>
  <c r="BO103" i="68"/>
  <c r="BO102" i="68"/>
  <c r="BN109" i="68"/>
  <c r="BN106" i="68"/>
  <c r="BN105" i="68"/>
  <c r="BN104" i="68"/>
  <c r="BN103" i="68"/>
  <c r="BN102" i="68"/>
  <c r="BM109" i="68"/>
  <c r="BM106" i="68"/>
  <c r="BM105" i="68"/>
  <c r="BM104" i="68"/>
  <c r="BM103" i="68"/>
  <c r="BM102" i="68"/>
  <c r="BL109" i="68"/>
  <c r="BL106" i="68"/>
  <c r="BL105" i="68"/>
  <c r="BL104" i="68"/>
  <c r="BL103" i="68"/>
  <c r="BL102" i="68"/>
  <c r="BK109" i="68"/>
  <c r="BK106" i="68"/>
  <c r="BK105" i="68"/>
  <c r="BK104" i="68"/>
  <c r="BK103" i="68"/>
  <c r="BK102" i="68"/>
  <c r="BJ109" i="68"/>
  <c r="BJ106" i="68"/>
  <c r="BJ105" i="68"/>
  <c r="BJ104" i="68"/>
  <c r="BJ103" i="68"/>
  <c r="BJ102" i="68"/>
  <c r="BI109" i="68"/>
  <c r="BI106" i="68"/>
  <c r="BI105" i="68"/>
  <c r="BI104" i="68"/>
  <c r="BI103" i="68"/>
  <c r="BI102" i="68"/>
  <c r="BH109" i="68"/>
  <c r="BH106" i="68"/>
  <c r="BH105" i="68"/>
  <c r="BH104" i="68"/>
  <c r="BH103" i="68"/>
  <c r="BH102" i="68"/>
  <c r="BG109" i="68"/>
  <c r="BG106" i="68"/>
  <c r="BG105" i="68"/>
  <c r="BG104" i="68"/>
  <c r="BG103" i="68"/>
  <c r="BG102" i="68"/>
  <c r="BF109" i="68"/>
  <c r="BF106" i="68"/>
  <c r="BF105" i="68"/>
  <c r="BF104" i="68"/>
  <c r="BF103" i="68"/>
  <c r="BF102" i="68"/>
  <c r="BE109" i="68"/>
  <c r="BE106" i="68"/>
  <c r="BE105" i="68"/>
  <c r="BE104" i="68"/>
  <c r="BE103" i="68"/>
  <c r="BE102" i="68"/>
  <c r="BD109" i="68"/>
  <c r="BD106" i="68"/>
  <c r="BD105" i="68"/>
  <c r="BD104" i="68"/>
  <c r="BD103" i="68"/>
  <c r="BD102" i="68"/>
  <c r="BC109" i="68"/>
  <c r="BC106" i="68"/>
  <c r="BC105" i="68"/>
  <c r="BC104" i="68"/>
  <c r="BC103" i="68"/>
  <c r="BC102" i="68"/>
  <c r="BB109" i="68"/>
  <c r="BB106" i="68"/>
  <c r="BB105" i="68"/>
  <c r="BB104" i="68"/>
  <c r="BB103" i="68"/>
  <c r="BB102" i="68"/>
  <c r="BA109" i="68"/>
  <c r="BA106" i="68"/>
  <c r="BA105" i="68"/>
  <c r="BA104" i="68"/>
  <c r="BA103" i="68"/>
  <c r="BA102" i="68"/>
  <c r="AZ109" i="68"/>
  <c r="AZ106" i="68"/>
  <c r="AZ105" i="68"/>
  <c r="AZ104" i="68"/>
  <c r="AZ103" i="68"/>
  <c r="AZ102" i="68"/>
  <c r="AY109" i="68"/>
  <c r="AY106" i="68"/>
  <c r="AY105" i="68"/>
  <c r="AY104" i="68"/>
  <c r="AY103" i="68"/>
  <c r="AY102" i="68"/>
  <c r="AX109" i="68"/>
  <c r="AX106" i="68"/>
  <c r="AX105" i="68"/>
  <c r="AX104" i="68"/>
  <c r="AX103" i="68"/>
  <c r="AX102" i="68"/>
  <c r="AW109" i="68"/>
  <c r="AW106" i="68"/>
  <c r="AW105" i="68"/>
  <c r="AW104" i="68"/>
  <c r="AW103" i="68"/>
  <c r="AW102" i="68"/>
  <c r="AV109" i="68"/>
  <c r="AV106" i="68"/>
  <c r="AV105" i="68"/>
  <c r="AV104" i="68"/>
  <c r="AV103" i="68"/>
  <c r="AV102" i="68"/>
  <c r="AU109" i="68"/>
  <c r="AU106" i="68"/>
  <c r="AU105" i="68"/>
  <c r="AU104" i="68"/>
  <c r="AU103" i="68"/>
  <c r="AU102" i="68"/>
  <c r="AT109" i="68"/>
  <c r="AT106" i="68"/>
  <c r="AT105" i="68"/>
  <c r="AT104" i="68"/>
  <c r="AT103" i="68"/>
  <c r="AT102" i="68"/>
  <c r="AS109" i="68"/>
  <c r="AS106" i="68"/>
  <c r="AS105" i="68"/>
  <c r="AS104" i="68"/>
  <c r="AS103" i="68"/>
  <c r="AS102" i="68"/>
  <c r="AR109" i="68"/>
  <c r="AR106" i="68"/>
  <c r="AR105" i="68"/>
  <c r="AR104" i="68"/>
  <c r="AR103" i="68"/>
  <c r="AR102" i="68"/>
  <c r="AQ109" i="68"/>
  <c r="AQ106" i="68"/>
  <c r="AQ105" i="68"/>
  <c r="AQ104" i="68"/>
  <c r="AQ103" i="68"/>
  <c r="AQ102" i="68"/>
  <c r="AP109" i="68"/>
  <c r="AP106" i="68"/>
  <c r="AP105" i="68"/>
  <c r="AP104" i="68"/>
  <c r="AP103" i="68"/>
  <c r="AP102" i="68"/>
  <c r="AO109" i="68"/>
  <c r="AO106" i="68"/>
  <c r="AO105" i="68"/>
  <c r="AO104" i="68"/>
  <c r="AO103" i="68"/>
  <c r="AO102" i="68"/>
  <c r="AN109" i="68"/>
  <c r="AN106" i="68"/>
  <c r="AN105" i="68"/>
  <c r="AN104" i="68"/>
  <c r="AN103" i="68"/>
  <c r="AN102" i="68"/>
  <c r="AM109" i="68"/>
  <c r="AM106" i="68"/>
  <c r="AM105" i="68"/>
  <c r="AM104" i="68"/>
  <c r="AM103" i="68"/>
  <c r="AM102" i="68"/>
  <c r="AL109" i="68"/>
  <c r="AL106" i="68"/>
  <c r="AL105" i="68"/>
  <c r="AL104" i="68"/>
  <c r="AL103" i="68"/>
  <c r="AL102" i="68"/>
  <c r="AK109" i="68"/>
  <c r="AK106" i="68"/>
  <c r="AK105" i="68"/>
  <c r="AK104" i="68"/>
  <c r="AK103" i="68"/>
  <c r="AK102" i="68"/>
  <c r="AJ109" i="68"/>
  <c r="AJ106" i="68"/>
  <c r="AJ105" i="68"/>
  <c r="AJ104" i="68"/>
  <c r="AJ103" i="68"/>
  <c r="AJ102" i="68"/>
  <c r="AI109" i="68"/>
  <c r="AI106" i="68"/>
  <c r="AI105" i="68"/>
  <c r="AI104" i="68"/>
  <c r="AI103" i="68"/>
  <c r="AI102" i="68"/>
  <c r="AH109" i="68"/>
  <c r="AH106" i="68"/>
  <c r="AH105" i="68"/>
  <c r="AH104" i="68"/>
  <c r="AH103" i="68"/>
  <c r="AH102" i="68"/>
  <c r="AG109" i="68"/>
  <c r="AG106" i="68"/>
  <c r="AG105" i="68"/>
  <c r="AG104" i="68"/>
  <c r="AG103" i="68"/>
  <c r="AG102" i="68"/>
  <c r="AF109" i="68"/>
  <c r="AF106" i="68"/>
  <c r="AF105" i="68"/>
  <c r="AF104" i="68"/>
  <c r="AF103" i="68"/>
  <c r="AF102" i="68"/>
  <c r="AE109" i="68"/>
  <c r="AE106" i="68"/>
  <c r="AE105" i="68"/>
  <c r="AE104" i="68"/>
  <c r="AE103" i="68"/>
  <c r="AE102" i="68"/>
  <c r="AD109" i="68"/>
  <c r="AD106" i="68"/>
  <c r="AD105" i="68"/>
  <c r="AD104" i="68"/>
  <c r="AD103" i="68"/>
  <c r="AD102" i="68"/>
  <c r="AC109" i="68"/>
  <c r="AC106" i="68"/>
  <c r="AC105" i="68"/>
  <c r="AC104" i="68"/>
  <c r="AC103" i="68"/>
  <c r="AC102" i="68"/>
  <c r="AB109" i="68"/>
  <c r="AB106" i="68"/>
  <c r="AB105" i="68"/>
  <c r="AB104" i="68"/>
  <c r="AB103" i="68"/>
  <c r="AB102" i="68"/>
  <c r="AA109" i="68"/>
  <c r="AA106" i="68"/>
  <c r="AA105" i="68"/>
  <c r="AA104" i="68"/>
  <c r="AA103" i="68"/>
  <c r="AA102" i="68"/>
  <c r="Z109" i="68"/>
  <c r="Z106" i="68"/>
  <c r="Z105" i="68"/>
  <c r="Z104" i="68"/>
  <c r="Z103" i="68"/>
  <c r="Z102" i="68"/>
  <c r="Y109" i="68"/>
  <c r="Y106" i="68"/>
  <c r="Y105" i="68"/>
  <c r="Y104" i="68"/>
  <c r="Y103" i="68"/>
  <c r="Y102" i="68"/>
  <c r="X109" i="68"/>
  <c r="X106" i="68"/>
  <c r="X105" i="68"/>
  <c r="X104" i="68"/>
  <c r="X103" i="68"/>
  <c r="X102" i="68"/>
  <c r="W109" i="68"/>
  <c r="W106" i="68"/>
  <c r="W105" i="68"/>
  <c r="W104" i="68"/>
  <c r="W103" i="68"/>
  <c r="W102" i="68"/>
  <c r="V109" i="68"/>
  <c r="V106" i="68"/>
  <c r="V105" i="68"/>
  <c r="V104" i="68"/>
  <c r="V103" i="68"/>
  <c r="V102" i="68"/>
  <c r="U109" i="68"/>
  <c r="U106" i="68"/>
  <c r="U105" i="68"/>
  <c r="U104" i="68"/>
  <c r="U103" i="68"/>
  <c r="U102" i="68"/>
  <c r="T109" i="68"/>
  <c r="T106" i="68"/>
  <c r="T105" i="68"/>
  <c r="T104" i="68"/>
  <c r="T103" i="68"/>
  <c r="T102" i="68"/>
  <c r="S109" i="68"/>
  <c r="S106" i="68"/>
  <c r="S105" i="68"/>
  <c r="S104" i="68"/>
  <c r="S103" i="68"/>
  <c r="S102" i="68"/>
  <c r="R109" i="68"/>
  <c r="R106" i="68"/>
  <c r="R105" i="68"/>
  <c r="R104" i="68"/>
  <c r="R103" i="68"/>
  <c r="R102" i="68"/>
  <c r="Q109" i="68"/>
  <c r="Q106" i="68"/>
  <c r="Q105" i="68"/>
  <c r="Q104" i="68"/>
  <c r="Q103" i="68"/>
  <c r="Q102" i="68"/>
  <c r="P109" i="68"/>
  <c r="P106" i="68"/>
  <c r="P105" i="68"/>
  <c r="P104" i="68"/>
  <c r="P103" i="68"/>
  <c r="P102" i="68"/>
  <c r="O109" i="68"/>
  <c r="O106" i="68"/>
  <c r="O105" i="68"/>
  <c r="O104" i="68"/>
  <c r="O103" i="68"/>
  <c r="O102" i="68"/>
  <c r="N109" i="68"/>
  <c r="N106" i="68"/>
  <c r="N105" i="68"/>
  <c r="N104" i="68"/>
  <c r="N103" i="68"/>
  <c r="N102" i="68"/>
  <c r="M109" i="68"/>
  <c r="M106" i="68"/>
  <c r="M105" i="68"/>
  <c r="M104" i="68"/>
  <c r="M103" i="68"/>
  <c r="M102" i="68"/>
  <c r="L109" i="68"/>
  <c r="L106" i="68"/>
  <c r="L105" i="68"/>
  <c r="L104" i="68"/>
  <c r="L103" i="68"/>
  <c r="L102" i="68"/>
  <c r="K109" i="68"/>
  <c r="K106" i="68"/>
  <c r="K105" i="68"/>
  <c r="K104" i="68"/>
  <c r="K103" i="68"/>
  <c r="K102" i="68"/>
  <c r="J109" i="68"/>
  <c r="J106" i="68"/>
  <c r="J105" i="68"/>
  <c r="J104" i="68"/>
  <c r="J103" i="68"/>
  <c r="J102" i="68"/>
  <c r="I109" i="68"/>
  <c r="I106" i="68"/>
  <c r="I105" i="68"/>
  <c r="I104" i="68"/>
  <c r="I103" i="68"/>
  <c r="I102" i="68"/>
  <c r="H109" i="68"/>
  <c r="H106" i="68"/>
  <c r="H105" i="68"/>
  <c r="H104" i="68"/>
  <c r="H103" i="68"/>
  <c r="H102" i="68"/>
  <c r="G109" i="68"/>
  <c r="G106" i="68"/>
  <c r="G105" i="68"/>
  <c r="G104" i="68"/>
  <c r="G103" i="68"/>
  <c r="G102" i="68"/>
  <c r="F109" i="68"/>
  <c r="F106" i="68"/>
  <c r="F105" i="68"/>
  <c r="F104" i="68"/>
  <c r="F103" i="68"/>
  <c r="F102" i="68"/>
  <c r="E109" i="68"/>
  <c r="E106" i="68"/>
  <c r="E105" i="68"/>
  <c r="E104" i="68"/>
  <c r="E103" i="68"/>
  <c r="E102" i="68"/>
  <c r="D109" i="68"/>
  <c r="D106" i="68"/>
  <c r="D105" i="68"/>
  <c r="D104" i="68"/>
  <c r="D103" i="68"/>
  <c r="D102" i="68"/>
  <c r="BU101" i="69"/>
  <c r="BT101" i="69"/>
  <c r="BS101" i="69"/>
  <c r="BR101" i="69"/>
  <c r="BQ101" i="69"/>
  <c r="BP101" i="69"/>
  <c r="BO101" i="69"/>
  <c r="BN101" i="69"/>
  <c r="BM101" i="69"/>
  <c r="BL101" i="69"/>
  <c r="BK101" i="69"/>
  <c r="BJ101" i="69"/>
  <c r="BI101" i="69"/>
  <c r="BH101" i="69"/>
  <c r="BG101" i="69"/>
  <c r="BF101" i="69"/>
  <c r="BE101" i="69"/>
  <c r="BD101" i="69"/>
  <c r="BC101" i="69"/>
  <c r="BB101" i="69"/>
  <c r="BA101" i="69"/>
  <c r="AZ101" i="69"/>
  <c r="AY101" i="69"/>
  <c r="AX101" i="69"/>
  <c r="AW101" i="69"/>
  <c r="AV101" i="69"/>
  <c r="AU101" i="69"/>
  <c r="AT101" i="69"/>
  <c r="AS101" i="69"/>
  <c r="AR101" i="69"/>
  <c r="AQ101" i="69"/>
  <c r="AP101" i="69"/>
  <c r="AO101" i="69"/>
  <c r="AN101" i="69"/>
  <c r="AM101" i="69"/>
  <c r="AL101" i="69"/>
  <c r="AK101" i="69"/>
  <c r="AJ101" i="69"/>
  <c r="AI101" i="69"/>
  <c r="AH101" i="69"/>
  <c r="AG101" i="69"/>
  <c r="AF101" i="69"/>
  <c r="AE101" i="69"/>
  <c r="AD101" i="69"/>
  <c r="AC101" i="69"/>
  <c r="AB101" i="69"/>
  <c r="AA101" i="69"/>
  <c r="Z101" i="69"/>
  <c r="Y101" i="69"/>
  <c r="X101" i="69"/>
  <c r="W101" i="69"/>
  <c r="V101" i="69"/>
  <c r="U101" i="69"/>
  <c r="T101" i="69"/>
  <c r="S101" i="69"/>
  <c r="R101" i="69"/>
  <c r="Q101" i="69"/>
  <c r="P101" i="69"/>
  <c r="O101" i="69"/>
  <c r="N101" i="69"/>
  <c r="M101" i="69"/>
  <c r="L101" i="69"/>
  <c r="K101" i="69"/>
  <c r="J101" i="69"/>
  <c r="I101" i="69"/>
  <c r="H101" i="69"/>
  <c r="G101" i="69"/>
  <c r="F101" i="69"/>
  <c r="E101" i="69"/>
  <c r="D101" i="69"/>
  <c r="CO99" i="66"/>
  <c r="CN99" i="66"/>
  <c r="CM99" i="66"/>
  <c r="CL99" i="66"/>
  <c r="CK99" i="66"/>
  <c r="CO98" i="66"/>
  <c r="CN98" i="66"/>
  <c r="CM98" i="66"/>
  <c r="CL98" i="66"/>
  <c r="CK98" i="66"/>
  <c r="CO97" i="66"/>
  <c r="CN97" i="66"/>
  <c r="CM97" i="66"/>
  <c r="CL97" i="66"/>
  <c r="CK97" i="66"/>
  <c r="CO96" i="66"/>
  <c r="CN96" i="66"/>
  <c r="CM96" i="66"/>
  <c r="CL96" i="66"/>
  <c r="CK96" i="66"/>
  <c r="CO94" i="66"/>
  <c r="CN94" i="66"/>
  <c r="CM94" i="66"/>
  <c r="CL94" i="66"/>
  <c r="CK94" i="66"/>
  <c r="CO93" i="66"/>
  <c r="CN93" i="66"/>
  <c r="CM93" i="66"/>
  <c r="CL93" i="66"/>
  <c r="CK93" i="66"/>
  <c r="CO92" i="66"/>
  <c r="CN92" i="66"/>
  <c r="CM92" i="66"/>
  <c r="CL92" i="66"/>
  <c r="CK92" i="66"/>
  <c r="CO91" i="66"/>
  <c r="CN91" i="66"/>
  <c r="CM91" i="66"/>
  <c r="CL91" i="66"/>
  <c r="CK91" i="66"/>
  <c r="CO90" i="66"/>
  <c r="CN90" i="66"/>
  <c r="CM90" i="66"/>
  <c r="CL90" i="66"/>
  <c r="CK90" i="66"/>
  <c r="CO89" i="66"/>
  <c r="CN89" i="66"/>
  <c r="CM89" i="66"/>
  <c r="CL89" i="66"/>
  <c r="CK89" i="66"/>
  <c r="CO88" i="66"/>
  <c r="CN88" i="66"/>
  <c r="CM88" i="66"/>
  <c r="CL88" i="66"/>
  <c r="CK88" i="66"/>
  <c r="CO87" i="66"/>
  <c r="CN87" i="66"/>
  <c r="CM87" i="66"/>
  <c r="CL87" i="66"/>
  <c r="CK87" i="66"/>
  <c r="CO86" i="66"/>
  <c r="CN86" i="66"/>
  <c r="CM86" i="66"/>
  <c r="CL86" i="66"/>
  <c r="CK86" i="66"/>
  <c r="CO85" i="66"/>
  <c r="CN85" i="66"/>
  <c r="CM85" i="66"/>
  <c r="CL85" i="66"/>
  <c r="CK85" i="66"/>
  <c r="CO84" i="66"/>
  <c r="CN84" i="66"/>
  <c r="CM84" i="66"/>
  <c r="CL84" i="66"/>
  <c r="CK84" i="66"/>
  <c r="CO83" i="66"/>
  <c r="CN83" i="66"/>
  <c r="CM83" i="66"/>
  <c r="CL83" i="66"/>
  <c r="CK83" i="66"/>
  <c r="CO82" i="66"/>
  <c r="CN82" i="66"/>
  <c r="CM82" i="66"/>
  <c r="CL82" i="66"/>
  <c r="CK82" i="66"/>
  <c r="CO81" i="66"/>
  <c r="CN81" i="66"/>
  <c r="CM81" i="66"/>
  <c r="CL81" i="66"/>
  <c r="CK81" i="66"/>
  <c r="CO80" i="66"/>
  <c r="CN80" i="66"/>
  <c r="CM80" i="66"/>
  <c r="CL80" i="66"/>
  <c r="CK80" i="66"/>
  <c r="CO78" i="66"/>
  <c r="CN78" i="66"/>
  <c r="CM78" i="66"/>
  <c r="CL78" i="66"/>
  <c r="CK78" i="66"/>
  <c r="CO77" i="66"/>
  <c r="CN77" i="66"/>
  <c r="CM77" i="66"/>
  <c r="CL77" i="66"/>
  <c r="CK77" i="66"/>
  <c r="CO76" i="66"/>
  <c r="CN76" i="66"/>
  <c r="CM76" i="66"/>
  <c r="CL76" i="66"/>
  <c r="CK76" i="66"/>
  <c r="CO75" i="66"/>
  <c r="CN75" i="66"/>
  <c r="CM75" i="66"/>
  <c r="CL75" i="66"/>
  <c r="CK75" i="66"/>
  <c r="CO74" i="66"/>
  <c r="CN74" i="66"/>
  <c r="CM74" i="66"/>
  <c r="CL74" i="66"/>
  <c r="CK74" i="66"/>
  <c r="CO73" i="66"/>
  <c r="CN73" i="66"/>
  <c r="CM73" i="66"/>
  <c r="CL73" i="66"/>
  <c r="CK73" i="66"/>
  <c r="CO72" i="66"/>
  <c r="CN72" i="66"/>
  <c r="CM72" i="66"/>
  <c r="CL72" i="66"/>
  <c r="CK72" i="66"/>
  <c r="CO71" i="66"/>
  <c r="CN71" i="66"/>
  <c r="CM71" i="66"/>
  <c r="CL71" i="66"/>
  <c r="CK71" i="66"/>
  <c r="CO70" i="66"/>
  <c r="CN70" i="66"/>
  <c r="CM70" i="66"/>
  <c r="CL70" i="66"/>
  <c r="CK70" i="66"/>
  <c r="CO69" i="66"/>
  <c r="CN69" i="66"/>
  <c r="CM69" i="66"/>
  <c r="CL69" i="66"/>
  <c r="CK69" i="66"/>
  <c r="CO68" i="66"/>
  <c r="CN68" i="66"/>
  <c r="CM68" i="66"/>
  <c r="CL68" i="66"/>
  <c r="CK68" i="66"/>
  <c r="CO67" i="66"/>
  <c r="CN67" i="66"/>
  <c r="CM67" i="66"/>
  <c r="CL67" i="66"/>
  <c r="CK67" i="66"/>
  <c r="CO66" i="66"/>
  <c r="CN66" i="66"/>
  <c r="CM66" i="66"/>
  <c r="CL66" i="66"/>
  <c r="CK66" i="66"/>
  <c r="CO65" i="66"/>
  <c r="CN65" i="66"/>
  <c r="CM65" i="66"/>
  <c r="CL65" i="66"/>
  <c r="CK65" i="66"/>
  <c r="CO64" i="66"/>
  <c r="CN64" i="66"/>
  <c r="CM64" i="66"/>
  <c r="CL64" i="66"/>
  <c r="CK64" i="66"/>
  <c r="CO63" i="66"/>
  <c r="CN63" i="66"/>
  <c r="CM63" i="66"/>
  <c r="CL63" i="66"/>
  <c r="CK63" i="66"/>
  <c r="CO62" i="66"/>
  <c r="CN62" i="66"/>
  <c r="CM62" i="66"/>
  <c r="CL62" i="66"/>
  <c r="CK62" i="66"/>
  <c r="CO61" i="66"/>
  <c r="CN61" i="66"/>
  <c r="CM61" i="66"/>
  <c r="CL61" i="66"/>
  <c r="CK61" i="66"/>
  <c r="CO59" i="66"/>
  <c r="CN59" i="66"/>
  <c r="CM59" i="66"/>
  <c r="CL59" i="66"/>
  <c r="CK59" i="66"/>
  <c r="CO58" i="66"/>
  <c r="CN58" i="66"/>
  <c r="CM58" i="66"/>
  <c r="CL58" i="66"/>
  <c r="CK58" i="66"/>
  <c r="CO57" i="66"/>
  <c r="CN57" i="66"/>
  <c r="CM57" i="66"/>
  <c r="CL57" i="66"/>
  <c r="CK57" i="66"/>
  <c r="CO56" i="66"/>
  <c r="CN56" i="66"/>
  <c r="CM56" i="66"/>
  <c r="CL56" i="66"/>
  <c r="CK56" i="66"/>
  <c r="CO55" i="66"/>
  <c r="CN55" i="66"/>
  <c r="CM55" i="66"/>
  <c r="CL55" i="66"/>
  <c r="CK55" i="66"/>
  <c r="CO54" i="66"/>
  <c r="CN54" i="66"/>
  <c r="CM54" i="66"/>
  <c r="CL54" i="66"/>
  <c r="CK54" i="66"/>
  <c r="CO53" i="66"/>
  <c r="CN53" i="66"/>
  <c r="CM53" i="66"/>
  <c r="CL53" i="66"/>
  <c r="CK53" i="66"/>
  <c r="CO52" i="66"/>
  <c r="CN52" i="66"/>
  <c r="CM52" i="66"/>
  <c r="CL52" i="66"/>
  <c r="CK52" i="66"/>
  <c r="CO50" i="66"/>
  <c r="CN50" i="66"/>
  <c r="CM50" i="66"/>
  <c r="CL50" i="66"/>
  <c r="CK50" i="66"/>
  <c r="CO49" i="66"/>
  <c r="CN49" i="66"/>
  <c r="CM49" i="66"/>
  <c r="CL49" i="66"/>
  <c r="CK49" i="66"/>
  <c r="CO48" i="66"/>
  <c r="CN48" i="66"/>
  <c r="CM48" i="66"/>
  <c r="CL48" i="66"/>
  <c r="CK48" i="66"/>
  <c r="CO47" i="66"/>
  <c r="CN47" i="66"/>
  <c r="CM47" i="66"/>
  <c r="CL47" i="66"/>
  <c r="CK47" i="66"/>
  <c r="CO46" i="66"/>
  <c r="CN46" i="66"/>
  <c r="CM46" i="66"/>
  <c r="CL46" i="66"/>
  <c r="CK46" i="66"/>
  <c r="CO45" i="66"/>
  <c r="CN45" i="66"/>
  <c r="CM45" i="66"/>
  <c r="CL45" i="66"/>
  <c r="CK45" i="66"/>
  <c r="CO44" i="66"/>
  <c r="CN44" i="66"/>
  <c r="CM44" i="66"/>
  <c r="CL44" i="66"/>
  <c r="CK44" i="66"/>
  <c r="CO43" i="66"/>
  <c r="CN43" i="66"/>
  <c r="CM43" i="66"/>
  <c r="CL43" i="66"/>
  <c r="CK43" i="66"/>
  <c r="CO42" i="66"/>
  <c r="CN42" i="66"/>
  <c r="CM42" i="66"/>
  <c r="CL42" i="66"/>
  <c r="CK42" i="66"/>
  <c r="CO41" i="66"/>
  <c r="CN41" i="66"/>
  <c r="CM41" i="66"/>
  <c r="CL41" i="66"/>
  <c r="CK41" i="66"/>
  <c r="CO40" i="66"/>
  <c r="CN40" i="66"/>
  <c r="CM40" i="66"/>
  <c r="CL40" i="66"/>
  <c r="CK40" i="66"/>
  <c r="CO39" i="66"/>
  <c r="CN39" i="66"/>
  <c r="CM39" i="66"/>
  <c r="CL39" i="66"/>
  <c r="CK39" i="66"/>
  <c r="CO37" i="66"/>
  <c r="CN37" i="66"/>
  <c r="CM37" i="66"/>
  <c r="CL37" i="66"/>
  <c r="CK37" i="66"/>
  <c r="CO36" i="66"/>
  <c r="CN36" i="66"/>
  <c r="CM36" i="66"/>
  <c r="CL36" i="66"/>
  <c r="CK36" i="66"/>
  <c r="CO35" i="66"/>
  <c r="CN35" i="66"/>
  <c r="CM35" i="66"/>
  <c r="CL35" i="66"/>
  <c r="CK35" i="66"/>
  <c r="CO34" i="66"/>
  <c r="CN34" i="66"/>
  <c r="CM34" i="66"/>
  <c r="CL34" i="66"/>
  <c r="CK34" i="66"/>
  <c r="CO33" i="66"/>
  <c r="CN33" i="66"/>
  <c r="CM33" i="66"/>
  <c r="CL33" i="66"/>
  <c r="CK33" i="66"/>
  <c r="CO32" i="66"/>
  <c r="CN32" i="66"/>
  <c r="CM32" i="66"/>
  <c r="CL32" i="66"/>
  <c r="CK32" i="66"/>
  <c r="CO31" i="66"/>
  <c r="CN31" i="66"/>
  <c r="CM31" i="66"/>
  <c r="CL31" i="66"/>
  <c r="CK31" i="66"/>
  <c r="CO30" i="66"/>
  <c r="CN30" i="66"/>
  <c r="CM30" i="66"/>
  <c r="CL30" i="66"/>
  <c r="CK30" i="66"/>
  <c r="CO29" i="66"/>
  <c r="CN29" i="66"/>
  <c r="CM29" i="66"/>
  <c r="CL29" i="66"/>
  <c r="CK29" i="66"/>
  <c r="CO28" i="66"/>
  <c r="CN28" i="66"/>
  <c r="CM28" i="66"/>
  <c r="CL28" i="66"/>
  <c r="CK28" i="66"/>
  <c r="CO26" i="66"/>
  <c r="CN26" i="66"/>
  <c r="CM26" i="66"/>
  <c r="CL26" i="66"/>
  <c r="CK26" i="66"/>
  <c r="CO25" i="66"/>
  <c r="CN25" i="66"/>
  <c r="CM25" i="66"/>
  <c r="CL25" i="66"/>
  <c r="CK25" i="66"/>
  <c r="CO24" i="66"/>
  <c r="CN24" i="66"/>
  <c r="CM24" i="66"/>
  <c r="CL24" i="66"/>
  <c r="CK24" i="66"/>
  <c r="CO23" i="66"/>
  <c r="CN23" i="66"/>
  <c r="CM23" i="66"/>
  <c r="CL23" i="66"/>
  <c r="CK23" i="66"/>
  <c r="CO22" i="66"/>
  <c r="CN22" i="66"/>
  <c r="CM22" i="66"/>
  <c r="CL22" i="66"/>
  <c r="CK22" i="66"/>
  <c r="CO21" i="66"/>
  <c r="CN21" i="66"/>
  <c r="CM21" i="66"/>
  <c r="CL21" i="66"/>
  <c r="CK21" i="66"/>
  <c r="CO20" i="66"/>
  <c r="CN20" i="66"/>
  <c r="CM20" i="66"/>
  <c r="CL20" i="66"/>
  <c r="CK20" i="66"/>
  <c r="CO19" i="66"/>
  <c r="CN19" i="66"/>
  <c r="CM19" i="66"/>
  <c r="CL19" i="66"/>
  <c r="CK19" i="66"/>
  <c r="CO18" i="66"/>
  <c r="CN18" i="66"/>
  <c r="CM18" i="66"/>
  <c r="CL18" i="66"/>
  <c r="CK18" i="66"/>
  <c r="CO16" i="66"/>
  <c r="CN16" i="66"/>
  <c r="CM16" i="66"/>
  <c r="CL16" i="66"/>
  <c r="CK16" i="66"/>
  <c r="CO15" i="66"/>
  <c r="CN15" i="66"/>
  <c r="CM15" i="66"/>
  <c r="CL15" i="66"/>
  <c r="CK15" i="66"/>
  <c r="CO14" i="66"/>
  <c r="CN14" i="66"/>
  <c r="CM14" i="66"/>
  <c r="CL14" i="66"/>
  <c r="CK14" i="66"/>
  <c r="CO13" i="66"/>
  <c r="CN13" i="66"/>
  <c r="CM13" i="66"/>
  <c r="CL13" i="66"/>
  <c r="CK13" i="66"/>
  <c r="CO12" i="66"/>
  <c r="CN12" i="66"/>
  <c r="CM12" i="66"/>
  <c r="CL12" i="66"/>
  <c r="CK12" i="66"/>
  <c r="CO11" i="66"/>
  <c r="CN11" i="66"/>
  <c r="CM11" i="66"/>
  <c r="CL11" i="66"/>
  <c r="CK11" i="66"/>
  <c r="CO10" i="66"/>
  <c r="CN10" i="66"/>
  <c r="CM10" i="66"/>
  <c r="CL10" i="66"/>
  <c r="CK10" i="66"/>
  <c r="CO9" i="66"/>
  <c r="CN9" i="66"/>
  <c r="CM9" i="66"/>
  <c r="CL9" i="66"/>
  <c r="CK9" i="66"/>
  <c r="CO8" i="66"/>
  <c r="CN8" i="66"/>
  <c r="CM8" i="66"/>
  <c r="CL8" i="66"/>
  <c r="CK8" i="66"/>
  <c r="CO7" i="66"/>
  <c r="CN7" i="66"/>
  <c r="CM7" i="66"/>
  <c r="CL7" i="66"/>
  <c r="CK7" i="66"/>
  <c r="CO6" i="66"/>
  <c r="CN6" i="66"/>
  <c r="CM6" i="66"/>
  <c r="CL6" i="66"/>
  <c r="CK6" i="66"/>
  <c r="CO5" i="66"/>
  <c r="CN5" i="66"/>
  <c r="CM5" i="66"/>
  <c r="CL5" i="66"/>
  <c r="CK5" i="66"/>
  <c r="CO4" i="66"/>
  <c r="CN4" i="66"/>
  <c r="CM4" i="66"/>
  <c r="CL4" i="66"/>
  <c r="CK4" i="66"/>
  <c r="CI109" i="66"/>
  <c r="CI106" i="66"/>
  <c r="CI105" i="66"/>
  <c r="CI104" i="66"/>
  <c r="CI103" i="66"/>
  <c r="CI102" i="66"/>
  <c r="CH109" i="66"/>
  <c r="CH106" i="66"/>
  <c r="CH105" i="66"/>
  <c r="CH104" i="66"/>
  <c r="CH103" i="66"/>
  <c r="CH102" i="66"/>
  <c r="CG109" i="66"/>
  <c r="CG106" i="66"/>
  <c r="CG105" i="66"/>
  <c r="CG104" i="66"/>
  <c r="CG103" i="66"/>
  <c r="CG102" i="66"/>
  <c r="CF109" i="66"/>
  <c r="CF106" i="66"/>
  <c r="CF105" i="66"/>
  <c r="CF104" i="66"/>
  <c r="CF103" i="66"/>
  <c r="CF102" i="66"/>
  <c r="CE109" i="66"/>
  <c r="CE106" i="66"/>
  <c r="CE105" i="66"/>
  <c r="CE104" i="66"/>
  <c r="CE103" i="66"/>
  <c r="CE102" i="66"/>
  <c r="CD109" i="66"/>
  <c r="CD106" i="66"/>
  <c r="CD105" i="66"/>
  <c r="CD104" i="66"/>
  <c r="CD103" i="66"/>
  <c r="CD102" i="66"/>
  <c r="CC109" i="66"/>
  <c r="CC106" i="66"/>
  <c r="CC105" i="66"/>
  <c r="CC104" i="66"/>
  <c r="CC103" i="66"/>
  <c r="CC102" i="66"/>
  <c r="CB109" i="66"/>
  <c r="CB106" i="66"/>
  <c r="CB105" i="66"/>
  <c r="CB104" i="66"/>
  <c r="CB103" i="66"/>
  <c r="CB102" i="66"/>
  <c r="CA109" i="66"/>
  <c r="CA106" i="66"/>
  <c r="CA105" i="66"/>
  <c r="CA104" i="66"/>
  <c r="CA103" i="66"/>
  <c r="CA102" i="66"/>
  <c r="BZ109" i="66"/>
  <c r="BZ106" i="66"/>
  <c r="BZ105" i="66"/>
  <c r="BZ104" i="66"/>
  <c r="BZ103" i="66"/>
  <c r="BZ102" i="66"/>
  <c r="BY109" i="66"/>
  <c r="BY106" i="66"/>
  <c r="BY105" i="66"/>
  <c r="BY104" i="66"/>
  <c r="BY103" i="66"/>
  <c r="BY102" i="66"/>
  <c r="BX109" i="66"/>
  <c r="BX106" i="66"/>
  <c r="BX105" i="66"/>
  <c r="BX104" i="66"/>
  <c r="BX103" i="66"/>
  <c r="BX102" i="66"/>
  <c r="BW109" i="66"/>
  <c r="BW106" i="66"/>
  <c r="BW105" i="66"/>
  <c r="BW104" i="66"/>
  <c r="BW103" i="66"/>
  <c r="BW102" i="66"/>
  <c r="BV109" i="66"/>
  <c r="BV106" i="66"/>
  <c r="BV105" i="66"/>
  <c r="BV104" i="66"/>
  <c r="BV103" i="66"/>
  <c r="BV102" i="66"/>
  <c r="BU109" i="66"/>
  <c r="BU106" i="66"/>
  <c r="BU105" i="66"/>
  <c r="BU104" i="66"/>
  <c r="BU103" i="66"/>
  <c r="BU102" i="66"/>
  <c r="BT109" i="66"/>
  <c r="BT106" i="66"/>
  <c r="BT105" i="66"/>
  <c r="BT104" i="66"/>
  <c r="BT103" i="66"/>
  <c r="BT102" i="66"/>
  <c r="BS109" i="66"/>
  <c r="BS106" i="66"/>
  <c r="BS105" i="66"/>
  <c r="BS104" i="66"/>
  <c r="BS103" i="66"/>
  <c r="BS102" i="66"/>
  <c r="BR109" i="66"/>
  <c r="BR106" i="66"/>
  <c r="BR105" i="66"/>
  <c r="BR104" i="66"/>
  <c r="BR103" i="66"/>
  <c r="BR102" i="66"/>
  <c r="BQ109" i="66"/>
  <c r="BQ106" i="66"/>
  <c r="BQ105" i="66"/>
  <c r="BQ104" i="66"/>
  <c r="BQ103" i="66"/>
  <c r="BQ102" i="66"/>
  <c r="BP109" i="66"/>
  <c r="BP106" i="66"/>
  <c r="BP105" i="66"/>
  <c r="BP104" i="66"/>
  <c r="BP103" i="66"/>
  <c r="BP102" i="66"/>
  <c r="BO109" i="66"/>
  <c r="BO106" i="66"/>
  <c r="BO105" i="66"/>
  <c r="BO104" i="66"/>
  <c r="BO103" i="66"/>
  <c r="BO102" i="66"/>
  <c r="BN109" i="66"/>
  <c r="BN106" i="66"/>
  <c r="BN105" i="66"/>
  <c r="BN104" i="66"/>
  <c r="BN103" i="66"/>
  <c r="BN102" i="66"/>
  <c r="BM109" i="66"/>
  <c r="BM106" i="66"/>
  <c r="BM105" i="66"/>
  <c r="BM104" i="66"/>
  <c r="BM103" i="66"/>
  <c r="BM102" i="66"/>
  <c r="BL109" i="66"/>
  <c r="BL106" i="66"/>
  <c r="BL105" i="66"/>
  <c r="BL104" i="66"/>
  <c r="BL103" i="66"/>
  <c r="BL102" i="66"/>
  <c r="BK109" i="66"/>
  <c r="BK106" i="66"/>
  <c r="BK105" i="66"/>
  <c r="BK104" i="66"/>
  <c r="BK103" i="66"/>
  <c r="BK102" i="66"/>
  <c r="BJ109" i="66"/>
  <c r="BJ106" i="66"/>
  <c r="BJ105" i="66"/>
  <c r="BJ104" i="66"/>
  <c r="BJ103" i="66"/>
  <c r="BJ102" i="66"/>
  <c r="BI109" i="66"/>
  <c r="BI106" i="66"/>
  <c r="BI105" i="66"/>
  <c r="BI104" i="66"/>
  <c r="BI103" i="66"/>
  <c r="BI102" i="66"/>
  <c r="BH109" i="66"/>
  <c r="BH106" i="66"/>
  <c r="BH105" i="66"/>
  <c r="BH104" i="66"/>
  <c r="BH103" i="66"/>
  <c r="BH102" i="66"/>
  <c r="BG109" i="66"/>
  <c r="BG106" i="66"/>
  <c r="BG105" i="66"/>
  <c r="BG104" i="66"/>
  <c r="BG103" i="66"/>
  <c r="BG102" i="66"/>
  <c r="BF109" i="66"/>
  <c r="BF106" i="66"/>
  <c r="BF105" i="66"/>
  <c r="BF104" i="66"/>
  <c r="BF103" i="66"/>
  <c r="BF102" i="66"/>
  <c r="BE109" i="66"/>
  <c r="BE106" i="66"/>
  <c r="BE105" i="66"/>
  <c r="BE104" i="66"/>
  <c r="BE103" i="66"/>
  <c r="BE102" i="66"/>
  <c r="BD109" i="66"/>
  <c r="BD106" i="66"/>
  <c r="BD105" i="66"/>
  <c r="BD104" i="66"/>
  <c r="BD103" i="66"/>
  <c r="BD102" i="66"/>
  <c r="BC109" i="66"/>
  <c r="BC106" i="66"/>
  <c r="BC105" i="66"/>
  <c r="BC104" i="66"/>
  <c r="BC103" i="66"/>
  <c r="BC102" i="66"/>
  <c r="BB109" i="66"/>
  <c r="BB106" i="66"/>
  <c r="BB105" i="66"/>
  <c r="BB104" i="66"/>
  <c r="BB103" i="66"/>
  <c r="BB102" i="66"/>
  <c r="BA109" i="66"/>
  <c r="BA106" i="66"/>
  <c r="BA105" i="66"/>
  <c r="BA104" i="66"/>
  <c r="BA103" i="66"/>
  <c r="BA102" i="66"/>
  <c r="AZ109" i="66"/>
  <c r="AZ106" i="66"/>
  <c r="AZ105" i="66"/>
  <c r="AZ104" i="66"/>
  <c r="AZ103" i="66"/>
  <c r="AZ102" i="66"/>
  <c r="AY109" i="66"/>
  <c r="AY106" i="66"/>
  <c r="AY105" i="66"/>
  <c r="AY104" i="66"/>
  <c r="AY103" i="66"/>
  <c r="AY102" i="66"/>
  <c r="AX109" i="66"/>
  <c r="AX106" i="66"/>
  <c r="AX105" i="66"/>
  <c r="AX104" i="66"/>
  <c r="AX103" i="66"/>
  <c r="AX102" i="66"/>
  <c r="AW109" i="66"/>
  <c r="AW106" i="66"/>
  <c r="AW105" i="66"/>
  <c r="AW104" i="66"/>
  <c r="AW103" i="66"/>
  <c r="AW102" i="66"/>
  <c r="AV109" i="66"/>
  <c r="AV106" i="66"/>
  <c r="AV105" i="66"/>
  <c r="AV104" i="66"/>
  <c r="AV103" i="66"/>
  <c r="AV102" i="66"/>
  <c r="AU109" i="66"/>
  <c r="AU106" i="66"/>
  <c r="AU105" i="66"/>
  <c r="AU104" i="66"/>
  <c r="AU103" i="66"/>
  <c r="AU102" i="66"/>
  <c r="AT109" i="66"/>
  <c r="AT106" i="66"/>
  <c r="AT105" i="66"/>
  <c r="AT104" i="66"/>
  <c r="AT103" i="66"/>
  <c r="AT102" i="66"/>
  <c r="AS109" i="66"/>
  <c r="AS106" i="66"/>
  <c r="AS105" i="66"/>
  <c r="AS104" i="66"/>
  <c r="AS103" i="66"/>
  <c r="AS102" i="66"/>
  <c r="AR109" i="66"/>
  <c r="AR106" i="66"/>
  <c r="AR105" i="66"/>
  <c r="AR104" i="66"/>
  <c r="AR103" i="66"/>
  <c r="AR102" i="66"/>
  <c r="AQ109" i="66"/>
  <c r="AQ106" i="66"/>
  <c r="AQ105" i="66"/>
  <c r="AQ104" i="66"/>
  <c r="AQ103" i="66"/>
  <c r="AQ102" i="66"/>
  <c r="AP109" i="66"/>
  <c r="AP106" i="66"/>
  <c r="AP105" i="66"/>
  <c r="AP104" i="66"/>
  <c r="AP103" i="66"/>
  <c r="AP102" i="66"/>
  <c r="AO109" i="66"/>
  <c r="AO106" i="66"/>
  <c r="AO105" i="66"/>
  <c r="AO104" i="66"/>
  <c r="AO103" i="66"/>
  <c r="AO102" i="66"/>
  <c r="AN109" i="66"/>
  <c r="AN106" i="66"/>
  <c r="AN105" i="66"/>
  <c r="AN104" i="66"/>
  <c r="AN103" i="66"/>
  <c r="AN102" i="66"/>
  <c r="AM109" i="66"/>
  <c r="AM106" i="66"/>
  <c r="AM105" i="66"/>
  <c r="AM104" i="66"/>
  <c r="AM103" i="66"/>
  <c r="AM102" i="66"/>
  <c r="AL109" i="66"/>
  <c r="AL106" i="66"/>
  <c r="AL105" i="66"/>
  <c r="AL104" i="66"/>
  <c r="AL103" i="66"/>
  <c r="AL102" i="66"/>
  <c r="AK109" i="66"/>
  <c r="AK106" i="66"/>
  <c r="AK105" i="66"/>
  <c r="AK104" i="66"/>
  <c r="AK103" i="66"/>
  <c r="AK102" i="66"/>
  <c r="AJ109" i="66"/>
  <c r="AJ106" i="66"/>
  <c r="AJ105" i="66"/>
  <c r="AJ104" i="66"/>
  <c r="AJ103" i="66"/>
  <c r="AJ102" i="66"/>
  <c r="AI109" i="66"/>
  <c r="AI106" i="66"/>
  <c r="AI105" i="66"/>
  <c r="AI104" i="66"/>
  <c r="AI103" i="66"/>
  <c r="AI102" i="66"/>
  <c r="AH109" i="66"/>
  <c r="AH106" i="66"/>
  <c r="AH105" i="66"/>
  <c r="AH104" i="66"/>
  <c r="AH103" i="66"/>
  <c r="AH102" i="66"/>
  <c r="AG109" i="66"/>
  <c r="AG106" i="66"/>
  <c r="AG105" i="66"/>
  <c r="AG104" i="66"/>
  <c r="AG103" i="66"/>
  <c r="AG102" i="66"/>
  <c r="AF109" i="66"/>
  <c r="AF106" i="66"/>
  <c r="AF105" i="66"/>
  <c r="AF104" i="66"/>
  <c r="AF103" i="66"/>
  <c r="AF102" i="66"/>
  <c r="AE109" i="66"/>
  <c r="AE106" i="66"/>
  <c r="AE105" i="66"/>
  <c r="AE104" i="66"/>
  <c r="AE103" i="66"/>
  <c r="AE102" i="66"/>
  <c r="AD109" i="66"/>
  <c r="AD106" i="66"/>
  <c r="AD105" i="66"/>
  <c r="AD104" i="66"/>
  <c r="AD103" i="66"/>
  <c r="AD102" i="66"/>
  <c r="AC109" i="66"/>
  <c r="AC106" i="66"/>
  <c r="AC105" i="66"/>
  <c r="AC104" i="66"/>
  <c r="AC103" i="66"/>
  <c r="AC102" i="66"/>
  <c r="AB109" i="66"/>
  <c r="AB106" i="66"/>
  <c r="AB105" i="66"/>
  <c r="AB104" i="66"/>
  <c r="AB103" i="66"/>
  <c r="AB102" i="66"/>
  <c r="AA109" i="66"/>
  <c r="AA106" i="66"/>
  <c r="AA105" i="66"/>
  <c r="AA104" i="66"/>
  <c r="AA103" i="66"/>
  <c r="AA102" i="66"/>
  <c r="Z109" i="66"/>
  <c r="Z106" i="66"/>
  <c r="Z105" i="66"/>
  <c r="Z104" i="66"/>
  <c r="Z103" i="66"/>
  <c r="Z102" i="66"/>
  <c r="Y109" i="66"/>
  <c r="Y106" i="66"/>
  <c r="Y105" i="66"/>
  <c r="Y104" i="66"/>
  <c r="Y103" i="66"/>
  <c r="Y102" i="66"/>
  <c r="X109" i="66"/>
  <c r="X106" i="66"/>
  <c r="X105" i="66"/>
  <c r="X104" i="66"/>
  <c r="X103" i="66"/>
  <c r="X102" i="66"/>
  <c r="W109" i="66"/>
  <c r="W106" i="66"/>
  <c r="W105" i="66"/>
  <c r="W104" i="66"/>
  <c r="W103" i="66"/>
  <c r="W102" i="66"/>
  <c r="V109" i="66"/>
  <c r="V106" i="66"/>
  <c r="V105" i="66"/>
  <c r="V104" i="66"/>
  <c r="V103" i="66"/>
  <c r="V102" i="66"/>
  <c r="U109" i="66"/>
  <c r="U106" i="66"/>
  <c r="U105" i="66"/>
  <c r="U104" i="66"/>
  <c r="U103" i="66"/>
  <c r="U102" i="66"/>
  <c r="T109" i="66"/>
  <c r="T106" i="66"/>
  <c r="T105" i="66"/>
  <c r="T104" i="66"/>
  <c r="T103" i="66"/>
  <c r="T102" i="66"/>
  <c r="S109" i="66"/>
  <c r="S106" i="66"/>
  <c r="S105" i="66"/>
  <c r="S104" i="66"/>
  <c r="S103" i="66"/>
  <c r="S102" i="66"/>
  <c r="R109" i="66"/>
  <c r="R106" i="66"/>
  <c r="R105" i="66"/>
  <c r="R104" i="66"/>
  <c r="R103" i="66"/>
  <c r="R102" i="66"/>
  <c r="Q109" i="66"/>
  <c r="Q106" i="66"/>
  <c r="Q105" i="66"/>
  <c r="Q104" i="66"/>
  <c r="Q103" i="66"/>
  <c r="Q102" i="66"/>
  <c r="P109" i="66"/>
  <c r="P106" i="66"/>
  <c r="P105" i="66"/>
  <c r="P104" i="66"/>
  <c r="P103" i="66"/>
  <c r="P102" i="66"/>
  <c r="O109" i="66"/>
  <c r="O106" i="66"/>
  <c r="O105" i="66"/>
  <c r="O104" i="66"/>
  <c r="O103" i="66"/>
  <c r="O102" i="66"/>
  <c r="N109" i="66"/>
  <c r="N106" i="66"/>
  <c r="N105" i="66"/>
  <c r="N104" i="66"/>
  <c r="N103" i="66"/>
  <c r="N102" i="66"/>
  <c r="M109" i="66"/>
  <c r="M106" i="66"/>
  <c r="M105" i="66"/>
  <c r="M104" i="66"/>
  <c r="M103" i="66"/>
  <c r="M102" i="66"/>
  <c r="L109" i="66"/>
  <c r="L106" i="66"/>
  <c r="L105" i="66"/>
  <c r="L104" i="66"/>
  <c r="L103" i="66"/>
  <c r="L102" i="66"/>
  <c r="K109" i="66"/>
  <c r="K106" i="66"/>
  <c r="K105" i="66"/>
  <c r="K104" i="66"/>
  <c r="K103" i="66"/>
  <c r="K102" i="66"/>
  <c r="J109" i="66"/>
  <c r="J106" i="66"/>
  <c r="J105" i="66"/>
  <c r="J104" i="66"/>
  <c r="J103" i="66"/>
  <c r="J102" i="66"/>
  <c r="I109" i="66"/>
  <c r="I106" i="66"/>
  <c r="I105" i="66"/>
  <c r="I104" i="66"/>
  <c r="I103" i="66"/>
  <c r="I102" i="66"/>
  <c r="H109" i="66"/>
  <c r="H106" i="66"/>
  <c r="H105" i="66"/>
  <c r="H104" i="66"/>
  <c r="H103" i="66"/>
  <c r="H102" i="66"/>
  <c r="G109" i="66"/>
  <c r="G106" i="66"/>
  <c r="G105" i="66"/>
  <c r="G104" i="66"/>
  <c r="G103" i="66"/>
  <c r="G102" i="66"/>
  <c r="F109" i="66"/>
  <c r="F106" i="66"/>
  <c r="F105" i="66"/>
  <c r="F104" i="66"/>
  <c r="F103" i="66"/>
  <c r="F102" i="66"/>
  <c r="E109" i="66"/>
  <c r="E106" i="66"/>
  <c r="E105" i="66"/>
  <c r="E104" i="66"/>
  <c r="E103" i="66"/>
  <c r="E102" i="66"/>
  <c r="D109" i="66"/>
  <c r="D106" i="66"/>
  <c r="D105" i="66"/>
  <c r="D104" i="66"/>
  <c r="D103" i="66"/>
  <c r="D102" i="66"/>
  <c r="BU101" i="67"/>
  <c r="BT101" i="67"/>
  <c r="BS101" i="67"/>
  <c r="BR101" i="67"/>
  <c r="BQ101" i="67"/>
  <c r="BP101" i="67"/>
  <c r="BO101" i="67"/>
  <c r="BN101" i="67"/>
  <c r="BM101" i="67"/>
  <c r="BL101" i="67"/>
  <c r="BK101" i="67"/>
  <c r="BJ101" i="67"/>
  <c r="BI101" i="67"/>
  <c r="BH101" i="67"/>
  <c r="BG101" i="67"/>
  <c r="BF101" i="67"/>
  <c r="BE101" i="67"/>
  <c r="BD101" i="67"/>
  <c r="BC101" i="67"/>
  <c r="BB101" i="67"/>
  <c r="BA101" i="67"/>
  <c r="AZ101" i="67"/>
  <c r="AY101" i="67"/>
  <c r="AX101" i="67"/>
  <c r="AW101" i="67"/>
  <c r="AV101" i="67"/>
  <c r="AU101" i="67"/>
  <c r="AT101" i="67"/>
  <c r="AS101" i="67"/>
  <c r="AR101" i="67"/>
  <c r="AQ101" i="67"/>
  <c r="AP101" i="67"/>
  <c r="AO101" i="67"/>
  <c r="AN101" i="67"/>
  <c r="AM101" i="67"/>
  <c r="AL101" i="67"/>
  <c r="AK101" i="67"/>
  <c r="AJ101" i="67"/>
  <c r="AI101" i="67"/>
  <c r="AH101" i="67"/>
  <c r="AG101" i="67"/>
  <c r="AF101" i="67"/>
  <c r="AE101" i="67"/>
  <c r="AD101" i="67"/>
  <c r="AC101" i="67"/>
  <c r="AB101" i="67"/>
  <c r="AA101" i="67"/>
  <c r="Z101" i="67"/>
  <c r="Y101" i="67"/>
  <c r="X101" i="67"/>
  <c r="W101" i="67"/>
  <c r="V101" i="67"/>
  <c r="U101" i="67"/>
  <c r="T101" i="67"/>
  <c r="S101" i="67"/>
  <c r="R101" i="67"/>
  <c r="Q101" i="67"/>
  <c r="P101" i="67"/>
  <c r="O101" i="67"/>
  <c r="N101" i="67"/>
  <c r="M101" i="67"/>
  <c r="L101" i="67"/>
  <c r="K101" i="67"/>
  <c r="J101" i="67"/>
  <c r="I101" i="67"/>
  <c r="H101" i="67"/>
  <c r="G101" i="67"/>
  <c r="F101" i="67"/>
  <c r="E101" i="67"/>
  <c r="D101" i="67"/>
  <c r="CO99" i="64"/>
  <c r="CN99" i="64"/>
  <c r="CM99" i="64"/>
  <c r="CL99" i="64"/>
  <c r="CK99" i="64"/>
  <c r="CO98" i="64"/>
  <c r="CN98" i="64"/>
  <c r="CM98" i="64"/>
  <c r="CL98" i="64"/>
  <c r="CK98" i="64"/>
  <c r="CO97" i="64"/>
  <c r="CN97" i="64"/>
  <c r="CM97" i="64"/>
  <c r="CL97" i="64"/>
  <c r="CK97" i="64"/>
  <c r="CO96" i="64"/>
  <c r="CN96" i="64"/>
  <c r="CM96" i="64"/>
  <c r="CL96" i="64"/>
  <c r="CK96" i="64"/>
  <c r="CO95" i="64"/>
  <c r="CN95" i="64"/>
  <c r="CM95" i="64"/>
  <c r="CL95" i="64"/>
  <c r="CK95" i="64"/>
  <c r="CO94" i="64"/>
  <c r="CN94" i="64"/>
  <c r="CM94" i="64"/>
  <c r="CL94" i="64"/>
  <c r="CK94" i="64"/>
  <c r="CO93" i="64"/>
  <c r="CN93" i="64"/>
  <c r="CM93" i="64"/>
  <c r="CL93" i="64"/>
  <c r="CK93" i="64"/>
  <c r="CO92" i="64"/>
  <c r="CN92" i="64"/>
  <c r="CM92" i="64"/>
  <c r="CL92" i="64"/>
  <c r="CK92" i="64"/>
  <c r="CO91" i="64"/>
  <c r="CN91" i="64"/>
  <c r="CM91" i="64"/>
  <c r="CL91" i="64"/>
  <c r="CK91" i="64"/>
  <c r="CO90" i="64"/>
  <c r="CN90" i="64"/>
  <c r="CM90" i="64"/>
  <c r="CL90" i="64"/>
  <c r="CK90" i="64"/>
  <c r="CO89" i="64"/>
  <c r="CN89" i="64"/>
  <c r="CM89" i="64"/>
  <c r="CL89" i="64"/>
  <c r="CK89" i="64"/>
  <c r="CO88" i="64"/>
  <c r="CN88" i="64"/>
  <c r="CM88" i="64"/>
  <c r="CL88" i="64"/>
  <c r="CK88" i="64"/>
  <c r="CO87" i="64"/>
  <c r="CN87" i="64"/>
  <c r="CM87" i="64"/>
  <c r="CL87" i="64"/>
  <c r="CK87" i="64"/>
  <c r="CO86" i="64"/>
  <c r="CN86" i="64"/>
  <c r="CM86" i="64"/>
  <c r="CL86" i="64"/>
  <c r="CK86" i="64"/>
  <c r="CO85" i="64"/>
  <c r="CN85" i="64"/>
  <c r="CM85" i="64"/>
  <c r="CL85" i="64"/>
  <c r="CK85" i="64"/>
  <c r="CO83" i="64"/>
  <c r="CN83" i="64"/>
  <c r="CM83" i="64"/>
  <c r="CL83" i="64"/>
  <c r="CK83" i="64"/>
  <c r="CO82" i="64"/>
  <c r="CN82" i="64"/>
  <c r="CM82" i="64"/>
  <c r="CL82" i="64"/>
  <c r="CK82" i="64"/>
  <c r="CO81" i="64"/>
  <c r="CN81" i="64"/>
  <c r="CM81" i="64"/>
  <c r="CL81" i="64"/>
  <c r="CK81" i="64"/>
  <c r="CO80" i="64"/>
  <c r="CN80" i="64"/>
  <c r="CM80" i="64"/>
  <c r="CL80" i="64"/>
  <c r="CK80" i="64"/>
  <c r="CO78" i="64"/>
  <c r="CN78" i="64"/>
  <c r="CM78" i="64"/>
  <c r="CL78" i="64"/>
  <c r="CK78" i="64"/>
  <c r="CO77" i="64"/>
  <c r="CN77" i="64"/>
  <c r="CM77" i="64"/>
  <c r="CL77" i="64"/>
  <c r="CK77" i="64"/>
  <c r="CO76" i="64"/>
  <c r="CN76" i="64"/>
  <c r="CM76" i="64"/>
  <c r="CL76" i="64"/>
  <c r="CK76" i="64"/>
  <c r="CO75" i="64"/>
  <c r="CN75" i="64"/>
  <c r="CM75" i="64"/>
  <c r="CL75" i="64"/>
  <c r="CK75" i="64"/>
  <c r="CO74" i="64"/>
  <c r="CN74" i="64"/>
  <c r="CM74" i="64"/>
  <c r="CL74" i="64"/>
  <c r="CK74" i="64"/>
  <c r="CO73" i="64"/>
  <c r="CN73" i="64"/>
  <c r="CM73" i="64"/>
  <c r="CL73" i="64"/>
  <c r="CK73" i="64"/>
  <c r="CO72" i="64"/>
  <c r="CN72" i="64"/>
  <c r="CM72" i="64"/>
  <c r="CL72" i="64"/>
  <c r="CK72" i="64"/>
  <c r="CO71" i="64"/>
  <c r="CN71" i="64"/>
  <c r="CM71" i="64"/>
  <c r="CL71" i="64"/>
  <c r="CK71" i="64"/>
  <c r="CO70" i="64"/>
  <c r="CN70" i="64"/>
  <c r="CM70" i="64"/>
  <c r="CL70" i="64"/>
  <c r="CK70" i="64"/>
  <c r="CO69" i="64"/>
  <c r="CN69" i="64"/>
  <c r="CM69" i="64"/>
  <c r="CL69" i="64"/>
  <c r="CK69" i="64"/>
  <c r="CO68" i="64"/>
  <c r="CN68" i="64"/>
  <c r="CM68" i="64"/>
  <c r="CL68" i="64"/>
  <c r="CK68" i="64"/>
  <c r="CO67" i="64"/>
  <c r="CN67" i="64"/>
  <c r="CM67" i="64"/>
  <c r="CL67" i="64"/>
  <c r="CK67" i="64"/>
  <c r="CO66" i="64"/>
  <c r="CN66" i="64"/>
  <c r="CM66" i="64"/>
  <c r="CL66" i="64"/>
  <c r="CK66" i="64"/>
  <c r="CO65" i="64"/>
  <c r="CN65" i="64"/>
  <c r="CM65" i="64"/>
  <c r="CL65" i="64"/>
  <c r="CK65" i="64"/>
  <c r="CO64" i="64"/>
  <c r="CN64" i="64"/>
  <c r="CM64" i="64"/>
  <c r="CL64" i="64"/>
  <c r="CK64" i="64"/>
  <c r="CO63" i="64"/>
  <c r="CN63" i="64"/>
  <c r="CM63" i="64"/>
  <c r="CL63" i="64"/>
  <c r="CK63" i="64"/>
  <c r="CO62" i="64"/>
  <c r="CN62" i="64"/>
  <c r="CM62" i="64"/>
  <c r="CL62" i="64"/>
  <c r="CK62" i="64"/>
  <c r="CO61" i="64"/>
  <c r="CN61" i="64"/>
  <c r="CM61" i="64"/>
  <c r="CL61" i="64"/>
  <c r="CK61" i="64"/>
  <c r="CO59" i="64"/>
  <c r="CN59" i="64"/>
  <c r="CM59" i="64"/>
  <c r="CL59" i="64"/>
  <c r="CK59" i="64"/>
  <c r="CO58" i="64"/>
  <c r="CN58" i="64"/>
  <c r="CM58" i="64"/>
  <c r="CL58" i="64"/>
  <c r="CK58" i="64"/>
  <c r="CO57" i="64"/>
  <c r="CN57" i="64"/>
  <c r="CM57" i="64"/>
  <c r="CL57" i="64"/>
  <c r="CK57" i="64"/>
  <c r="CO56" i="64"/>
  <c r="CN56" i="64"/>
  <c r="CM56" i="64"/>
  <c r="CL56" i="64"/>
  <c r="CK56" i="64"/>
  <c r="CO55" i="64"/>
  <c r="CN55" i="64"/>
  <c r="CM55" i="64"/>
  <c r="CL55" i="64"/>
  <c r="CK55" i="64"/>
  <c r="CO54" i="64"/>
  <c r="CN54" i="64"/>
  <c r="CM54" i="64"/>
  <c r="CL54" i="64"/>
  <c r="CK54" i="64"/>
  <c r="CO53" i="64"/>
  <c r="CN53" i="64"/>
  <c r="CM53" i="64"/>
  <c r="CL53" i="64"/>
  <c r="CK53" i="64"/>
  <c r="CO52" i="64"/>
  <c r="CN52" i="64"/>
  <c r="CM52" i="64"/>
  <c r="CL52" i="64"/>
  <c r="CK52" i="64"/>
  <c r="CO50" i="64"/>
  <c r="CN50" i="64"/>
  <c r="CM50" i="64"/>
  <c r="CL50" i="64"/>
  <c r="CK50" i="64"/>
  <c r="CO49" i="64"/>
  <c r="CN49" i="64"/>
  <c r="CM49" i="64"/>
  <c r="CL49" i="64"/>
  <c r="CK49" i="64"/>
  <c r="CO48" i="64"/>
  <c r="CN48" i="64"/>
  <c r="CM48" i="64"/>
  <c r="CL48" i="64"/>
  <c r="CK48" i="64"/>
  <c r="CO47" i="64"/>
  <c r="CN47" i="64"/>
  <c r="CM47" i="64"/>
  <c r="CL47" i="64"/>
  <c r="CK47" i="64"/>
  <c r="CO46" i="64"/>
  <c r="CN46" i="64"/>
  <c r="CM46" i="64"/>
  <c r="CL46" i="64"/>
  <c r="CK46" i="64"/>
  <c r="CO45" i="64"/>
  <c r="CN45" i="64"/>
  <c r="CM45" i="64"/>
  <c r="CL45" i="64"/>
  <c r="CK45" i="64"/>
  <c r="CO44" i="64"/>
  <c r="CN44" i="64"/>
  <c r="CM44" i="64"/>
  <c r="CL44" i="64"/>
  <c r="CK44" i="64"/>
  <c r="CO43" i="64"/>
  <c r="CN43" i="64"/>
  <c r="CM43" i="64"/>
  <c r="CL43" i="64"/>
  <c r="CK43" i="64"/>
  <c r="CO42" i="64"/>
  <c r="CN42" i="64"/>
  <c r="CM42" i="64"/>
  <c r="CL42" i="64"/>
  <c r="CK42" i="64"/>
  <c r="CO41" i="64"/>
  <c r="CN41" i="64"/>
  <c r="CM41" i="64"/>
  <c r="CL41" i="64"/>
  <c r="CK41" i="64"/>
  <c r="CO40" i="64"/>
  <c r="CN40" i="64"/>
  <c r="CM40" i="64"/>
  <c r="CL40" i="64"/>
  <c r="CK40" i="64"/>
  <c r="CO39" i="64"/>
  <c r="CN39" i="64"/>
  <c r="CM39" i="64"/>
  <c r="CL39" i="64"/>
  <c r="CK39" i="64"/>
  <c r="CO37" i="64"/>
  <c r="CN37" i="64"/>
  <c r="CM37" i="64"/>
  <c r="CL37" i="64"/>
  <c r="CK37" i="64"/>
  <c r="CO36" i="64"/>
  <c r="CN36" i="64"/>
  <c r="CM36" i="64"/>
  <c r="CL36" i="64"/>
  <c r="CK36" i="64"/>
  <c r="CO35" i="64"/>
  <c r="CN35" i="64"/>
  <c r="CM35" i="64"/>
  <c r="CL35" i="64"/>
  <c r="CK35" i="64"/>
  <c r="CO34" i="64"/>
  <c r="CN34" i="64"/>
  <c r="CM34" i="64"/>
  <c r="CL34" i="64"/>
  <c r="CK34" i="64"/>
  <c r="CO33" i="64"/>
  <c r="CN33" i="64"/>
  <c r="CM33" i="64"/>
  <c r="CL33" i="64"/>
  <c r="CK33" i="64"/>
  <c r="CO32" i="64"/>
  <c r="CN32" i="64"/>
  <c r="CM32" i="64"/>
  <c r="CL32" i="64"/>
  <c r="CK32" i="64"/>
  <c r="CO31" i="64"/>
  <c r="CN31" i="64"/>
  <c r="CM31" i="64"/>
  <c r="CL31" i="64"/>
  <c r="CK31" i="64"/>
  <c r="CO30" i="64"/>
  <c r="CN30" i="64"/>
  <c r="CM30" i="64"/>
  <c r="CL30" i="64"/>
  <c r="CK30" i="64"/>
  <c r="CO29" i="64"/>
  <c r="CN29" i="64"/>
  <c r="CM29" i="64"/>
  <c r="CL29" i="64"/>
  <c r="CK29" i="64"/>
  <c r="CO28" i="64"/>
  <c r="CN28" i="64"/>
  <c r="CM28" i="64"/>
  <c r="CL28" i="64"/>
  <c r="CK28" i="64"/>
  <c r="CO26" i="64"/>
  <c r="CN26" i="64"/>
  <c r="CM26" i="64"/>
  <c r="CL26" i="64"/>
  <c r="CK26" i="64"/>
  <c r="CO25" i="64"/>
  <c r="CN25" i="64"/>
  <c r="CM25" i="64"/>
  <c r="CL25" i="64"/>
  <c r="CK25" i="64"/>
  <c r="CO24" i="64"/>
  <c r="CN24" i="64"/>
  <c r="CM24" i="64"/>
  <c r="CL24" i="64"/>
  <c r="CK24" i="64"/>
  <c r="CO23" i="64"/>
  <c r="CN23" i="64"/>
  <c r="CM23" i="64"/>
  <c r="CL23" i="64"/>
  <c r="CK23" i="64"/>
  <c r="CO22" i="64"/>
  <c r="CN22" i="64"/>
  <c r="CM22" i="64"/>
  <c r="CL22" i="64"/>
  <c r="CK22" i="64"/>
  <c r="CO21" i="64"/>
  <c r="CN21" i="64"/>
  <c r="CM21" i="64"/>
  <c r="CL21" i="64"/>
  <c r="CK21" i="64"/>
  <c r="CO20" i="64"/>
  <c r="CN20" i="64"/>
  <c r="CM20" i="64"/>
  <c r="CL20" i="64"/>
  <c r="CK20" i="64"/>
  <c r="CO19" i="64"/>
  <c r="CN19" i="64"/>
  <c r="CM19" i="64"/>
  <c r="CL19" i="64"/>
  <c r="CK19" i="64"/>
  <c r="CO18" i="64"/>
  <c r="CN18" i="64"/>
  <c r="CM18" i="64"/>
  <c r="CL18" i="64"/>
  <c r="CK18" i="64"/>
  <c r="CO16" i="64"/>
  <c r="CN16" i="64"/>
  <c r="CM16" i="64"/>
  <c r="CL16" i="64"/>
  <c r="CK16" i="64"/>
  <c r="CO15" i="64"/>
  <c r="CN15" i="64"/>
  <c r="CM15" i="64"/>
  <c r="CL15" i="64"/>
  <c r="CK15" i="64"/>
  <c r="CO14" i="64"/>
  <c r="CN14" i="64"/>
  <c r="CM14" i="64"/>
  <c r="CL14" i="64"/>
  <c r="CK14" i="64"/>
  <c r="CO13" i="64"/>
  <c r="CN13" i="64"/>
  <c r="CM13" i="64"/>
  <c r="CL13" i="64"/>
  <c r="CK13" i="64"/>
  <c r="CO12" i="64"/>
  <c r="CN12" i="64"/>
  <c r="CM12" i="64"/>
  <c r="CL12" i="64"/>
  <c r="CK12" i="64"/>
  <c r="CO11" i="64"/>
  <c r="CN11" i="64"/>
  <c r="CM11" i="64"/>
  <c r="CL11" i="64"/>
  <c r="CK11" i="64"/>
  <c r="CO10" i="64"/>
  <c r="CN10" i="64"/>
  <c r="CM10" i="64"/>
  <c r="CL10" i="64"/>
  <c r="CK10" i="64"/>
  <c r="CO9" i="64"/>
  <c r="CN9" i="64"/>
  <c r="CM9" i="64"/>
  <c r="CL9" i="64"/>
  <c r="CK9" i="64"/>
  <c r="CO8" i="64"/>
  <c r="CN8" i="64"/>
  <c r="CM8" i="64"/>
  <c r="CL8" i="64"/>
  <c r="CK8" i="64"/>
  <c r="CO7" i="64"/>
  <c r="CN7" i="64"/>
  <c r="CM7" i="64"/>
  <c r="CL7" i="64"/>
  <c r="CK7" i="64"/>
  <c r="CO6" i="64"/>
  <c r="CN6" i="64"/>
  <c r="CM6" i="64"/>
  <c r="CL6" i="64"/>
  <c r="CK6" i="64"/>
  <c r="CO5" i="64"/>
  <c r="CN5" i="64"/>
  <c r="CM5" i="64"/>
  <c r="CL5" i="64"/>
  <c r="CK5" i="64"/>
  <c r="CO4" i="64"/>
  <c r="CN4" i="64"/>
  <c r="CM4" i="64"/>
  <c r="CL4" i="64"/>
  <c r="CK4" i="64"/>
  <c r="CI109" i="64"/>
  <c r="CI106" i="64"/>
  <c r="CI105" i="64"/>
  <c r="CI104" i="64"/>
  <c r="CI103" i="64"/>
  <c r="CI102" i="64"/>
  <c r="CH109" i="64"/>
  <c r="CH106" i="64"/>
  <c r="CH105" i="64"/>
  <c r="CH104" i="64"/>
  <c r="CH103" i="64"/>
  <c r="CH102" i="64"/>
  <c r="CG109" i="64"/>
  <c r="CG106" i="64"/>
  <c r="CG105" i="64"/>
  <c r="CG104" i="64"/>
  <c r="CG103" i="64"/>
  <c r="CG102" i="64"/>
  <c r="CF109" i="64"/>
  <c r="CF106" i="64"/>
  <c r="CF105" i="64"/>
  <c r="CF104" i="64"/>
  <c r="CF103" i="64"/>
  <c r="CF102" i="64"/>
  <c r="CE109" i="64"/>
  <c r="CE106" i="64"/>
  <c r="CE105" i="64"/>
  <c r="CE104" i="64"/>
  <c r="CE103" i="64"/>
  <c r="CE102" i="64"/>
  <c r="CD109" i="64"/>
  <c r="CD106" i="64"/>
  <c r="CD105" i="64"/>
  <c r="CD104" i="64"/>
  <c r="CD103" i="64"/>
  <c r="CD102" i="64"/>
  <c r="CC109" i="64"/>
  <c r="CC106" i="64"/>
  <c r="CC105" i="64"/>
  <c r="CC104" i="64"/>
  <c r="CC103" i="64"/>
  <c r="CC102" i="64"/>
  <c r="CB109" i="64"/>
  <c r="CB106" i="64"/>
  <c r="CB105" i="64"/>
  <c r="CB104" i="64"/>
  <c r="CB103" i="64"/>
  <c r="CB102" i="64"/>
  <c r="CA109" i="64"/>
  <c r="CA106" i="64"/>
  <c r="CA105" i="64"/>
  <c r="CA104" i="64"/>
  <c r="CA103" i="64"/>
  <c r="CA102" i="64"/>
  <c r="BZ109" i="64"/>
  <c r="BZ106" i="64"/>
  <c r="BZ105" i="64"/>
  <c r="BZ104" i="64"/>
  <c r="BZ103" i="64"/>
  <c r="BZ102" i="64"/>
  <c r="BY109" i="64"/>
  <c r="BY106" i="64"/>
  <c r="BY105" i="64"/>
  <c r="BY104" i="64"/>
  <c r="BY103" i="64"/>
  <c r="BY102" i="64"/>
  <c r="BX109" i="64"/>
  <c r="BX106" i="64"/>
  <c r="BX105" i="64"/>
  <c r="BX104" i="64"/>
  <c r="BX103" i="64"/>
  <c r="BX102" i="64"/>
  <c r="BW109" i="64"/>
  <c r="BW106" i="64"/>
  <c r="BW105" i="64"/>
  <c r="BW104" i="64"/>
  <c r="BW103" i="64"/>
  <c r="BW102" i="64"/>
  <c r="BV109" i="64"/>
  <c r="BV106" i="64"/>
  <c r="BV105" i="64"/>
  <c r="BV104" i="64"/>
  <c r="BV103" i="64"/>
  <c r="BV102" i="64"/>
  <c r="BU109" i="64"/>
  <c r="BU106" i="64"/>
  <c r="BU105" i="64"/>
  <c r="BU104" i="64"/>
  <c r="BU103" i="64"/>
  <c r="BU102" i="64"/>
  <c r="BT109" i="64"/>
  <c r="BT106" i="64"/>
  <c r="BT105" i="64"/>
  <c r="BT104" i="64"/>
  <c r="BT103" i="64"/>
  <c r="BT102" i="64"/>
  <c r="BS109" i="64"/>
  <c r="BS106" i="64"/>
  <c r="BS105" i="64"/>
  <c r="BS104" i="64"/>
  <c r="BS103" i="64"/>
  <c r="BS102" i="64"/>
  <c r="BR109" i="64"/>
  <c r="BR106" i="64"/>
  <c r="BR105" i="64"/>
  <c r="BR104" i="64"/>
  <c r="BR103" i="64"/>
  <c r="BR102" i="64"/>
  <c r="BQ109" i="64"/>
  <c r="BQ106" i="64"/>
  <c r="BQ105" i="64"/>
  <c r="BQ104" i="64"/>
  <c r="BQ103" i="64"/>
  <c r="BQ102" i="64"/>
  <c r="BP109" i="64"/>
  <c r="BP106" i="64"/>
  <c r="BP105" i="64"/>
  <c r="BP104" i="64"/>
  <c r="BP103" i="64"/>
  <c r="BP102" i="64"/>
  <c r="BO109" i="64"/>
  <c r="BO106" i="64"/>
  <c r="BO105" i="64"/>
  <c r="BO104" i="64"/>
  <c r="BO103" i="64"/>
  <c r="BO102" i="64"/>
  <c r="BN109" i="64"/>
  <c r="BN106" i="64"/>
  <c r="BN105" i="64"/>
  <c r="BN104" i="64"/>
  <c r="BN103" i="64"/>
  <c r="BN102" i="64"/>
  <c r="BM109" i="64"/>
  <c r="BM106" i="64"/>
  <c r="BM105" i="64"/>
  <c r="BM104" i="64"/>
  <c r="BM103" i="64"/>
  <c r="BM102" i="64"/>
  <c r="BL109" i="64"/>
  <c r="BL106" i="64"/>
  <c r="BL105" i="64"/>
  <c r="BL104" i="64"/>
  <c r="BL103" i="64"/>
  <c r="BL102" i="64"/>
  <c r="BK109" i="64"/>
  <c r="BK106" i="64"/>
  <c r="BK105" i="64"/>
  <c r="BK104" i="64"/>
  <c r="BK103" i="64"/>
  <c r="BK102" i="64"/>
  <c r="BJ109" i="64"/>
  <c r="BJ106" i="64"/>
  <c r="BJ105" i="64"/>
  <c r="BJ104" i="64"/>
  <c r="BJ103" i="64"/>
  <c r="BJ102" i="64"/>
  <c r="BI109" i="64"/>
  <c r="BI106" i="64"/>
  <c r="BI105" i="64"/>
  <c r="BI104" i="64"/>
  <c r="BI103" i="64"/>
  <c r="BI102" i="64"/>
  <c r="BH109" i="64"/>
  <c r="BH106" i="64"/>
  <c r="BH105" i="64"/>
  <c r="BH104" i="64"/>
  <c r="BH103" i="64"/>
  <c r="BH102" i="64"/>
  <c r="BG109" i="64"/>
  <c r="BG106" i="64"/>
  <c r="BG105" i="64"/>
  <c r="BG104" i="64"/>
  <c r="BG103" i="64"/>
  <c r="BG102" i="64"/>
  <c r="BF109" i="64"/>
  <c r="BF106" i="64"/>
  <c r="BF105" i="64"/>
  <c r="BF104" i="64"/>
  <c r="BF103" i="64"/>
  <c r="BF102" i="64"/>
  <c r="BE109" i="64"/>
  <c r="BE106" i="64"/>
  <c r="BE105" i="64"/>
  <c r="BE104" i="64"/>
  <c r="BE103" i="64"/>
  <c r="BE102" i="64"/>
  <c r="BD109" i="64"/>
  <c r="BD106" i="64"/>
  <c r="BD105" i="64"/>
  <c r="BD104" i="64"/>
  <c r="BD103" i="64"/>
  <c r="BD102" i="64"/>
  <c r="BC109" i="64"/>
  <c r="BC106" i="64"/>
  <c r="BC105" i="64"/>
  <c r="BC104" i="64"/>
  <c r="BC103" i="64"/>
  <c r="BC102" i="64"/>
  <c r="BB109" i="64"/>
  <c r="BB106" i="64"/>
  <c r="BB105" i="64"/>
  <c r="BB104" i="64"/>
  <c r="BB103" i="64"/>
  <c r="BB102" i="64"/>
  <c r="BA109" i="64"/>
  <c r="BA106" i="64"/>
  <c r="BA105" i="64"/>
  <c r="BA104" i="64"/>
  <c r="BA103" i="64"/>
  <c r="BA102" i="64"/>
  <c r="AZ109" i="64"/>
  <c r="AZ106" i="64"/>
  <c r="AZ105" i="64"/>
  <c r="AZ104" i="64"/>
  <c r="AZ103" i="64"/>
  <c r="AZ102" i="64"/>
  <c r="AY109" i="64"/>
  <c r="AY106" i="64"/>
  <c r="AY105" i="64"/>
  <c r="AY104" i="64"/>
  <c r="AY103" i="64"/>
  <c r="AY102" i="64"/>
  <c r="AX109" i="64"/>
  <c r="AX106" i="64"/>
  <c r="AX105" i="64"/>
  <c r="AX104" i="64"/>
  <c r="AX103" i="64"/>
  <c r="AX102" i="64"/>
  <c r="AW109" i="64"/>
  <c r="AW106" i="64"/>
  <c r="AW105" i="64"/>
  <c r="AW104" i="64"/>
  <c r="AW103" i="64"/>
  <c r="AW102" i="64"/>
  <c r="AV109" i="64"/>
  <c r="AV106" i="64"/>
  <c r="AV105" i="64"/>
  <c r="AV104" i="64"/>
  <c r="AV103" i="64"/>
  <c r="AV102" i="64"/>
  <c r="AU109" i="64"/>
  <c r="AU106" i="64"/>
  <c r="AU105" i="64"/>
  <c r="AU104" i="64"/>
  <c r="AU103" i="64"/>
  <c r="AU102" i="64"/>
  <c r="AT109" i="64"/>
  <c r="AT106" i="64"/>
  <c r="AT105" i="64"/>
  <c r="AT104" i="64"/>
  <c r="AT103" i="64"/>
  <c r="AT102" i="64"/>
  <c r="AS109" i="64"/>
  <c r="AS106" i="64"/>
  <c r="AS105" i="64"/>
  <c r="AS104" i="64"/>
  <c r="AS103" i="64"/>
  <c r="AS102" i="64"/>
  <c r="AR109" i="64"/>
  <c r="AR106" i="64"/>
  <c r="AR105" i="64"/>
  <c r="AR104" i="64"/>
  <c r="AR103" i="64"/>
  <c r="AR102" i="64"/>
  <c r="AQ109" i="64"/>
  <c r="AQ106" i="64"/>
  <c r="AQ105" i="64"/>
  <c r="AQ104" i="64"/>
  <c r="AQ103" i="64"/>
  <c r="AQ102" i="64"/>
  <c r="AP109" i="64"/>
  <c r="AP106" i="64"/>
  <c r="AP105" i="64"/>
  <c r="AP104" i="64"/>
  <c r="AP103" i="64"/>
  <c r="AP102" i="64"/>
  <c r="AO109" i="64"/>
  <c r="AO106" i="64"/>
  <c r="AO105" i="64"/>
  <c r="AO104" i="64"/>
  <c r="AO103" i="64"/>
  <c r="AO102" i="64"/>
  <c r="AN109" i="64"/>
  <c r="AN106" i="64"/>
  <c r="AN105" i="64"/>
  <c r="AN104" i="64"/>
  <c r="AN103" i="64"/>
  <c r="AN102" i="64"/>
  <c r="AM109" i="64"/>
  <c r="AM106" i="64"/>
  <c r="AM105" i="64"/>
  <c r="AM104" i="64"/>
  <c r="AM103" i="64"/>
  <c r="AM102" i="64"/>
  <c r="AL109" i="64"/>
  <c r="AL106" i="64"/>
  <c r="AL105" i="64"/>
  <c r="AL104" i="64"/>
  <c r="AL103" i="64"/>
  <c r="AL102" i="64"/>
  <c r="AK109" i="64"/>
  <c r="AK106" i="64"/>
  <c r="AK105" i="64"/>
  <c r="AK104" i="64"/>
  <c r="AK103" i="64"/>
  <c r="AK102" i="64"/>
  <c r="AJ109" i="64"/>
  <c r="AJ106" i="64"/>
  <c r="AJ105" i="64"/>
  <c r="AJ104" i="64"/>
  <c r="AJ103" i="64"/>
  <c r="AJ102" i="64"/>
  <c r="AI109" i="64"/>
  <c r="AI106" i="64"/>
  <c r="AI105" i="64"/>
  <c r="AI104" i="64"/>
  <c r="AI103" i="64"/>
  <c r="AI102" i="64"/>
  <c r="AH109" i="64"/>
  <c r="AH106" i="64"/>
  <c r="AH105" i="64"/>
  <c r="AH104" i="64"/>
  <c r="AH103" i="64"/>
  <c r="AH102" i="64"/>
  <c r="AG109" i="64"/>
  <c r="AG106" i="64"/>
  <c r="AG105" i="64"/>
  <c r="AG104" i="64"/>
  <c r="AG103" i="64"/>
  <c r="AG102" i="64"/>
  <c r="AF109" i="64"/>
  <c r="AF106" i="64"/>
  <c r="AF105" i="64"/>
  <c r="AF104" i="64"/>
  <c r="AF103" i="64"/>
  <c r="AF102" i="64"/>
  <c r="AE109" i="64"/>
  <c r="AE106" i="64"/>
  <c r="AE105" i="64"/>
  <c r="AE104" i="64"/>
  <c r="AE103" i="64"/>
  <c r="AE102" i="64"/>
  <c r="AD109" i="64"/>
  <c r="AD106" i="64"/>
  <c r="AD105" i="64"/>
  <c r="AD104" i="64"/>
  <c r="AD103" i="64"/>
  <c r="AD102" i="64"/>
  <c r="AC109" i="64"/>
  <c r="AC106" i="64"/>
  <c r="AC105" i="64"/>
  <c r="AC104" i="64"/>
  <c r="AC103" i="64"/>
  <c r="AC102" i="64"/>
  <c r="AB109" i="64"/>
  <c r="AB106" i="64"/>
  <c r="AB105" i="64"/>
  <c r="AB104" i="64"/>
  <c r="AB103" i="64"/>
  <c r="AB102" i="64"/>
  <c r="AA109" i="64"/>
  <c r="AA106" i="64"/>
  <c r="AA105" i="64"/>
  <c r="AA104" i="64"/>
  <c r="AA103" i="64"/>
  <c r="AA102" i="64"/>
  <c r="Z109" i="64"/>
  <c r="Z106" i="64"/>
  <c r="Z105" i="64"/>
  <c r="Z104" i="64"/>
  <c r="Z103" i="64"/>
  <c r="Z102" i="64"/>
  <c r="Y109" i="64"/>
  <c r="Y106" i="64"/>
  <c r="Y105" i="64"/>
  <c r="Y104" i="64"/>
  <c r="Y103" i="64"/>
  <c r="Y102" i="64"/>
  <c r="X109" i="64"/>
  <c r="X106" i="64"/>
  <c r="X105" i="64"/>
  <c r="X104" i="64"/>
  <c r="X103" i="64"/>
  <c r="X102" i="64"/>
  <c r="W109" i="64"/>
  <c r="W106" i="64"/>
  <c r="W105" i="64"/>
  <c r="W104" i="64"/>
  <c r="W103" i="64"/>
  <c r="W102" i="64"/>
  <c r="V109" i="64"/>
  <c r="V106" i="64"/>
  <c r="V105" i="64"/>
  <c r="V104" i="64"/>
  <c r="V103" i="64"/>
  <c r="V102" i="64"/>
  <c r="U109" i="64"/>
  <c r="U106" i="64"/>
  <c r="U105" i="64"/>
  <c r="U104" i="64"/>
  <c r="U103" i="64"/>
  <c r="U102" i="64"/>
  <c r="T109" i="64"/>
  <c r="T106" i="64"/>
  <c r="T105" i="64"/>
  <c r="T104" i="64"/>
  <c r="T103" i="64"/>
  <c r="T102" i="64"/>
  <c r="S109" i="64"/>
  <c r="S106" i="64"/>
  <c r="S105" i="64"/>
  <c r="S104" i="64"/>
  <c r="S103" i="64"/>
  <c r="S102" i="64"/>
  <c r="R109" i="64"/>
  <c r="R106" i="64"/>
  <c r="R105" i="64"/>
  <c r="R104" i="64"/>
  <c r="R103" i="64"/>
  <c r="R102" i="64"/>
  <c r="Q109" i="64"/>
  <c r="Q106" i="64"/>
  <c r="Q105" i="64"/>
  <c r="Q104" i="64"/>
  <c r="Q103" i="64"/>
  <c r="Q102" i="64"/>
  <c r="P109" i="64"/>
  <c r="P106" i="64"/>
  <c r="P105" i="64"/>
  <c r="P104" i="64"/>
  <c r="P103" i="64"/>
  <c r="P102" i="64"/>
  <c r="O109" i="64"/>
  <c r="O106" i="64"/>
  <c r="O105" i="64"/>
  <c r="O104" i="64"/>
  <c r="O103" i="64"/>
  <c r="O102" i="64"/>
  <c r="N109" i="64"/>
  <c r="N106" i="64"/>
  <c r="N105" i="64"/>
  <c r="N104" i="64"/>
  <c r="N103" i="64"/>
  <c r="N102" i="64"/>
  <c r="M109" i="64"/>
  <c r="M106" i="64"/>
  <c r="M105" i="64"/>
  <c r="M104" i="64"/>
  <c r="M103" i="64"/>
  <c r="M102" i="64"/>
  <c r="L109" i="64"/>
  <c r="L106" i="64"/>
  <c r="L105" i="64"/>
  <c r="L104" i="64"/>
  <c r="L103" i="64"/>
  <c r="L102" i="64"/>
  <c r="K109" i="64"/>
  <c r="K106" i="64"/>
  <c r="K105" i="64"/>
  <c r="K104" i="64"/>
  <c r="K103" i="64"/>
  <c r="K102" i="64"/>
  <c r="J109" i="64"/>
  <c r="J106" i="64"/>
  <c r="J105" i="64"/>
  <c r="J104" i="64"/>
  <c r="J103" i="64"/>
  <c r="J102" i="64"/>
  <c r="I109" i="64"/>
  <c r="I106" i="64"/>
  <c r="I105" i="64"/>
  <c r="I104" i="64"/>
  <c r="I103" i="64"/>
  <c r="I102" i="64"/>
  <c r="H109" i="64"/>
  <c r="H106" i="64"/>
  <c r="H105" i="64"/>
  <c r="H104" i="64"/>
  <c r="H103" i="64"/>
  <c r="H102" i="64"/>
  <c r="G109" i="64"/>
  <c r="G106" i="64"/>
  <c r="G105" i="64"/>
  <c r="G104" i="64"/>
  <c r="G103" i="64"/>
  <c r="G102" i="64"/>
  <c r="F109" i="64"/>
  <c r="F106" i="64"/>
  <c r="F105" i="64"/>
  <c r="F104" i="64"/>
  <c r="F103" i="64"/>
  <c r="F102" i="64"/>
  <c r="E109" i="64"/>
  <c r="E106" i="64"/>
  <c r="E105" i="64"/>
  <c r="E104" i="64"/>
  <c r="E103" i="64"/>
  <c r="E102" i="64"/>
  <c r="D109" i="64"/>
  <c r="D106" i="64"/>
  <c r="D105" i="64"/>
  <c r="D104" i="64"/>
  <c r="D103" i="64"/>
  <c r="D102" i="64"/>
  <c r="BU101" i="65"/>
  <c r="BT101" i="65"/>
  <c r="BS101" i="65"/>
  <c r="BR101" i="65"/>
  <c r="BQ101" i="65"/>
  <c r="BP101" i="65"/>
  <c r="BO101" i="65"/>
  <c r="BN101" i="65"/>
  <c r="BM101" i="65"/>
  <c r="BL101" i="65"/>
  <c r="BK101" i="65"/>
  <c r="BJ101" i="65"/>
  <c r="BI101" i="65"/>
  <c r="BH101" i="65"/>
  <c r="BG101" i="65"/>
  <c r="BF101" i="65"/>
  <c r="BE101" i="65"/>
  <c r="BD101" i="65"/>
  <c r="BC101" i="65"/>
  <c r="BB101" i="65"/>
  <c r="BA101" i="65"/>
  <c r="AZ101" i="65"/>
  <c r="AY101" i="65"/>
  <c r="AX101" i="65"/>
  <c r="AW101" i="65"/>
  <c r="AV101" i="65"/>
  <c r="AU101" i="65"/>
  <c r="AT101" i="65"/>
  <c r="AS101" i="65"/>
  <c r="AR101" i="65"/>
  <c r="AQ101" i="65"/>
  <c r="AP101" i="65"/>
  <c r="AO101" i="65"/>
  <c r="AN101" i="65"/>
  <c r="AM101" i="65"/>
  <c r="AL101" i="65"/>
  <c r="AK101" i="65"/>
  <c r="AJ101" i="65"/>
  <c r="AI101" i="65"/>
  <c r="AH101" i="65"/>
  <c r="AG101" i="65"/>
  <c r="AF101" i="65"/>
  <c r="AE101" i="65"/>
  <c r="AD101" i="65"/>
  <c r="AC101" i="65"/>
  <c r="AB101" i="65"/>
  <c r="AA101" i="65"/>
  <c r="Z101" i="65"/>
  <c r="Y101" i="65"/>
  <c r="X101" i="65"/>
  <c r="W101" i="65"/>
  <c r="V101" i="65"/>
  <c r="U101" i="65"/>
  <c r="T101" i="65"/>
  <c r="S101" i="65"/>
  <c r="R101" i="65"/>
  <c r="Q101" i="65"/>
  <c r="P101" i="65"/>
  <c r="O101" i="65"/>
  <c r="N101" i="65"/>
  <c r="M101" i="65"/>
  <c r="L101" i="65"/>
  <c r="K101" i="65"/>
  <c r="J101" i="65"/>
  <c r="I101" i="65"/>
  <c r="H101" i="65"/>
  <c r="G101" i="65"/>
  <c r="F101" i="65"/>
  <c r="E101" i="65"/>
  <c r="D101" i="65"/>
  <c r="CA98" i="75"/>
  <c r="CU99" i="74" s="1"/>
  <c r="DA99" i="74" s="1"/>
  <c r="BZ98" i="75"/>
  <c r="CT99" i="74" s="1"/>
  <c r="CZ99" i="74" s="1"/>
  <c r="BY98" i="75"/>
  <c r="CS99" i="74" s="1"/>
  <c r="CY99" i="74" s="1"/>
  <c r="BX98" i="75"/>
  <c r="CR99" i="74" s="1"/>
  <c r="CX99" i="74" s="1"/>
  <c r="BW98" i="75"/>
  <c r="CQ99" i="74" s="1"/>
  <c r="CW99" i="74" s="1"/>
  <c r="CA97" i="75"/>
  <c r="CU98" i="74" s="1"/>
  <c r="DA98" i="74" s="1"/>
  <c r="BZ97" i="75"/>
  <c r="CT98" i="74" s="1"/>
  <c r="CZ98" i="74" s="1"/>
  <c r="BY97" i="75"/>
  <c r="CS98" i="74" s="1"/>
  <c r="CY98" i="74" s="1"/>
  <c r="BX97" i="75"/>
  <c r="CR98" i="74" s="1"/>
  <c r="CX98" i="74" s="1"/>
  <c r="BW97" i="75"/>
  <c r="CQ98" i="74" s="1"/>
  <c r="CW98" i="74" s="1"/>
  <c r="CA96" i="75"/>
  <c r="CU97" i="74" s="1"/>
  <c r="DA97" i="74" s="1"/>
  <c r="BZ96" i="75"/>
  <c r="CT97" i="74" s="1"/>
  <c r="CZ97" i="74" s="1"/>
  <c r="BY96" i="75"/>
  <c r="CS97" i="74" s="1"/>
  <c r="CY97" i="74" s="1"/>
  <c r="BX96" i="75"/>
  <c r="CR97" i="74" s="1"/>
  <c r="CX97" i="74" s="1"/>
  <c r="BW96" i="75"/>
  <c r="CQ97" i="74" s="1"/>
  <c r="CW97" i="74" s="1"/>
  <c r="CA95" i="75"/>
  <c r="CU96" i="74" s="1"/>
  <c r="DA96" i="74" s="1"/>
  <c r="BZ95" i="75"/>
  <c r="CT96" i="74" s="1"/>
  <c r="CZ96" i="74" s="1"/>
  <c r="BY95" i="75"/>
  <c r="CS96" i="74" s="1"/>
  <c r="CY96" i="74" s="1"/>
  <c r="BX95" i="75"/>
  <c r="CR96" i="74" s="1"/>
  <c r="CX96" i="74" s="1"/>
  <c r="BW95" i="75"/>
  <c r="CQ96" i="74" s="1"/>
  <c r="CW96" i="74" s="1"/>
  <c r="CA93" i="75"/>
  <c r="CU94" i="74" s="1"/>
  <c r="DA94" i="74" s="1"/>
  <c r="BZ93" i="75"/>
  <c r="CT94" i="74" s="1"/>
  <c r="CZ94" i="74" s="1"/>
  <c r="BY93" i="75"/>
  <c r="CS94" i="74" s="1"/>
  <c r="CY94" i="74" s="1"/>
  <c r="BX93" i="75"/>
  <c r="CR94" i="74" s="1"/>
  <c r="CX94" i="74" s="1"/>
  <c r="BW93" i="75"/>
  <c r="CQ94" i="74" s="1"/>
  <c r="CW94" i="74" s="1"/>
  <c r="CA92" i="75"/>
  <c r="CU93" i="74" s="1"/>
  <c r="DA93" i="74" s="1"/>
  <c r="BZ92" i="75"/>
  <c r="CT93" i="74" s="1"/>
  <c r="CZ93" i="74" s="1"/>
  <c r="BY92" i="75"/>
  <c r="CS93" i="74" s="1"/>
  <c r="CY93" i="74" s="1"/>
  <c r="BX92" i="75"/>
  <c r="CR93" i="74" s="1"/>
  <c r="CX93" i="74" s="1"/>
  <c r="BW92" i="75"/>
  <c r="CQ93" i="74" s="1"/>
  <c r="CW93" i="74" s="1"/>
  <c r="CA91" i="75"/>
  <c r="CU92" i="74" s="1"/>
  <c r="DA92" i="74" s="1"/>
  <c r="BZ91" i="75"/>
  <c r="CT92" i="74" s="1"/>
  <c r="CZ92" i="74" s="1"/>
  <c r="BY91" i="75"/>
  <c r="CS92" i="74" s="1"/>
  <c r="CY92" i="74" s="1"/>
  <c r="BX91" i="75"/>
  <c r="CR92" i="74" s="1"/>
  <c r="CX92" i="74" s="1"/>
  <c r="BW91" i="75"/>
  <c r="CQ92" i="74" s="1"/>
  <c r="CW92" i="74" s="1"/>
  <c r="CA90" i="75"/>
  <c r="CU91" i="74" s="1"/>
  <c r="DA91" i="74" s="1"/>
  <c r="BZ90" i="75"/>
  <c r="CT91" i="74" s="1"/>
  <c r="CZ91" i="74" s="1"/>
  <c r="BY90" i="75"/>
  <c r="CS91" i="74" s="1"/>
  <c r="CY91" i="74" s="1"/>
  <c r="BX90" i="75"/>
  <c r="CR91" i="74" s="1"/>
  <c r="CX91" i="74" s="1"/>
  <c r="BW90" i="75"/>
  <c r="CQ91" i="74" s="1"/>
  <c r="CW91" i="74" s="1"/>
  <c r="CA89" i="75"/>
  <c r="CU90" i="74" s="1"/>
  <c r="DA90" i="74" s="1"/>
  <c r="BZ89" i="75"/>
  <c r="CT90" i="74" s="1"/>
  <c r="CZ90" i="74" s="1"/>
  <c r="BY89" i="75"/>
  <c r="CS90" i="74" s="1"/>
  <c r="CY90" i="74" s="1"/>
  <c r="BX89" i="75"/>
  <c r="CR90" i="74" s="1"/>
  <c r="CX90" i="74" s="1"/>
  <c r="BW89" i="75"/>
  <c r="CQ90" i="74" s="1"/>
  <c r="CW90" i="74" s="1"/>
  <c r="CA88" i="75"/>
  <c r="CU89" i="74" s="1"/>
  <c r="DA89" i="74" s="1"/>
  <c r="BZ88" i="75"/>
  <c r="CT89" i="74" s="1"/>
  <c r="CZ89" i="74" s="1"/>
  <c r="BY88" i="75"/>
  <c r="CS89" i="74" s="1"/>
  <c r="CY89" i="74" s="1"/>
  <c r="BX88" i="75"/>
  <c r="CR89" i="74" s="1"/>
  <c r="CX89" i="74" s="1"/>
  <c r="BW88" i="75"/>
  <c r="CQ89" i="74" s="1"/>
  <c r="CW89" i="74" s="1"/>
  <c r="CA87" i="75"/>
  <c r="CU88" i="74" s="1"/>
  <c r="DA88" i="74" s="1"/>
  <c r="BZ87" i="75"/>
  <c r="CT88" i="74" s="1"/>
  <c r="CZ88" i="74" s="1"/>
  <c r="BY87" i="75"/>
  <c r="CS88" i="74" s="1"/>
  <c r="CY88" i="74" s="1"/>
  <c r="BX87" i="75"/>
  <c r="CR88" i="74" s="1"/>
  <c r="CX88" i="74" s="1"/>
  <c r="BW87" i="75"/>
  <c r="CQ88" i="74" s="1"/>
  <c r="CW88" i="74" s="1"/>
  <c r="CA86" i="75"/>
  <c r="CU87" i="74" s="1"/>
  <c r="DA87" i="74" s="1"/>
  <c r="BZ86" i="75"/>
  <c r="CT87" i="74" s="1"/>
  <c r="CZ87" i="74" s="1"/>
  <c r="BY86" i="75"/>
  <c r="CS87" i="74" s="1"/>
  <c r="CY87" i="74" s="1"/>
  <c r="BX86" i="75"/>
  <c r="CR87" i="74" s="1"/>
  <c r="CX87" i="74" s="1"/>
  <c r="BW86" i="75"/>
  <c r="CQ87" i="74" s="1"/>
  <c r="CW87" i="74" s="1"/>
  <c r="CA85" i="75"/>
  <c r="CU86" i="74" s="1"/>
  <c r="DA86" i="74" s="1"/>
  <c r="BZ85" i="75"/>
  <c r="CT86" i="74" s="1"/>
  <c r="CZ86" i="74" s="1"/>
  <c r="BY85" i="75"/>
  <c r="CS86" i="74" s="1"/>
  <c r="CY86" i="74" s="1"/>
  <c r="BX85" i="75"/>
  <c r="CR86" i="74" s="1"/>
  <c r="CX86" i="74" s="1"/>
  <c r="BW85" i="75"/>
  <c r="CQ86" i="74" s="1"/>
  <c r="CW86" i="74" s="1"/>
  <c r="CA84" i="75"/>
  <c r="CU85" i="74" s="1"/>
  <c r="DA85" i="74" s="1"/>
  <c r="BZ84" i="75"/>
  <c r="CT85" i="74" s="1"/>
  <c r="CZ85" i="74" s="1"/>
  <c r="BY84" i="75"/>
  <c r="CS85" i="74" s="1"/>
  <c r="CY85" i="74" s="1"/>
  <c r="BX84" i="75"/>
  <c r="CR85" i="74" s="1"/>
  <c r="CX85" i="74" s="1"/>
  <c r="BW84" i="75"/>
  <c r="CQ85" i="74" s="1"/>
  <c r="CW85" i="74" s="1"/>
  <c r="CA83" i="75"/>
  <c r="CU84" i="74" s="1"/>
  <c r="DA84" i="74" s="1"/>
  <c r="BZ83" i="75"/>
  <c r="CT84" i="74" s="1"/>
  <c r="CZ84" i="74" s="1"/>
  <c r="BY83" i="75"/>
  <c r="CS84" i="74" s="1"/>
  <c r="CY84" i="74" s="1"/>
  <c r="BX83" i="75"/>
  <c r="CR84" i="74" s="1"/>
  <c r="CX84" i="74" s="1"/>
  <c r="BW83" i="75"/>
  <c r="CQ84" i="74" s="1"/>
  <c r="CW84" i="74" s="1"/>
  <c r="CA82" i="75"/>
  <c r="CU83" i="74" s="1"/>
  <c r="DA83" i="74" s="1"/>
  <c r="BZ82" i="75"/>
  <c r="CT83" i="74" s="1"/>
  <c r="CZ83" i="74" s="1"/>
  <c r="BY82" i="75"/>
  <c r="CS83" i="74" s="1"/>
  <c r="CY83" i="74" s="1"/>
  <c r="BX82" i="75"/>
  <c r="CR83" i="74" s="1"/>
  <c r="CX83" i="74" s="1"/>
  <c r="BW82" i="75"/>
  <c r="CQ83" i="74" s="1"/>
  <c r="CW83" i="74" s="1"/>
  <c r="CA81" i="75"/>
  <c r="CU82" i="74" s="1"/>
  <c r="DA82" i="74" s="1"/>
  <c r="BZ81" i="75"/>
  <c r="CT82" i="74" s="1"/>
  <c r="CZ82" i="74" s="1"/>
  <c r="BY81" i="75"/>
  <c r="CS82" i="74" s="1"/>
  <c r="CY82" i="74" s="1"/>
  <c r="BX81" i="75"/>
  <c r="CR82" i="74" s="1"/>
  <c r="CX82" i="74" s="1"/>
  <c r="BW81" i="75"/>
  <c r="CQ82" i="74" s="1"/>
  <c r="CW82" i="74" s="1"/>
  <c r="CA80" i="75"/>
  <c r="CU81" i="74" s="1"/>
  <c r="DA81" i="74" s="1"/>
  <c r="BZ80" i="75"/>
  <c r="CT81" i="74" s="1"/>
  <c r="CZ81" i="74" s="1"/>
  <c r="BY80" i="75"/>
  <c r="CS81" i="74" s="1"/>
  <c r="CY81" i="74" s="1"/>
  <c r="BX80" i="75"/>
  <c r="CR81" i="74" s="1"/>
  <c r="CX81" i="74" s="1"/>
  <c r="BW80" i="75"/>
  <c r="CQ81" i="74" s="1"/>
  <c r="CW81" i="74" s="1"/>
  <c r="CA79" i="75"/>
  <c r="CU80" i="74" s="1"/>
  <c r="DA80" i="74" s="1"/>
  <c r="BZ79" i="75"/>
  <c r="CT80" i="74" s="1"/>
  <c r="CZ80" i="74" s="1"/>
  <c r="BY79" i="75"/>
  <c r="CS80" i="74" s="1"/>
  <c r="CY80" i="74" s="1"/>
  <c r="BX79" i="75"/>
  <c r="CR80" i="74" s="1"/>
  <c r="CX80" i="74" s="1"/>
  <c r="BW79" i="75"/>
  <c r="CQ80" i="74" s="1"/>
  <c r="CW80" i="74" s="1"/>
  <c r="CA77" i="75"/>
  <c r="CU78" i="74" s="1"/>
  <c r="DA78" i="74" s="1"/>
  <c r="BZ77" i="75"/>
  <c r="CT78" i="74" s="1"/>
  <c r="CZ78" i="74" s="1"/>
  <c r="BY77" i="75"/>
  <c r="CS78" i="74" s="1"/>
  <c r="CY78" i="74" s="1"/>
  <c r="BX77" i="75"/>
  <c r="CR78" i="74" s="1"/>
  <c r="CX78" i="74" s="1"/>
  <c r="BW77" i="75"/>
  <c r="CQ78" i="74" s="1"/>
  <c r="CW78" i="74" s="1"/>
  <c r="CA76" i="75"/>
  <c r="CU77" i="74" s="1"/>
  <c r="DA77" i="74" s="1"/>
  <c r="BZ76" i="75"/>
  <c r="CT77" i="74" s="1"/>
  <c r="CZ77" i="74" s="1"/>
  <c r="BY76" i="75"/>
  <c r="CS77" i="74" s="1"/>
  <c r="CY77" i="74" s="1"/>
  <c r="BX76" i="75"/>
  <c r="CR77" i="74" s="1"/>
  <c r="CX77" i="74" s="1"/>
  <c r="BW76" i="75"/>
  <c r="CQ77" i="74" s="1"/>
  <c r="CW77" i="74" s="1"/>
  <c r="CA75" i="75"/>
  <c r="CU76" i="74" s="1"/>
  <c r="DA76" i="74" s="1"/>
  <c r="BZ75" i="75"/>
  <c r="CT76" i="74" s="1"/>
  <c r="CZ76" i="74" s="1"/>
  <c r="BY75" i="75"/>
  <c r="CS76" i="74" s="1"/>
  <c r="CY76" i="74" s="1"/>
  <c r="BX75" i="75"/>
  <c r="CR76" i="74" s="1"/>
  <c r="CX76" i="74" s="1"/>
  <c r="BW75" i="75"/>
  <c r="CQ76" i="74" s="1"/>
  <c r="CW76" i="74" s="1"/>
  <c r="CA74" i="75"/>
  <c r="CU75" i="74" s="1"/>
  <c r="DA75" i="74" s="1"/>
  <c r="BZ74" i="75"/>
  <c r="CT75" i="74" s="1"/>
  <c r="CZ75" i="74" s="1"/>
  <c r="BY74" i="75"/>
  <c r="CS75" i="74" s="1"/>
  <c r="CY75" i="74" s="1"/>
  <c r="BX74" i="75"/>
  <c r="CR75" i="74" s="1"/>
  <c r="CX75" i="74" s="1"/>
  <c r="BW74" i="75"/>
  <c r="CQ75" i="74" s="1"/>
  <c r="CW75" i="74" s="1"/>
  <c r="CA73" i="75"/>
  <c r="CU74" i="74" s="1"/>
  <c r="DA74" i="74" s="1"/>
  <c r="BZ73" i="75"/>
  <c r="CT74" i="74" s="1"/>
  <c r="CZ74" i="74" s="1"/>
  <c r="BY73" i="75"/>
  <c r="CS74" i="74" s="1"/>
  <c r="CY74" i="74" s="1"/>
  <c r="BX73" i="75"/>
  <c r="CR74" i="74" s="1"/>
  <c r="CX74" i="74" s="1"/>
  <c r="BW73" i="75"/>
  <c r="CQ74" i="74" s="1"/>
  <c r="CW74" i="74" s="1"/>
  <c r="CA72" i="75"/>
  <c r="CU73" i="74" s="1"/>
  <c r="DA73" i="74" s="1"/>
  <c r="BZ72" i="75"/>
  <c r="CT73" i="74" s="1"/>
  <c r="CZ73" i="74" s="1"/>
  <c r="BY72" i="75"/>
  <c r="CS73" i="74" s="1"/>
  <c r="CY73" i="74" s="1"/>
  <c r="BX72" i="75"/>
  <c r="CR73" i="74" s="1"/>
  <c r="CX73" i="74" s="1"/>
  <c r="BW72" i="75"/>
  <c r="CQ73" i="74" s="1"/>
  <c r="CW73" i="74" s="1"/>
  <c r="CA71" i="75"/>
  <c r="CU72" i="74" s="1"/>
  <c r="DA72" i="74" s="1"/>
  <c r="BZ71" i="75"/>
  <c r="CT72" i="74" s="1"/>
  <c r="CZ72" i="74" s="1"/>
  <c r="BY71" i="75"/>
  <c r="CS72" i="74" s="1"/>
  <c r="CY72" i="74" s="1"/>
  <c r="BX71" i="75"/>
  <c r="CR72" i="74" s="1"/>
  <c r="CX72" i="74" s="1"/>
  <c r="BW71" i="75"/>
  <c r="CQ72" i="74" s="1"/>
  <c r="CW72" i="74" s="1"/>
  <c r="CA70" i="75"/>
  <c r="CU71" i="74" s="1"/>
  <c r="DA71" i="74" s="1"/>
  <c r="BZ70" i="75"/>
  <c r="CT71" i="74" s="1"/>
  <c r="CZ71" i="74" s="1"/>
  <c r="BY70" i="75"/>
  <c r="CS71" i="74" s="1"/>
  <c r="CY71" i="74" s="1"/>
  <c r="BX70" i="75"/>
  <c r="CR71" i="74" s="1"/>
  <c r="CX71" i="74" s="1"/>
  <c r="BW70" i="75"/>
  <c r="CQ71" i="74" s="1"/>
  <c r="CW71" i="74" s="1"/>
  <c r="CA69" i="75"/>
  <c r="CU70" i="74" s="1"/>
  <c r="DA70" i="74" s="1"/>
  <c r="BZ69" i="75"/>
  <c r="CT70" i="74" s="1"/>
  <c r="CZ70" i="74" s="1"/>
  <c r="BY69" i="75"/>
  <c r="CS70" i="74" s="1"/>
  <c r="CY70" i="74" s="1"/>
  <c r="BX69" i="75"/>
  <c r="CR70" i="74" s="1"/>
  <c r="CX70" i="74" s="1"/>
  <c r="BW69" i="75"/>
  <c r="CQ70" i="74" s="1"/>
  <c r="CW70" i="74" s="1"/>
  <c r="CA68" i="75"/>
  <c r="CU69" i="74" s="1"/>
  <c r="DA69" i="74" s="1"/>
  <c r="BZ68" i="75"/>
  <c r="CT69" i="74" s="1"/>
  <c r="CZ69" i="74" s="1"/>
  <c r="BY68" i="75"/>
  <c r="CS69" i="74" s="1"/>
  <c r="CY69" i="74" s="1"/>
  <c r="BX68" i="75"/>
  <c r="CR69" i="74" s="1"/>
  <c r="CX69" i="74" s="1"/>
  <c r="BW68" i="75"/>
  <c r="CQ69" i="74" s="1"/>
  <c r="CW69" i="74" s="1"/>
  <c r="CA67" i="75"/>
  <c r="CU68" i="74" s="1"/>
  <c r="DA68" i="74" s="1"/>
  <c r="BZ67" i="75"/>
  <c r="CT68" i="74" s="1"/>
  <c r="CZ68" i="74" s="1"/>
  <c r="BY67" i="75"/>
  <c r="CS68" i="74" s="1"/>
  <c r="CY68" i="74" s="1"/>
  <c r="BX67" i="75"/>
  <c r="CR68" i="74" s="1"/>
  <c r="CX68" i="74" s="1"/>
  <c r="BW67" i="75"/>
  <c r="CQ68" i="74" s="1"/>
  <c r="CW68" i="74" s="1"/>
  <c r="CA66" i="75"/>
  <c r="CU67" i="74" s="1"/>
  <c r="DA67" i="74" s="1"/>
  <c r="BZ66" i="75"/>
  <c r="CT67" i="74" s="1"/>
  <c r="CZ67" i="74" s="1"/>
  <c r="BY66" i="75"/>
  <c r="CS67" i="74" s="1"/>
  <c r="CY67" i="74" s="1"/>
  <c r="BX66" i="75"/>
  <c r="CR67" i="74" s="1"/>
  <c r="CX67" i="74" s="1"/>
  <c r="BW66" i="75"/>
  <c r="CQ67" i="74" s="1"/>
  <c r="CW67" i="74" s="1"/>
  <c r="CA65" i="75"/>
  <c r="CU66" i="74" s="1"/>
  <c r="DA66" i="74" s="1"/>
  <c r="BZ65" i="75"/>
  <c r="CT66" i="74" s="1"/>
  <c r="CZ66" i="74" s="1"/>
  <c r="BY65" i="75"/>
  <c r="CS66" i="74" s="1"/>
  <c r="CY66" i="74" s="1"/>
  <c r="BX65" i="75"/>
  <c r="CR66" i="74" s="1"/>
  <c r="CX66" i="74" s="1"/>
  <c r="BW65" i="75"/>
  <c r="CQ66" i="74" s="1"/>
  <c r="CW66" i="74" s="1"/>
  <c r="CA64" i="75"/>
  <c r="CU65" i="74" s="1"/>
  <c r="DA65" i="74" s="1"/>
  <c r="BZ64" i="75"/>
  <c r="CT65" i="74" s="1"/>
  <c r="CZ65" i="74" s="1"/>
  <c r="BY64" i="75"/>
  <c r="CS65" i="74" s="1"/>
  <c r="CY65" i="74" s="1"/>
  <c r="BX64" i="75"/>
  <c r="CR65" i="74" s="1"/>
  <c r="CX65" i="74" s="1"/>
  <c r="BW64" i="75"/>
  <c r="CQ65" i="74" s="1"/>
  <c r="CW65" i="74" s="1"/>
  <c r="CA63" i="75"/>
  <c r="CU64" i="74" s="1"/>
  <c r="DA64" i="74" s="1"/>
  <c r="BZ63" i="75"/>
  <c r="CT64" i="74" s="1"/>
  <c r="CZ64" i="74" s="1"/>
  <c r="BY63" i="75"/>
  <c r="CS64" i="74" s="1"/>
  <c r="CY64" i="74" s="1"/>
  <c r="BX63" i="75"/>
  <c r="CR64" i="74" s="1"/>
  <c r="CX64" i="74" s="1"/>
  <c r="BW63" i="75"/>
  <c r="CQ64" i="74" s="1"/>
  <c r="CW64" i="74" s="1"/>
  <c r="CA62" i="75"/>
  <c r="CU63" i="74" s="1"/>
  <c r="DA63" i="74" s="1"/>
  <c r="BZ62" i="75"/>
  <c r="CT63" i="74" s="1"/>
  <c r="CZ63" i="74" s="1"/>
  <c r="BY62" i="75"/>
  <c r="CS63" i="74" s="1"/>
  <c r="CY63" i="74" s="1"/>
  <c r="BX62" i="75"/>
  <c r="CR63" i="74" s="1"/>
  <c r="CX63" i="74" s="1"/>
  <c r="BW62" i="75"/>
  <c r="CQ63" i="74" s="1"/>
  <c r="CW63" i="74" s="1"/>
  <c r="CA61" i="75"/>
  <c r="CU62" i="74" s="1"/>
  <c r="DA62" i="74" s="1"/>
  <c r="BZ61" i="75"/>
  <c r="CT62" i="74" s="1"/>
  <c r="CZ62" i="74" s="1"/>
  <c r="BY61" i="75"/>
  <c r="CS62" i="74" s="1"/>
  <c r="CY62" i="74" s="1"/>
  <c r="BX61" i="75"/>
  <c r="CR62" i="74" s="1"/>
  <c r="CX62" i="74" s="1"/>
  <c r="BW61" i="75"/>
  <c r="CQ62" i="74" s="1"/>
  <c r="CW62" i="74" s="1"/>
  <c r="CA60" i="75"/>
  <c r="CU61" i="74" s="1"/>
  <c r="DA61" i="74" s="1"/>
  <c r="BZ60" i="75"/>
  <c r="CT61" i="74" s="1"/>
  <c r="CZ61" i="74" s="1"/>
  <c r="BY60" i="75"/>
  <c r="CS61" i="74" s="1"/>
  <c r="CY61" i="74" s="1"/>
  <c r="BX60" i="75"/>
  <c r="CR61" i="74" s="1"/>
  <c r="CX61" i="74" s="1"/>
  <c r="BW60" i="75"/>
  <c r="CQ61" i="74" s="1"/>
  <c r="CW61" i="74" s="1"/>
  <c r="CA58" i="75"/>
  <c r="CU59" i="74" s="1"/>
  <c r="DA59" i="74" s="1"/>
  <c r="BZ58" i="75"/>
  <c r="CT59" i="74" s="1"/>
  <c r="CZ59" i="74" s="1"/>
  <c r="BY58" i="75"/>
  <c r="CS59" i="74" s="1"/>
  <c r="CY59" i="74" s="1"/>
  <c r="BX58" i="75"/>
  <c r="CR59" i="74" s="1"/>
  <c r="CX59" i="74" s="1"/>
  <c r="BW58" i="75"/>
  <c r="CQ59" i="74" s="1"/>
  <c r="CW59" i="74" s="1"/>
  <c r="CA57" i="75"/>
  <c r="CU58" i="74" s="1"/>
  <c r="DA58" i="74" s="1"/>
  <c r="BZ57" i="75"/>
  <c r="CT58" i="74" s="1"/>
  <c r="CZ58" i="74" s="1"/>
  <c r="BY57" i="75"/>
  <c r="CS58" i="74" s="1"/>
  <c r="CY58" i="74" s="1"/>
  <c r="BX57" i="75"/>
  <c r="CR58" i="74" s="1"/>
  <c r="CX58" i="74" s="1"/>
  <c r="BW57" i="75"/>
  <c r="CQ58" i="74" s="1"/>
  <c r="CW58" i="74" s="1"/>
  <c r="CA56" i="75"/>
  <c r="CU57" i="74" s="1"/>
  <c r="DA57" i="74" s="1"/>
  <c r="BZ56" i="75"/>
  <c r="CT57" i="74" s="1"/>
  <c r="CZ57" i="74" s="1"/>
  <c r="BY56" i="75"/>
  <c r="CS57" i="74" s="1"/>
  <c r="CY57" i="74" s="1"/>
  <c r="BX56" i="75"/>
  <c r="CR57" i="74" s="1"/>
  <c r="CX57" i="74" s="1"/>
  <c r="BW56" i="75"/>
  <c r="CQ57" i="74" s="1"/>
  <c r="CW57" i="74" s="1"/>
  <c r="CA55" i="75"/>
  <c r="CU56" i="74" s="1"/>
  <c r="DA56" i="74" s="1"/>
  <c r="BZ55" i="75"/>
  <c r="CT56" i="74" s="1"/>
  <c r="CZ56" i="74" s="1"/>
  <c r="BY55" i="75"/>
  <c r="CS56" i="74" s="1"/>
  <c r="CY56" i="74" s="1"/>
  <c r="BX55" i="75"/>
  <c r="CR56" i="74" s="1"/>
  <c r="CX56" i="74" s="1"/>
  <c r="BW55" i="75"/>
  <c r="CQ56" i="74" s="1"/>
  <c r="CW56" i="74" s="1"/>
  <c r="CA54" i="75"/>
  <c r="CU55" i="74" s="1"/>
  <c r="DA55" i="74" s="1"/>
  <c r="BZ54" i="75"/>
  <c r="CT55" i="74" s="1"/>
  <c r="CZ55" i="74" s="1"/>
  <c r="BY54" i="75"/>
  <c r="CS55" i="74" s="1"/>
  <c r="CY55" i="74" s="1"/>
  <c r="BX54" i="75"/>
  <c r="CR55" i="74" s="1"/>
  <c r="CX55" i="74" s="1"/>
  <c r="BW54" i="75"/>
  <c r="CQ55" i="74" s="1"/>
  <c r="CW55" i="74" s="1"/>
  <c r="CA53" i="75"/>
  <c r="CU54" i="74" s="1"/>
  <c r="DA54" i="74" s="1"/>
  <c r="BZ53" i="75"/>
  <c r="CT54" i="74" s="1"/>
  <c r="CZ54" i="74" s="1"/>
  <c r="BY53" i="75"/>
  <c r="CS54" i="74" s="1"/>
  <c r="CY54" i="74" s="1"/>
  <c r="BX53" i="75"/>
  <c r="CR54" i="74" s="1"/>
  <c r="CX54" i="74" s="1"/>
  <c r="BW53" i="75"/>
  <c r="CQ54" i="74" s="1"/>
  <c r="CW54" i="74" s="1"/>
  <c r="CA52" i="75"/>
  <c r="CU53" i="74" s="1"/>
  <c r="DA53" i="74" s="1"/>
  <c r="BZ52" i="75"/>
  <c r="CT53" i="74" s="1"/>
  <c r="CZ53" i="74" s="1"/>
  <c r="BY52" i="75"/>
  <c r="CS53" i="74" s="1"/>
  <c r="CY53" i="74" s="1"/>
  <c r="BX52" i="75"/>
  <c r="CR53" i="74" s="1"/>
  <c r="CX53" i="74" s="1"/>
  <c r="BW52" i="75"/>
  <c r="CQ53" i="74" s="1"/>
  <c r="CW53" i="74" s="1"/>
  <c r="CA51" i="75"/>
  <c r="CU52" i="74" s="1"/>
  <c r="DA52" i="74" s="1"/>
  <c r="BZ51" i="75"/>
  <c r="CT52" i="74" s="1"/>
  <c r="CZ52" i="74" s="1"/>
  <c r="BY51" i="75"/>
  <c r="CS52" i="74" s="1"/>
  <c r="CY52" i="74" s="1"/>
  <c r="BX51" i="75"/>
  <c r="CR52" i="74" s="1"/>
  <c r="CX52" i="74" s="1"/>
  <c r="BW51" i="75"/>
  <c r="CQ52" i="74" s="1"/>
  <c r="CW52" i="74" s="1"/>
  <c r="CA49" i="75"/>
  <c r="CU50" i="74" s="1"/>
  <c r="DA50" i="74" s="1"/>
  <c r="BZ49" i="75"/>
  <c r="CT50" i="74" s="1"/>
  <c r="CZ50" i="74" s="1"/>
  <c r="BY49" i="75"/>
  <c r="CS50" i="74" s="1"/>
  <c r="CY50" i="74" s="1"/>
  <c r="BX49" i="75"/>
  <c r="CR50" i="74" s="1"/>
  <c r="CX50" i="74" s="1"/>
  <c r="BW49" i="75"/>
  <c r="CQ50" i="74" s="1"/>
  <c r="CW50" i="74" s="1"/>
  <c r="CA48" i="75"/>
  <c r="CU49" i="74" s="1"/>
  <c r="DA49" i="74" s="1"/>
  <c r="BZ48" i="75"/>
  <c r="CT49" i="74" s="1"/>
  <c r="CZ49" i="74" s="1"/>
  <c r="BY48" i="75"/>
  <c r="CS49" i="74" s="1"/>
  <c r="CY49" i="74" s="1"/>
  <c r="BX48" i="75"/>
  <c r="CR49" i="74" s="1"/>
  <c r="CX49" i="74" s="1"/>
  <c r="BW48" i="75"/>
  <c r="CQ49" i="74" s="1"/>
  <c r="CW49" i="74" s="1"/>
  <c r="CA47" i="75"/>
  <c r="CU48" i="74" s="1"/>
  <c r="DA48" i="74" s="1"/>
  <c r="BZ47" i="75"/>
  <c r="CT48" i="74" s="1"/>
  <c r="CZ48" i="74" s="1"/>
  <c r="BY47" i="75"/>
  <c r="CS48" i="74" s="1"/>
  <c r="CY48" i="74" s="1"/>
  <c r="BX47" i="75"/>
  <c r="CR48" i="74" s="1"/>
  <c r="CX48" i="74" s="1"/>
  <c r="BW47" i="75"/>
  <c r="CQ48" i="74" s="1"/>
  <c r="CW48" i="74" s="1"/>
  <c r="CA46" i="75"/>
  <c r="CU47" i="74" s="1"/>
  <c r="DA47" i="74" s="1"/>
  <c r="BZ46" i="75"/>
  <c r="CT47" i="74" s="1"/>
  <c r="CZ47" i="74" s="1"/>
  <c r="BY46" i="75"/>
  <c r="CS47" i="74" s="1"/>
  <c r="CY47" i="74" s="1"/>
  <c r="BX46" i="75"/>
  <c r="CR47" i="74" s="1"/>
  <c r="CX47" i="74" s="1"/>
  <c r="BW46" i="75"/>
  <c r="CQ47" i="74" s="1"/>
  <c r="CW47" i="74" s="1"/>
  <c r="CA45" i="75"/>
  <c r="CU46" i="74" s="1"/>
  <c r="DA46" i="74" s="1"/>
  <c r="BZ45" i="75"/>
  <c r="CT46" i="74" s="1"/>
  <c r="CZ46" i="74" s="1"/>
  <c r="BY45" i="75"/>
  <c r="CS46" i="74" s="1"/>
  <c r="CY46" i="74" s="1"/>
  <c r="BX45" i="75"/>
  <c r="CR46" i="74" s="1"/>
  <c r="CX46" i="74" s="1"/>
  <c r="BW45" i="75"/>
  <c r="CQ46" i="74" s="1"/>
  <c r="CW46" i="74" s="1"/>
  <c r="CA44" i="75"/>
  <c r="CU45" i="74" s="1"/>
  <c r="DA45" i="74" s="1"/>
  <c r="BZ44" i="75"/>
  <c r="CT45" i="74" s="1"/>
  <c r="CZ45" i="74" s="1"/>
  <c r="BY44" i="75"/>
  <c r="CS45" i="74" s="1"/>
  <c r="CY45" i="74" s="1"/>
  <c r="BX44" i="75"/>
  <c r="CR45" i="74" s="1"/>
  <c r="CX45" i="74" s="1"/>
  <c r="BW44" i="75"/>
  <c r="CQ45" i="74" s="1"/>
  <c r="CW45" i="74" s="1"/>
  <c r="CA43" i="75"/>
  <c r="CU44" i="74" s="1"/>
  <c r="DA44" i="74" s="1"/>
  <c r="BZ43" i="75"/>
  <c r="CT44" i="74" s="1"/>
  <c r="CZ44" i="74" s="1"/>
  <c r="BY43" i="75"/>
  <c r="CS44" i="74" s="1"/>
  <c r="CY44" i="74" s="1"/>
  <c r="BX43" i="75"/>
  <c r="CR44" i="74" s="1"/>
  <c r="CX44" i="74" s="1"/>
  <c r="BW43" i="75"/>
  <c r="CQ44" i="74" s="1"/>
  <c r="CW44" i="74" s="1"/>
  <c r="CA42" i="75"/>
  <c r="CU43" i="74" s="1"/>
  <c r="DA43" i="74" s="1"/>
  <c r="BZ42" i="75"/>
  <c r="CT43" i="74" s="1"/>
  <c r="CZ43" i="74" s="1"/>
  <c r="BY42" i="75"/>
  <c r="CS43" i="74" s="1"/>
  <c r="CY43" i="74" s="1"/>
  <c r="BX42" i="75"/>
  <c r="CR43" i="74" s="1"/>
  <c r="CX43" i="74" s="1"/>
  <c r="BW42" i="75"/>
  <c r="CQ43" i="74" s="1"/>
  <c r="CW43" i="74" s="1"/>
  <c r="CA41" i="75"/>
  <c r="CU42" i="74" s="1"/>
  <c r="DA42" i="74" s="1"/>
  <c r="BZ41" i="75"/>
  <c r="CT42" i="74" s="1"/>
  <c r="CZ42" i="74" s="1"/>
  <c r="BY41" i="75"/>
  <c r="CS42" i="74" s="1"/>
  <c r="CY42" i="74" s="1"/>
  <c r="BX41" i="75"/>
  <c r="CR42" i="74" s="1"/>
  <c r="CX42" i="74" s="1"/>
  <c r="BW41" i="75"/>
  <c r="CQ42" i="74" s="1"/>
  <c r="CW42" i="74" s="1"/>
  <c r="CA40" i="75"/>
  <c r="CU41" i="74" s="1"/>
  <c r="DA41" i="74" s="1"/>
  <c r="BZ40" i="75"/>
  <c r="CT41" i="74" s="1"/>
  <c r="CZ41" i="74" s="1"/>
  <c r="BY40" i="75"/>
  <c r="CS41" i="74" s="1"/>
  <c r="CY41" i="74" s="1"/>
  <c r="BX40" i="75"/>
  <c r="CR41" i="74" s="1"/>
  <c r="CX41" i="74" s="1"/>
  <c r="BW40" i="75"/>
  <c r="CQ41" i="74" s="1"/>
  <c r="CW41" i="74" s="1"/>
  <c r="CA39" i="75"/>
  <c r="CU40" i="74" s="1"/>
  <c r="DA40" i="74" s="1"/>
  <c r="BZ39" i="75"/>
  <c r="CT40" i="74" s="1"/>
  <c r="CZ40" i="74" s="1"/>
  <c r="BY39" i="75"/>
  <c r="CS40" i="74" s="1"/>
  <c r="CY40" i="74" s="1"/>
  <c r="BX39" i="75"/>
  <c r="CR40" i="74" s="1"/>
  <c r="CX40" i="74" s="1"/>
  <c r="BW39" i="75"/>
  <c r="CQ40" i="74" s="1"/>
  <c r="CW40" i="74" s="1"/>
  <c r="CA38" i="75"/>
  <c r="CU39" i="74" s="1"/>
  <c r="DA39" i="74" s="1"/>
  <c r="BZ38" i="75"/>
  <c r="CT39" i="74" s="1"/>
  <c r="CZ39" i="74" s="1"/>
  <c r="BY38" i="75"/>
  <c r="CS39" i="74" s="1"/>
  <c r="CY39" i="74" s="1"/>
  <c r="BX38" i="75"/>
  <c r="CR39" i="74" s="1"/>
  <c r="CX39" i="74" s="1"/>
  <c r="BW38" i="75"/>
  <c r="CQ39" i="74" s="1"/>
  <c r="CW39" i="74" s="1"/>
  <c r="CA36" i="75"/>
  <c r="CU37" i="74" s="1"/>
  <c r="DA37" i="74" s="1"/>
  <c r="BZ36" i="75"/>
  <c r="CT37" i="74" s="1"/>
  <c r="CZ37" i="74" s="1"/>
  <c r="BY36" i="75"/>
  <c r="CS37" i="74" s="1"/>
  <c r="CY37" i="74" s="1"/>
  <c r="BX36" i="75"/>
  <c r="CR37" i="74" s="1"/>
  <c r="CX37" i="74" s="1"/>
  <c r="BW36" i="75"/>
  <c r="CQ37" i="74" s="1"/>
  <c r="CW37" i="74" s="1"/>
  <c r="CA35" i="75"/>
  <c r="CU36" i="74" s="1"/>
  <c r="DA36" i="74" s="1"/>
  <c r="BZ35" i="75"/>
  <c r="CT36" i="74" s="1"/>
  <c r="CZ36" i="74" s="1"/>
  <c r="BY35" i="75"/>
  <c r="CS36" i="74" s="1"/>
  <c r="CY36" i="74" s="1"/>
  <c r="BX35" i="75"/>
  <c r="CR36" i="74" s="1"/>
  <c r="CX36" i="74" s="1"/>
  <c r="BW35" i="75"/>
  <c r="CQ36" i="74" s="1"/>
  <c r="CW36" i="74" s="1"/>
  <c r="CA34" i="75"/>
  <c r="CU35" i="74" s="1"/>
  <c r="DA35" i="74" s="1"/>
  <c r="BZ34" i="75"/>
  <c r="CT35" i="74" s="1"/>
  <c r="CZ35" i="74" s="1"/>
  <c r="BY34" i="75"/>
  <c r="CS35" i="74" s="1"/>
  <c r="CY35" i="74" s="1"/>
  <c r="BX34" i="75"/>
  <c r="CR35" i="74" s="1"/>
  <c r="CX35" i="74" s="1"/>
  <c r="BW34" i="75"/>
  <c r="CQ35" i="74" s="1"/>
  <c r="CW35" i="74" s="1"/>
  <c r="CA33" i="75"/>
  <c r="CU34" i="74" s="1"/>
  <c r="DA34" i="74" s="1"/>
  <c r="BZ33" i="75"/>
  <c r="CT34" i="74" s="1"/>
  <c r="CZ34" i="74" s="1"/>
  <c r="BY33" i="75"/>
  <c r="CS34" i="74" s="1"/>
  <c r="CY34" i="74" s="1"/>
  <c r="BX33" i="75"/>
  <c r="CR34" i="74" s="1"/>
  <c r="CX34" i="74" s="1"/>
  <c r="BW33" i="75"/>
  <c r="CQ34" i="74" s="1"/>
  <c r="CW34" i="74" s="1"/>
  <c r="CA32" i="75"/>
  <c r="CU33" i="74" s="1"/>
  <c r="DA33" i="74" s="1"/>
  <c r="BZ32" i="75"/>
  <c r="CT33" i="74" s="1"/>
  <c r="CZ33" i="74" s="1"/>
  <c r="BY32" i="75"/>
  <c r="CS33" i="74" s="1"/>
  <c r="CY33" i="74" s="1"/>
  <c r="BX32" i="75"/>
  <c r="CR33" i="74" s="1"/>
  <c r="CX33" i="74" s="1"/>
  <c r="BW32" i="75"/>
  <c r="CQ33" i="74" s="1"/>
  <c r="CW33" i="74" s="1"/>
  <c r="CA31" i="75"/>
  <c r="CU32" i="74" s="1"/>
  <c r="DA32" i="74" s="1"/>
  <c r="BZ31" i="75"/>
  <c r="CT32" i="74" s="1"/>
  <c r="CZ32" i="74" s="1"/>
  <c r="BY31" i="75"/>
  <c r="CS32" i="74" s="1"/>
  <c r="CY32" i="74" s="1"/>
  <c r="BX31" i="75"/>
  <c r="CR32" i="74" s="1"/>
  <c r="CX32" i="74" s="1"/>
  <c r="BW31" i="75"/>
  <c r="CQ32" i="74" s="1"/>
  <c r="CW32" i="74" s="1"/>
  <c r="CA30" i="75"/>
  <c r="CU31" i="74" s="1"/>
  <c r="DA31" i="74" s="1"/>
  <c r="BZ30" i="75"/>
  <c r="CT31" i="74" s="1"/>
  <c r="CZ31" i="74" s="1"/>
  <c r="BY30" i="75"/>
  <c r="CS31" i="74" s="1"/>
  <c r="CY31" i="74" s="1"/>
  <c r="BX30" i="75"/>
  <c r="CR31" i="74" s="1"/>
  <c r="CX31" i="74" s="1"/>
  <c r="BW30" i="75"/>
  <c r="CQ31" i="74" s="1"/>
  <c r="CW31" i="74" s="1"/>
  <c r="CA29" i="75"/>
  <c r="CU30" i="74" s="1"/>
  <c r="DA30" i="74" s="1"/>
  <c r="BZ29" i="75"/>
  <c r="CT30" i="74" s="1"/>
  <c r="CZ30" i="74" s="1"/>
  <c r="BY29" i="75"/>
  <c r="CS30" i="74" s="1"/>
  <c r="CY30" i="74" s="1"/>
  <c r="BX29" i="75"/>
  <c r="CR30" i="74" s="1"/>
  <c r="CX30" i="74" s="1"/>
  <c r="BW29" i="75"/>
  <c r="CQ30" i="74" s="1"/>
  <c r="CW30" i="74" s="1"/>
  <c r="CA28" i="75"/>
  <c r="CU29" i="74" s="1"/>
  <c r="DA29" i="74" s="1"/>
  <c r="BZ28" i="75"/>
  <c r="CT29" i="74" s="1"/>
  <c r="CZ29" i="74" s="1"/>
  <c r="BY28" i="75"/>
  <c r="CS29" i="74" s="1"/>
  <c r="CY29" i="74" s="1"/>
  <c r="BX28" i="75"/>
  <c r="CR29" i="74" s="1"/>
  <c r="CX29" i="74" s="1"/>
  <c r="BW28" i="75"/>
  <c r="CQ29" i="74" s="1"/>
  <c r="CW29" i="74" s="1"/>
  <c r="CA27" i="75"/>
  <c r="CU28" i="74" s="1"/>
  <c r="DA28" i="74" s="1"/>
  <c r="BZ27" i="75"/>
  <c r="CT28" i="74" s="1"/>
  <c r="CZ28" i="74" s="1"/>
  <c r="BY27" i="75"/>
  <c r="CS28" i="74" s="1"/>
  <c r="CY28" i="74" s="1"/>
  <c r="BX27" i="75"/>
  <c r="CR28" i="74" s="1"/>
  <c r="CX28" i="74" s="1"/>
  <c r="BW27" i="75"/>
  <c r="CQ28" i="74" s="1"/>
  <c r="CW28" i="74" s="1"/>
  <c r="CA25" i="75"/>
  <c r="CU26" i="74" s="1"/>
  <c r="DA26" i="74" s="1"/>
  <c r="BZ25" i="75"/>
  <c r="CT26" i="74" s="1"/>
  <c r="CZ26" i="74" s="1"/>
  <c r="BY25" i="75"/>
  <c r="CS26" i="74" s="1"/>
  <c r="CY26" i="74" s="1"/>
  <c r="BX25" i="75"/>
  <c r="CR26" i="74" s="1"/>
  <c r="CX26" i="74" s="1"/>
  <c r="BW25" i="75"/>
  <c r="CQ26" i="74" s="1"/>
  <c r="CW26" i="74" s="1"/>
  <c r="CA24" i="75"/>
  <c r="CU25" i="74" s="1"/>
  <c r="DA25" i="74" s="1"/>
  <c r="BZ24" i="75"/>
  <c r="CT25" i="74" s="1"/>
  <c r="CZ25" i="74" s="1"/>
  <c r="BY24" i="75"/>
  <c r="CS25" i="74" s="1"/>
  <c r="CY25" i="74" s="1"/>
  <c r="BX24" i="75"/>
  <c r="CR25" i="74" s="1"/>
  <c r="CX25" i="74" s="1"/>
  <c r="BW24" i="75"/>
  <c r="CQ25" i="74" s="1"/>
  <c r="CW25" i="74" s="1"/>
  <c r="CA23" i="75"/>
  <c r="CU24" i="74" s="1"/>
  <c r="DA24" i="74" s="1"/>
  <c r="BZ23" i="75"/>
  <c r="CT24" i="74" s="1"/>
  <c r="CZ24" i="74" s="1"/>
  <c r="BY23" i="75"/>
  <c r="CS24" i="74" s="1"/>
  <c r="CY24" i="74" s="1"/>
  <c r="BX23" i="75"/>
  <c r="CR24" i="74" s="1"/>
  <c r="CX24" i="74" s="1"/>
  <c r="BW23" i="75"/>
  <c r="CQ24" i="74" s="1"/>
  <c r="CW24" i="74" s="1"/>
  <c r="CA22" i="75"/>
  <c r="CU23" i="74" s="1"/>
  <c r="DA23" i="74" s="1"/>
  <c r="BZ22" i="75"/>
  <c r="CT23" i="74" s="1"/>
  <c r="CZ23" i="74" s="1"/>
  <c r="BY22" i="75"/>
  <c r="CS23" i="74" s="1"/>
  <c r="CY23" i="74" s="1"/>
  <c r="BX22" i="75"/>
  <c r="CR23" i="74" s="1"/>
  <c r="CX23" i="74" s="1"/>
  <c r="BW22" i="75"/>
  <c r="CQ23" i="74" s="1"/>
  <c r="CW23" i="74" s="1"/>
  <c r="CA21" i="75"/>
  <c r="CU22" i="74" s="1"/>
  <c r="DA22" i="74" s="1"/>
  <c r="BZ21" i="75"/>
  <c r="CT22" i="74" s="1"/>
  <c r="CZ22" i="74" s="1"/>
  <c r="BY21" i="75"/>
  <c r="CS22" i="74" s="1"/>
  <c r="CY22" i="74" s="1"/>
  <c r="BX21" i="75"/>
  <c r="CR22" i="74" s="1"/>
  <c r="CX22" i="74" s="1"/>
  <c r="BW21" i="75"/>
  <c r="CQ22" i="74" s="1"/>
  <c r="CW22" i="74" s="1"/>
  <c r="CA20" i="75"/>
  <c r="CU21" i="74" s="1"/>
  <c r="DA21" i="74" s="1"/>
  <c r="BZ20" i="75"/>
  <c r="CT21" i="74" s="1"/>
  <c r="CZ21" i="74" s="1"/>
  <c r="BY20" i="75"/>
  <c r="CS21" i="74" s="1"/>
  <c r="CY21" i="74" s="1"/>
  <c r="BX20" i="75"/>
  <c r="CR21" i="74" s="1"/>
  <c r="CX21" i="74" s="1"/>
  <c r="BW20" i="75"/>
  <c r="CQ21" i="74" s="1"/>
  <c r="CW21" i="74" s="1"/>
  <c r="CA19" i="75"/>
  <c r="CU20" i="74" s="1"/>
  <c r="DA20" i="74" s="1"/>
  <c r="BZ19" i="75"/>
  <c r="CT20" i="74" s="1"/>
  <c r="CZ20" i="74" s="1"/>
  <c r="BY19" i="75"/>
  <c r="CS20" i="74" s="1"/>
  <c r="CY20" i="74" s="1"/>
  <c r="BX19" i="75"/>
  <c r="CR20" i="74" s="1"/>
  <c r="CX20" i="74" s="1"/>
  <c r="BW19" i="75"/>
  <c r="CQ20" i="74" s="1"/>
  <c r="CW20" i="74" s="1"/>
  <c r="CA18" i="75"/>
  <c r="CU19" i="74" s="1"/>
  <c r="DA19" i="74" s="1"/>
  <c r="BZ18" i="75"/>
  <c r="CT19" i="74" s="1"/>
  <c r="CZ19" i="74" s="1"/>
  <c r="BY18" i="75"/>
  <c r="CS19" i="74" s="1"/>
  <c r="CY19" i="74" s="1"/>
  <c r="BX18" i="75"/>
  <c r="CR19" i="74" s="1"/>
  <c r="CX19" i="74" s="1"/>
  <c r="BW18" i="75"/>
  <c r="CQ19" i="74" s="1"/>
  <c r="CW19" i="74" s="1"/>
  <c r="CA17" i="75"/>
  <c r="CU18" i="74" s="1"/>
  <c r="DA18" i="74" s="1"/>
  <c r="BZ17" i="75"/>
  <c r="CT18" i="74" s="1"/>
  <c r="CZ18" i="74" s="1"/>
  <c r="BY17" i="75"/>
  <c r="CS18" i="74" s="1"/>
  <c r="CY18" i="74" s="1"/>
  <c r="BX17" i="75"/>
  <c r="CR18" i="74" s="1"/>
  <c r="CX18" i="74" s="1"/>
  <c r="BW17" i="75"/>
  <c r="CQ18" i="74" s="1"/>
  <c r="CW18" i="74" s="1"/>
  <c r="CA15" i="75"/>
  <c r="CU16" i="74" s="1"/>
  <c r="DA16" i="74" s="1"/>
  <c r="BZ15" i="75"/>
  <c r="CT16" i="74" s="1"/>
  <c r="CZ16" i="74" s="1"/>
  <c r="BY15" i="75"/>
  <c r="CS16" i="74" s="1"/>
  <c r="CY16" i="74" s="1"/>
  <c r="BX15" i="75"/>
  <c r="CR16" i="74" s="1"/>
  <c r="CX16" i="74" s="1"/>
  <c r="BW15" i="75"/>
  <c r="CQ16" i="74" s="1"/>
  <c r="CW16" i="74" s="1"/>
  <c r="CA14" i="75"/>
  <c r="CU15" i="74" s="1"/>
  <c r="DA15" i="74" s="1"/>
  <c r="BZ14" i="75"/>
  <c r="CT15" i="74" s="1"/>
  <c r="CZ15" i="74" s="1"/>
  <c r="BY14" i="75"/>
  <c r="CS15" i="74" s="1"/>
  <c r="CY15" i="74" s="1"/>
  <c r="BX14" i="75"/>
  <c r="CR15" i="74" s="1"/>
  <c r="CX15" i="74" s="1"/>
  <c r="BW14" i="75"/>
  <c r="CQ15" i="74" s="1"/>
  <c r="CW15" i="74" s="1"/>
  <c r="CA13" i="75"/>
  <c r="CU14" i="74" s="1"/>
  <c r="DA14" i="74" s="1"/>
  <c r="BZ13" i="75"/>
  <c r="CT14" i="74" s="1"/>
  <c r="CZ14" i="74" s="1"/>
  <c r="BY13" i="75"/>
  <c r="CS14" i="74" s="1"/>
  <c r="CY14" i="74" s="1"/>
  <c r="BX13" i="75"/>
  <c r="CR14" i="74" s="1"/>
  <c r="CX14" i="74" s="1"/>
  <c r="BW13" i="75"/>
  <c r="CQ14" i="74" s="1"/>
  <c r="CW14" i="74" s="1"/>
  <c r="CA12" i="75"/>
  <c r="CU13" i="74" s="1"/>
  <c r="DA13" i="74" s="1"/>
  <c r="BZ12" i="75"/>
  <c r="CT13" i="74" s="1"/>
  <c r="CZ13" i="74" s="1"/>
  <c r="BY12" i="75"/>
  <c r="CS13" i="74" s="1"/>
  <c r="CY13" i="74" s="1"/>
  <c r="BX12" i="75"/>
  <c r="CR13" i="74" s="1"/>
  <c r="CX13" i="74" s="1"/>
  <c r="BW12" i="75"/>
  <c r="CQ13" i="74" s="1"/>
  <c r="CW13" i="74" s="1"/>
  <c r="CA11" i="75"/>
  <c r="CU12" i="74" s="1"/>
  <c r="DA12" i="74" s="1"/>
  <c r="BZ11" i="75"/>
  <c r="CT12" i="74" s="1"/>
  <c r="CZ12" i="74" s="1"/>
  <c r="BY11" i="75"/>
  <c r="CS12" i="74" s="1"/>
  <c r="CY12" i="74" s="1"/>
  <c r="BX11" i="75"/>
  <c r="CR12" i="74" s="1"/>
  <c r="CX12" i="74" s="1"/>
  <c r="BW11" i="75"/>
  <c r="CQ12" i="74" s="1"/>
  <c r="CW12" i="74" s="1"/>
  <c r="CA10" i="75"/>
  <c r="CU11" i="74" s="1"/>
  <c r="DA11" i="74" s="1"/>
  <c r="BZ10" i="75"/>
  <c r="CT11" i="74" s="1"/>
  <c r="CZ11" i="74" s="1"/>
  <c r="BY10" i="75"/>
  <c r="CS11" i="74" s="1"/>
  <c r="CY11" i="74" s="1"/>
  <c r="BX10" i="75"/>
  <c r="CR11" i="74" s="1"/>
  <c r="CX11" i="74" s="1"/>
  <c r="BW10" i="75"/>
  <c r="CQ11" i="74" s="1"/>
  <c r="CW11" i="74" s="1"/>
  <c r="CA9" i="75"/>
  <c r="CU10" i="74" s="1"/>
  <c r="DA10" i="74" s="1"/>
  <c r="BZ9" i="75"/>
  <c r="CT10" i="74" s="1"/>
  <c r="CZ10" i="74" s="1"/>
  <c r="BY9" i="75"/>
  <c r="CS10" i="74" s="1"/>
  <c r="CY10" i="74" s="1"/>
  <c r="BX9" i="75"/>
  <c r="CR10" i="74" s="1"/>
  <c r="CX10" i="74" s="1"/>
  <c r="BW9" i="75"/>
  <c r="CQ10" i="74" s="1"/>
  <c r="CW10" i="74" s="1"/>
  <c r="CA8" i="75"/>
  <c r="CU9" i="74" s="1"/>
  <c r="DA9" i="74" s="1"/>
  <c r="BZ8" i="75"/>
  <c r="CT9" i="74" s="1"/>
  <c r="CZ9" i="74" s="1"/>
  <c r="BY8" i="75"/>
  <c r="CS9" i="74" s="1"/>
  <c r="CY9" i="74" s="1"/>
  <c r="BX8" i="75"/>
  <c r="CR9" i="74" s="1"/>
  <c r="CX9" i="74" s="1"/>
  <c r="BW8" i="75"/>
  <c r="CQ9" i="74" s="1"/>
  <c r="CW9" i="74" s="1"/>
  <c r="CA7" i="75"/>
  <c r="CU8" i="74" s="1"/>
  <c r="DA8" i="74" s="1"/>
  <c r="BZ7" i="75"/>
  <c r="CT8" i="74" s="1"/>
  <c r="CZ8" i="74" s="1"/>
  <c r="BY7" i="75"/>
  <c r="CS8" i="74" s="1"/>
  <c r="CY8" i="74" s="1"/>
  <c r="BX7" i="75"/>
  <c r="CR8" i="74" s="1"/>
  <c r="CX8" i="74" s="1"/>
  <c r="BW7" i="75"/>
  <c r="CQ8" i="74" s="1"/>
  <c r="CW8" i="74" s="1"/>
  <c r="CA6" i="75"/>
  <c r="CU7" i="74" s="1"/>
  <c r="DA7" i="74" s="1"/>
  <c r="BZ6" i="75"/>
  <c r="CT7" i="74" s="1"/>
  <c r="CZ7" i="74" s="1"/>
  <c r="BY6" i="75"/>
  <c r="CS7" i="74" s="1"/>
  <c r="CY7" i="74" s="1"/>
  <c r="BX6" i="75"/>
  <c r="CR7" i="74" s="1"/>
  <c r="CX7" i="74" s="1"/>
  <c r="BW6" i="75"/>
  <c r="CQ7" i="74" s="1"/>
  <c r="CW7" i="74" s="1"/>
  <c r="CA5" i="75"/>
  <c r="CU6" i="74" s="1"/>
  <c r="DA6" i="74" s="1"/>
  <c r="BZ5" i="75"/>
  <c r="CT6" i="74" s="1"/>
  <c r="CZ6" i="74" s="1"/>
  <c r="BY5" i="75"/>
  <c r="CS6" i="74" s="1"/>
  <c r="CY6" i="74" s="1"/>
  <c r="BX5" i="75"/>
  <c r="CR6" i="74" s="1"/>
  <c r="CX6" i="74" s="1"/>
  <c r="BW5" i="75"/>
  <c r="CQ6" i="74" s="1"/>
  <c r="CW6" i="74" s="1"/>
  <c r="CA4" i="75"/>
  <c r="CU5" i="74" s="1"/>
  <c r="DA5" i="74" s="1"/>
  <c r="BZ4" i="75"/>
  <c r="CT5" i="74" s="1"/>
  <c r="CZ5" i="74" s="1"/>
  <c r="BY4" i="75"/>
  <c r="CS5" i="74" s="1"/>
  <c r="CY5" i="74" s="1"/>
  <c r="BX4" i="75"/>
  <c r="CR5" i="74" s="1"/>
  <c r="CX5" i="74" s="1"/>
  <c r="BW4" i="75"/>
  <c r="CQ5" i="74" s="1"/>
  <c r="CW5" i="74" s="1"/>
  <c r="CA3" i="75"/>
  <c r="CU4" i="74" s="1"/>
  <c r="DA4" i="74" s="1"/>
  <c r="BZ3" i="75"/>
  <c r="CT4" i="74" s="1"/>
  <c r="CZ4" i="74" s="1"/>
  <c r="BY3" i="75"/>
  <c r="CS4" i="74" s="1"/>
  <c r="CY4" i="74" s="1"/>
  <c r="BX3" i="75"/>
  <c r="CR4" i="74" s="1"/>
  <c r="CX4" i="74" s="1"/>
  <c r="BW3" i="75"/>
  <c r="CQ4" i="74" s="1"/>
  <c r="CW4" i="74" s="1"/>
  <c r="CA98" i="73"/>
  <c r="CU99" i="72" s="1"/>
  <c r="DA99" i="72" s="1"/>
  <c r="BZ98" i="73"/>
  <c r="CT99" i="72" s="1"/>
  <c r="CZ99" i="72" s="1"/>
  <c r="BY98" i="73"/>
  <c r="CS99" i="72" s="1"/>
  <c r="CY99" i="72" s="1"/>
  <c r="BX98" i="73"/>
  <c r="CR99" i="72" s="1"/>
  <c r="CX99" i="72" s="1"/>
  <c r="BW98" i="73"/>
  <c r="CQ99" i="72" s="1"/>
  <c r="CW99" i="72" s="1"/>
  <c r="CA97" i="73"/>
  <c r="CU98" i="72" s="1"/>
  <c r="DA98" i="72" s="1"/>
  <c r="BZ97" i="73"/>
  <c r="CT98" i="72" s="1"/>
  <c r="CZ98" i="72" s="1"/>
  <c r="BY97" i="73"/>
  <c r="CS98" i="72" s="1"/>
  <c r="CY98" i="72" s="1"/>
  <c r="BX97" i="73"/>
  <c r="CR98" i="72" s="1"/>
  <c r="CX98" i="72" s="1"/>
  <c r="BW97" i="73"/>
  <c r="CQ98" i="72" s="1"/>
  <c r="CW98" i="72" s="1"/>
  <c r="CA96" i="73"/>
  <c r="CU97" i="72" s="1"/>
  <c r="DA97" i="72" s="1"/>
  <c r="BZ96" i="73"/>
  <c r="CT97" i="72" s="1"/>
  <c r="CZ97" i="72" s="1"/>
  <c r="BY96" i="73"/>
  <c r="CS97" i="72" s="1"/>
  <c r="CY97" i="72" s="1"/>
  <c r="BX96" i="73"/>
  <c r="CR97" i="72" s="1"/>
  <c r="CX97" i="72" s="1"/>
  <c r="BW96" i="73"/>
  <c r="CQ97" i="72" s="1"/>
  <c r="CW97" i="72" s="1"/>
  <c r="CA95" i="73"/>
  <c r="CU96" i="72" s="1"/>
  <c r="DA96" i="72" s="1"/>
  <c r="BZ95" i="73"/>
  <c r="CT96" i="72" s="1"/>
  <c r="CZ96" i="72" s="1"/>
  <c r="BY95" i="73"/>
  <c r="CS96" i="72" s="1"/>
  <c r="CY96" i="72" s="1"/>
  <c r="BX95" i="73"/>
  <c r="CR96" i="72" s="1"/>
  <c r="CX96" i="72" s="1"/>
  <c r="BW95" i="73"/>
  <c r="CQ96" i="72" s="1"/>
  <c r="CW96" i="72" s="1"/>
  <c r="CA93" i="73"/>
  <c r="CU94" i="72" s="1"/>
  <c r="DA94" i="72" s="1"/>
  <c r="BZ93" i="73"/>
  <c r="CT94" i="72" s="1"/>
  <c r="CZ94" i="72" s="1"/>
  <c r="BY93" i="73"/>
  <c r="CS94" i="72" s="1"/>
  <c r="CY94" i="72" s="1"/>
  <c r="BX93" i="73"/>
  <c r="CR94" i="72" s="1"/>
  <c r="CX94" i="72" s="1"/>
  <c r="BW93" i="73"/>
  <c r="CQ94" i="72" s="1"/>
  <c r="CW94" i="72" s="1"/>
  <c r="CA92" i="73"/>
  <c r="CU93" i="72" s="1"/>
  <c r="DA93" i="72" s="1"/>
  <c r="BZ92" i="73"/>
  <c r="CT93" i="72" s="1"/>
  <c r="CZ93" i="72" s="1"/>
  <c r="BY92" i="73"/>
  <c r="CS93" i="72" s="1"/>
  <c r="CY93" i="72" s="1"/>
  <c r="BX92" i="73"/>
  <c r="CR93" i="72" s="1"/>
  <c r="CX93" i="72" s="1"/>
  <c r="BW92" i="73"/>
  <c r="CQ93" i="72" s="1"/>
  <c r="CW93" i="72" s="1"/>
  <c r="CA91" i="73"/>
  <c r="CU92" i="72" s="1"/>
  <c r="DA92" i="72" s="1"/>
  <c r="BZ91" i="73"/>
  <c r="CT92" i="72" s="1"/>
  <c r="CZ92" i="72" s="1"/>
  <c r="BY91" i="73"/>
  <c r="CS92" i="72" s="1"/>
  <c r="CY92" i="72" s="1"/>
  <c r="BX91" i="73"/>
  <c r="CR92" i="72" s="1"/>
  <c r="CX92" i="72" s="1"/>
  <c r="BW91" i="73"/>
  <c r="CQ92" i="72" s="1"/>
  <c r="CW92" i="72" s="1"/>
  <c r="CA90" i="73"/>
  <c r="CU91" i="72" s="1"/>
  <c r="DA91" i="72" s="1"/>
  <c r="BZ90" i="73"/>
  <c r="CT91" i="72" s="1"/>
  <c r="CZ91" i="72" s="1"/>
  <c r="BY90" i="73"/>
  <c r="CS91" i="72" s="1"/>
  <c r="CY91" i="72" s="1"/>
  <c r="BX90" i="73"/>
  <c r="CR91" i="72" s="1"/>
  <c r="CX91" i="72" s="1"/>
  <c r="BW90" i="73"/>
  <c r="CQ91" i="72" s="1"/>
  <c r="CW91" i="72" s="1"/>
  <c r="CA89" i="73"/>
  <c r="CU90" i="72" s="1"/>
  <c r="DA90" i="72" s="1"/>
  <c r="BZ89" i="73"/>
  <c r="CT90" i="72" s="1"/>
  <c r="CZ90" i="72" s="1"/>
  <c r="BY89" i="73"/>
  <c r="CS90" i="72" s="1"/>
  <c r="CY90" i="72" s="1"/>
  <c r="BX89" i="73"/>
  <c r="CR90" i="72" s="1"/>
  <c r="CX90" i="72" s="1"/>
  <c r="BW89" i="73"/>
  <c r="CQ90" i="72" s="1"/>
  <c r="CW90" i="72" s="1"/>
  <c r="CA88" i="73"/>
  <c r="CU89" i="72" s="1"/>
  <c r="DA89" i="72" s="1"/>
  <c r="BZ88" i="73"/>
  <c r="CT89" i="72" s="1"/>
  <c r="CZ89" i="72" s="1"/>
  <c r="BY88" i="73"/>
  <c r="CS89" i="72" s="1"/>
  <c r="CY89" i="72" s="1"/>
  <c r="BX88" i="73"/>
  <c r="CR89" i="72" s="1"/>
  <c r="CX89" i="72" s="1"/>
  <c r="BW88" i="73"/>
  <c r="CQ89" i="72" s="1"/>
  <c r="CW89" i="72" s="1"/>
  <c r="CA87" i="73"/>
  <c r="CU88" i="72" s="1"/>
  <c r="DA88" i="72" s="1"/>
  <c r="BZ87" i="73"/>
  <c r="CT88" i="72" s="1"/>
  <c r="CZ88" i="72" s="1"/>
  <c r="BY87" i="73"/>
  <c r="CS88" i="72" s="1"/>
  <c r="CY88" i="72" s="1"/>
  <c r="BX87" i="73"/>
  <c r="CR88" i="72" s="1"/>
  <c r="CX88" i="72" s="1"/>
  <c r="BW87" i="73"/>
  <c r="CQ88" i="72" s="1"/>
  <c r="CW88" i="72" s="1"/>
  <c r="CA86" i="73"/>
  <c r="CU87" i="72" s="1"/>
  <c r="DA87" i="72" s="1"/>
  <c r="BZ86" i="73"/>
  <c r="CT87" i="72" s="1"/>
  <c r="CZ87" i="72" s="1"/>
  <c r="BY86" i="73"/>
  <c r="CS87" i="72" s="1"/>
  <c r="CY87" i="72" s="1"/>
  <c r="BX86" i="73"/>
  <c r="CR87" i="72" s="1"/>
  <c r="CX87" i="72" s="1"/>
  <c r="BW86" i="73"/>
  <c r="CQ87" i="72" s="1"/>
  <c r="CW87" i="72" s="1"/>
  <c r="CA85" i="73"/>
  <c r="CU86" i="72" s="1"/>
  <c r="DA86" i="72" s="1"/>
  <c r="BZ85" i="73"/>
  <c r="CT86" i="72" s="1"/>
  <c r="CZ86" i="72" s="1"/>
  <c r="BY85" i="73"/>
  <c r="CS86" i="72" s="1"/>
  <c r="CY86" i="72" s="1"/>
  <c r="BX85" i="73"/>
  <c r="CR86" i="72" s="1"/>
  <c r="CX86" i="72" s="1"/>
  <c r="BW85" i="73"/>
  <c r="CQ86" i="72" s="1"/>
  <c r="CW86" i="72" s="1"/>
  <c r="CA84" i="73"/>
  <c r="CU85" i="72" s="1"/>
  <c r="DA85" i="72" s="1"/>
  <c r="BZ84" i="73"/>
  <c r="CT85" i="72" s="1"/>
  <c r="CZ85" i="72" s="1"/>
  <c r="BY84" i="73"/>
  <c r="CS85" i="72" s="1"/>
  <c r="CY85" i="72" s="1"/>
  <c r="BX84" i="73"/>
  <c r="CR85" i="72" s="1"/>
  <c r="CX85" i="72" s="1"/>
  <c r="BW84" i="73"/>
  <c r="CQ85" i="72" s="1"/>
  <c r="CW85" i="72" s="1"/>
  <c r="CA83" i="73"/>
  <c r="CU84" i="72" s="1"/>
  <c r="DA84" i="72" s="1"/>
  <c r="BZ83" i="73"/>
  <c r="CT84" i="72" s="1"/>
  <c r="CZ84" i="72" s="1"/>
  <c r="BY83" i="73"/>
  <c r="CS84" i="72" s="1"/>
  <c r="CY84" i="72" s="1"/>
  <c r="BX83" i="73"/>
  <c r="CR84" i="72" s="1"/>
  <c r="CX84" i="72" s="1"/>
  <c r="BW83" i="73"/>
  <c r="CQ84" i="72" s="1"/>
  <c r="CW84" i="72" s="1"/>
  <c r="CA82" i="73"/>
  <c r="CU83" i="72" s="1"/>
  <c r="DA83" i="72" s="1"/>
  <c r="BZ82" i="73"/>
  <c r="CT83" i="72" s="1"/>
  <c r="CZ83" i="72" s="1"/>
  <c r="BY82" i="73"/>
  <c r="CS83" i="72" s="1"/>
  <c r="CY83" i="72" s="1"/>
  <c r="BX82" i="73"/>
  <c r="CR83" i="72" s="1"/>
  <c r="CX83" i="72" s="1"/>
  <c r="BW82" i="73"/>
  <c r="CQ83" i="72" s="1"/>
  <c r="CW83" i="72" s="1"/>
  <c r="CA81" i="73"/>
  <c r="CU82" i="72" s="1"/>
  <c r="DA82" i="72" s="1"/>
  <c r="BZ81" i="73"/>
  <c r="CT82" i="72" s="1"/>
  <c r="CZ82" i="72" s="1"/>
  <c r="BY81" i="73"/>
  <c r="CS82" i="72" s="1"/>
  <c r="CY82" i="72" s="1"/>
  <c r="BX81" i="73"/>
  <c r="CR82" i="72" s="1"/>
  <c r="CX82" i="72" s="1"/>
  <c r="BW81" i="73"/>
  <c r="CQ82" i="72" s="1"/>
  <c r="CW82" i="72" s="1"/>
  <c r="CA80" i="73"/>
  <c r="CU81" i="72" s="1"/>
  <c r="DA81" i="72" s="1"/>
  <c r="BZ80" i="73"/>
  <c r="CT81" i="72" s="1"/>
  <c r="CZ81" i="72" s="1"/>
  <c r="BY80" i="73"/>
  <c r="CS81" i="72" s="1"/>
  <c r="CY81" i="72" s="1"/>
  <c r="BX80" i="73"/>
  <c r="CR81" i="72" s="1"/>
  <c r="CX81" i="72" s="1"/>
  <c r="BW80" i="73"/>
  <c r="CQ81" i="72" s="1"/>
  <c r="CW81" i="72" s="1"/>
  <c r="CA79" i="73"/>
  <c r="CU80" i="72" s="1"/>
  <c r="DA80" i="72" s="1"/>
  <c r="BZ79" i="73"/>
  <c r="CT80" i="72" s="1"/>
  <c r="CZ80" i="72" s="1"/>
  <c r="BY79" i="73"/>
  <c r="CS80" i="72" s="1"/>
  <c r="CY80" i="72" s="1"/>
  <c r="BX79" i="73"/>
  <c r="CR80" i="72" s="1"/>
  <c r="CX80" i="72" s="1"/>
  <c r="BW79" i="73"/>
  <c r="CQ80" i="72" s="1"/>
  <c r="CW80" i="72" s="1"/>
  <c r="CA77" i="73"/>
  <c r="CU78" i="72" s="1"/>
  <c r="DA78" i="72" s="1"/>
  <c r="BZ77" i="73"/>
  <c r="CT78" i="72" s="1"/>
  <c r="CZ78" i="72" s="1"/>
  <c r="BY77" i="73"/>
  <c r="CS78" i="72" s="1"/>
  <c r="CY78" i="72" s="1"/>
  <c r="BX77" i="73"/>
  <c r="CR78" i="72" s="1"/>
  <c r="CX78" i="72" s="1"/>
  <c r="BW77" i="73"/>
  <c r="CQ78" i="72" s="1"/>
  <c r="CW78" i="72" s="1"/>
  <c r="CA76" i="73"/>
  <c r="CU77" i="72" s="1"/>
  <c r="DA77" i="72" s="1"/>
  <c r="BZ76" i="73"/>
  <c r="CT77" i="72" s="1"/>
  <c r="CZ77" i="72" s="1"/>
  <c r="BY76" i="73"/>
  <c r="CS77" i="72" s="1"/>
  <c r="CY77" i="72" s="1"/>
  <c r="BX76" i="73"/>
  <c r="CR77" i="72" s="1"/>
  <c r="CX77" i="72" s="1"/>
  <c r="BW76" i="73"/>
  <c r="CQ77" i="72" s="1"/>
  <c r="CW77" i="72" s="1"/>
  <c r="CA75" i="73"/>
  <c r="CU76" i="72" s="1"/>
  <c r="DA76" i="72" s="1"/>
  <c r="BZ75" i="73"/>
  <c r="CT76" i="72" s="1"/>
  <c r="CZ76" i="72" s="1"/>
  <c r="BY75" i="73"/>
  <c r="CS76" i="72" s="1"/>
  <c r="CY76" i="72" s="1"/>
  <c r="BX75" i="73"/>
  <c r="CR76" i="72" s="1"/>
  <c r="CX76" i="72" s="1"/>
  <c r="BW75" i="73"/>
  <c r="CQ76" i="72" s="1"/>
  <c r="CW76" i="72" s="1"/>
  <c r="CA74" i="73"/>
  <c r="CU75" i="72" s="1"/>
  <c r="DA75" i="72" s="1"/>
  <c r="BZ74" i="73"/>
  <c r="CT75" i="72" s="1"/>
  <c r="CZ75" i="72" s="1"/>
  <c r="BY74" i="73"/>
  <c r="CS75" i="72" s="1"/>
  <c r="CY75" i="72" s="1"/>
  <c r="BX74" i="73"/>
  <c r="CR75" i="72" s="1"/>
  <c r="CX75" i="72" s="1"/>
  <c r="BW74" i="73"/>
  <c r="CQ75" i="72" s="1"/>
  <c r="CW75" i="72" s="1"/>
  <c r="CA73" i="73"/>
  <c r="CU74" i="72" s="1"/>
  <c r="DA74" i="72" s="1"/>
  <c r="BZ73" i="73"/>
  <c r="CT74" i="72" s="1"/>
  <c r="CZ74" i="72" s="1"/>
  <c r="BY73" i="73"/>
  <c r="CS74" i="72" s="1"/>
  <c r="CY74" i="72" s="1"/>
  <c r="BX73" i="73"/>
  <c r="CR74" i="72" s="1"/>
  <c r="CX74" i="72" s="1"/>
  <c r="BW73" i="73"/>
  <c r="CQ74" i="72" s="1"/>
  <c r="CW74" i="72" s="1"/>
  <c r="CA72" i="73"/>
  <c r="CU73" i="72" s="1"/>
  <c r="DA73" i="72" s="1"/>
  <c r="BZ72" i="73"/>
  <c r="CT73" i="72" s="1"/>
  <c r="CZ73" i="72" s="1"/>
  <c r="BY72" i="73"/>
  <c r="CS73" i="72" s="1"/>
  <c r="CY73" i="72" s="1"/>
  <c r="BX72" i="73"/>
  <c r="CR73" i="72" s="1"/>
  <c r="CX73" i="72" s="1"/>
  <c r="BW72" i="73"/>
  <c r="CQ73" i="72" s="1"/>
  <c r="CW73" i="72" s="1"/>
  <c r="CA71" i="73"/>
  <c r="CU72" i="72" s="1"/>
  <c r="DA72" i="72" s="1"/>
  <c r="BZ71" i="73"/>
  <c r="CT72" i="72" s="1"/>
  <c r="CZ72" i="72" s="1"/>
  <c r="BY71" i="73"/>
  <c r="CS72" i="72" s="1"/>
  <c r="CY72" i="72" s="1"/>
  <c r="BX71" i="73"/>
  <c r="CR72" i="72" s="1"/>
  <c r="CX72" i="72" s="1"/>
  <c r="BW71" i="73"/>
  <c r="CQ72" i="72" s="1"/>
  <c r="CW72" i="72" s="1"/>
  <c r="CA70" i="73"/>
  <c r="CU71" i="72" s="1"/>
  <c r="DA71" i="72" s="1"/>
  <c r="BZ70" i="73"/>
  <c r="CT71" i="72" s="1"/>
  <c r="CZ71" i="72" s="1"/>
  <c r="BY70" i="73"/>
  <c r="CS71" i="72" s="1"/>
  <c r="CY71" i="72" s="1"/>
  <c r="BX70" i="73"/>
  <c r="CR71" i="72" s="1"/>
  <c r="CX71" i="72" s="1"/>
  <c r="BW70" i="73"/>
  <c r="CQ71" i="72" s="1"/>
  <c r="CW71" i="72" s="1"/>
  <c r="CA69" i="73"/>
  <c r="CU70" i="72" s="1"/>
  <c r="DA70" i="72" s="1"/>
  <c r="BZ69" i="73"/>
  <c r="CT70" i="72" s="1"/>
  <c r="CZ70" i="72" s="1"/>
  <c r="BY69" i="73"/>
  <c r="CS70" i="72" s="1"/>
  <c r="CY70" i="72" s="1"/>
  <c r="BX69" i="73"/>
  <c r="CR70" i="72" s="1"/>
  <c r="CX70" i="72" s="1"/>
  <c r="BW69" i="73"/>
  <c r="CQ70" i="72" s="1"/>
  <c r="CW70" i="72" s="1"/>
  <c r="CA68" i="73"/>
  <c r="CU69" i="72" s="1"/>
  <c r="DA69" i="72" s="1"/>
  <c r="BZ68" i="73"/>
  <c r="CT69" i="72" s="1"/>
  <c r="CZ69" i="72" s="1"/>
  <c r="BY68" i="73"/>
  <c r="CS69" i="72" s="1"/>
  <c r="CY69" i="72" s="1"/>
  <c r="BX68" i="73"/>
  <c r="CR69" i="72" s="1"/>
  <c r="CX69" i="72" s="1"/>
  <c r="BW68" i="73"/>
  <c r="CQ69" i="72" s="1"/>
  <c r="CW69" i="72" s="1"/>
  <c r="CA67" i="73"/>
  <c r="CU68" i="72" s="1"/>
  <c r="DA68" i="72" s="1"/>
  <c r="BZ67" i="73"/>
  <c r="CT68" i="72" s="1"/>
  <c r="CZ68" i="72" s="1"/>
  <c r="BY67" i="73"/>
  <c r="CS68" i="72" s="1"/>
  <c r="CY68" i="72" s="1"/>
  <c r="BX67" i="73"/>
  <c r="CR68" i="72" s="1"/>
  <c r="CX68" i="72" s="1"/>
  <c r="BW67" i="73"/>
  <c r="CQ68" i="72" s="1"/>
  <c r="CW68" i="72" s="1"/>
  <c r="CA66" i="73"/>
  <c r="CU67" i="72" s="1"/>
  <c r="DA67" i="72" s="1"/>
  <c r="BZ66" i="73"/>
  <c r="CT67" i="72" s="1"/>
  <c r="CZ67" i="72" s="1"/>
  <c r="BY66" i="73"/>
  <c r="CS67" i="72" s="1"/>
  <c r="CY67" i="72" s="1"/>
  <c r="BX66" i="73"/>
  <c r="CR67" i="72" s="1"/>
  <c r="CX67" i="72" s="1"/>
  <c r="BW66" i="73"/>
  <c r="CQ67" i="72" s="1"/>
  <c r="CW67" i="72" s="1"/>
  <c r="CA65" i="73"/>
  <c r="CU66" i="72" s="1"/>
  <c r="DA66" i="72" s="1"/>
  <c r="BZ65" i="73"/>
  <c r="CT66" i="72" s="1"/>
  <c r="CZ66" i="72" s="1"/>
  <c r="BY65" i="73"/>
  <c r="CS66" i="72" s="1"/>
  <c r="CY66" i="72" s="1"/>
  <c r="BX65" i="73"/>
  <c r="CR66" i="72" s="1"/>
  <c r="CX66" i="72" s="1"/>
  <c r="BW65" i="73"/>
  <c r="CQ66" i="72" s="1"/>
  <c r="CW66" i="72" s="1"/>
  <c r="CA64" i="73"/>
  <c r="CU65" i="72" s="1"/>
  <c r="DA65" i="72" s="1"/>
  <c r="BZ64" i="73"/>
  <c r="CT65" i="72" s="1"/>
  <c r="CZ65" i="72" s="1"/>
  <c r="BY64" i="73"/>
  <c r="CS65" i="72" s="1"/>
  <c r="CY65" i="72" s="1"/>
  <c r="BX64" i="73"/>
  <c r="CR65" i="72" s="1"/>
  <c r="CX65" i="72" s="1"/>
  <c r="BW64" i="73"/>
  <c r="CQ65" i="72" s="1"/>
  <c r="CW65" i="72" s="1"/>
  <c r="CA63" i="73"/>
  <c r="CU64" i="72" s="1"/>
  <c r="DA64" i="72" s="1"/>
  <c r="BZ63" i="73"/>
  <c r="CT64" i="72" s="1"/>
  <c r="CZ64" i="72" s="1"/>
  <c r="BY63" i="73"/>
  <c r="CS64" i="72" s="1"/>
  <c r="CY64" i="72" s="1"/>
  <c r="BX63" i="73"/>
  <c r="CR64" i="72" s="1"/>
  <c r="CX64" i="72" s="1"/>
  <c r="BW63" i="73"/>
  <c r="CQ64" i="72" s="1"/>
  <c r="CW64" i="72" s="1"/>
  <c r="CA62" i="73"/>
  <c r="CU63" i="72" s="1"/>
  <c r="DA63" i="72" s="1"/>
  <c r="BZ62" i="73"/>
  <c r="CT63" i="72" s="1"/>
  <c r="CZ63" i="72" s="1"/>
  <c r="BY62" i="73"/>
  <c r="CS63" i="72" s="1"/>
  <c r="CY63" i="72" s="1"/>
  <c r="BX62" i="73"/>
  <c r="CR63" i="72" s="1"/>
  <c r="CX63" i="72" s="1"/>
  <c r="BW62" i="73"/>
  <c r="CQ63" i="72" s="1"/>
  <c r="CW63" i="72" s="1"/>
  <c r="CA61" i="73"/>
  <c r="CU62" i="72" s="1"/>
  <c r="DA62" i="72" s="1"/>
  <c r="BZ61" i="73"/>
  <c r="CT62" i="72" s="1"/>
  <c r="CZ62" i="72" s="1"/>
  <c r="BY61" i="73"/>
  <c r="CS62" i="72" s="1"/>
  <c r="CY62" i="72" s="1"/>
  <c r="BX61" i="73"/>
  <c r="CR62" i="72" s="1"/>
  <c r="CX62" i="72" s="1"/>
  <c r="BW61" i="73"/>
  <c r="CQ62" i="72" s="1"/>
  <c r="CW62" i="72" s="1"/>
  <c r="CA60" i="73"/>
  <c r="CU61" i="72" s="1"/>
  <c r="DA61" i="72" s="1"/>
  <c r="BZ60" i="73"/>
  <c r="CT61" i="72" s="1"/>
  <c r="CZ61" i="72" s="1"/>
  <c r="BY60" i="73"/>
  <c r="CS61" i="72" s="1"/>
  <c r="CY61" i="72" s="1"/>
  <c r="BX60" i="73"/>
  <c r="CR61" i="72" s="1"/>
  <c r="CX61" i="72" s="1"/>
  <c r="BW60" i="73"/>
  <c r="CQ61" i="72" s="1"/>
  <c r="CW61" i="72" s="1"/>
  <c r="CA58" i="73"/>
  <c r="CU59" i="72" s="1"/>
  <c r="DA59" i="72" s="1"/>
  <c r="BZ58" i="73"/>
  <c r="CT59" i="72" s="1"/>
  <c r="CZ59" i="72" s="1"/>
  <c r="BY58" i="73"/>
  <c r="CS59" i="72" s="1"/>
  <c r="CY59" i="72" s="1"/>
  <c r="BX58" i="73"/>
  <c r="CR59" i="72" s="1"/>
  <c r="CX59" i="72" s="1"/>
  <c r="BW58" i="73"/>
  <c r="CQ59" i="72" s="1"/>
  <c r="CW59" i="72" s="1"/>
  <c r="CA57" i="73"/>
  <c r="CU58" i="72" s="1"/>
  <c r="DA58" i="72" s="1"/>
  <c r="BZ57" i="73"/>
  <c r="CT58" i="72" s="1"/>
  <c r="CZ58" i="72" s="1"/>
  <c r="BY57" i="73"/>
  <c r="CS58" i="72" s="1"/>
  <c r="CY58" i="72" s="1"/>
  <c r="BX57" i="73"/>
  <c r="CR58" i="72" s="1"/>
  <c r="CX58" i="72" s="1"/>
  <c r="BW57" i="73"/>
  <c r="CQ58" i="72" s="1"/>
  <c r="CW58" i="72" s="1"/>
  <c r="CA56" i="73"/>
  <c r="CU57" i="72" s="1"/>
  <c r="DA57" i="72" s="1"/>
  <c r="BZ56" i="73"/>
  <c r="CT57" i="72" s="1"/>
  <c r="CZ57" i="72" s="1"/>
  <c r="BY56" i="73"/>
  <c r="CS57" i="72" s="1"/>
  <c r="CY57" i="72" s="1"/>
  <c r="BX56" i="73"/>
  <c r="CR57" i="72" s="1"/>
  <c r="CX57" i="72" s="1"/>
  <c r="BW56" i="73"/>
  <c r="CQ57" i="72" s="1"/>
  <c r="CW57" i="72" s="1"/>
  <c r="CA55" i="73"/>
  <c r="CU56" i="72" s="1"/>
  <c r="DA56" i="72" s="1"/>
  <c r="BZ55" i="73"/>
  <c r="CT56" i="72" s="1"/>
  <c r="CZ56" i="72" s="1"/>
  <c r="BY55" i="73"/>
  <c r="CS56" i="72" s="1"/>
  <c r="CY56" i="72" s="1"/>
  <c r="BX55" i="73"/>
  <c r="CR56" i="72" s="1"/>
  <c r="CX56" i="72" s="1"/>
  <c r="BW55" i="73"/>
  <c r="CQ56" i="72" s="1"/>
  <c r="CW56" i="72" s="1"/>
  <c r="CA54" i="73"/>
  <c r="CU55" i="72" s="1"/>
  <c r="DA55" i="72" s="1"/>
  <c r="BZ54" i="73"/>
  <c r="CT55" i="72" s="1"/>
  <c r="CZ55" i="72" s="1"/>
  <c r="BY54" i="73"/>
  <c r="CS55" i="72" s="1"/>
  <c r="CY55" i="72" s="1"/>
  <c r="BX54" i="73"/>
  <c r="CR55" i="72" s="1"/>
  <c r="CX55" i="72" s="1"/>
  <c r="BW54" i="73"/>
  <c r="CQ55" i="72" s="1"/>
  <c r="CW55" i="72" s="1"/>
  <c r="CA53" i="73"/>
  <c r="CU54" i="72" s="1"/>
  <c r="DA54" i="72" s="1"/>
  <c r="BZ53" i="73"/>
  <c r="CT54" i="72" s="1"/>
  <c r="CZ54" i="72" s="1"/>
  <c r="BY53" i="73"/>
  <c r="CS54" i="72" s="1"/>
  <c r="CY54" i="72" s="1"/>
  <c r="BX53" i="73"/>
  <c r="CR54" i="72" s="1"/>
  <c r="CX54" i="72" s="1"/>
  <c r="BW53" i="73"/>
  <c r="CQ54" i="72" s="1"/>
  <c r="CW54" i="72" s="1"/>
  <c r="CA52" i="73"/>
  <c r="CU53" i="72" s="1"/>
  <c r="DA53" i="72" s="1"/>
  <c r="BZ52" i="73"/>
  <c r="CT53" i="72" s="1"/>
  <c r="CZ53" i="72" s="1"/>
  <c r="BY52" i="73"/>
  <c r="CS53" i="72" s="1"/>
  <c r="CY53" i="72" s="1"/>
  <c r="BX52" i="73"/>
  <c r="CR53" i="72" s="1"/>
  <c r="CX53" i="72" s="1"/>
  <c r="BW52" i="73"/>
  <c r="CQ53" i="72" s="1"/>
  <c r="CW53" i="72" s="1"/>
  <c r="CA51" i="73"/>
  <c r="CU52" i="72" s="1"/>
  <c r="DA52" i="72" s="1"/>
  <c r="BZ51" i="73"/>
  <c r="CT52" i="72" s="1"/>
  <c r="CZ52" i="72" s="1"/>
  <c r="BY51" i="73"/>
  <c r="CS52" i="72" s="1"/>
  <c r="CY52" i="72" s="1"/>
  <c r="BX51" i="73"/>
  <c r="CR52" i="72" s="1"/>
  <c r="CX52" i="72" s="1"/>
  <c r="BW51" i="73"/>
  <c r="CQ52" i="72" s="1"/>
  <c r="CW52" i="72" s="1"/>
  <c r="CA49" i="73"/>
  <c r="CU50" i="72" s="1"/>
  <c r="DA50" i="72" s="1"/>
  <c r="BZ49" i="73"/>
  <c r="CT50" i="72" s="1"/>
  <c r="CZ50" i="72" s="1"/>
  <c r="BY49" i="73"/>
  <c r="CS50" i="72" s="1"/>
  <c r="CY50" i="72" s="1"/>
  <c r="BX49" i="73"/>
  <c r="CR50" i="72" s="1"/>
  <c r="CX50" i="72" s="1"/>
  <c r="BW49" i="73"/>
  <c r="CQ50" i="72" s="1"/>
  <c r="CW50" i="72" s="1"/>
  <c r="CA48" i="73"/>
  <c r="CU49" i="72" s="1"/>
  <c r="DA49" i="72" s="1"/>
  <c r="BZ48" i="73"/>
  <c r="CT49" i="72" s="1"/>
  <c r="CZ49" i="72" s="1"/>
  <c r="BY48" i="73"/>
  <c r="CS49" i="72" s="1"/>
  <c r="CY49" i="72" s="1"/>
  <c r="BX48" i="73"/>
  <c r="CR49" i="72" s="1"/>
  <c r="CX49" i="72" s="1"/>
  <c r="BW48" i="73"/>
  <c r="CQ49" i="72" s="1"/>
  <c r="CW49" i="72" s="1"/>
  <c r="CA47" i="73"/>
  <c r="CU48" i="72" s="1"/>
  <c r="DA48" i="72" s="1"/>
  <c r="BZ47" i="73"/>
  <c r="CT48" i="72" s="1"/>
  <c r="CZ48" i="72" s="1"/>
  <c r="BY47" i="73"/>
  <c r="CS48" i="72" s="1"/>
  <c r="CY48" i="72" s="1"/>
  <c r="BX47" i="73"/>
  <c r="CR48" i="72" s="1"/>
  <c r="CX48" i="72" s="1"/>
  <c r="BW47" i="73"/>
  <c r="CQ48" i="72" s="1"/>
  <c r="CW48" i="72" s="1"/>
  <c r="CA46" i="73"/>
  <c r="CU47" i="72" s="1"/>
  <c r="DA47" i="72" s="1"/>
  <c r="BZ46" i="73"/>
  <c r="CT47" i="72" s="1"/>
  <c r="CZ47" i="72" s="1"/>
  <c r="BY46" i="73"/>
  <c r="CS47" i="72" s="1"/>
  <c r="CY47" i="72" s="1"/>
  <c r="BX46" i="73"/>
  <c r="CR47" i="72" s="1"/>
  <c r="CX47" i="72" s="1"/>
  <c r="BW46" i="73"/>
  <c r="CQ47" i="72" s="1"/>
  <c r="CW47" i="72" s="1"/>
  <c r="CA45" i="73"/>
  <c r="CU46" i="72" s="1"/>
  <c r="DA46" i="72" s="1"/>
  <c r="BZ45" i="73"/>
  <c r="CT46" i="72" s="1"/>
  <c r="CZ46" i="72" s="1"/>
  <c r="BY45" i="73"/>
  <c r="CS46" i="72" s="1"/>
  <c r="CY46" i="72" s="1"/>
  <c r="BX45" i="73"/>
  <c r="CR46" i="72" s="1"/>
  <c r="CX46" i="72" s="1"/>
  <c r="BW45" i="73"/>
  <c r="CQ46" i="72" s="1"/>
  <c r="CW46" i="72" s="1"/>
  <c r="CA44" i="73"/>
  <c r="CU45" i="72" s="1"/>
  <c r="DA45" i="72" s="1"/>
  <c r="BZ44" i="73"/>
  <c r="CT45" i="72" s="1"/>
  <c r="CZ45" i="72" s="1"/>
  <c r="BY44" i="73"/>
  <c r="CS45" i="72" s="1"/>
  <c r="CY45" i="72" s="1"/>
  <c r="BX44" i="73"/>
  <c r="CR45" i="72" s="1"/>
  <c r="CX45" i="72" s="1"/>
  <c r="BW44" i="73"/>
  <c r="CQ45" i="72" s="1"/>
  <c r="CW45" i="72" s="1"/>
  <c r="CA43" i="73"/>
  <c r="CU44" i="72" s="1"/>
  <c r="DA44" i="72" s="1"/>
  <c r="BZ43" i="73"/>
  <c r="CT44" i="72" s="1"/>
  <c r="CZ44" i="72" s="1"/>
  <c r="BY43" i="73"/>
  <c r="CS44" i="72" s="1"/>
  <c r="CY44" i="72" s="1"/>
  <c r="BX43" i="73"/>
  <c r="CR44" i="72" s="1"/>
  <c r="CX44" i="72" s="1"/>
  <c r="BW43" i="73"/>
  <c r="CQ44" i="72" s="1"/>
  <c r="CW44" i="72" s="1"/>
  <c r="CA42" i="73"/>
  <c r="CU43" i="72" s="1"/>
  <c r="DA43" i="72" s="1"/>
  <c r="BZ42" i="73"/>
  <c r="CT43" i="72" s="1"/>
  <c r="CZ43" i="72" s="1"/>
  <c r="BY42" i="73"/>
  <c r="CS43" i="72" s="1"/>
  <c r="CY43" i="72" s="1"/>
  <c r="BX42" i="73"/>
  <c r="CR43" i="72" s="1"/>
  <c r="CX43" i="72" s="1"/>
  <c r="BW42" i="73"/>
  <c r="CQ43" i="72" s="1"/>
  <c r="CW43" i="72" s="1"/>
  <c r="CA41" i="73"/>
  <c r="CU42" i="72" s="1"/>
  <c r="DA42" i="72" s="1"/>
  <c r="BZ41" i="73"/>
  <c r="CT42" i="72" s="1"/>
  <c r="CZ42" i="72" s="1"/>
  <c r="BY41" i="73"/>
  <c r="CS42" i="72" s="1"/>
  <c r="CY42" i="72" s="1"/>
  <c r="BX41" i="73"/>
  <c r="CR42" i="72" s="1"/>
  <c r="CX42" i="72" s="1"/>
  <c r="BW41" i="73"/>
  <c r="CQ42" i="72" s="1"/>
  <c r="CW42" i="72" s="1"/>
  <c r="CA40" i="73"/>
  <c r="CU41" i="72" s="1"/>
  <c r="DA41" i="72" s="1"/>
  <c r="BZ40" i="73"/>
  <c r="CT41" i="72" s="1"/>
  <c r="CZ41" i="72" s="1"/>
  <c r="BY40" i="73"/>
  <c r="CS41" i="72" s="1"/>
  <c r="CY41" i="72" s="1"/>
  <c r="BX40" i="73"/>
  <c r="CR41" i="72" s="1"/>
  <c r="CX41" i="72" s="1"/>
  <c r="BW40" i="73"/>
  <c r="CQ41" i="72" s="1"/>
  <c r="CW41" i="72" s="1"/>
  <c r="CA39" i="73"/>
  <c r="CU40" i="72" s="1"/>
  <c r="DA40" i="72" s="1"/>
  <c r="BZ39" i="73"/>
  <c r="CT40" i="72" s="1"/>
  <c r="CZ40" i="72" s="1"/>
  <c r="BY39" i="73"/>
  <c r="CS40" i="72" s="1"/>
  <c r="CY40" i="72" s="1"/>
  <c r="BX39" i="73"/>
  <c r="CR40" i="72" s="1"/>
  <c r="CX40" i="72" s="1"/>
  <c r="BW39" i="73"/>
  <c r="CQ40" i="72" s="1"/>
  <c r="CW40" i="72" s="1"/>
  <c r="CA38" i="73"/>
  <c r="CU39" i="72" s="1"/>
  <c r="DA39" i="72" s="1"/>
  <c r="BZ38" i="73"/>
  <c r="CT39" i="72" s="1"/>
  <c r="CZ39" i="72" s="1"/>
  <c r="BY38" i="73"/>
  <c r="CS39" i="72" s="1"/>
  <c r="CY39" i="72" s="1"/>
  <c r="BX38" i="73"/>
  <c r="CR39" i="72" s="1"/>
  <c r="CX39" i="72" s="1"/>
  <c r="BW38" i="73"/>
  <c r="CQ39" i="72" s="1"/>
  <c r="CW39" i="72" s="1"/>
  <c r="CA36" i="73"/>
  <c r="CU37" i="72" s="1"/>
  <c r="DA37" i="72" s="1"/>
  <c r="BZ36" i="73"/>
  <c r="CT37" i="72" s="1"/>
  <c r="CZ37" i="72" s="1"/>
  <c r="BY36" i="73"/>
  <c r="CS37" i="72" s="1"/>
  <c r="CY37" i="72" s="1"/>
  <c r="BX36" i="73"/>
  <c r="CR37" i="72" s="1"/>
  <c r="CX37" i="72" s="1"/>
  <c r="BW36" i="73"/>
  <c r="CQ37" i="72" s="1"/>
  <c r="CW37" i="72" s="1"/>
  <c r="CA35" i="73"/>
  <c r="CU36" i="72" s="1"/>
  <c r="DA36" i="72" s="1"/>
  <c r="BZ35" i="73"/>
  <c r="CT36" i="72" s="1"/>
  <c r="CZ36" i="72" s="1"/>
  <c r="BY35" i="73"/>
  <c r="CS36" i="72" s="1"/>
  <c r="CY36" i="72" s="1"/>
  <c r="BX35" i="73"/>
  <c r="CR36" i="72" s="1"/>
  <c r="CX36" i="72" s="1"/>
  <c r="BW35" i="73"/>
  <c r="CQ36" i="72" s="1"/>
  <c r="CW36" i="72" s="1"/>
  <c r="CA34" i="73"/>
  <c r="CU35" i="72" s="1"/>
  <c r="DA35" i="72" s="1"/>
  <c r="BZ34" i="73"/>
  <c r="CT35" i="72" s="1"/>
  <c r="CZ35" i="72" s="1"/>
  <c r="BY34" i="73"/>
  <c r="CS35" i="72" s="1"/>
  <c r="CY35" i="72" s="1"/>
  <c r="BX34" i="73"/>
  <c r="CR35" i="72" s="1"/>
  <c r="CX35" i="72" s="1"/>
  <c r="BW34" i="73"/>
  <c r="CQ35" i="72" s="1"/>
  <c r="CW35" i="72" s="1"/>
  <c r="CA33" i="73"/>
  <c r="CU34" i="72" s="1"/>
  <c r="DA34" i="72" s="1"/>
  <c r="BZ33" i="73"/>
  <c r="CT34" i="72" s="1"/>
  <c r="CZ34" i="72" s="1"/>
  <c r="BY33" i="73"/>
  <c r="CS34" i="72" s="1"/>
  <c r="CY34" i="72" s="1"/>
  <c r="BX33" i="73"/>
  <c r="CR34" i="72" s="1"/>
  <c r="CX34" i="72" s="1"/>
  <c r="BW33" i="73"/>
  <c r="CQ34" i="72" s="1"/>
  <c r="CW34" i="72" s="1"/>
  <c r="CA32" i="73"/>
  <c r="CU33" i="72" s="1"/>
  <c r="DA33" i="72" s="1"/>
  <c r="BZ32" i="73"/>
  <c r="CT33" i="72" s="1"/>
  <c r="CZ33" i="72" s="1"/>
  <c r="BY32" i="73"/>
  <c r="CS33" i="72" s="1"/>
  <c r="CY33" i="72" s="1"/>
  <c r="BX32" i="73"/>
  <c r="CR33" i="72" s="1"/>
  <c r="CX33" i="72" s="1"/>
  <c r="BW32" i="73"/>
  <c r="CQ33" i="72" s="1"/>
  <c r="CW33" i="72" s="1"/>
  <c r="CA31" i="73"/>
  <c r="CU32" i="72" s="1"/>
  <c r="DA32" i="72" s="1"/>
  <c r="BZ31" i="73"/>
  <c r="CT32" i="72" s="1"/>
  <c r="CZ32" i="72" s="1"/>
  <c r="BY31" i="73"/>
  <c r="CS32" i="72" s="1"/>
  <c r="CY32" i="72" s="1"/>
  <c r="BX31" i="73"/>
  <c r="CR32" i="72" s="1"/>
  <c r="CX32" i="72" s="1"/>
  <c r="BW31" i="73"/>
  <c r="CQ32" i="72" s="1"/>
  <c r="CW32" i="72" s="1"/>
  <c r="CA30" i="73"/>
  <c r="CU31" i="72" s="1"/>
  <c r="DA31" i="72" s="1"/>
  <c r="BZ30" i="73"/>
  <c r="CT31" i="72" s="1"/>
  <c r="CZ31" i="72" s="1"/>
  <c r="BY30" i="73"/>
  <c r="CS31" i="72" s="1"/>
  <c r="CY31" i="72" s="1"/>
  <c r="BX30" i="73"/>
  <c r="CR31" i="72" s="1"/>
  <c r="CX31" i="72" s="1"/>
  <c r="BW30" i="73"/>
  <c r="CQ31" i="72" s="1"/>
  <c r="CW31" i="72" s="1"/>
  <c r="CA29" i="73"/>
  <c r="CU30" i="72" s="1"/>
  <c r="DA30" i="72" s="1"/>
  <c r="BZ29" i="73"/>
  <c r="CT30" i="72" s="1"/>
  <c r="CZ30" i="72" s="1"/>
  <c r="BY29" i="73"/>
  <c r="CS30" i="72" s="1"/>
  <c r="CY30" i="72" s="1"/>
  <c r="BX29" i="73"/>
  <c r="CR30" i="72" s="1"/>
  <c r="CX30" i="72" s="1"/>
  <c r="BW29" i="73"/>
  <c r="CQ30" i="72" s="1"/>
  <c r="CW30" i="72" s="1"/>
  <c r="CA28" i="73"/>
  <c r="CU29" i="72" s="1"/>
  <c r="DA29" i="72" s="1"/>
  <c r="BZ28" i="73"/>
  <c r="CT29" i="72" s="1"/>
  <c r="CZ29" i="72" s="1"/>
  <c r="BY28" i="73"/>
  <c r="CS29" i="72" s="1"/>
  <c r="CY29" i="72" s="1"/>
  <c r="BX28" i="73"/>
  <c r="CR29" i="72" s="1"/>
  <c r="CX29" i="72" s="1"/>
  <c r="BW28" i="73"/>
  <c r="CQ29" i="72" s="1"/>
  <c r="CW29" i="72" s="1"/>
  <c r="CA27" i="73"/>
  <c r="CU28" i="72" s="1"/>
  <c r="DA28" i="72" s="1"/>
  <c r="BZ27" i="73"/>
  <c r="CT28" i="72" s="1"/>
  <c r="CZ28" i="72" s="1"/>
  <c r="BY27" i="73"/>
  <c r="CS28" i="72" s="1"/>
  <c r="CY28" i="72" s="1"/>
  <c r="BX27" i="73"/>
  <c r="CR28" i="72" s="1"/>
  <c r="CX28" i="72" s="1"/>
  <c r="BW27" i="73"/>
  <c r="CQ28" i="72" s="1"/>
  <c r="CW28" i="72" s="1"/>
  <c r="CA25" i="73"/>
  <c r="CU26" i="72" s="1"/>
  <c r="DA26" i="72" s="1"/>
  <c r="BZ25" i="73"/>
  <c r="CT26" i="72" s="1"/>
  <c r="CZ26" i="72" s="1"/>
  <c r="BY25" i="73"/>
  <c r="CS26" i="72" s="1"/>
  <c r="CY26" i="72" s="1"/>
  <c r="BX25" i="73"/>
  <c r="CR26" i="72" s="1"/>
  <c r="CX26" i="72" s="1"/>
  <c r="BW25" i="73"/>
  <c r="CQ26" i="72" s="1"/>
  <c r="CW26" i="72" s="1"/>
  <c r="CA24" i="73"/>
  <c r="CU25" i="72" s="1"/>
  <c r="DA25" i="72" s="1"/>
  <c r="BZ24" i="73"/>
  <c r="CT25" i="72" s="1"/>
  <c r="CZ25" i="72" s="1"/>
  <c r="BY24" i="73"/>
  <c r="CS25" i="72" s="1"/>
  <c r="CY25" i="72" s="1"/>
  <c r="BX24" i="73"/>
  <c r="CR25" i="72" s="1"/>
  <c r="CX25" i="72" s="1"/>
  <c r="BW24" i="73"/>
  <c r="CQ25" i="72" s="1"/>
  <c r="CW25" i="72" s="1"/>
  <c r="CA23" i="73"/>
  <c r="CU24" i="72" s="1"/>
  <c r="DA24" i="72" s="1"/>
  <c r="BZ23" i="73"/>
  <c r="CT24" i="72" s="1"/>
  <c r="CZ24" i="72" s="1"/>
  <c r="BY23" i="73"/>
  <c r="CS24" i="72" s="1"/>
  <c r="CY24" i="72" s="1"/>
  <c r="BX23" i="73"/>
  <c r="CR24" i="72" s="1"/>
  <c r="CX24" i="72" s="1"/>
  <c r="BW23" i="73"/>
  <c r="CQ24" i="72" s="1"/>
  <c r="CW24" i="72" s="1"/>
  <c r="CA22" i="73"/>
  <c r="CU23" i="72" s="1"/>
  <c r="DA23" i="72" s="1"/>
  <c r="BZ22" i="73"/>
  <c r="CT23" i="72" s="1"/>
  <c r="CZ23" i="72" s="1"/>
  <c r="BY22" i="73"/>
  <c r="CS23" i="72" s="1"/>
  <c r="CY23" i="72" s="1"/>
  <c r="BX22" i="73"/>
  <c r="CR23" i="72" s="1"/>
  <c r="CX23" i="72" s="1"/>
  <c r="BW22" i="73"/>
  <c r="CQ23" i="72" s="1"/>
  <c r="CW23" i="72" s="1"/>
  <c r="CA21" i="73"/>
  <c r="CU22" i="72" s="1"/>
  <c r="DA22" i="72" s="1"/>
  <c r="BZ21" i="73"/>
  <c r="CT22" i="72" s="1"/>
  <c r="CZ22" i="72" s="1"/>
  <c r="BY21" i="73"/>
  <c r="CS22" i="72" s="1"/>
  <c r="CY22" i="72" s="1"/>
  <c r="BX21" i="73"/>
  <c r="CR22" i="72" s="1"/>
  <c r="CX22" i="72" s="1"/>
  <c r="BW21" i="73"/>
  <c r="CQ22" i="72" s="1"/>
  <c r="CW22" i="72" s="1"/>
  <c r="CA20" i="73"/>
  <c r="CU21" i="72" s="1"/>
  <c r="DA21" i="72" s="1"/>
  <c r="BZ20" i="73"/>
  <c r="CT21" i="72" s="1"/>
  <c r="CZ21" i="72" s="1"/>
  <c r="BY20" i="73"/>
  <c r="CS21" i="72" s="1"/>
  <c r="CY21" i="72" s="1"/>
  <c r="BX20" i="73"/>
  <c r="CR21" i="72" s="1"/>
  <c r="CX21" i="72" s="1"/>
  <c r="BW20" i="73"/>
  <c r="CQ21" i="72" s="1"/>
  <c r="CW21" i="72" s="1"/>
  <c r="CA19" i="73"/>
  <c r="CU20" i="72" s="1"/>
  <c r="DA20" i="72" s="1"/>
  <c r="BZ19" i="73"/>
  <c r="CT20" i="72" s="1"/>
  <c r="CZ20" i="72" s="1"/>
  <c r="BY19" i="73"/>
  <c r="CS20" i="72" s="1"/>
  <c r="CY20" i="72" s="1"/>
  <c r="BX19" i="73"/>
  <c r="CR20" i="72" s="1"/>
  <c r="CX20" i="72" s="1"/>
  <c r="BW19" i="73"/>
  <c r="CQ20" i="72" s="1"/>
  <c r="CW20" i="72" s="1"/>
  <c r="CA18" i="73"/>
  <c r="CU19" i="72" s="1"/>
  <c r="DA19" i="72" s="1"/>
  <c r="BZ18" i="73"/>
  <c r="CT19" i="72" s="1"/>
  <c r="CZ19" i="72" s="1"/>
  <c r="BY18" i="73"/>
  <c r="CS19" i="72" s="1"/>
  <c r="CY19" i="72" s="1"/>
  <c r="BX18" i="73"/>
  <c r="CR19" i="72" s="1"/>
  <c r="CX19" i="72" s="1"/>
  <c r="BW18" i="73"/>
  <c r="CQ19" i="72" s="1"/>
  <c r="CW19" i="72" s="1"/>
  <c r="CA17" i="73"/>
  <c r="CU18" i="72" s="1"/>
  <c r="DA18" i="72" s="1"/>
  <c r="BZ17" i="73"/>
  <c r="CT18" i="72" s="1"/>
  <c r="CZ18" i="72" s="1"/>
  <c r="BY17" i="73"/>
  <c r="CS18" i="72" s="1"/>
  <c r="CY18" i="72" s="1"/>
  <c r="BX17" i="73"/>
  <c r="CR18" i="72" s="1"/>
  <c r="CX18" i="72" s="1"/>
  <c r="BW17" i="73"/>
  <c r="CQ18" i="72" s="1"/>
  <c r="CW18" i="72" s="1"/>
  <c r="CA15" i="73"/>
  <c r="CU16" i="72" s="1"/>
  <c r="DA16" i="72" s="1"/>
  <c r="BZ15" i="73"/>
  <c r="CT16" i="72" s="1"/>
  <c r="CZ16" i="72" s="1"/>
  <c r="BY15" i="73"/>
  <c r="CS16" i="72" s="1"/>
  <c r="CY16" i="72" s="1"/>
  <c r="BX15" i="73"/>
  <c r="CR16" i="72" s="1"/>
  <c r="CX16" i="72" s="1"/>
  <c r="BW15" i="73"/>
  <c r="CQ16" i="72" s="1"/>
  <c r="CW16" i="72" s="1"/>
  <c r="CA14" i="73"/>
  <c r="CU15" i="72" s="1"/>
  <c r="DA15" i="72" s="1"/>
  <c r="BZ14" i="73"/>
  <c r="CT15" i="72" s="1"/>
  <c r="CZ15" i="72" s="1"/>
  <c r="BY14" i="73"/>
  <c r="CS15" i="72" s="1"/>
  <c r="CY15" i="72" s="1"/>
  <c r="BX14" i="73"/>
  <c r="CR15" i="72" s="1"/>
  <c r="CX15" i="72" s="1"/>
  <c r="BW14" i="73"/>
  <c r="CQ15" i="72" s="1"/>
  <c r="CW15" i="72" s="1"/>
  <c r="CA13" i="73"/>
  <c r="CU14" i="72" s="1"/>
  <c r="DA14" i="72" s="1"/>
  <c r="BZ13" i="73"/>
  <c r="CT14" i="72" s="1"/>
  <c r="CZ14" i="72" s="1"/>
  <c r="BY13" i="73"/>
  <c r="CS14" i="72" s="1"/>
  <c r="CY14" i="72" s="1"/>
  <c r="BX13" i="73"/>
  <c r="CR14" i="72" s="1"/>
  <c r="CX14" i="72" s="1"/>
  <c r="BW13" i="73"/>
  <c r="CQ14" i="72" s="1"/>
  <c r="CW14" i="72" s="1"/>
  <c r="CA12" i="73"/>
  <c r="CU13" i="72" s="1"/>
  <c r="DA13" i="72" s="1"/>
  <c r="BZ12" i="73"/>
  <c r="CT13" i="72" s="1"/>
  <c r="CZ13" i="72" s="1"/>
  <c r="BY12" i="73"/>
  <c r="CS13" i="72" s="1"/>
  <c r="CY13" i="72" s="1"/>
  <c r="BX12" i="73"/>
  <c r="CR13" i="72" s="1"/>
  <c r="CX13" i="72" s="1"/>
  <c r="BW12" i="73"/>
  <c r="CQ13" i="72" s="1"/>
  <c r="CW13" i="72" s="1"/>
  <c r="CA11" i="73"/>
  <c r="CU12" i="72" s="1"/>
  <c r="DA12" i="72" s="1"/>
  <c r="BZ11" i="73"/>
  <c r="CT12" i="72" s="1"/>
  <c r="CZ12" i="72" s="1"/>
  <c r="BY11" i="73"/>
  <c r="CS12" i="72" s="1"/>
  <c r="CY12" i="72" s="1"/>
  <c r="BX11" i="73"/>
  <c r="CR12" i="72" s="1"/>
  <c r="CX12" i="72" s="1"/>
  <c r="BW11" i="73"/>
  <c r="CQ12" i="72" s="1"/>
  <c r="CW12" i="72" s="1"/>
  <c r="CA10" i="73"/>
  <c r="CU11" i="72" s="1"/>
  <c r="DA11" i="72" s="1"/>
  <c r="BZ10" i="73"/>
  <c r="CT11" i="72" s="1"/>
  <c r="CZ11" i="72" s="1"/>
  <c r="BY10" i="73"/>
  <c r="CS11" i="72" s="1"/>
  <c r="CY11" i="72" s="1"/>
  <c r="BX10" i="73"/>
  <c r="CR11" i="72" s="1"/>
  <c r="CX11" i="72" s="1"/>
  <c r="BW10" i="73"/>
  <c r="CQ11" i="72" s="1"/>
  <c r="CW11" i="72" s="1"/>
  <c r="CA9" i="73"/>
  <c r="CU10" i="72" s="1"/>
  <c r="DA10" i="72" s="1"/>
  <c r="BZ9" i="73"/>
  <c r="CT10" i="72" s="1"/>
  <c r="CZ10" i="72" s="1"/>
  <c r="BY9" i="73"/>
  <c r="CS10" i="72" s="1"/>
  <c r="CY10" i="72" s="1"/>
  <c r="BX9" i="73"/>
  <c r="CR10" i="72" s="1"/>
  <c r="CX10" i="72" s="1"/>
  <c r="BW9" i="73"/>
  <c r="CQ10" i="72" s="1"/>
  <c r="CW10" i="72" s="1"/>
  <c r="CA8" i="73"/>
  <c r="CU9" i="72" s="1"/>
  <c r="DA9" i="72" s="1"/>
  <c r="BZ8" i="73"/>
  <c r="CT9" i="72" s="1"/>
  <c r="CZ9" i="72" s="1"/>
  <c r="BY8" i="73"/>
  <c r="CS9" i="72" s="1"/>
  <c r="CY9" i="72" s="1"/>
  <c r="BX8" i="73"/>
  <c r="CR9" i="72" s="1"/>
  <c r="CX9" i="72" s="1"/>
  <c r="BW8" i="73"/>
  <c r="CQ9" i="72" s="1"/>
  <c r="CW9" i="72" s="1"/>
  <c r="CA7" i="73"/>
  <c r="CU8" i="72" s="1"/>
  <c r="DA8" i="72" s="1"/>
  <c r="BZ7" i="73"/>
  <c r="CT8" i="72" s="1"/>
  <c r="CZ8" i="72" s="1"/>
  <c r="BY7" i="73"/>
  <c r="CS8" i="72" s="1"/>
  <c r="CY8" i="72" s="1"/>
  <c r="BX7" i="73"/>
  <c r="CR8" i="72" s="1"/>
  <c r="CX8" i="72" s="1"/>
  <c r="BW7" i="73"/>
  <c r="CQ8" i="72" s="1"/>
  <c r="CW8" i="72" s="1"/>
  <c r="CA6" i="73"/>
  <c r="CU7" i="72" s="1"/>
  <c r="DA7" i="72" s="1"/>
  <c r="BZ6" i="73"/>
  <c r="CT7" i="72" s="1"/>
  <c r="CZ7" i="72" s="1"/>
  <c r="BY6" i="73"/>
  <c r="CS7" i="72" s="1"/>
  <c r="CY7" i="72" s="1"/>
  <c r="BX6" i="73"/>
  <c r="CR7" i="72" s="1"/>
  <c r="CX7" i="72" s="1"/>
  <c r="BW6" i="73"/>
  <c r="CQ7" i="72" s="1"/>
  <c r="CW7" i="72" s="1"/>
  <c r="CA5" i="73"/>
  <c r="CU6" i="72" s="1"/>
  <c r="DA6" i="72" s="1"/>
  <c r="BZ5" i="73"/>
  <c r="CT6" i="72" s="1"/>
  <c r="CZ6" i="72" s="1"/>
  <c r="BY5" i="73"/>
  <c r="CS6" i="72" s="1"/>
  <c r="CY6" i="72" s="1"/>
  <c r="BX5" i="73"/>
  <c r="CR6" i="72" s="1"/>
  <c r="CX6" i="72" s="1"/>
  <c r="BW5" i="73"/>
  <c r="CQ6" i="72" s="1"/>
  <c r="CW6" i="72" s="1"/>
  <c r="CA4" i="73"/>
  <c r="CU5" i="72" s="1"/>
  <c r="DA5" i="72" s="1"/>
  <c r="BZ4" i="73"/>
  <c r="CT5" i="72" s="1"/>
  <c r="CZ5" i="72" s="1"/>
  <c r="BY4" i="73"/>
  <c r="CS5" i="72" s="1"/>
  <c r="CY5" i="72" s="1"/>
  <c r="BX4" i="73"/>
  <c r="CR5" i="72" s="1"/>
  <c r="CX5" i="72" s="1"/>
  <c r="BW4" i="73"/>
  <c r="CQ5" i="72" s="1"/>
  <c r="CW5" i="72" s="1"/>
  <c r="CA3" i="73"/>
  <c r="CU4" i="72" s="1"/>
  <c r="DA4" i="72" s="1"/>
  <c r="BZ3" i="73"/>
  <c r="CT4" i="72" s="1"/>
  <c r="CZ4" i="72" s="1"/>
  <c r="BY3" i="73"/>
  <c r="CS4" i="72" s="1"/>
  <c r="CY4" i="72" s="1"/>
  <c r="BX3" i="73"/>
  <c r="CR4" i="72" s="1"/>
  <c r="CX4" i="72" s="1"/>
  <c r="BW3" i="73"/>
  <c r="CQ4" i="72" s="1"/>
  <c r="CW4" i="72" s="1"/>
  <c r="CA98" i="71"/>
  <c r="CU99" i="70" s="1"/>
  <c r="DA99" i="70" s="1"/>
  <c r="BZ98" i="71"/>
  <c r="CT99" i="70" s="1"/>
  <c r="CZ99" i="70" s="1"/>
  <c r="BY98" i="71"/>
  <c r="CS99" i="70" s="1"/>
  <c r="CY99" i="70" s="1"/>
  <c r="BX98" i="71"/>
  <c r="CR99" i="70" s="1"/>
  <c r="CX99" i="70" s="1"/>
  <c r="BW98" i="71"/>
  <c r="CQ99" i="70" s="1"/>
  <c r="CW99" i="70" s="1"/>
  <c r="CA97" i="71"/>
  <c r="CU98" i="70" s="1"/>
  <c r="DA98" i="70" s="1"/>
  <c r="BZ97" i="71"/>
  <c r="CT98" i="70" s="1"/>
  <c r="CZ98" i="70" s="1"/>
  <c r="BY97" i="71"/>
  <c r="CS98" i="70" s="1"/>
  <c r="CY98" i="70" s="1"/>
  <c r="BX97" i="71"/>
  <c r="CR98" i="70" s="1"/>
  <c r="CX98" i="70" s="1"/>
  <c r="BW97" i="71"/>
  <c r="CQ98" i="70" s="1"/>
  <c r="CW98" i="70" s="1"/>
  <c r="CA96" i="71"/>
  <c r="CU97" i="70" s="1"/>
  <c r="DA97" i="70" s="1"/>
  <c r="BZ96" i="71"/>
  <c r="CT97" i="70" s="1"/>
  <c r="CZ97" i="70" s="1"/>
  <c r="BY96" i="71"/>
  <c r="CS97" i="70" s="1"/>
  <c r="CY97" i="70" s="1"/>
  <c r="BX96" i="71"/>
  <c r="CR97" i="70" s="1"/>
  <c r="CX97" i="70" s="1"/>
  <c r="BW96" i="71"/>
  <c r="CQ97" i="70" s="1"/>
  <c r="CW97" i="70" s="1"/>
  <c r="CA95" i="71"/>
  <c r="CU96" i="70" s="1"/>
  <c r="DA96" i="70" s="1"/>
  <c r="BZ95" i="71"/>
  <c r="CT96" i="70" s="1"/>
  <c r="CZ96" i="70" s="1"/>
  <c r="BY95" i="71"/>
  <c r="CS96" i="70" s="1"/>
  <c r="CY96" i="70" s="1"/>
  <c r="BX95" i="71"/>
  <c r="CR96" i="70" s="1"/>
  <c r="CX96" i="70" s="1"/>
  <c r="BW95" i="71"/>
  <c r="CQ96" i="70" s="1"/>
  <c r="CW96" i="70" s="1"/>
  <c r="CA93" i="71"/>
  <c r="CU94" i="70" s="1"/>
  <c r="DA94" i="70" s="1"/>
  <c r="BZ93" i="71"/>
  <c r="CT94" i="70" s="1"/>
  <c r="CZ94" i="70" s="1"/>
  <c r="BY93" i="71"/>
  <c r="CS94" i="70" s="1"/>
  <c r="CY94" i="70" s="1"/>
  <c r="BX93" i="71"/>
  <c r="CR94" i="70" s="1"/>
  <c r="CX94" i="70" s="1"/>
  <c r="BW93" i="71"/>
  <c r="CQ94" i="70" s="1"/>
  <c r="CW94" i="70" s="1"/>
  <c r="CA92" i="71"/>
  <c r="CU93" i="70" s="1"/>
  <c r="DA93" i="70" s="1"/>
  <c r="BZ92" i="71"/>
  <c r="CT93" i="70" s="1"/>
  <c r="CZ93" i="70" s="1"/>
  <c r="BY92" i="71"/>
  <c r="CS93" i="70" s="1"/>
  <c r="CY93" i="70" s="1"/>
  <c r="BX92" i="71"/>
  <c r="CR93" i="70" s="1"/>
  <c r="CX93" i="70" s="1"/>
  <c r="BW92" i="71"/>
  <c r="CQ93" i="70" s="1"/>
  <c r="CW93" i="70" s="1"/>
  <c r="CA91" i="71"/>
  <c r="CU92" i="70" s="1"/>
  <c r="DA92" i="70" s="1"/>
  <c r="BZ91" i="71"/>
  <c r="CT92" i="70" s="1"/>
  <c r="CZ92" i="70" s="1"/>
  <c r="BY91" i="71"/>
  <c r="CS92" i="70" s="1"/>
  <c r="CY92" i="70" s="1"/>
  <c r="BX91" i="71"/>
  <c r="CR92" i="70" s="1"/>
  <c r="CX92" i="70" s="1"/>
  <c r="BW91" i="71"/>
  <c r="CQ92" i="70" s="1"/>
  <c r="CW92" i="70" s="1"/>
  <c r="CA90" i="71"/>
  <c r="CU91" i="70" s="1"/>
  <c r="DA91" i="70" s="1"/>
  <c r="BZ90" i="71"/>
  <c r="CT91" i="70" s="1"/>
  <c r="CZ91" i="70" s="1"/>
  <c r="BY90" i="71"/>
  <c r="CS91" i="70" s="1"/>
  <c r="CY91" i="70" s="1"/>
  <c r="BX90" i="71"/>
  <c r="CR91" i="70" s="1"/>
  <c r="CX91" i="70" s="1"/>
  <c r="BW90" i="71"/>
  <c r="CQ91" i="70" s="1"/>
  <c r="CW91" i="70" s="1"/>
  <c r="CA89" i="71"/>
  <c r="CU90" i="70" s="1"/>
  <c r="DA90" i="70" s="1"/>
  <c r="BZ89" i="71"/>
  <c r="CT90" i="70" s="1"/>
  <c r="CZ90" i="70" s="1"/>
  <c r="BY89" i="71"/>
  <c r="CS90" i="70" s="1"/>
  <c r="CY90" i="70" s="1"/>
  <c r="BX89" i="71"/>
  <c r="CR90" i="70" s="1"/>
  <c r="CX90" i="70" s="1"/>
  <c r="BW89" i="71"/>
  <c r="CQ90" i="70" s="1"/>
  <c r="CW90" i="70" s="1"/>
  <c r="CA88" i="71"/>
  <c r="CU89" i="70" s="1"/>
  <c r="DA89" i="70" s="1"/>
  <c r="BZ88" i="71"/>
  <c r="CT89" i="70" s="1"/>
  <c r="CZ89" i="70" s="1"/>
  <c r="BY88" i="71"/>
  <c r="CS89" i="70" s="1"/>
  <c r="CY89" i="70" s="1"/>
  <c r="BX88" i="71"/>
  <c r="CR89" i="70" s="1"/>
  <c r="CX89" i="70" s="1"/>
  <c r="BW88" i="71"/>
  <c r="CQ89" i="70" s="1"/>
  <c r="CW89" i="70" s="1"/>
  <c r="CA87" i="71"/>
  <c r="CU88" i="70" s="1"/>
  <c r="DA88" i="70" s="1"/>
  <c r="BZ87" i="71"/>
  <c r="CT88" i="70" s="1"/>
  <c r="CZ88" i="70" s="1"/>
  <c r="BY87" i="71"/>
  <c r="CS88" i="70" s="1"/>
  <c r="CY88" i="70" s="1"/>
  <c r="BX87" i="71"/>
  <c r="CR88" i="70" s="1"/>
  <c r="CX88" i="70" s="1"/>
  <c r="BW87" i="71"/>
  <c r="CQ88" i="70" s="1"/>
  <c r="CW88" i="70" s="1"/>
  <c r="CA86" i="71"/>
  <c r="CU87" i="70" s="1"/>
  <c r="DA87" i="70" s="1"/>
  <c r="BZ86" i="71"/>
  <c r="CT87" i="70" s="1"/>
  <c r="CZ87" i="70" s="1"/>
  <c r="BY86" i="71"/>
  <c r="CS87" i="70" s="1"/>
  <c r="CY87" i="70" s="1"/>
  <c r="BX86" i="71"/>
  <c r="CR87" i="70" s="1"/>
  <c r="CX87" i="70" s="1"/>
  <c r="BW86" i="71"/>
  <c r="CQ87" i="70" s="1"/>
  <c r="CW87" i="70" s="1"/>
  <c r="CA85" i="71"/>
  <c r="CU86" i="70" s="1"/>
  <c r="DA86" i="70" s="1"/>
  <c r="BZ85" i="71"/>
  <c r="CT86" i="70" s="1"/>
  <c r="CZ86" i="70" s="1"/>
  <c r="BY85" i="71"/>
  <c r="CS86" i="70" s="1"/>
  <c r="CY86" i="70" s="1"/>
  <c r="BX85" i="71"/>
  <c r="CR86" i="70" s="1"/>
  <c r="CX86" i="70" s="1"/>
  <c r="BW85" i="71"/>
  <c r="CQ86" i="70" s="1"/>
  <c r="CW86" i="70" s="1"/>
  <c r="CA84" i="71"/>
  <c r="CU85" i="70" s="1"/>
  <c r="DA85" i="70" s="1"/>
  <c r="BZ84" i="71"/>
  <c r="CT85" i="70" s="1"/>
  <c r="CZ85" i="70" s="1"/>
  <c r="BY84" i="71"/>
  <c r="CS85" i="70" s="1"/>
  <c r="CY85" i="70" s="1"/>
  <c r="BX84" i="71"/>
  <c r="CR85" i="70" s="1"/>
  <c r="CX85" i="70" s="1"/>
  <c r="BW84" i="71"/>
  <c r="CQ85" i="70" s="1"/>
  <c r="CW85" i="70" s="1"/>
  <c r="CA83" i="71"/>
  <c r="CU84" i="70" s="1"/>
  <c r="DA84" i="70" s="1"/>
  <c r="BZ83" i="71"/>
  <c r="CT84" i="70" s="1"/>
  <c r="CZ84" i="70" s="1"/>
  <c r="BY83" i="71"/>
  <c r="CS84" i="70" s="1"/>
  <c r="CY84" i="70" s="1"/>
  <c r="BX83" i="71"/>
  <c r="CR84" i="70" s="1"/>
  <c r="CX84" i="70" s="1"/>
  <c r="BW83" i="71"/>
  <c r="CQ84" i="70" s="1"/>
  <c r="CW84" i="70" s="1"/>
  <c r="CA82" i="71"/>
  <c r="CU83" i="70" s="1"/>
  <c r="DA83" i="70" s="1"/>
  <c r="BZ82" i="71"/>
  <c r="CT83" i="70" s="1"/>
  <c r="CZ83" i="70" s="1"/>
  <c r="BY82" i="71"/>
  <c r="CS83" i="70" s="1"/>
  <c r="CY83" i="70" s="1"/>
  <c r="BX82" i="71"/>
  <c r="CR83" i="70" s="1"/>
  <c r="CX83" i="70" s="1"/>
  <c r="BW82" i="71"/>
  <c r="CQ83" i="70" s="1"/>
  <c r="CW83" i="70" s="1"/>
  <c r="CA81" i="71"/>
  <c r="CU82" i="70" s="1"/>
  <c r="DA82" i="70" s="1"/>
  <c r="BZ81" i="71"/>
  <c r="CT82" i="70" s="1"/>
  <c r="CZ82" i="70" s="1"/>
  <c r="BY81" i="71"/>
  <c r="CS82" i="70" s="1"/>
  <c r="CY82" i="70" s="1"/>
  <c r="BX81" i="71"/>
  <c r="CR82" i="70" s="1"/>
  <c r="CX82" i="70" s="1"/>
  <c r="BW81" i="71"/>
  <c r="CQ82" i="70" s="1"/>
  <c r="CW82" i="70" s="1"/>
  <c r="CA80" i="71"/>
  <c r="CU81" i="70" s="1"/>
  <c r="DA81" i="70" s="1"/>
  <c r="BZ80" i="71"/>
  <c r="CT81" i="70" s="1"/>
  <c r="CZ81" i="70" s="1"/>
  <c r="BY80" i="71"/>
  <c r="CS81" i="70" s="1"/>
  <c r="CY81" i="70" s="1"/>
  <c r="BX80" i="71"/>
  <c r="CR81" i="70" s="1"/>
  <c r="CX81" i="70" s="1"/>
  <c r="BW80" i="71"/>
  <c r="CQ81" i="70" s="1"/>
  <c r="CW81" i="70" s="1"/>
  <c r="CA79" i="71"/>
  <c r="CU80" i="70" s="1"/>
  <c r="DA80" i="70" s="1"/>
  <c r="BZ79" i="71"/>
  <c r="CT80" i="70" s="1"/>
  <c r="CZ80" i="70" s="1"/>
  <c r="BY79" i="71"/>
  <c r="CS80" i="70" s="1"/>
  <c r="CY80" i="70" s="1"/>
  <c r="BX79" i="71"/>
  <c r="CR80" i="70" s="1"/>
  <c r="CX80" i="70" s="1"/>
  <c r="BW79" i="71"/>
  <c r="CQ80" i="70" s="1"/>
  <c r="CW80" i="70" s="1"/>
  <c r="CA77" i="71"/>
  <c r="CU78" i="70" s="1"/>
  <c r="DA78" i="70" s="1"/>
  <c r="BZ77" i="71"/>
  <c r="CT78" i="70" s="1"/>
  <c r="CZ78" i="70" s="1"/>
  <c r="BY77" i="71"/>
  <c r="CS78" i="70" s="1"/>
  <c r="CY78" i="70" s="1"/>
  <c r="BX77" i="71"/>
  <c r="CR78" i="70" s="1"/>
  <c r="CX78" i="70" s="1"/>
  <c r="BW77" i="71"/>
  <c r="CQ78" i="70" s="1"/>
  <c r="CW78" i="70" s="1"/>
  <c r="CA76" i="71"/>
  <c r="CU77" i="70" s="1"/>
  <c r="DA77" i="70" s="1"/>
  <c r="BZ76" i="71"/>
  <c r="CT77" i="70" s="1"/>
  <c r="CZ77" i="70" s="1"/>
  <c r="BY76" i="71"/>
  <c r="CS77" i="70" s="1"/>
  <c r="CY77" i="70" s="1"/>
  <c r="BX76" i="71"/>
  <c r="CR77" i="70" s="1"/>
  <c r="CX77" i="70" s="1"/>
  <c r="BW76" i="71"/>
  <c r="CQ77" i="70" s="1"/>
  <c r="CW77" i="70" s="1"/>
  <c r="CA75" i="71"/>
  <c r="CU76" i="70" s="1"/>
  <c r="DA76" i="70" s="1"/>
  <c r="BZ75" i="71"/>
  <c r="CT76" i="70" s="1"/>
  <c r="CZ76" i="70" s="1"/>
  <c r="BY75" i="71"/>
  <c r="CS76" i="70" s="1"/>
  <c r="CY76" i="70" s="1"/>
  <c r="BX75" i="71"/>
  <c r="CR76" i="70" s="1"/>
  <c r="CX76" i="70" s="1"/>
  <c r="BW75" i="71"/>
  <c r="CQ76" i="70" s="1"/>
  <c r="CW76" i="70" s="1"/>
  <c r="CA74" i="71"/>
  <c r="CU75" i="70" s="1"/>
  <c r="DA75" i="70" s="1"/>
  <c r="BZ74" i="71"/>
  <c r="CT75" i="70" s="1"/>
  <c r="CZ75" i="70" s="1"/>
  <c r="BY74" i="71"/>
  <c r="CS75" i="70" s="1"/>
  <c r="CY75" i="70" s="1"/>
  <c r="BX74" i="71"/>
  <c r="CR75" i="70" s="1"/>
  <c r="CX75" i="70" s="1"/>
  <c r="BW74" i="71"/>
  <c r="CQ75" i="70" s="1"/>
  <c r="CW75" i="70" s="1"/>
  <c r="CA73" i="71"/>
  <c r="CU74" i="70" s="1"/>
  <c r="DA74" i="70" s="1"/>
  <c r="BZ73" i="71"/>
  <c r="CT74" i="70" s="1"/>
  <c r="CZ74" i="70" s="1"/>
  <c r="BY73" i="71"/>
  <c r="CS74" i="70" s="1"/>
  <c r="CY74" i="70" s="1"/>
  <c r="BX73" i="71"/>
  <c r="CR74" i="70" s="1"/>
  <c r="CX74" i="70" s="1"/>
  <c r="BW73" i="71"/>
  <c r="CQ74" i="70" s="1"/>
  <c r="CW74" i="70" s="1"/>
  <c r="CA72" i="71"/>
  <c r="CU73" i="70" s="1"/>
  <c r="DA73" i="70" s="1"/>
  <c r="BZ72" i="71"/>
  <c r="CT73" i="70" s="1"/>
  <c r="CZ73" i="70" s="1"/>
  <c r="BY72" i="71"/>
  <c r="CS73" i="70" s="1"/>
  <c r="CY73" i="70" s="1"/>
  <c r="BX72" i="71"/>
  <c r="CR73" i="70" s="1"/>
  <c r="CX73" i="70" s="1"/>
  <c r="BW72" i="71"/>
  <c r="CQ73" i="70" s="1"/>
  <c r="CW73" i="70" s="1"/>
  <c r="CA71" i="71"/>
  <c r="CU72" i="70" s="1"/>
  <c r="DA72" i="70" s="1"/>
  <c r="BZ71" i="71"/>
  <c r="CT72" i="70" s="1"/>
  <c r="CZ72" i="70" s="1"/>
  <c r="BY71" i="71"/>
  <c r="CS72" i="70" s="1"/>
  <c r="CY72" i="70" s="1"/>
  <c r="BX71" i="71"/>
  <c r="CR72" i="70" s="1"/>
  <c r="CX72" i="70" s="1"/>
  <c r="BW71" i="71"/>
  <c r="CQ72" i="70" s="1"/>
  <c r="CW72" i="70" s="1"/>
  <c r="CA70" i="71"/>
  <c r="CU71" i="70" s="1"/>
  <c r="DA71" i="70" s="1"/>
  <c r="BZ70" i="71"/>
  <c r="CT71" i="70" s="1"/>
  <c r="CZ71" i="70" s="1"/>
  <c r="BY70" i="71"/>
  <c r="CS71" i="70" s="1"/>
  <c r="CY71" i="70" s="1"/>
  <c r="BX70" i="71"/>
  <c r="CR71" i="70" s="1"/>
  <c r="CX71" i="70" s="1"/>
  <c r="BW70" i="71"/>
  <c r="CQ71" i="70" s="1"/>
  <c r="CW71" i="70" s="1"/>
  <c r="CA69" i="71"/>
  <c r="CU70" i="70" s="1"/>
  <c r="DA70" i="70" s="1"/>
  <c r="BZ69" i="71"/>
  <c r="CT70" i="70" s="1"/>
  <c r="CZ70" i="70" s="1"/>
  <c r="BY69" i="71"/>
  <c r="CS70" i="70" s="1"/>
  <c r="CY70" i="70" s="1"/>
  <c r="BX69" i="71"/>
  <c r="CR70" i="70" s="1"/>
  <c r="CX70" i="70" s="1"/>
  <c r="BW69" i="71"/>
  <c r="CQ70" i="70" s="1"/>
  <c r="CW70" i="70" s="1"/>
  <c r="CA68" i="71"/>
  <c r="CU69" i="70" s="1"/>
  <c r="DA69" i="70" s="1"/>
  <c r="BZ68" i="71"/>
  <c r="CT69" i="70" s="1"/>
  <c r="CZ69" i="70" s="1"/>
  <c r="BY68" i="71"/>
  <c r="CS69" i="70" s="1"/>
  <c r="CY69" i="70" s="1"/>
  <c r="BX68" i="71"/>
  <c r="CR69" i="70" s="1"/>
  <c r="CX69" i="70" s="1"/>
  <c r="BW68" i="71"/>
  <c r="CQ69" i="70" s="1"/>
  <c r="CW69" i="70" s="1"/>
  <c r="CA67" i="71"/>
  <c r="CU68" i="70" s="1"/>
  <c r="DA68" i="70" s="1"/>
  <c r="BZ67" i="71"/>
  <c r="CT68" i="70" s="1"/>
  <c r="CZ68" i="70" s="1"/>
  <c r="BY67" i="71"/>
  <c r="CS68" i="70" s="1"/>
  <c r="CY68" i="70" s="1"/>
  <c r="BX67" i="71"/>
  <c r="CR68" i="70" s="1"/>
  <c r="CX68" i="70" s="1"/>
  <c r="BW67" i="71"/>
  <c r="CQ68" i="70" s="1"/>
  <c r="CW68" i="70" s="1"/>
  <c r="CA66" i="71"/>
  <c r="CU67" i="70" s="1"/>
  <c r="DA67" i="70" s="1"/>
  <c r="BZ66" i="71"/>
  <c r="CT67" i="70" s="1"/>
  <c r="CZ67" i="70" s="1"/>
  <c r="BY66" i="71"/>
  <c r="CS67" i="70" s="1"/>
  <c r="CY67" i="70" s="1"/>
  <c r="BX66" i="71"/>
  <c r="CR67" i="70" s="1"/>
  <c r="CX67" i="70" s="1"/>
  <c r="BW66" i="71"/>
  <c r="CQ67" i="70" s="1"/>
  <c r="CW67" i="70" s="1"/>
  <c r="CA65" i="71"/>
  <c r="CU66" i="70" s="1"/>
  <c r="DA66" i="70" s="1"/>
  <c r="BZ65" i="71"/>
  <c r="CT66" i="70" s="1"/>
  <c r="CZ66" i="70" s="1"/>
  <c r="BY65" i="71"/>
  <c r="CS66" i="70" s="1"/>
  <c r="CY66" i="70" s="1"/>
  <c r="BX65" i="71"/>
  <c r="CR66" i="70" s="1"/>
  <c r="CX66" i="70" s="1"/>
  <c r="BW65" i="71"/>
  <c r="CQ66" i="70" s="1"/>
  <c r="CW66" i="70" s="1"/>
  <c r="CA64" i="71"/>
  <c r="CU65" i="70" s="1"/>
  <c r="DA65" i="70" s="1"/>
  <c r="BZ64" i="71"/>
  <c r="CT65" i="70" s="1"/>
  <c r="CZ65" i="70" s="1"/>
  <c r="BY64" i="71"/>
  <c r="CS65" i="70" s="1"/>
  <c r="CY65" i="70" s="1"/>
  <c r="BX64" i="71"/>
  <c r="CR65" i="70" s="1"/>
  <c r="CX65" i="70" s="1"/>
  <c r="BW64" i="71"/>
  <c r="CQ65" i="70" s="1"/>
  <c r="CW65" i="70" s="1"/>
  <c r="CA63" i="71"/>
  <c r="CU64" i="70" s="1"/>
  <c r="DA64" i="70" s="1"/>
  <c r="BZ63" i="71"/>
  <c r="CT64" i="70" s="1"/>
  <c r="CZ64" i="70" s="1"/>
  <c r="BY63" i="71"/>
  <c r="CS64" i="70" s="1"/>
  <c r="CY64" i="70" s="1"/>
  <c r="BX63" i="71"/>
  <c r="CR64" i="70" s="1"/>
  <c r="CX64" i="70" s="1"/>
  <c r="BW63" i="71"/>
  <c r="CQ64" i="70" s="1"/>
  <c r="CW64" i="70" s="1"/>
  <c r="CA62" i="71"/>
  <c r="CU63" i="70" s="1"/>
  <c r="DA63" i="70" s="1"/>
  <c r="BZ62" i="71"/>
  <c r="CT63" i="70" s="1"/>
  <c r="CZ63" i="70" s="1"/>
  <c r="BY62" i="71"/>
  <c r="CS63" i="70" s="1"/>
  <c r="CY63" i="70" s="1"/>
  <c r="BX62" i="71"/>
  <c r="CR63" i="70" s="1"/>
  <c r="CX63" i="70" s="1"/>
  <c r="BW62" i="71"/>
  <c r="CQ63" i="70" s="1"/>
  <c r="CW63" i="70" s="1"/>
  <c r="CA61" i="71"/>
  <c r="CU62" i="70" s="1"/>
  <c r="DA62" i="70" s="1"/>
  <c r="BZ61" i="71"/>
  <c r="CT62" i="70" s="1"/>
  <c r="CZ62" i="70" s="1"/>
  <c r="BY61" i="71"/>
  <c r="CS62" i="70" s="1"/>
  <c r="CY62" i="70" s="1"/>
  <c r="BX61" i="71"/>
  <c r="CR62" i="70" s="1"/>
  <c r="CX62" i="70" s="1"/>
  <c r="BW61" i="71"/>
  <c r="CQ62" i="70" s="1"/>
  <c r="CW62" i="70" s="1"/>
  <c r="CA60" i="71"/>
  <c r="CU61" i="70" s="1"/>
  <c r="DA61" i="70" s="1"/>
  <c r="BZ60" i="71"/>
  <c r="CT61" i="70" s="1"/>
  <c r="CZ61" i="70" s="1"/>
  <c r="BY60" i="71"/>
  <c r="CS61" i="70" s="1"/>
  <c r="CY61" i="70" s="1"/>
  <c r="BX60" i="71"/>
  <c r="CR61" i="70" s="1"/>
  <c r="CX61" i="70" s="1"/>
  <c r="BW60" i="71"/>
  <c r="CQ61" i="70" s="1"/>
  <c r="CW61" i="70" s="1"/>
  <c r="CA58" i="71"/>
  <c r="CU59" i="70" s="1"/>
  <c r="DA59" i="70" s="1"/>
  <c r="BZ58" i="71"/>
  <c r="CT59" i="70" s="1"/>
  <c r="CZ59" i="70" s="1"/>
  <c r="BY58" i="71"/>
  <c r="CS59" i="70" s="1"/>
  <c r="CY59" i="70" s="1"/>
  <c r="BX58" i="71"/>
  <c r="CR59" i="70" s="1"/>
  <c r="CX59" i="70" s="1"/>
  <c r="BW58" i="71"/>
  <c r="CQ59" i="70" s="1"/>
  <c r="CW59" i="70" s="1"/>
  <c r="CA57" i="71"/>
  <c r="CU58" i="70" s="1"/>
  <c r="DA58" i="70" s="1"/>
  <c r="BZ57" i="71"/>
  <c r="CT58" i="70" s="1"/>
  <c r="CZ58" i="70" s="1"/>
  <c r="BY57" i="71"/>
  <c r="CS58" i="70" s="1"/>
  <c r="CY58" i="70" s="1"/>
  <c r="BX57" i="71"/>
  <c r="CR58" i="70" s="1"/>
  <c r="CX58" i="70" s="1"/>
  <c r="BW57" i="71"/>
  <c r="CQ58" i="70" s="1"/>
  <c r="CW58" i="70" s="1"/>
  <c r="CA56" i="71"/>
  <c r="CU57" i="70" s="1"/>
  <c r="DA57" i="70" s="1"/>
  <c r="BZ56" i="71"/>
  <c r="CT57" i="70" s="1"/>
  <c r="CZ57" i="70" s="1"/>
  <c r="BY56" i="71"/>
  <c r="CS57" i="70" s="1"/>
  <c r="CY57" i="70" s="1"/>
  <c r="BX56" i="71"/>
  <c r="CR57" i="70" s="1"/>
  <c r="CX57" i="70" s="1"/>
  <c r="BW56" i="71"/>
  <c r="CQ57" i="70" s="1"/>
  <c r="CW57" i="70" s="1"/>
  <c r="CA55" i="71"/>
  <c r="CU56" i="70" s="1"/>
  <c r="DA56" i="70" s="1"/>
  <c r="BZ55" i="71"/>
  <c r="CT56" i="70" s="1"/>
  <c r="CZ56" i="70" s="1"/>
  <c r="BY55" i="71"/>
  <c r="CS56" i="70" s="1"/>
  <c r="CY56" i="70" s="1"/>
  <c r="BX55" i="71"/>
  <c r="CR56" i="70" s="1"/>
  <c r="CX56" i="70" s="1"/>
  <c r="BW55" i="71"/>
  <c r="CQ56" i="70" s="1"/>
  <c r="CW56" i="70" s="1"/>
  <c r="CA54" i="71"/>
  <c r="CU55" i="70" s="1"/>
  <c r="DA55" i="70" s="1"/>
  <c r="BZ54" i="71"/>
  <c r="CT55" i="70" s="1"/>
  <c r="CZ55" i="70" s="1"/>
  <c r="BY54" i="71"/>
  <c r="CS55" i="70" s="1"/>
  <c r="CY55" i="70" s="1"/>
  <c r="BX54" i="71"/>
  <c r="CR55" i="70" s="1"/>
  <c r="CX55" i="70" s="1"/>
  <c r="BW54" i="71"/>
  <c r="CQ55" i="70" s="1"/>
  <c r="CW55" i="70" s="1"/>
  <c r="CA53" i="71"/>
  <c r="CU54" i="70" s="1"/>
  <c r="DA54" i="70" s="1"/>
  <c r="BZ53" i="71"/>
  <c r="CT54" i="70" s="1"/>
  <c r="CZ54" i="70" s="1"/>
  <c r="BY53" i="71"/>
  <c r="CS54" i="70" s="1"/>
  <c r="CY54" i="70" s="1"/>
  <c r="BX53" i="71"/>
  <c r="CR54" i="70" s="1"/>
  <c r="CX54" i="70" s="1"/>
  <c r="BW53" i="71"/>
  <c r="CQ54" i="70" s="1"/>
  <c r="CW54" i="70" s="1"/>
  <c r="CA52" i="71"/>
  <c r="CU53" i="70" s="1"/>
  <c r="DA53" i="70" s="1"/>
  <c r="BZ52" i="71"/>
  <c r="CT53" i="70" s="1"/>
  <c r="CZ53" i="70" s="1"/>
  <c r="BY52" i="71"/>
  <c r="CS53" i="70" s="1"/>
  <c r="CY53" i="70" s="1"/>
  <c r="BX52" i="71"/>
  <c r="CR53" i="70" s="1"/>
  <c r="CX53" i="70" s="1"/>
  <c r="BW52" i="71"/>
  <c r="CQ53" i="70" s="1"/>
  <c r="CW53" i="70" s="1"/>
  <c r="CA51" i="71"/>
  <c r="CU52" i="70" s="1"/>
  <c r="DA52" i="70" s="1"/>
  <c r="BZ51" i="71"/>
  <c r="CT52" i="70" s="1"/>
  <c r="CZ52" i="70" s="1"/>
  <c r="BY51" i="71"/>
  <c r="CS52" i="70" s="1"/>
  <c r="CY52" i="70" s="1"/>
  <c r="BX51" i="71"/>
  <c r="CR52" i="70" s="1"/>
  <c r="CX52" i="70" s="1"/>
  <c r="BW51" i="71"/>
  <c r="CQ52" i="70" s="1"/>
  <c r="CW52" i="70" s="1"/>
  <c r="CA49" i="71"/>
  <c r="CU50" i="70" s="1"/>
  <c r="DA50" i="70" s="1"/>
  <c r="BZ49" i="71"/>
  <c r="CT50" i="70" s="1"/>
  <c r="CZ50" i="70" s="1"/>
  <c r="BY49" i="71"/>
  <c r="CS50" i="70" s="1"/>
  <c r="CY50" i="70" s="1"/>
  <c r="BX49" i="71"/>
  <c r="CR50" i="70" s="1"/>
  <c r="CX50" i="70" s="1"/>
  <c r="BW49" i="71"/>
  <c r="CQ50" i="70" s="1"/>
  <c r="CW50" i="70" s="1"/>
  <c r="CA48" i="71"/>
  <c r="CU49" i="70" s="1"/>
  <c r="DA49" i="70" s="1"/>
  <c r="BZ48" i="71"/>
  <c r="CT49" i="70" s="1"/>
  <c r="CZ49" i="70" s="1"/>
  <c r="BY48" i="71"/>
  <c r="CS49" i="70" s="1"/>
  <c r="CY49" i="70" s="1"/>
  <c r="BX48" i="71"/>
  <c r="CR49" i="70" s="1"/>
  <c r="CX49" i="70" s="1"/>
  <c r="BW48" i="71"/>
  <c r="CQ49" i="70" s="1"/>
  <c r="CW49" i="70" s="1"/>
  <c r="CA47" i="71"/>
  <c r="CU48" i="70" s="1"/>
  <c r="DA48" i="70" s="1"/>
  <c r="BZ47" i="71"/>
  <c r="CT48" i="70" s="1"/>
  <c r="CZ48" i="70" s="1"/>
  <c r="BY47" i="71"/>
  <c r="CS48" i="70" s="1"/>
  <c r="CY48" i="70" s="1"/>
  <c r="BX47" i="71"/>
  <c r="CR48" i="70" s="1"/>
  <c r="CX48" i="70" s="1"/>
  <c r="BW47" i="71"/>
  <c r="CQ48" i="70" s="1"/>
  <c r="CW48" i="70" s="1"/>
  <c r="CA46" i="71"/>
  <c r="CU47" i="70" s="1"/>
  <c r="DA47" i="70" s="1"/>
  <c r="BZ46" i="71"/>
  <c r="CT47" i="70" s="1"/>
  <c r="CZ47" i="70" s="1"/>
  <c r="BY46" i="71"/>
  <c r="CS47" i="70" s="1"/>
  <c r="CY47" i="70" s="1"/>
  <c r="BX46" i="71"/>
  <c r="CR47" i="70" s="1"/>
  <c r="CX47" i="70" s="1"/>
  <c r="BW46" i="71"/>
  <c r="CQ47" i="70" s="1"/>
  <c r="CW47" i="70" s="1"/>
  <c r="CA45" i="71"/>
  <c r="CU46" i="70" s="1"/>
  <c r="DA46" i="70" s="1"/>
  <c r="BZ45" i="71"/>
  <c r="CT46" i="70" s="1"/>
  <c r="CZ46" i="70" s="1"/>
  <c r="BY45" i="71"/>
  <c r="CS46" i="70" s="1"/>
  <c r="CY46" i="70" s="1"/>
  <c r="BX45" i="71"/>
  <c r="CR46" i="70" s="1"/>
  <c r="CX46" i="70" s="1"/>
  <c r="BW45" i="71"/>
  <c r="CQ46" i="70" s="1"/>
  <c r="CW46" i="70" s="1"/>
  <c r="CA44" i="71"/>
  <c r="CU45" i="70" s="1"/>
  <c r="DA45" i="70" s="1"/>
  <c r="BZ44" i="71"/>
  <c r="CT45" i="70" s="1"/>
  <c r="CZ45" i="70" s="1"/>
  <c r="BY44" i="71"/>
  <c r="CS45" i="70" s="1"/>
  <c r="CY45" i="70" s="1"/>
  <c r="BX44" i="71"/>
  <c r="CR45" i="70" s="1"/>
  <c r="CX45" i="70" s="1"/>
  <c r="BW44" i="71"/>
  <c r="CQ45" i="70" s="1"/>
  <c r="CW45" i="70" s="1"/>
  <c r="CA43" i="71"/>
  <c r="CU44" i="70" s="1"/>
  <c r="DA44" i="70" s="1"/>
  <c r="BZ43" i="71"/>
  <c r="CT44" i="70" s="1"/>
  <c r="CZ44" i="70" s="1"/>
  <c r="BY43" i="71"/>
  <c r="CS44" i="70" s="1"/>
  <c r="CY44" i="70" s="1"/>
  <c r="BX43" i="71"/>
  <c r="CR44" i="70" s="1"/>
  <c r="CX44" i="70" s="1"/>
  <c r="BW43" i="71"/>
  <c r="CQ44" i="70" s="1"/>
  <c r="CW44" i="70" s="1"/>
  <c r="CA42" i="71"/>
  <c r="CU43" i="70" s="1"/>
  <c r="DA43" i="70" s="1"/>
  <c r="BZ42" i="71"/>
  <c r="CT43" i="70" s="1"/>
  <c r="CZ43" i="70" s="1"/>
  <c r="BY42" i="71"/>
  <c r="CS43" i="70" s="1"/>
  <c r="CY43" i="70" s="1"/>
  <c r="BX42" i="71"/>
  <c r="CR43" i="70" s="1"/>
  <c r="CX43" i="70" s="1"/>
  <c r="BW42" i="71"/>
  <c r="CQ43" i="70" s="1"/>
  <c r="CW43" i="70" s="1"/>
  <c r="CA41" i="71"/>
  <c r="CU42" i="70" s="1"/>
  <c r="DA42" i="70" s="1"/>
  <c r="BZ41" i="71"/>
  <c r="CT42" i="70" s="1"/>
  <c r="CZ42" i="70" s="1"/>
  <c r="BY41" i="71"/>
  <c r="CS42" i="70" s="1"/>
  <c r="CY42" i="70" s="1"/>
  <c r="BX41" i="71"/>
  <c r="CR42" i="70" s="1"/>
  <c r="CX42" i="70" s="1"/>
  <c r="BW41" i="71"/>
  <c r="CQ42" i="70" s="1"/>
  <c r="CW42" i="70" s="1"/>
  <c r="CA40" i="71"/>
  <c r="CU41" i="70" s="1"/>
  <c r="DA41" i="70" s="1"/>
  <c r="BZ40" i="71"/>
  <c r="CT41" i="70" s="1"/>
  <c r="CZ41" i="70" s="1"/>
  <c r="BY40" i="71"/>
  <c r="CS41" i="70" s="1"/>
  <c r="CY41" i="70" s="1"/>
  <c r="BX40" i="71"/>
  <c r="CR41" i="70" s="1"/>
  <c r="CX41" i="70" s="1"/>
  <c r="BW40" i="71"/>
  <c r="CQ41" i="70" s="1"/>
  <c r="CW41" i="70" s="1"/>
  <c r="CA39" i="71"/>
  <c r="CU40" i="70" s="1"/>
  <c r="DA40" i="70" s="1"/>
  <c r="BZ39" i="71"/>
  <c r="CT40" i="70" s="1"/>
  <c r="CZ40" i="70" s="1"/>
  <c r="BY39" i="71"/>
  <c r="CS40" i="70" s="1"/>
  <c r="CY40" i="70" s="1"/>
  <c r="BX39" i="71"/>
  <c r="CR40" i="70" s="1"/>
  <c r="CX40" i="70" s="1"/>
  <c r="BW39" i="71"/>
  <c r="CQ40" i="70" s="1"/>
  <c r="CW40" i="70" s="1"/>
  <c r="CA38" i="71"/>
  <c r="CU39" i="70" s="1"/>
  <c r="DA39" i="70" s="1"/>
  <c r="BZ38" i="71"/>
  <c r="CT39" i="70" s="1"/>
  <c r="CZ39" i="70" s="1"/>
  <c r="BY38" i="71"/>
  <c r="CS39" i="70" s="1"/>
  <c r="CY39" i="70" s="1"/>
  <c r="BX38" i="71"/>
  <c r="CR39" i="70" s="1"/>
  <c r="CX39" i="70" s="1"/>
  <c r="BW38" i="71"/>
  <c r="CQ39" i="70" s="1"/>
  <c r="CW39" i="70" s="1"/>
  <c r="CA36" i="71"/>
  <c r="CU37" i="70" s="1"/>
  <c r="DA37" i="70" s="1"/>
  <c r="BZ36" i="71"/>
  <c r="CT37" i="70" s="1"/>
  <c r="CZ37" i="70" s="1"/>
  <c r="BY36" i="71"/>
  <c r="CS37" i="70" s="1"/>
  <c r="CY37" i="70" s="1"/>
  <c r="BX36" i="71"/>
  <c r="CR37" i="70" s="1"/>
  <c r="CX37" i="70" s="1"/>
  <c r="BW36" i="71"/>
  <c r="CQ37" i="70" s="1"/>
  <c r="CW37" i="70" s="1"/>
  <c r="CA35" i="71"/>
  <c r="CU36" i="70" s="1"/>
  <c r="DA36" i="70" s="1"/>
  <c r="BZ35" i="71"/>
  <c r="CT36" i="70" s="1"/>
  <c r="CZ36" i="70" s="1"/>
  <c r="BY35" i="71"/>
  <c r="CS36" i="70" s="1"/>
  <c r="CY36" i="70" s="1"/>
  <c r="BX35" i="71"/>
  <c r="CR36" i="70" s="1"/>
  <c r="CX36" i="70" s="1"/>
  <c r="BW35" i="71"/>
  <c r="CQ36" i="70" s="1"/>
  <c r="CW36" i="70" s="1"/>
  <c r="CA34" i="71"/>
  <c r="CU35" i="70" s="1"/>
  <c r="DA35" i="70" s="1"/>
  <c r="BZ34" i="71"/>
  <c r="CT35" i="70" s="1"/>
  <c r="CZ35" i="70" s="1"/>
  <c r="BY34" i="71"/>
  <c r="CS35" i="70" s="1"/>
  <c r="CY35" i="70" s="1"/>
  <c r="BX34" i="71"/>
  <c r="CR35" i="70" s="1"/>
  <c r="CX35" i="70" s="1"/>
  <c r="BW34" i="71"/>
  <c r="CQ35" i="70" s="1"/>
  <c r="CW35" i="70" s="1"/>
  <c r="CA33" i="71"/>
  <c r="CU34" i="70" s="1"/>
  <c r="DA34" i="70" s="1"/>
  <c r="BZ33" i="71"/>
  <c r="CT34" i="70" s="1"/>
  <c r="CZ34" i="70" s="1"/>
  <c r="BY33" i="71"/>
  <c r="CS34" i="70" s="1"/>
  <c r="CY34" i="70" s="1"/>
  <c r="BX33" i="71"/>
  <c r="CR34" i="70" s="1"/>
  <c r="CX34" i="70" s="1"/>
  <c r="BW33" i="71"/>
  <c r="CQ34" i="70" s="1"/>
  <c r="CW34" i="70" s="1"/>
  <c r="CA32" i="71"/>
  <c r="CU33" i="70" s="1"/>
  <c r="DA33" i="70" s="1"/>
  <c r="BZ32" i="71"/>
  <c r="CT33" i="70" s="1"/>
  <c r="CZ33" i="70" s="1"/>
  <c r="BY32" i="71"/>
  <c r="CS33" i="70" s="1"/>
  <c r="CY33" i="70" s="1"/>
  <c r="BX32" i="71"/>
  <c r="CR33" i="70" s="1"/>
  <c r="CX33" i="70" s="1"/>
  <c r="BW32" i="71"/>
  <c r="CQ33" i="70" s="1"/>
  <c r="CW33" i="70" s="1"/>
  <c r="CA31" i="71"/>
  <c r="CU32" i="70" s="1"/>
  <c r="DA32" i="70" s="1"/>
  <c r="BZ31" i="71"/>
  <c r="CT32" i="70" s="1"/>
  <c r="CZ32" i="70" s="1"/>
  <c r="BY31" i="71"/>
  <c r="CS32" i="70" s="1"/>
  <c r="CY32" i="70" s="1"/>
  <c r="BX31" i="71"/>
  <c r="CR32" i="70" s="1"/>
  <c r="CX32" i="70" s="1"/>
  <c r="BW31" i="71"/>
  <c r="CQ32" i="70" s="1"/>
  <c r="CW32" i="70" s="1"/>
  <c r="CA30" i="71"/>
  <c r="CU31" i="70" s="1"/>
  <c r="DA31" i="70" s="1"/>
  <c r="BZ30" i="71"/>
  <c r="CT31" i="70" s="1"/>
  <c r="CZ31" i="70" s="1"/>
  <c r="BY30" i="71"/>
  <c r="CS31" i="70" s="1"/>
  <c r="CY31" i="70" s="1"/>
  <c r="BX30" i="71"/>
  <c r="CR31" i="70" s="1"/>
  <c r="CX31" i="70" s="1"/>
  <c r="BW30" i="71"/>
  <c r="CQ31" i="70" s="1"/>
  <c r="CW31" i="70" s="1"/>
  <c r="CA29" i="71"/>
  <c r="CU30" i="70" s="1"/>
  <c r="DA30" i="70" s="1"/>
  <c r="BZ29" i="71"/>
  <c r="CT30" i="70" s="1"/>
  <c r="CZ30" i="70" s="1"/>
  <c r="BY29" i="71"/>
  <c r="CS30" i="70" s="1"/>
  <c r="CY30" i="70" s="1"/>
  <c r="BX29" i="71"/>
  <c r="CR30" i="70" s="1"/>
  <c r="CX30" i="70" s="1"/>
  <c r="BW29" i="71"/>
  <c r="CQ30" i="70" s="1"/>
  <c r="CW30" i="70" s="1"/>
  <c r="CA28" i="71"/>
  <c r="CU29" i="70" s="1"/>
  <c r="DA29" i="70" s="1"/>
  <c r="BZ28" i="71"/>
  <c r="CT29" i="70" s="1"/>
  <c r="CZ29" i="70" s="1"/>
  <c r="BY28" i="71"/>
  <c r="CS29" i="70" s="1"/>
  <c r="CY29" i="70" s="1"/>
  <c r="BX28" i="71"/>
  <c r="CR29" i="70" s="1"/>
  <c r="CX29" i="70" s="1"/>
  <c r="BW28" i="71"/>
  <c r="CQ29" i="70" s="1"/>
  <c r="CW29" i="70" s="1"/>
  <c r="CA27" i="71"/>
  <c r="CU28" i="70" s="1"/>
  <c r="DA28" i="70" s="1"/>
  <c r="BZ27" i="71"/>
  <c r="CT28" i="70" s="1"/>
  <c r="CZ28" i="70" s="1"/>
  <c r="BY27" i="71"/>
  <c r="CS28" i="70" s="1"/>
  <c r="CY28" i="70" s="1"/>
  <c r="BX27" i="71"/>
  <c r="CR28" i="70" s="1"/>
  <c r="CX28" i="70" s="1"/>
  <c r="BW27" i="71"/>
  <c r="CQ28" i="70" s="1"/>
  <c r="CW28" i="70" s="1"/>
  <c r="CA25" i="71"/>
  <c r="CU26" i="70" s="1"/>
  <c r="DA26" i="70" s="1"/>
  <c r="BZ25" i="71"/>
  <c r="CT26" i="70" s="1"/>
  <c r="CZ26" i="70" s="1"/>
  <c r="BY25" i="71"/>
  <c r="CS26" i="70" s="1"/>
  <c r="CY26" i="70" s="1"/>
  <c r="BX25" i="71"/>
  <c r="CR26" i="70" s="1"/>
  <c r="CX26" i="70" s="1"/>
  <c r="BW25" i="71"/>
  <c r="CQ26" i="70" s="1"/>
  <c r="CW26" i="70" s="1"/>
  <c r="CA24" i="71"/>
  <c r="CU25" i="70" s="1"/>
  <c r="DA25" i="70" s="1"/>
  <c r="BZ24" i="71"/>
  <c r="CT25" i="70" s="1"/>
  <c r="CZ25" i="70" s="1"/>
  <c r="BY24" i="71"/>
  <c r="CS25" i="70" s="1"/>
  <c r="CY25" i="70" s="1"/>
  <c r="BX24" i="71"/>
  <c r="CR25" i="70" s="1"/>
  <c r="CX25" i="70" s="1"/>
  <c r="BW24" i="71"/>
  <c r="CQ25" i="70" s="1"/>
  <c r="CW25" i="70" s="1"/>
  <c r="CA23" i="71"/>
  <c r="CU24" i="70" s="1"/>
  <c r="DA24" i="70" s="1"/>
  <c r="BZ23" i="71"/>
  <c r="CT24" i="70" s="1"/>
  <c r="CZ24" i="70" s="1"/>
  <c r="BY23" i="71"/>
  <c r="CS24" i="70" s="1"/>
  <c r="CY24" i="70" s="1"/>
  <c r="BX23" i="71"/>
  <c r="CR24" i="70" s="1"/>
  <c r="CX24" i="70" s="1"/>
  <c r="BW23" i="71"/>
  <c r="CQ24" i="70" s="1"/>
  <c r="CW24" i="70" s="1"/>
  <c r="CA22" i="71"/>
  <c r="CU23" i="70" s="1"/>
  <c r="DA23" i="70" s="1"/>
  <c r="BZ22" i="71"/>
  <c r="CT23" i="70" s="1"/>
  <c r="CZ23" i="70" s="1"/>
  <c r="BY22" i="71"/>
  <c r="CS23" i="70" s="1"/>
  <c r="CY23" i="70" s="1"/>
  <c r="BX22" i="71"/>
  <c r="CR23" i="70" s="1"/>
  <c r="CX23" i="70" s="1"/>
  <c r="BW22" i="71"/>
  <c r="CQ23" i="70" s="1"/>
  <c r="CW23" i="70" s="1"/>
  <c r="CA21" i="71"/>
  <c r="CU22" i="70" s="1"/>
  <c r="DA22" i="70" s="1"/>
  <c r="BZ21" i="71"/>
  <c r="CT22" i="70" s="1"/>
  <c r="CZ22" i="70" s="1"/>
  <c r="BY21" i="71"/>
  <c r="CS22" i="70" s="1"/>
  <c r="CY22" i="70" s="1"/>
  <c r="BX21" i="71"/>
  <c r="CR22" i="70" s="1"/>
  <c r="CX22" i="70" s="1"/>
  <c r="BW21" i="71"/>
  <c r="CQ22" i="70" s="1"/>
  <c r="CW22" i="70" s="1"/>
  <c r="CA20" i="71"/>
  <c r="CU21" i="70" s="1"/>
  <c r="DA21" i="70" s="1"/>
  <c r="BZ20" i="71"/>
  <c r="CT21" i="70" s="1"/>
  <c r="CZ21" i="70" s="1"/>
  <c r="BY20" i="71"/>
  <c r="CS21" i="70" s="1"/>
  <c r="CY21" i="70" s="1"/>
  <c r="BX20" i="71"/>
  <c r="CR21" i="70" s="1"/>
  <c r="CX21" i="70" s="1"/>
  <c r="BW20" i="71"/>
  <c r="CQ21" i="70" s="1"/>
  <c r="CW21" i="70" s="1"/>
  <c r="CA19" i="71"/>
  <c r="CU20" i="70" s="1"/>
  <c r="DA20" i="70" s="1"/>
  <c r="BZ19" i="71"/>
  <c r="CT20" i="70" s="1"/>
  <c r="CZ20" i="70" s="1"/>
  <c r="BY19" i="71"/>
  <c r="CS20" i="70" s="1"/>
  <c r="CY20" i="70" s="1"/>
  <c r="BX19" i="71"/>
  <c r="CR20" i="70" s="1"/>
  <c r="CX20" i="70" s="1"/>
  <c r="BW19" i="71"/>
  <c r="CQ20" i="70" s="1"/>
  <c r="CW20" i="70" s="1"/>
  <c r="CA18" i="71"/>
  <c r="CU19" i="70" s="1"/>
  <c r="DA19" i="70" s="1"/>
  <c r="BZ18" i="71"/>
  <c r="CT19" i="70" s="1"/>
  <c r="CZ19" i="70" s="1"/>
  <c r="BY18" i="71"/>
  <c r="CS19" i="70" s="1"/>
  <c r="CY19" i="70" s="1"/>
  <c r="BX18" i="71"/>
  <c r="CR19" i="70" s="1"/>
  <c r="CX19" i="70" s="1"/>
  <c r="BW18" i="71"/>
  <c r="CQ19" i="70" s="1"/>
  <c r="CW19" i="70" s="1"/>
  <c r="CA17" i="71"/>
  <c r="CU18" i="70" s="1"/>
  <c r="DA18" i="70" s="1"/>
  <c r="BZ17" i="71"/>
  <c r="CT18" i="70" s="1"/>
  <c r="CZ18" i="70" s="1"/>
  <c r="BY17" i="71"/>
  <c r="CS18" i="70" s="1"/>
  <c r="CY18" i="70" s="1"/>
  <c r="BX17" i="71"/>
  <c r="CR18" i="70" s="1"/>
  <c r="CX18" i="70" s="1"/>
  <c r="BW17" i="71"/>
  <c r="CQ18" i="70" s="1"/>
  <c r="CW18" i="70" s="1"/>
  <c r="CA15" i="71"/>
  <c r="CU16" i="70" s="1"/>
  <c r="DA16" i="70" s="1"/>
  <c r="BZ15" i="71"/>
  <c r="CT16" i="70" s="1"/>
  <c r="CZ16" i="70" s="1"/>
  <c r="BY15" i="71"/>
  <c r="CS16" i="70" s="1"/>
  <c r="CY16" i="70" s="1"/>
  <c r="BX15" i="71"/>
  <c r="CR16" i="70" s="1"/>
  <c r="CX16" i="70" s="1"/>
  <c r="BW15" i="71"/>
  <c r="CQ16" i="70" s="1"/>
  <c r="CW16" i="70" s="1"/>
  <c r="CA14" i="71"/>
  <c r="CU15" i="70" s="1"/>
  <c r="DA15" i="70" s="1"/>
  <c r="BZ14" i="71"/>
  <c r="CT15" i="70" s="1"/>
  <c r="CZ15" i="70" s="1"/>
  <c r="BY14" i="71"/>
  <c r="CS15" i="70" s="1"/>
  <c r="CY15" i="70" s="1"/>
  <c r="BX14" i="71"/>
  <c r="CR15" i="70" s="1"/>
  <c r="CX15" i="70" s="1"/>
  <c r="BW14" i="71"/>
  <c r="CQ15" i="70" s="1"/>
  <c r="CW15" i="70" s="1"/>
  <c r="CA13" i="71"/>
  <c r="CU14" i="70" s="1"/>
  <c r="DA14" i="70" s="1"/>
  <c r="BZ13" i="71"/>
  <c r="CT14" i="70" s="1"/>
  <c r="CZ14" i="70" s="1"/>
  <c r="BY13" i="71"/>
  <c r="CS14" i="70" s="1"/>
  <c r="CY14" i="70" s="1"/>
  <c r="BX13" i="71"/>
  <c r="CR14" i="70" s="1"/>
  <c r="CX14" i="70" s="1"/>
  <c r="BW13" i="71"/>
  <c r="CQ14" i="70" s="1"/>
  <c r="CW14" i="70" s="1"/>
  <c r="CA12" i="71"/>
  <c r="CU13" i="70" s="1"/>
  <c r="DA13" i="70" s="1"/>
  <c r="BZ12" i="71"/>
  <c r="CT13" i="70" s="1"/>
  <c r="CZ13" i="70" s="1"/>
  <c r="BY12" i="71"/>
  <c r="CS13" i="70" s="1"/>
  <c r="CY13" i="70" s="1"/>
  <c r="BX12" i="71"/>
  <c r="CR13" i="70" s="1"/>
  <c r="CX13" i="70" s="1"/>
  <c r="BW12" i="71"/>
  <c r="CQ13" i="70" s="1"/>
  <c r="CW13" i="70" s="1"/>
  <c r="CA11" i="71"/>
  <c r="CU12" i="70" s="1"/>
  <c r="DA12" i="70" s="1"/>
  <c r="BZ11" i="71"/>
  <c r="CT12" i="70" s="1"/>
  <c r="CZ12" i="70" s="1"/>
  <c r="BY11" i="71"/>
  <c r="CS12" i="70" s="1"/>
  <c r="CY12" i="70" s="1"/>
  <c r="BX11" i="71"/>
  <c r="CR12" i="70" s="1"/>
  <c r="CX12" i="70" s="1"/>
  <c r="BW11" i="71"/>
  <c r="CQ12" i="70" s="1"/>
  <c r="CW12" i="70" s="1"/>
  <c r="CA10" i="71"/>
  <c r="CU11" i="70" s="1"/>
  <c r="DA11" i="70" s="1"/>
  <c r="BZ10" i="71"/>
  <c r="CT11" i="70" s="1"/>
  <c r="CZ11" i="70" s="1"/>
  <c r="BY10" i="71"/>
  <c r="CS11" i="70" s="1"/>
  <c r="CY11" i="70" s="1"/>
  <c r="BX10" i="71"/>
  <c r="CR11" i="70" s="1"/>
  <c r="CX11" i="70" s="1"/>
  <c r="BW10" i="71"/>
  <c r="CQ11" i="70" s="1"/>
  <c r="CW11" i="70" s="1"/>
  <c r="CA9" i="71"/>
  <c r="CU10" i="70" s="1"/>
  <c r="DA10" i="70" s="1"/>
  <c r="BZ9" i="71"/>
  <c r="CT10" i="70" s="1"/>
  <c r="CZ10" i="70" s="1"/>
  <c r="BY9" i="71"/>
  <c r="CS10" i="70" s="1"/>
  <c r="CY10" i="70" s="1"/>
  <c r="BX9" i="71"/>
  <c r="CR10" i="70" s="1"/>
  <c r="CX10" i="70" s="1"/>
  <c r="BW9" i="71"/>
  <c r="CQ10" i="70" s="1"/>
  <c r="CW10" i="70" s="1"/>
  <c r="CA8" i="71"/>
  <c r="CU9" i="70" s="1"/>
  <c r="DA9" i="70" s="1"/>
  <c r="BZ8" i="71"/>
  <c r="CT9" i="70" s="1"/>
  <c r="CZ9" i="70" s="1"/>
  <c r="BY8" i="71"/>
  <c r="CS9" i="70" s="1"/>
  <c r="CY9" i="70" s="1"/>
  <c r="BX8" i="71"/>
  <c r="CR9" i="70" s="1"/>
  <c r="CX9" i="70" s="1"/>
  <c r="BW8" i="71"/>
  <c r="CQ9" i="70" s="1"/>
  <c r="CW9" i="70" s="1"/>
  <c r="CA7" i="71"/>
  <c r="CU8" i="70" s="1"/>
  <c r="DA8" i="70" s="1"/>
  <c r="BZ7" i="71"/>
  <c r="CT8" i="70" s="1"/>
  <c r="CZ8" i="70" s="1"/>
  <c r="BY7" i="71"/>
  <c r="CS8" i="70" s="1"/>
  <c r="CY8" i="70" s="1"/>
  <c r="BX7" i="71"/>
  <c r="CR8" i="70" s="1"/>
  <c r="CX8" i="70" s="1"/>
  <c r="BW7" i="71"/>
  <c r="CQ8" i="70" s="1"/>
  <c r="CW8" i="70" s="1"/>
  <c r="CA6" i="71"/>
  <c r="CU7" i="70" s="1"/>
  <c r="DA7" i="70" s="1"/>
  <c r="BZ6" i="71"/>
  <c r="CT7" i="70" s="1"/>
  <c r="CZ7" i="70" s="1"/>
  <c r="BY6" i="71"/>
  <c r="CS7" i="70" s="1"/>
  <c r="CY7" i="70" s="1"/>
  <c r="BX6" i="71"/>
  <c r="CR7" i="70" s="1"/>
  <c r="CX7" i="70" s="1"/>
  <c r="BW6" i="71"/>
  <c r="CQ7" i="70" s="1"/>
  <c r="CW7" i="70" s="1"/>
  <c r="CA5" i="71"/>
  <c r="CU6" i="70" s="1"/>
  <c r="DA6" i="70" s="1"/>
  <c r="BZ5" i="71"/>
  <c r="CT6" i="70" s="1"/>
  <c r="CZ6" i="70" s="1"/>
  <c r="BY5" i="71"/>
  <c r="CS6" i="70" s="1"/>
  <c r="CY6" i="70" s="1"/>
  <c r="BX5" i="71"/>
  <c r="CR6" i="70" s="1"/>
  <c r="CX6" i="70" s="1"/>
  <c r="BW5" i="71"/>
  <c r="CQ6" i="70" s="1"/>
  <c r="CW6" i="70" s="1"/>
  <c r="CA4" i="71"/>
  <c r="CU5" i="70" s="1"/>
  <c r="DA5" i="70" s="1"/>
  <c r="BZ4" i="71"/>
  <c r="CT5" i="70" s="1"/>
  <c r="CZ5" i="70" s="1"/>
  <c r="BY4" i="71"/>
  <c r="CS5" i="70" s="1"/>
  <c r="CY5" i="70" s="1"/>
  <c r="BX4" i="71"/>
  <c r="CR5" i="70" s="1"/>
  <c r="CX5" i="70" s="1"/>
  <c r="BW4" i="71"/>
  <c r="CQ5" i="70" s="1"/>
  <c r="CW5" i="70" s="1"/>
  <c r="CA3" i="71"/>
  <c r="CU4" i="70" s="1"/>
  <c r="DA4" i="70" s="1"/>
  <c r="BZ3" i="71"/>
  <c r="CT4" i="70" s="1"/>
  <c r="CZ4" i="70" s="1"/>
  <c r="BY3" i="71"/>
  <c r="CS4" i="70" s="1"/>
  <c r="CY4" i="70" s="1"/>
  <c r="BX3" i="71"/>
  <c r="CR4" i="70" s="1"/>
  <c r="CX4" i="70" s="1"/>
  <c r="BW3" i="71"/>
  <c r="CQ4" i="70" s="1"/>
  <c r="CW4" i="70" s="1"/>
  <c r="CA98" i="69"/>
  <c r="CU99" i="68" s="1"/>
  <c r="DA99" i="68" s="1"/>
  <c r="BZ98" i="69"/>
  <c r="CT99" i="68" s="1"/>
  <c r="CZ99" i="68" s="1"/>
  <c r="BY98" i="69"/>
  <c r="CS99" i="68" s="1"/>
  <c r="CY99" i="68" s="1"/>
  <c r="BX98" i="69"/>
  <c r="CR99" i="68" s="1"/>
  <c r="CX99" i="68" s="1"/>
  <c r="BW98" i="69"/>
  <c r="CQ99" i="68" s="1"/>
  <c r="CW99" i="68" s="1"/>
  <c r="CA97" i="69"/>
  <c r="CU98" i="68" s="1"/>
  <c r="DA98" i="68" s="1"/>
  <c r="BZ97" i="69"/>
  <c r="CT98" i="68" s="1"/>
  <c r="CZ98" i="68" s="1"/>
  <c r="BY97" i="69"/>
  <c r="CS98" i="68" s="1"/>
  <c r="CY98" i="68" s="1"/>
  <c r="BX97" i="69"/>
  <c r="CR98" i="68" s="1"/>
  <c r="CX98" i="68" s="1"/>
  <c r="BW97" i="69"/>
  <c r="CQ98" i="68" s="1"/>
  <c r="CW98" i="68" s="1"/>
  <c r="CA96" i="69"/>
  <c r="CU97" i="68" s="1"/>
  <c r="DA97" i="68" s="1"/>
  <c r="BZ96" i="69"/>
  <c r="CT97" i="68" s="1"/>
  <c r="CZ97" i="68" s="1"/>
  <c r="BY96" i="69"/>
  <c r="CS97" i="68" s="1"/>
  <c r="CY97" i="68" s="1"/>
  <c r="BX96" i="69"/>
  <c r="CR97" i="68" s="1"/>
  <c r="CX97" i="68" s="1"/>
  <c r="BW96" i="69"/>
  <c r="CQ97" i="68" s="1"/>
  <c r="CW97" i="68" s="1"/>
  <c r="CA95" i="69"/>
  <c r="CU96" i="68" s="1"/>
  <c r="DA96" i="68" s="1"/>
  <c r="BZ95" i="69"/>
  <c r="CT96" i="68" s="1"/>
  <c r="CZ96" i="68" s="1"/>
  <c r="BY95" i="69"/>
  <c r="CS96" i="68" s="1"/>
  <c r="CY96" i="68" s="1"/>
  <c r="BX95" i="69"/>
  <c r="CR96" i="68" s="1"/>
  <c r="CX96" i="68" s="1"/>
  <c r="BW95" i="69"/>
  <c r="CQ96" i="68" s="1"/>
  <c r="CW96" i="68" s="1"/>
  <c r="CA93" i="69"/>
  <c r="CU94" i="68" s="1"/>
  <c r="DA94" i="68" s="1"/>
  <c r="BZ93" i="69"/>
  <c r="CT94" i="68" s="1"/>
  <c r="CZ94" i="68" s="1"/>
  <c r="BY93" i="69"/>
  <c r="CS94" i="68" s="1"/>
  <c r="CY94" i="68" s="1"/>
  <c r="BX93" i="69"/>
  <c r="CR94" i="68" s="1"/>
  <c r="CX94" i="68" s="1"/>
  <c r="BW93" i="69"/>
  <c r="CQ94" i="68" s="1"/>
  <c r="CW94" i="68" s="1"/>
  <c r="CA92" i="69"/>
  <c r="CU93" i="68" s="1"/>
  <c r="DA93" i="68" s="1"/>
  <c r="BZ92" i="69"/>
  <c r="CT93" i="68" s="1"/>
  <c r="CZ93" i="68" s="1"/>
  <c r="BY92" i="69"/>
  <c r="CS93" i="68" s="1"/>
  <c r="CY93" i="68" s="1"/>
  <c r="BX92" i="69"/>
  <c r="CR93" i="68" s="1"/>
  <c r="CX93" i="68" s="1"/>
  <c r="BW92" i="69"/>
  <c r="CQ93" i="68" s="1"/>
  <c r="CW93" i="68" s="1"/>
  <c r="CA91" i="69"/>
  <c r="CU92" i="68" s="1"/>
  <c r="DA92" i="68" s="1"/>
  <c r="BZ91" i="69"/>
  <c r="CT92" i="68" s="1"/>
  <c r="CZ92" i="68" s="1"/>
  <c r="BY91" i="69"/>
  <c r="CS92" i="68" s="1"/>
  <c r="CY92" i="68" s="1"/>
  <c r="BX91" i="69"/>
  <c r="CR92" i="68" s="1"/>
  <c r="CX92" i="68" s="1"/>
  <c r="BW91" i="69"/>
  <c r="CQ92" i="68" s="1"/>
  <c r="CW92" i="68" s="1"/>
  <c r="CA90" i="69"/>
  <c r="CU91" i="68" s="1"/>
  <c r="DA91" i="68" s="1"/>
  <c r="BZ90" i="69"/>
  <c r="CT91" i="68" s="1"/>
  <c r="CZ91" i="68" s="1"/>
  <c r="BY90" i="69"/>
  <c r="CS91" i="68" s="1"/>
  <c r="CY91" i="68" s="1"/>
  <c r="BX90" i="69"/>
  <c r="CR91" i="68" s="1"/>
  <c r="CX91" i="68" s="1"/>
  <c r="BW90" i="69"/>
  <c r="CQ91" i="68" s="1"/>
  <c r="CW91" i="68" s="1"/>
  <c r="CA89" i="69"/>
  <c r="CU90" i="68" s="1"/>
  <c r="DA90" i="68" s="1"/>
  <c r="BZ89" i="69"/>
  <c r="CT90" i="68" s="1"/>
  <c r="CZ90" i="68" s="1"/>
  <c r="BY89" i="69"/>
  <c r="CS90" i="68" s="1"/>
  <c r="CY90" i="68" s="1"/>
  <c r="BX89" i="69"/>
  <c r="CR90" i="68" s="1"/>
  <c r="CX90" i="68" s="1"/>
  <c r="BW89" i="69"/>
  <c r="CQ90" i="68" s="1"/>
  <c r="CW90" i="68" s="1"/>
  <c r="CA88" i="69"/>
  <c r="CU89" i="68" s="1"/>
  <c r="DA89" i="68" s="1"/>
  <c r="BZ88" i="69"/>
  <c r="CT89" i="68" s="1"/>
  <c r="CZ89" i="68" s="1"/>
  <c r="BY88" i="69"/>
  <c r="CS89" i="68" s="1"/>
  <c r="CY89" i="68" s="1"/>
  <c r="BX88" i="69"/>
  <c r="CR89" i="68" s="1"/>
  <c r="CX89" i="68" s="1"/>
  <c r="BW88" i="69"/>
  <c r="CQ89" i="68" s="1"/>
  <c r="CW89" i="68" s="1"/>
  <c r="CA87" i="69"/>
  <c r="CU88" i="68" s="1"/>
  <c r="DA88" i="68" s="1"/>
  <c r="BZ87" i="69"/>
  <c r="CT88" i="68" s="1"/>
  <c r="CZ88" i="68" s="1"/>
  <c r="BY87" i="69"/>
  <c r="CS88" i="68" s="1"/>
  <c r="CY88" i="68" s="1"/>
  <c r="BX87" i="69"/>
  <c r="CR88" i="68" s="1"/>
  <c r="CX88" i="68" s="1"/>
  <c r="BW87" i="69"/>
  <c r="CQ88" i="68" s="1"/>
  <c r="CW88" i="68" s="1"/>
  <c r="CA86" i="69"/>
  <c r="CU87" i="68" s="1"/>
  <c r="DA87" i="68" s="1"/>
  <c r="BZ86" i="69"/>
  <c r="CT87" i="68" s="1"/>
  <c r="CZ87" i="68" s="1"/>
  <c r="BY86" i="69"/>
  <c r="CS87" i="68" s="1"/>
  <c r="CY87" i="68" s="1"/>
  <c r="BX86" i="69"/>
  <c r="CR87" i="68" s="1"/>
  <c r="CX87" i="68" s="1"/>
  <c r="BW86" i="69"/>
  <c r="CQ87" i="68" s="1"/>
  <c r="CW87" i="68" s="1"/>
  <c r="CA85" i="69"/>
  <c r="CU86" i="68" s="1"/>
  <c r="DA86" i="68" s="1"/>
  <c r="BZ85" i="69"/>
  <c r="CT86" i="68" s="1"/>
  <c r="CZ86" i="68" s="1"/>
  <c r="BY85" i="69"/>
  <c r="CS86" i="68" s="1"/>
  <c r="CY86" i="68" s="1"/>
  <c r="BX85" i="69"/>
  <c r="CR86" i="68" s="1"/>
  <c r="CX86" i="68" s="1"/>
  <c r="BW85" i="69"/>
  <c r="CQ86" i="68" s="1"/>
  <c r="CW86" i="68" s="1"/>
  <c r="CA84" i="69"/>
  <c r="CU85" i="68" s="1"/>
  <c r="DA85" i="68" s="1"/>
  <c r="BZ84" i="69"/>
  <c r="CT85" i="68" s="1"/>
  <c r="CZ85" i="68" s="1"/>
  <c r="BY84" i="69"/>
  <c r="CS85" i="68" s="1"/>
  <c r="CY85" i="68" s="1"/>
  <c r="BX84" i="69"/>
  <c r="CR85" i="68" s="1"/>
  <c r="CX85" i="68" s="1"/>
  <c r="BW84" i="69"/>
  <c r="CQ85" i="68" s="1"/>
  <c r="CW85" i="68" s="1"/>
  <c r="CA83" i="69"/>
  <c r="CU84" i="68" s="1"/>
  <c r="DA84" i="68" s="1"/>
  <c r="BZ83" i="69"/>
  <c r="CT84" i="68" s="1"/>
  <c r="CZ84" i="68" s="1"/>
  <c r="BY83" i="69"/>
  <c r="CS84" i="68" s="1"/>
  <c r="CY84" i="68" s="1"/>
  <c r="BX83" i="69"/>
  <c r="CR84" i="68" s="1"/>
  <c r="CX84" i="68" s="1"/>
  <c r="BW83" i="69"/>
  <c r="CQ84" i="68" s="1"/>
  <c r="CW84" i="68" s="1"/>
  <c r="CA82" i="69"/>
  <c r="CU83" i="68" s="1"/>
  <c r="DA83" i="68" s="1"/>
  <c r="BZ82" i="69"/>
  <c r="CT83" i="68" s="1"/>
  <c r="CZ83" i="68" s="1"/>
  <c r="BY82" i="69"/>
  <c r="CS83" i="68" s="1"/>
  <c r="CY83" i="68" s="1"/>
  <c r="BX82" i="69"/>
  <c r="CR83" i="68" s="1"/>
  <c r="CX83" i="68" s="1"/>
  <c r="BW82" i="69"/>
  <c r="CQ83" i="68" s="1"/>
  <c r="CW83" i="68" s="1"/>
  <c r="CA81" i="69"/>
  <c r="CU82" i="68" s="1"/>
  <c r="DA82" i="68" s="1"/>
  <c r="BZ81" i="69"/>
  <c r="CT82" i="68" s="1"/>
  <c r="CZ82" i="68" s="1"/>
  <c r="BY81" i="69"/>
  <c r="CS82" i="68" s="1"/>
  <c r="CY82" i="68" s="1"/>
  <c r="BX81" i="69"/>
  <c r="CR82" i="68" s="1"/>
  <c r="CX82" i="68" s="1"/>
  <c r="BW81" i="69"/>
  <c r="CQ82" i="68" s="1"/>
  <c r="CW82" i="68" s="1"/>
  <c r="CA80" i="69"/>
  <c r="CU81" i="68" s="1"/>
  <c r="DA81" i="68" s="1"/>
  <c r="BZ80" i="69"/>
  <c r="CT81" i="68" s="1"/>
  <c r="CZ81" i="68" s="1"/>
  <c r="BY80" i="69"/>
  <c r="CS81" i="68" s="1"/>
  <c r="CY81" i="68" s="1"/>
  <c r="BX80" i="69"/>
  <c r="CR81" i="68" s="1"/>
  <c r="CX81" i="68" s="1"/>
  <c r="BW80" i="69"/>
  <c r="CQ81" i="68" s="1"/>
  <c r="CW81" i="68" s="1"/>
  <c r="CA79" i="69"/>
  <c r="CU80" i="68" s="1"/>
  <c r="DA80" i="68" s="1"/>
  <c r="BZ79" i="69"/>
  <c r="CT80" i="68" s="1"/>
  <c r="CZ80" i="68" s="1"/>
  <c r="BY79" i="69"/>
  <c r="CS80" i="68" s="1"/>
  <c r="CY80" i="68" s="1"/>
  <c r="BX79" i="69"/>
  <c r="CR80" i="68" s="1"/>
  <c r="CX80" i="68" s="1"/>
  <c r="BW79" i="69"/>
  <c r="CQ80" i="68" s="1"/>
  <c r="CW80" i="68" s="1"/>
  <c r="CA77" i="69"/>
  <c r="CU78" i="68" s="1"/>
  <c r="DA78" i="68" s="1"/>
  <c r="BZ77" i="69"/>
  <c r="CT78" i="68" s="1"/>
  <c r="CZ78" i="68" s="1"/>
  <c r="BY77" i="69"/>
  <c r="CS78" i="68" s="1"/>
  <c r="CY78" i="68" s="1"/>
  <c r="BX77" i="69"/>
  <c r="CR78" i="68" s="1"/>
  <c r="CX78" i="68" s="1"/>
  <c r="BW77" i="69"/>
  <c r="CQ78" i="68" s="1"/>
  <c r="CW78" i="68" s="1"/>
  <c r="CA76" i="69"/>
  <c r="CU77" i="68" s="1"/>
  <c r="DA77" i="68" s="1"/>
  <c r="BZ76" i="69"/>
  <c r="CT77" i="68" s="1"/>
  <c r="CZ77" i="68" s="1"/>
  <c r="BY76" i="69"/>
  <c r="CS77" i="68" s="1"/>
  <c r="CY77" i="68" s="1"/>
  <c r="BX76" i="69"/>
  <c r="CR77" i="68" s="1"/>
  <c r="CX77" i="68" s="1"/>
  <c r="BW76" i="69"/>
  <c r="CQ77" i="68" s="1"/>
  <c r="CW77" i="68" s="1"/>
  <c r="CA75" i="69"/>
  <c r="CU76" i="68" s="1"/>
  <c r="DA76" i="68" s="1"/>
  <c r="BZ75" i="69"/>
  <c r="CT76" i="68" s="1"/>
  <c r="CZ76" i="68" s="1"/>
  <c r="BY75" i="69"/>
  <c r="CS76" i="68" s="1"/>
  <c r="CY76" i="68" s="1"/>
  <c r="BX75" i="69"/>
  <c r="CR76" i="68" s="1"/>
  <c r="CX76" i="68" s="1"/>
  <c r="BW75" i="69"/>
  <c r="CQ76" i="68" s="1"/>
  <c r="CW76" i="68" s="1"/>
  <c r="CA74" i="69"/>
  <c r="CU75" i="68" s="1"/>
  <c r="DA75" i="68" s="1"/>
  <c r="BZ74" i="69"/>
  <c r="CT75" i="68" s="1"/>
  <c r="CZ75" i="68" s="1"/>
  <c r="BY74" i="69"/>
  <c r="CS75" i="68" s="1"/>
  <c r="CY75" i="68" s="1"/>
  <c r="BX74" i="69"/>
  <c r="CR75" i="68" s="1"/>
  <c r="CX75" i="68" s="1"/>
  <c r="BW74" i="69"/>
  <c r="CQ75" i="68" s="1"/>
  <c r="CW75" i="68" s="1"/>
  <c r="CA73" i="69"/>
  <c r="CU74" i="68" s="1"/>
  <c r="DA74" i="68" s="1"/>
  <c r="BZ73" i="69"/>
  <c r="CT74" i="68" s="1"/>
  <c r="CZ74" i="68" s="1"/>
  <c r="BY73" i="69"/>
  <c r="CS74" i="68" s="1"/>
  <c r="CY74" i="68" s="1"/>
  <c r="BX73" i="69"/>
  <c r="CR74" i="68" s="1"/>
  <c r="CX74" i="68" s="1"/>
  <c r="BW73" i="69"/>
  <c r="CQ74" i="68" s="1"/>
  <c r="CW74" i="68" s="1"/>
  <c r="CA72" i="69"/>
  <c r="CU73" i="68" s="1"/>
  <c r="DA73" i="68" s="1"/>
  <c r="BZ72" i="69"/>
  <c r="CT73" i="68" s="1"/>
  <c r="CZ73" i="68" s="1"/>
  <c r="BY72" i="69"/>
  <c r="CS73" i="68" s="1"/>
  <c r="CY73" i="68" s="1"/>
  <c r="BX72" i="69"/>
  <c r="CR73" i="68" s="1"/>
  <c r="CX73" i="68" s="1"/>
  <c r="BW72" i="69"/>
  <c r="CQ73" i="68" s="1"/>
  <c r="CW73" i="68" s="1"/>
  <c r="CA71" i="69"/>
  <c r="CU72" i="68" s="1"/>
  <c r="DA72" i="68" s="1"/>
  <c r="BZ71" i="69"/>
  <c r="CT72" i="68" s="1"/>
  <c r="CZ72" i="68" s="1"/>
  <c r="BY71" i="69"/>
  <c r="CS72" i="68" s="1"/>
  <c r="CY72" i="68" s="1"/>
  <c r="BX71" i="69"/>
  <c r="CR72" i="68" s="1"/>
  <c r="CX72" i="68" s="1"/>
  <c r="BW71" i="69"/>
  <c r="CQ72" i="68" s="1"/>
  <c r="CW72" i="68" s="1"/>
  <c r="CA70" i="69"/>
  <c r="CU71" i="68" s="1"/>
  <c r="DA71" i="68" s="1"/>
  <c r="BZ70" i="69"/>
  <c r="CT71" i="68" s="1"/>
  <c r="CZ71" i="68" s="1"/>
  <c r="BY70" i="69"/>
  <c r="CS71" i="68" s="1"/>
  <c r="CY71" i="68" s="1"/>
  <c r="BX70" i="69"/>
  <c r="CR71" i="68" s="1"/>
  <c r="CX71" i="68" s="1"/>
  <c r="BW70" i="69"/>
  <c r="CQ71" i="68" s="1"/>
  <c r="CW71" i="68" s="1"/>
  <c r="CA69" i="69"/>
  <c r="CU70" i="68" s="1"/>
  <c r="DA70" i="68" s="1"/>
  <c r="BZ69" i="69"/>
  <c r="CT70" i="68" s="1"/>
  <c r="CZ70" i="68" s="1"/>
  <c r="BY69" i="69"/>
  <c r="CS70" i="68" s="1"/>
  <c r="CY70" i="68" s="1"/>
  <c r="BX69" i="69"/>
  <c r="CR70" i="68" s="1"/>
  <c r="CX70" i="68" s="1"/>
  <c r="BW69" i="69"/>
  <c r="CQ70" i="68" s="1"/>
  <c r="CW70" i="68" s="1"/>
  <c r="CA68" i="69"/>
  <c r="CU69" i="68" s="1"/>
  <c r="DA69" i="68" s="1"/>
  <c r="BZ68" i="69"/>
  <c r="CT69" i="68" s="1"/>
  <c r="CZ69" i="68" s="1"/>
  <c r="BY68" i="69"/>
  <c r="CS69" i="68" s="1"/>
  <c r="CY69" i="68" s="1"/>
  <c r="BX68" i="69"/>
  <c r="CR69" i="68" s="1"/>
  <c r="CX69" i="68" s="1"/>
  <c r="BW68" i="69"/>
  <c r="CQ69" i="68" s="1"/>
  <c r="CW69" i="68" s="1"/>
  <c r="CA67" i="69"/>
  <c r="CU68" i="68" s="1"/>
  <c r="DA68" i="68" s="1"/>
  <c r="BZ67" i="69"/>
  <c r="CT68" i="68" s="1"/>
  <c r="CZ68" i="68" s="1"/>
  <c r="BY67" i="69"/>
  <c r="CS68" i="68" s="1"/>
  <c r="CY68" i="68" s="1"/>
  <c r="BX67" i="69"/>
  <c r="CR68" i="68" s="1"/>
  <c r="CX68" i="68" s="1"/>
  <c r="BW67" i="69"/>
  <c r="CQ68" i="68" s="1"/>
  <c r="CW68" i="68" s="1"/>
  <c r="CA66" i="69"/>
  <c r="CU67" i="68" s="1"/>
  <c r="DA67" i="68" s="1"/>
  <c r="BZ66" i="69"/>
  <c r="CT67" i="68" s="1"/>
  <c r="CZ67" i="68" s="1"/>
  <c r="BY66" i="69"/>
  <c r="CS67" i="68" s="1"/>
  <c r="CY67" i="68" s="1"/>
  <c r="BX66" i="69"/>
  <c r="CR67" i="68" s="1"/>
  <c r="CX67" i="68" s="1"/>
  <c r="BW66" i="69"/>
  <c r="CQ67" i="68" s="1"/>
  <c r="CW67" i="68" s="1"/>
  <c r="CA65" i="69"/>
  <c r="CU66" i="68" s="1"/>
  <c r="DA66" i="68" s="1"/>
  <c r="BZ65" i="69"/>
  <c r="CT66" i="68" s="1"/>
  <c r="CZ66" i="68" s="1"/>
  <c r="BY65" i="69"/>
  <c r="CS66" i="68" s="1"/>
  <c r="CY66" i="68" s="1"/>
  <c r="BX65" i="69"/>
  <c r="CR66" i="68" s="1"/>
  <c r="CX66" i="68" s="1"/>
  <c r="BW65" i="69"/>
  <c r="CQ66" i="68" s="1"/>
  <c r="CW66" i="68" s="1"/>
  <c r="CA64" i="69"/>
  <c r="CU65" i="68" s="1"/>
  <c r="DA65" i="68" s="1"/>
  <c r="BZ64" i="69"/>
  <c r="CT65" i="68" s="1"/>
  <c r="CZ65" i="68" s="1"/>
  <c r="BY64" i="69"/>
  <c r="CS65" i="68" s="1"/>
  <c r="CY65" i="68" s="1"/>
  <c r="BX64" i="69"/>
  <c r="CR65" i="68" s="1"/>
  <c r="CX65" i="68" s="1"/>
  <c r="BW64" i="69"/>
  <c r="CQ65" i="68" s="1"/>
  <c r="CW65" i="68" s="1"/>
  <c r="CA63" i="69"/>
  <c r="CU64" i="68" s="1"/>
  <c r="DA64" i="68" s="1"/>
  <c r="BZ63" i="69"/>
  <c r="CT64" i="68" s="1"/>
  <c r="CZ64" i="68" s="1"/>
  <c r="BY63" i="69"/>
  <c r="CS64" i="68" s="1"/>
  <c r="CY64" i="68" s="1"/>
  <c r="BX63" i="69"/>
  <c r="CR64" i="68" s="1"/>
  <c r="CX64" i="68" s="1"/>
  <c r="BW63" i="69"/>
  <c r="CQ64" i="68" s="1"/>
  <c r="CW64" i="68" s="1"/>
  <c r="CA62" i="69"/>
  <c r="CU63" i="68" s="1"/>
  <c r="DA63" i="68" s="1"/>
  <c r="BZ62" i="69"/>
  <c r="CT63" i="68" s="1"/>
  <c r="CZ63" i="68" s="1"/>
  <c r="BY62" i="69"/>
  <c r="CS63" i="68" s="1"/>
  <c r="CY63" i="68" s="1"/>
  <c r="BX62" i="69"/>
  <c r="CR63" i="68" s="1"/>
  <c r="CX63" i="68" s="1"/>
  <c r="BW62" i="69"/>
  <c r="CQ63" i="68" s="1"/>
  <c r="CW63" i="68" s="1"/>
  <c r="CA61" i="69"/>
  <c r="CU62" i="68" s="1"/>
  <c r="DA62" i="68" s="1"/>
  <c r="BZ61" i="69"/>
  <c r="CT62" i="68" s="1"/>
  <c r="CZ62" i="68" s="1"/>
  <c r="BY61" i="69"/>
  <c r="CS62" i="68" s="1"/>
  <c r="CY62" i="68" s="1"/>
  <c r="BX61" i="69"/>
  <c r="CR62" i="68" s="1"/>
  <c r="CX62" i="68" s="1"/>
  <c r="BW61" i="69"/>
  <c r="CQ62" i="68" s="1"/>
  <c r="CW62" i="68" s="1"/>
  <c r="CA60" i="69"/>
  <c r="CU61" i="68" s="1"/>
  <c r="DA61" i="68" s="1"/>
  <c r="BZ60" i="69"/>
  <c r="CT61" i="68" s="1"/>
  <c r="CZ61" i="68" s="1"/>
  <c r="BY60" i="69"/>
  <c r="CS61" i="68" s="1"/>
  <c r="CY61" i="68" s="1"/>
  <c r="BX60" i="69"/>
  <c r="CR61" i="68" s="1"/>
  <c r="CX61" i="68" s="1"/>
  <c r="BW60" i="69"/>
  <c r="CQ61" i="68" s="1"/>
  <c r="CW61" i="68" s="1"/>
  <c r="CA58" i="69"/>
  <c r="CU59" i="68" s="1"/>
  <c r="DA59" i="68" s="1"/>
  <c r="BZ58" i="69"/>
  <c r="CT59" i="68" s="1"/>
  <c r="CZ59" i="68" s="1"/>
  <c r="BY58" i="69"/>
  <c r="CS59" i="68" s="1"/>
  <c r="CY59" i="68" s="1"/>
  <c r="BX58" i="69"/>
  <c r="CR59" i="68" s="1"/>
  <c r="CX59" i="68" s="1"/>
  <c r="BW58" i="69"/>
  <c r="CQ59" i="68" s="1"/>
  <c r="CW59" i="68" s="1"/>
  <c r="CA57" i="69"/>
  <c r="CU58" i="68" s="1"/>
  <c r="DA58" i="68" s="1"/>
  <c r="BZ57" i="69"/>
  <c r="CT58" i="68" s="1"/>
  <c r="CZ58" i="68" s="1"/>
  <c r="BY57" i="69"/>
  <c r="CS58" i="68" s="1"/>
  <c r="CY58" i="68" s="1"/>
  <c r="BX57" i="69"/>
  <c r="CR58" i="68" s="1"/>
  <c r="CX58" i="68" s="1"/>
  <c r="BW57" i="69"/>
  <c r="CQ58" i="68" s="1"/>
  <c r="CW58" i="68" s="1"/>
  <c r="CA56" i="69"/>
  <c r="CU57" i="68" s="1"/>
  <c r="DA57" i="68" s="1"/>
  <c r="BZ56" i="69"/>
  <c r="CT57" i="68" s="1"/>
  <c r="CZ57" i="68" s="1"/>
  <c r="BY56" i="69"/>
  <c r="CS57" i="68" s="1"/>
  <c r="CY57" i="68" s="1"/>
  <c r="BX56" i="69"/>
  <c r="CR57" i="68" s="1"/>
  <c r="CX57" i="68" s="1"/>
  <c r="BW56" i="69"/>
  <c r="CQ57" i="68" s="1"/>
  <c r="CW57" i="68" s="1"/>
  <c r="CA55" i="69"/>
  <c r="CU56" i="68" s="1"/>
  <c r="DA56" i="68" s="1"/>
  <c r="BZ55" i="69"/>
  <c r="CT56" i="68" s="1"/>
  <c r="CZ56" i="68" s="1"/>
  <c r="BY55" i="69"/>
  <c r="CS56" i="68" s="1"/>
  <c r="CY56" i="68" s="1"/>
  <c r="BX55" i="69"/>
  <c r="CR56" i="68" s="1"/>
  <c r="CX56" i="68" s="1"/>
  <c r="BW55" i="69"/>
  <c r="CQ56" i="68" s="1"/>
  <c r="CW56" i="68" s="1"/>
  <c r="CA54" i="69"/>
  <c r="CU55" i="68" s="1"/>
  <c r="DA55" i="68" s="1"/>
  <c r="BZ54" i="69"/>
  <c r="CT55" i="68" s="1"/>
  <c r="CZ55" i="68" s="1"/>
  <c r="BY54" i="69"/>
  <c r="CS55" i="68" s="1"/>
  <c r="CY55" i="68" s="1"/>
  <c r="BX54" i="69"/>
  <c r="CR55" i="68" s="1"/>
  <c r="CX55" i="68" s="1"/>
  <c r="BW54" i="69"/>
  <c r="CQ55" i="68" s="1"/>
  <c r="CW55" i="68" s="1"/>
  <c r="CA53" i="69"/>
  <c r="CU54" i="68" s="1"/>
  <c r="DA54" i="68" s="1"/>
  <c r="BZ53" i="69"/>
  <c r="CT54" i="68" s="1"/>
  <c r="CZ54" i="68" s="1"/>
  <c r="BY53" i="69"/>
  <c r="CS54" i="68" s="1"/>
  <c r="CY54" i="68" s="1"/>
  <c r="BX53" i="69"/>
  <c r="CR54" i="68" s="1"/>
  <c r="CX54" i="68" s="1"/>
  <c r="BW53" i="69"/>
  <c r="CQ54" i="68" s="1"/>
  <c r="CW54" i="68" s="1"/>
  <c r="CA52" i="69"/>
  <c r="CU53" i="68" s="1"/>
  <c r="DA53" i="68" s="1"/>
  <c r="BZ52" i="69"/>
  <c r="CT53" i="68" s="1"/>
  <c r="CZ53" i="68" s="1"/>
  <c r="BY52" i="69"/>
  <c r="CS53" i="68" s="1"/>
  <c r="CY53" i="68" s="1"/>
  <c r="BX52" i="69"/>
  <c r="CR53" i="68" s="1"/>
  <c r="CX53" i="68" s="1"/>
  <c r="BW52" i="69"/>
  <c r="CQ53" i="68" s="1"/>
  <c r="CW53" i="68" s="1"/>
  <c r="CA51" i="69"/>
  <c r="CU52" i="68" s="1"/>
  <c r="DA52" i="68" s="1"/>
  <c r="BZ51" i="69"/>
  <c r="CT52" i="68" s="1"/>
  <c r="CZ52" i="68" s="1"/>
  <c r="BY51" i="69"/>
  <c r="CS52" i="68" s="1"/>
  <c r="CY52" i="68" s="1"/>
  <c r="BX51" i="69"/>
  <c r="CR52" i="68" s="1"/>
  <c r="CX52" i="68" s="1"/>
  <c r="BW51" i="69"/>
  <c r="CQ52" i="68" s="1"/>
  <c r="CW52" i="68" s="1"/>
  <c r="CA49" i="69"/>
  <c r="CU50" i="68" s="1"/>
  <c r="DA50" i="68" s="1"/>
  <c r="BZ49" i="69"/>
  <c r="CT50" i="68" s="1"/>
  <c r="CZ50" i="68" s="1"/>
  <c r="BY49" i="69"/>
  <c r="CS50" i="68" s="1"/>
  <c r="CY50" i="68" s="1"/>
  <c r="BX49" i="69"/>
  <c r="CR50" i="68" s="1"/>
  <c r="CX50" i="68" s="1"/>
  <c r="BW49" i="69"/>
  <c r="CQ50" i="68" s="1"/>
  <c r="CW50" i="68" s="1"/>
  <c r="CA48" i="69"/>
  <c r="CU49" i="68" s="1"/>
  <c r="DA49" i="68" s="1"/>
  <c r="BZ48" i="69"/>
  <c r="CT49" i="68" s="1"/>
  <c r="CZ49" i="68" s="1"/>
  <c r="BY48" i="69"/>
  <c r="CS49" i="68" s="1"/>
  <c r="CY49" i="68" s="1"/>
  <c r="BX48" i="69"/>
  <c r="CR49" i="68" s="1"/>
  <c r="CX49" i="68" s="1"/>
  <c r="BW48" i="69"/>
  <c r="CQ49" i="68" s="1"/>
  <c r="CW49" i="68" s="1"/>
  <c r="CA47" i="69"/>
  <c r="CU48" i="68" s="1"/>
  <c r="DA48" i="68" s="1"/>
  <c r="BZ47" i="69"/>
  <c r="CT48" i="68" s="1"/>
  <c r="CZ48" i="68" s="1"/>
  <c r="BY47" i="69"/>
  <c r="CS48" i="68" s="1"/>
  <c r="CY48" i="68" s="1"/>
  <c r="BX47" i="69"/>
  <c r="CR48" i="68" s="1"/>
  <c r="CX48" i="68" s="1"/>
  <c r="BW47" i="69"/>
  <c r="CQ48" i="68" s="1"/>
  <c r="CW48" i="68" s="1"/>
  <c r="CA46" i="69"/>
  <c r="CU47" i="68" s="1"/>
  <c r="DA47" i="68" s="1"/>
  <c r="BZ46" i="69"/>
  <c r="CT47" i="68" s="1"/>
  <c r="CZ47" i="68" s="1"/>
  <c r="BY46" i="69"/>
  <c r="CS47" i="68" s="1"/>
  <c r="CY47" i="68" s="1"/>
  <c r="BX46" i="69"/>
  <c r="CR47" i="68" s="1"/>
  <c r="CX47" i="68" s="1"/>
  <c r="BW46" i="69"/>
  <c r="CQ47" i="68" s="1"/>
  <c r="CW47" i="68" s="1"/>
  <c r="CA45" i="69"/>
  <c r="CU46" i="68" s="1"/>
  <c r="DA46" i="68" s="1"/>
  <c r="BZ45" i="69"/>
  <c r="CT46" i="68" s="1"/>
  <c r="CZ46" i="68" s="1"/>
  <c r="BY45" i="69"/>
  <c r="CS46" i="68" s="1"/>
  <c r="CY46" i="68" s="1"/>
  <c r="BX45" i="69"/>
  <c r="CR46" i="68" s="1"/>
  <c r="CX46" i="68" s="1"/>
  <c r="BW45" i="69"/>
  <c r="CQ46" i="68" s="1"/>
  <c r="CW46" i="68" s="1"/>
  <c r="CA44" i="69"/>
  <c r="CU45" i="68" s="1"/>
  <c r="DA45" i="68" s="1"/>
  <c r="BZ44" i="69"/>
  <c r="CT45" i="68" s="1"/>
  <c r="CZ45" i="68" s="1"/>
  <c r="BY44" i="69"/>
  <c r="CS45" i="68" s="1"/>
  <c r="CY45" i="68" s="1"/>
  <c r="BX44" i="69"/>
  <c r="CR45" i="68" s="1"/>
  <c r="CX45" i="68" s="1"/>
  <c r="BW44" i="69"/>
  <c r="CQ45" i="68" s="1"/>
  <c r="CW45" i="68" s="1"/>
  <c r="CA43" i="69"/>
  <c r="CU44" i="68" s="1"/>
  <c r="DA44" i="68" s="1"/>
  <c r="BZ43" i="69"/>
  <c r="CT44" i="68" s="1"/>
  <c r="CZ44" i="68" s="1"/>
  <c r="BY43" i="69"/>
  <c r="CS44" i="68" s="1"/>
  <c r="CY44" i="68" s="1"/>
  <c r="BX43" i="69"/>
  <c r="CR44" i="68" s="1"/>
  <c r="CX44" i="68" s="1"/>
  <c r="BW43" i="69"/>
  <c r="CQ44" i="68" s="1"/>
  <c r="CW44" i="68" s="1"/>
  <c r="CA42" i="69"/>
  <c r="CU43" i="68" s="1"/>
  <c r="DA43" i="68" s="1"/>
  <c r="BZ42" i="69"/>
  <c r="CT43" i="68" s="1"/>
  <c r="CZ43" i="68" s="1"/>
  <c r="BY42" i="69"/>
  <c r="CS43" i="68" s="1"/>
  <c r="CY43" i="68" s="1"/>
  <c r="BX42" i="69"/>
  <c r="CR43" i="68" s="1"/>
  <c r="CX43" i="68" s="1"/>
  <c r="BW42" i="69"/>
  <c r="CQ43" i="68" s="1"/>
  <c r="CW43" i="68" s="1"/>
  <c r="CA41" i="69"/>
  <c r="CU42" i="68" s="1"/>
  <c r="DA42" i="68" s="1"/>
  <c r="BZ41" i="69"/>
  <c r="CT42" i="68" s="1"/>
  <c r="CZ42" i="68" s="1"/>
  <c r="BY41" i="69"/>
  <c r="CS42" i="68" s="1"/>
  <c r="CY42" i="68" s="1"/>
  <c r="BX41" i="69"/>
  <c r="CR42" i="68" s="1"/>
  <c r="CX42" i="68" s="1"/>
  <c r="BW41" i="69"/>
  <c r="CQ42" i="68" s="1"/>
  <c r="CW42" i="68" s="1"/>
  <c r="CA40" i="69"/>
  <c r="CU41" i="68" s="1"/>
  <c r="DA41" i="68" s="1"/>
  <c r="BZ40" i="69"/>
  <c r="CT41" i="68" s="1"/>
  <c r="CZ41" i="68" s="1"/>
  <c r="BY40" i="69"/>
  <c r="CS41" i="68" s="1"/>
  <c r="CY41" i="68" s="1"/>
  <c r="BX40" i="69"/>
  <c r="CR41" i="68" s="1"/>
  <c r="CX41" i="68" s="1"/>
  <c r="BW40" i="69"/>
  <c r="CQ41" i="68" s="1"/>
  <c r="CW41" i="68" s="1"/>
  <c r="CA39" i="69"/>
  <c r="CU40" i="68" s="1"/>
  <c r="DA40" i="68" s="1"/>
  <c r="BZ39" i="69"/>
  <c r="CT40" i="68" s="1"/>
  <c r="CZ40" i="68" s="1"/>
  <c r="BY39" i="69"/>
  <c r="CS40" i="68" s="1"/>
  <c r="CY40" i="68" s="1"/>
  <c r="BX39" i="69"/>
  <c r="CR40" i="68" s="1"/>
  <c r="CX40" i="68" s="1"/>
  <c r="BW39" i="69"/>
  <c r="CQ40" i="68" s="1"/>
  <c r="CW40" i="68" s="1"/>
  <c r="CA38" i="69"/>
  <c r="CU39" i="68" s="1"/>
  <c r="DA39" i="68" s="1"/>
  <c r="BZ38" i="69"/>
  <c r="CT39" i="68" s="1"/>
  <c r="CZ39" i="68" s="1"/>
  <c r="BY38" i="69"/>
  <c r="CS39" i="68" s="1"/>
  <c r="CY39" i="68" s="1"/>
  <c r="BX38" i="69"/>
  <c r="CR39" i="68" s="1"/>
  <c r="CX39" i="68" s="1"/>
  <c r="BW38" i="69"/>
  <c r="CQ39" i="68" s="1"/>
  <c r="CW39" i="68" s="1"/>
  <c r="CA36" i="69"/>
  <c r="CU37" i="68" s="1"/>
  <c r="DA37" i="68" s="1"/>
  <c r="BZ36" i="69"/>
  <c r="CT37" i="68" s="1"/>
  <c r="CZ37" i="68" s="1"/>
  <c r="BY36" i="69"/>
  <c r="CS37" i="68" s="1"/>
  <c r="CY37" i="68" s="1"/>
  <c r="BX36" i="69"/>
  <c r="CR37" i="68" s="1"/>
  <c r="CX37" i="68" s="1"/>
  <c r="BW36" i="69"/>
  <c r="CQ37" i="68" s="1"/>
  <c r="CW37" i="68" s="1"/>
  <c r="CA35" i="69"/>
  <c r="CU36" i="68" s="1"/>
  <c r="DA36" i="68" s="1"/>
  <c r="BZ35" i="69"/>
  <c r="CT36" i="68" s="1"/>
  <c r="CZ36" i="68" s="1"/>
  <c r="BY35" i="69"/>
  <c r="CS36" i="68" s="1"/>
  <c r="CY36" i="68" s="1"/>
  <c r="BX35" i="69"/>
  <c r="CR36" i="68" s="1"/>
  <c r="CX36" i="68" s="1"/>
  <c r="BW35" i="69"/>
  <c r="CQ36" i="68" s="1"/>
  <c r="CW36" i="68" s="1"/>
  <c r="CA34" i="69"/>
  <c r="CU35" i="68" s="1"/>
  <c r="DA35" i="68" s="1"/>
  <c r="BZ34" i="69"/>
  <c r="CT35" i="68" s="1"/>
  <c r="CZ35" i="68" s="1"/>
  <c r="BY34" i="69"/>
  <c r="CS35" i="68" s="1"/>
  <c r="CY35" i="68" s="1"/>
  <c r="BX34" i="69"/>
  <c r="CR35" i="68" s="1"/>
  <c r="CX35" i="68" s="1"/>
  <c r="BW34" i="69"/>
  <c r="CQ35" i="68" s="1"/>
  <c r="CW35" i="68" s="1"/>
  <c r="CA33" i="69"/>
  <c r="CU34" i="68" s="1"/>
  <c r="DA34" i="68" s="1"/>
  <c r="BZ33" i="69"/>
  <c r="CT34" i="68" s="1"/>
  <c r="CZ34" i="68" s="1"/>
  <c r="BY33" i="69"/>
  <c r="CS34" i="68" s="1"/>
  <c r="CY34" i="68" s="1"/>
  <c r="BX33" i="69"/>
  <c r="CR34" i="68" s="1"/>
  <c r="CX34" i="68" s="1"/>
  <c r="BW33" i="69"/>
  <c r="CQ34" i="68" s="1"/>
  <c r="CW34" i="68" s="1"/>
  <c r="CA32" i="69"/>
  <c r="CU33" i="68" s="1"/>
  <c r="DA33" i="68" s="1"/>
  <c r="BZ32" i="69"/>
  <c r="CT33" i="68" s="1"/>
  <c r="CZ33" i="68" s="1"/>
  <c r="BY32" i="69"/>
  <c r="CS33" i="68" s="1"/>
  <c r="CY33" i="68" s="1"/>
  <c r="BX32" i="69"/>
  <c r="CR33" i="68" s="1"/>
  <c r="CX33" i="68" s="1"/>
  <c r="BW32" i="69"/>
  <c r="CQ33" i="68" s="1"/>
  <c r="CW33" i="68" s="1"/>
  <c r="CA31" i="69"/>
  <c r="CU32" i="68" s="1"/>
  <c r="DA32" i="68" s="1"/>
  <c r="BZ31" i="69"/>
  <c r="CT32" i="68" s="1"/>
  <c r="CZ32" i="68" s="1"/>
  <c r="BY31" i="69"/>
  <c r="CS32" i="68" s="1"/>
  <c r="CY32" i="68" s="1"/>
  <c r="BX31" i="69"/>
  <c r="CR32" i="68" s="1"/>
  <c r="CX32" i="68" s="1"/>
  <c r="BW31" i="69"/>
  <c r="CQ32" i="68" s="1"/>
  <c r="CW32" i="68" s="1"/>
  <c r="CA30" i="69"/>
  <c r="CU31" i="68" s="1"/>
  <c r="DA31" i="68" s="1"/>
  <c r="BZ30" i="69"/>
  <c r="CT31" i="68" s="1"/>
  <c r="CZ31" i="68" s="1"/>
  <c r="BY30" i="69"/>
  <c r="CS31" i="68" s="1"/>
  <c r="CY31" i="68" s="1"/>
  <c r="BX30" i="69"/>
  <c r="CR31" i="68" s="1"/>
  <c r="CX31" i="68" s="1"/>
  <c r="BW30" i="69"/>
  <c r="CQ31" i="68" s="1"/>
  <c r="CW31" i="68" s="1"/>
  <c r="CA29" i="69"/>
  <c r="CU30" i="68" s="1"/>
  <c r="DA30" i="68" s="1"/>
  <c r="BZ29" i="69"/>
  <c r="CT30" i="68" s="1"/>
  <c r="CZ30" i="68" s="1"/>
  <c r="BY29" i="69"/>
  <c r="CS30" i="68" s="1"/>
  <c r="CY30" i="68" s="1"/>
  <c r="BX29" i="69"/>
  <c r="CR30" i="68" s="1"/>
  <c r="CX30" i="68" s="1"/>
  <c r="BW29" i="69"/>
  <c r="CQ30" i="68" s="1"/>
  <c r="CW30" i="68" s="1"/>
  <c r="CA28" i="69"/>
  <c r="CU29" i="68" s="1"/>
  <c r="DA29" i="68" s="1"/>
  <c r="BZ28" i="69"/>
  <c r="CT29" i="68" s="1"/>
  <c r="CZ29" i="68" s="1"/>
  <c r="BY28" i="69"/>
  <c r="CS29" i="68" s="1"/>
  <c r="CY29" i="68" s="1"/>
  <c r="BX28" i="69"/>
  <c r="CR29" i="68" s="1"/>
  <c r="CX29" i="68" s="1"/>
  <c r="BW28" i="69"/>
  <c r="CQ29" i="68" s="1"/>
  <c r="CW29" i="68" s="1"/>
  <c r="CA27" i="69"/>
  <c r="CU28" i="68" s="1"/>
  <c r="DA28" i="68" s="1"/>
  <c r="BZ27" i="69"/>
  <c r="CT28" i="68" s="1"/>
  <c r="CZ28" i="68" s="1"/>
  <c r="BY27" i="69"/>
  <c r="CS28" i="68" s="1"/>
  <c r="CY28" i="68" s="1"/>
  <c r="BX27" i="69"/>
  <c r="CR28" i="68" s="1"/>
  <c r="CX28" i="68" s="1"/>
  <c r="BW27" i="69"/>
  <c r="CQ28" i="68" s="1"/>
  <c r="CW28" i="68" s="1"/>
  <c r="CA25" i="69"/>
  <c r="CU26" i="68" s="1"/>
  <c r="DA26" i="68" s="1"/>
  <c r="BZ25" i="69"/>
  <c r="CT26" i="68" s="1"/>
  <c r="CZ26" i="68" s="1"/>
  <c r="BY25" i="69"/>
  <c r="CS26" i="68" s="1"/>
  <c r="CY26" i="68" s="1"/>
  <c r="BX25" i="69"/>
  <c r="CR26" i="68" s="1"/>
  <c r="CX26" i="68" s="1"/>
  <c r="BW25" i="69"/>
  <c r="CQ26" i="68" s="1"/>
  <c r="CW26" i="68" s="1"/>
  <c r="CA24" i="69"/>
  <c r="CU25" i="68" s="1"/>
  <c r="DA25" i="68" s="1"/>
  <c r="BZ24" i="69"/>
  <c r="CT25" i="68" s="1"/>
  <c r="CZ25" i="68" s="1"/>
  <c r="BY24" i="69"/>
  <c r="CS25" i="68" s="1"/>
  <c r="CY25" i="68" s="1"/>
  <c r="BX24" i="69"/>
  <c r="CR25" i="68" s="1"/>
  <c r="CX25" i="68" s="1"/>
  <c r="BW24" i="69"/>
  <c r="CQ25" i="68" s="1"/>
  <c r="CW25" i="68" s="1"/>
  <c r="CA23" i="69"/>
  <c r="CU24" i="68" s="1"/>
  <c r="DA24" i="68" s="1"/>
  <c r="BZ23" i="69"/>
  <c r="CT24" i="68" s="1"/>
  <c r="CZ24" i="68" s="1"/>
  <c r="BY23" i="69"/>
  <c r="CS24" i="68" s="1"/>
  <c r="CY24" i="68" s="1"/>
  <c r="BX23" i="69"/>
  <c r="CR24" i="68" s="1"/>
  <c r="CX24" i="68" s="1"/>
  <c r="BW23" i="69"/>
  <c r="CQ24" i="68" s="1"/>
  <c r="CW24" i="68" s="1"/>
  <c r="CA22" i="69"/>
  <c r="CU23" i="68" s="1"/>
  <c r="DA23" i="68" s="1"/>
  <c r="BZ22" i="69"/>
  <c r="CT23" i="68" s="1"/>
  <c r="CZ23" i="68" s="1"/>
  <c r="BY22" i="69"/>
  <c r="CS23" i="68" s="1"/>
  <c r="CY23" i="68" s="1"/>
  <c r="BX22" i="69"/>
  <c r="CR23" i="68" s="1"/>
  <c r="CX23" i="68" s="1"/>
  <c r="BW22" i="69"/>
  <c r="CQ23" i="68" s="1"/>
  <c r="CW23" i="68" s="1"/>
  <c r="CA21" i="69"/>
  <c r="CU22" i="68" s="1"/>
  <c r="DA22" i="68" s="1"/>
  <c r="BZ21" i="69"/>
  <c r="CT22" i="68" s="1"/>
  <c r="CZ22" i="68" s="1"/>
  <c r="BY21" i="69"/>
  <c r="CS22" i="68" s="1"/>
  <c r="CY22" i="68" s="1"/>
  <c r="BX21" i="69"/>
  <c r="CR22" i="68" s="1"/>
  <c r="CX22" i="68" s="1"/>
  <c r="BW21" i="69"/>
  <c r="CQ22" i="68" s="1"/>
  <c r="CW22" i="68" s="1"/>
  <c r="CA20" i="69"/>
  <c r="CU21" i="68" s="1"/>
  <c r="DA21" i="68" s="1"/>
  <c r="BZ20" i="69"/>
  <c r="CT21" i="68" s="1"/>
  <c r="CZ21" i="68" s="1"/>
  <c r="BY20" i="69"/>
  <c r="CS21" i="68" s="1"/>
  <c r="CY21" i="68" s="1"/>
  <c r="BX20" i="69"/>
  <c r="CR21" i="68" s="1"/>
  <c r="CX21" i="68" s="1"/>
  <c r="BW20" i="69"/>
  <c r="CQ21" i="68" s="1"/>
  <c r="CW21" i="68" s="1"/>
  <c r="CA19" i="69"/>
  <c r="CU20" i="68" s="1"/>
  <c r="DA20" i="68" s="1"/>
  <c r="BZ19" i="69"/>
  <c r="CT20" i="68" s="1"/>
  <c r="CZ20" i="68" s="1"/>
  <c r="BY19" i="69"/>
  <c r="CS20" i="68" s="1"/>
  <c r="CY20" i="68" s="1"/>
  <c r="BX19" i="69"/>
  <c r="CR20" i="68" s="1"/>
  <c r="CX20" i="68" s="1"/>
  <c r="BW19" i="69"/>
  <c r="CQ20" i="68" s="1"/>
  <c r="CW20" i="68" s="1"/>
  <c r="CA18" i="69"/>
  <c r="CU19" i="68" s="1"/>
  <c r="DA19" i="68" s="1"/>
  <c r="BZ18" i="69"/>
  <c r="CT19" i="68" s="1"/>
  <c r="CZ19" i="68" s="1"/>
  <c r="BY18" i="69"/>
  <c r="CS19" i="68" s="1"/>
  <c r="CY19" i="68" s="1"/>
  <c r="BX18" i="69"/>
  <c r="CR19" i="68" s="1"/>
  <c r="CX19" i="68" s="1"/>
  <c r="BW18" i="69"/>
  <c r="CQ19" i="68" s="1"/>
  <c r="CW19" i="68" s="1"/>
  <c r="CA17" i="69"/>
  <c r="CU18" i="68" s="1"/>
  <c r="DA18" i="68" s="1"/>
  <c r="BZ17" i="69"/>
  <c r="CT18" i="68" s="1"/>
  <c r="CZ18" i="68" s="1"/>
  <c r="BY17" i="69"/>
  <c r="CS18" i="68" s="1"/>
  <c r="CY18" i="68" s="1"/>
  <c r="BX17" i="69"/>
  <c r="CR18" i="68" s="1"/>
  <c r="CX18" i="68" s="1"/>
  <c r="BW17" i="69"/>
  <c r="CQ18" i="68" s="1"/>
  <c r="CW18" i="68" s="1"/>
  <c r="CA15" i="69"/>
  <c r="CU16" i="68" s="1"/>
  <c r="DA16" i="68" s="1"/>
  <c r="BZ15" i="69"/>
  <c r="CT16" i="68" s="1"/>
  <c r="CZ16" i="68" s="1"/>
  <c r="BY15" i="69"/>
  <c r="CS16" i="68" s="1"/>
  <c r="CY16" i="68" s="1"/>
  <c r="BX15" i="69"/>
  <c r="CR16" i="68" s="1"/>
  <c r="CX16" i="68" s="1"/>
  <c r="BW15" i="69"/>
  <c r="CQ16" i="68" s="1"/>
  <c r="CW16" i="68" s="1"/>
  <c r="CA14" i="69"/>
  <c r="CU15" i="68" s="1"/>
  <c r="DA15" i="68" s="1"/>
  <c r="BZ14" i="69"/>
  <c r="CT15" i="68" s="1"/>
  <c r="CZ15" i="68" s="1"/>
  <c r="BY14" i="69"/>
  <c r="CS15" i="68" s="1"/>
  <c r="CY15" i="68" s="1"/>
  <c r="BX14" i="69"/>
  <c r="CR15" i="68" s="1"/>
  <c r="CX15" i="68" s="1"/>
  <c r="BW14" i="69"/>
  <c r="CQ15" i="68" s="1"/>
  <c r="CW15" i="68" s="1"/>
  <c r="CA13" i="69"/>
  <c r="CU14" i="68" s="1"/>
  <c r="DA14" i="68" s="1"/>
  <c r="BZ13" i="69"/>
  <c r="CT14" i="68" s="1"/>
  <c r="CZ14" i="68" s="1"/>
  <c r="BY13" i="69"/>
  <c r="CS14" i="68" s="1"/>
  <c r="CY14" i="68" s="1"/>
  <c r="BX13" i="69"/>
  <c r="CR14" i="68" s="1"/>
  <c r="CX14" i="68" s="1"/>
  <c r="BW13" i="69"/>
  <c r="CQ14" i="68" s="1"/>
  <c r="CW14" i="68" s="1"/>
  <c r="CA12" i="69"/>
  <c r="CU13" i="68" s="1"/>
  <c r="DA13" i="68" s="1"/>
  <c r="BZ12" i="69"/>
  <c r="CT13" i="68" s="1"/>
  <c r="CZ13" i="68" s="1"/>
  <c r="BY12" i="69"/>
  <c r="CS13" i="68" s="1"/>
  <c r="CY13" i="68" s="1"/>
  <c r="BX12" i="69"/>
  <c r="CR13" i="68" s="1"/>
  <c r="CX13" i="68" s="1"/>
  <c r="BW12" i="69"/>
  <c r="CQ13" i="68" s="1"/>
  <c r="CW13" i="68" s="1"/>
  <c r="CA11" i="69"/>
  <c r="CU12" i="68" s="1"/>
  <c r="DA12" i="68" s="1"/>
  <c r="BZ11" i="69"/>
  <c r="CT12" i="68" s="1"/>
  <c r="CZ12" i="68" s="1"/>
  <c r="BY11" i="69"/>
  <c r="CS12" i="68" s="1"/>
  <c r="CY12" i="68" s="1"/>
  <c r="BX11" i="69"/>
  <c r="CR12" i="68" s="1"/>
  <c r="CX12" i="68" s="1"/>
  <c r="BW11" i="69"/>
  <c r="CQ12" i="68" s="1"/>
  <c r="CW12" i="68" s="1"/>
  <c r="CA10" i="69"/>
  <c r="CU11" i="68" s="1"/>
  <c r="DA11" i="68" s="1"/>
  <c r="BZ10" i="69"/>
  <c r="CT11" i="68" s="1"/>
  <c r="CZ11" i="68" s="1"/>
  <c r="BY10" i="69"/>
  <c r="CS11" i="68" s="1"/>
  <c r="CY11" i="68" s="1"/>
  <c r="BX10" i="69"/>
  <c r="CR11" i="68" s="1"/>
  <c r="CX11" i="68" s="1"/>
  <c r="BW10" i="69"/>
  <c r="CQ11" i="68" s="1"/>
  <c r="CW11" i="68" s="1"/>
  <c r="CA9" i="69"/>
  <c r="CU10" i="68" s="1"/>
  <c r="DA10" i="68" s="1"/>
  <c r="BZ9" i="69"/>
  <c r="CT10" i="68" s="1"/>
  <c r="CZ10" i="68" s="1"/>
  <c r="BY9" i="69"/>
  <c r="CS10" i="68" s="1"/>
  <c r="CY10" i="68" s="1"/>
  <c r="BX9" i="69"/>
  <c r="CR10" i="68" s="1"/>
  <c r="CX10" i="68" s="1"/>
  <c r="BW9" i="69"/>
  <c r="CQ10" i="68" s="1"/>
  <c r="CW10" i="68" s="1"/>
  <c r="CA8" i="69"/>
  <c r="CU9" i="68" s="1"/>
  <c r="DA9" i="68" s="1"/>
  <c r="BZ8" i="69"/>
  <c r="CT9" i="68" s="1"/>
  <c r="CZ9" i="68" s="1"/>
  <c r="BY8" i="69"/>
  <c r="CS9" i="68" s="1"/>
  <c r="CY9" i="68" s="1"/>
  <c r="BX8" i="69"/>
  <c r="CR9" i="68" s="1"/>
  <c r="CX9" i="68" s="1"/>
  <c r="BW8" i="69"/>
  <c r="CQ9" i="68" s="1"/>
  <c r="CW9" i="68" s="1"/>
  <c r="CA7" i="69"/>
  <c r="CU8" i="68" s="1"/>
  <c r="DA8" i="68" s="1"/>
  <c r="BZ7" i="69"/>
  <c r="CT8" i="68" s="1"/>
  <c r="CZ8" i="68" s="1"/>
  <c r="BY7" i="69"/>
  <c r="CS8" i="68" s="1"/>
  <c r="CY8" i="68" s="1"/>
  <c r="BX7" i="69"/>
  <c r="CR8" i="68" s="1"/>
  <c r="CX8" i="68" s="1"/>
  <c r="BW7" i="69"/>
  <c r="CQ8" i="68" s="1"/>
  <c r="CW8" i="68" s="1"/>
  <c r="CA6" i="69"/>
  <c r="CU7" i="68" s="1"/>
  <c r="DA7" i="68" s="1"/>
  <c r="BZ6" i="69"/>
  <c r="CT7" i="68" s="1"/>
  <c r="CZ7" i="68" s="1"/>
  <c r="BY6" i="69"/>
  <c r="CS7" i="68" s="1"/>
  <c r="CY7" i="68" s="1"/>
  <c r="BX6" i="69"/>
  <c r="CR7" i="68" s="1"/>
  <c r="CX7" i="68" s="1"/>
  <c r="BW6" i="69"/>
  <c r="CQ7" i="68" s="1"/>
  <c r="CW7" i="68" s="1"/>
  <c r="CA5" i="69"/>
  <c r="CU6" i="68" s="1"/>
  <c r="DA6" i="68" s="1"/>
  <c r="BZ5" i="69"/>
  <c r="CT6" i="68" s="1"/>
  <c r="CZ6" i="68" s="1"/>
  <c r="BY5" i="69"/>
  <c r="CS6" i="68" s="1"/>
  <c r="CY6" i="68" s="1"/>
  <c r="BX5" i="69"/>
  <c r="CR6" i="68" s="1"/>
  <c r="CX6" i="68" s="1"/>
  <c r="BW5" i="69"/>
  <c r="CQ6" i="68" s="1"/>
  <c r="CW6" i="68" s="1"/>
  <c r="CA4" i="69"/>
  <c r="CU5" i="68" s="1"/>
  <c r="DA5" i="68" s="1"/>
  <c r="BZ4" i="69"/>
  <c r="CT5" i="68" s="1"/>
  <c r="CZ5" i="68" s="1"/>
  <c r="BY4" i="69"/>
  <c r="CS5" i="68" s="1"/>
  <c r="CY5" i="68" s="1"/>
  <c r="BX4" i="69"/>
  <c r="CR5" i="68" s="1"/>
  <c r="CX5" i="68" s="1"/>
  <c r="BW4" i="69"/>
  <c r="CQ5" i="68" s="1"/>
  <c r="CW5" i="68" s="1"/>
  <c r="CA3" i="69"/>
  <c r="CU4" i="68" s="1"/>
  <c r="DA4" i="68" s="1"/>
  <c r="BZ3" i="69"/>
  <c r="CT4" i="68" s="1"/>
  <c r="CZ4" i="68" s="1"/>
  <c r="BY3" i="69"/>
  <c r="CS4" i="68" s="1"/>
  <c r="CY4" i="68" s="1"/>
  <c r="BX3" i="69"/>
  <c r="CR4" i="68" s="1"/>
  <c r="CX4" i="68" s="1"/>
  <c r="BW3" i="69"/>
  <c r="CQ4" i="68" s="1"/>
  <c r="CW4" i="68" s="1"/>
  <c r="CA98" i="67"/>
  <c r="CU99" i="66" s="1"/>
  <c r="DA99" i="66" s="1"/>
  <c r="BZ98" i="67"/>
  <c r="CT99" i="66" s="1"/>
  <c r="CZ99" i="66" s="1"/>
  <c r="BY98" i="67"/>
  <c r="CS99" i="66" s="1"/>
  <c r="CY99" i="66" s="1"/>
  <c r="BX98" i="67"/>
  <c r="CR99" i="66" s="1"/>
  <c r="CX99" i="66" s="1"/>
  <c r="BW98" i="67"/>
  <c r="CQ99" i="66" s="1"/>
  <c r="CW99" i="66" s="1"/>
  <c r="CA97" i="67"/>
  <c r="CU98" i="66" s="1"/>
  <c r="DA98" i="66" s="1"/>
  <c r="BZ97" i="67"/>
  <c r="CT98" i="66" s="1"/>
  <c r="CZ98" i="66" s="1"/>
  <c r="BY97" i="67"/>
  <c r="CS98" i="66" s="1"/>
  <c r="CY98" i="66" s="1"/>
  <c r="BX97" i="67"/>
  <c r="CR98" i="66" s="1"/>
  <c r="CX98" i="66" s="1"/>
  <c r="BW97" i="67"/>
  <c r="CQ98" i="66" s="1"/>
  <c r="CW98" i="66" s="1"/>
  <c r="CA96" i="67"/>
  <c r="CU97" i="66" s="1"/>
  <c r="DA97" i="66" s="1"/>
  <c r="BZ96" i="67"/>
  <c r="CT97" i="66" s="1"/>
  <c r="CZ97" i="66" s="1"/>
  <c r="BY96" i="67"/>
  <c r="CS97" i="66" s="1"/>
  <c r="CY97" i="66" s="1"/>
  <c r="BX96" i="67"/>
  <c r="CR97" i="66" s="1"/>
  <c r="CX97" i="66" s="1"/>
  <c r="BW96" i="67"/>
  <c r="CQ97" i="66" s="1"/>
  <c r="CW97" i="66" s="1"/>
  <c r="CA95" i="67"/>
  <c r="CU96" i="66" s="1"/>
  <c r="DA96" i="66" s="1"/>
  <c r="BZ95" i="67"/>
  <c r="CT96" i="66" s="1"/>
  <c r="CZ96" i="66" s="1"/>
  <c r="BY95" i="67"/>
  <c r="CS96" i="66" s="1"/>
  <c r="CY96" i="66" s="1"/>
  <c r="BX95" i="67"/>
  <c r="CR96" i="66" s="1"/>
  <c r="CX96" i="66" s="1"/>
  <c r="BW95" i="67"/>
  <c r="CQ96" i="66" s="1"/>
  <c r="CW96" i="66" s="1"/>
  <c r="CA93" i="67"/>
  <c r="CU94" i="66" s="1"/>
  <c r="DA94" i="66" s="1"/>
  <c r="BZ93" i="67"/>
  <c r="CT94" i="66" s="1"/>
  <c r="CZ94" i="66" s="1"/>
  <c r="BY93" i="67"/>
  <c r="CS94" i="66" s="1"/>
  <c r="CY94" i="66" s="1"/>
  <c r="BX93" i="67"/>
  <c r="CR94" i="66" s="1"/>
  <c r="CX94" i="66" s="1"/>
  <c r="BW93" i="67"/>
  <c r="CQ94" i="66" s="1"/>
  <c r="CW94" i="66" s="1"/>
  <c r="CA92" i="67"/>
  <c r="CU93" i="66" s="1"/>
  <c r="DA93" i="66" s="1"/>
  <c r="BZ92" i="67"/>
  <c r="CT93" i="66" s="1"/>
  <c r="CZ93" i="66" s="1"/>
  <c r="BY92" i="67"/>
  <c r="CS93" i="66" s="1"/>
  <c r="CY93" i="66" s="1"/>
  <c r="BX92" i="67"/>
  <c r="CR93" i="66" s="1"/>
  <c r="CX93" i="66" s="1"/>
  <c r="BW92" i="67"/>
  <c r="CQ93" i="66" s="1"/>
  <c r="CW93" i="66" s="1"/>
  <c r="CA91" i="67"/>
  <c r="CU92" i="66" s="1"/>
  <c r="DA92" i="66" s="1"/>
  <c r="BZ91" i="67"/>
  <c r="CT92" i="66" s="1"/>
  <c r="CZ92" i="66" s="1"/>
  <c r="BY91" i="67"/>
  <c r="CS92" i="66" s="1"/>
  <c r="CY92" i="66" s="1"/>
  <c r="BX91" i="67"/>
  <c r="CR92" i="66" s="1"/>
  <c r="CX92" i="66" s="1"/>
  <c r="BW91" i="67"/>
  <c r="CQ92" i="66" s="1"/>
  <c r="CW92" i="66" s="1"/>
  <c r="CA90" i="67"/>
  <c r="CU91" i="66" s="1"/>
  <c r="DA91" i="66" s="1"/>
  <c r="BZ90" i="67"/>
  <c r="CT91" i="66" s="1"/>
  <c r="CZ91" i="66" s="1"/>
  <c r="BY90" i="67"/>
  <c r="CS91" i="66" s="1"/>
  <c r="CY91" i="66" s="1"/>
  <c r="BX90" i="67"/>
  <c r="CR91" i="66" s="1"/>
  <c r="CX91" i="66" s="1"/>
  <c r="BW90" i="67"/>
  <c r="CQ91" i="66" s="1"/>
  <c r="CW91" i="66" s="1"/>
  <c r="CA89" i="67"/>
  <c r="CU90" i="66" s="1"/>
  <c r="DA90" i="66" s="1"/>
  <c r="BZ89" i="67"/>
  <c r="CT90" i="66" s="1"/>
  <c r="CZ90" i="66" s="1"/>
  <c r="BY89" i="67"/>
  <c r="CS90" i="66" s="1"/>
  <c r="CY90" i="66" s="1"/>
  <c r="BX89" i="67"/>
  <c r="CR90" i="66" s="1"/>
  <c r="CX90" i="66" s="1"/>
  <c r="BW89" i="67"/>
  <c r="CQ90" i="66" s="1"/>
  <c r="CW90" i="66" s="1"/>
  <c r="CA88" i="67"/>
  <c r="CU89" i="66" s="1"/>
  <c r="DA89" i="66" s="1"/>
  <c r="BZ88" i="67"/>
  <c r="CT89" i="66" s="1"/>
  <c r="CZ89" i="66" s="1"/>
  <c r="BY88" i="67"/>
  <c r="CS89" i="66" s="1"/>
  <c r="CY89" i="66" s="1"/>
  <c r="BX88" i="67"/>
  <c r="CR89" i="66" s="1"/>
  <c r="CX89" i="66" s="1"/>
  <c r="BW88" i="67"/>
  <c r="CQ89" i="66" s="1"/>
  <c r="CW89" i="66" s="1"/>
  <c r="CA87" i="67"/>
  <c r="CU88" i="66" s="1"/>
  <c r="DA88" i="66" s="1"/>
  <c r="BZ87" i="67"/>
  <c r="CT88" i="66" s="1"/>
  <c r="CZ88" i="66" s="1"/>
  <c r="BY87" i="67"/>
  <c r="CS88" i="66" s="1"/>
  <c r="CY88" i="66" s="1"/>
  <c r="BX87" i="67"/>
  <c r="CR88" i="66" s="1"/>
  <c r="CX88" i="66" s="1"/>
  <c r="BW87" i="67"/>
  <c r="CQ88" i="66" s="1"/>
  <c r="CW88" i="66" s="1"/>
  <c r="CA86" i="67"/>
  <c r="CU87" i="66" s="1"/>
  <c r="DA87" i="66" s="1"/>
  <c r="BZ86" i="67"/>
  <c r="CT87" i="66" s="1"/>
  <c r="CZ87" i="66" s="1"/>
  <c r="BY86" i="67"/>
  <c r="CS87" i="66" s="1"/>
  <c r="CY87" i="66" s="1"/>
  <c r="BX86" i="67"/>
  <c r="CR87" i="66" s="1"/>
  <c r="CX87" i="66" s="1"/>
  <c r="BW86" i="67"/>
  <c r="CQ87" i="66" s="1"/>
  <c r="CW87" i="66" s="1"/>
  <c r="CA85" i="67"/>
  <c r="CU86" i="66" s="1"/>
  <c r="DA86" i="66" s="1"/>
  <c r="BZ85" i="67"/>
  <c r="CT86" i="66" s="1"/>
  <c r="CZ86" i="66" s="1"/>
  <c r="BY85" i="67"/>
  <c r="CS86" i="66" s="1"/>
  <c r="CY86" i="66" s="1"/>
  <c r="BX85" i="67"/>
  <c r="CR86" i="66" s="1"/>
  <c r="CX86" i="66" s="1"/>
  <c r="BW85" i="67"/>
  <c r="CQ86" i="66" s="1"/>
  <c r="CW86" i="66" s="1"/>
  <c r="CA84" i="67"/>
  <c r="CU85" i="66" s="1"/>
  <c r="DA85" i="66" s="1"/>
  <c r="BZ84" i="67"/>
  <c r="CT85" i="66" s="1"/>
  <c r="CZ85" i="66" s="1"/>
  <c r="BY84" i="67"/>
  <c r="CS85" i="66" s="1"/>
  <c r="CY85" i="66" s="1"/>
  <c r="BX84" i="67"/>
  <c r="CR85" i="66" s="1"/>
  <c r="CX85" i="66" s="1"/>
  <c r="BW84" i="67"/>
  <c r="CQ85" i="66" s="1"/>
  <c r="CW85" i="66" s="1"/>
  <c r="CA83" i="67"/>
  <c r="CU84" i="66" s="1"/>
  <c r="DA84" i="66" s="1"/>
  <c r="BZ83" i="67"/>
  <c r="CT84" i="66" s="1"/>
  <c r="CZ84" i="66" s="1"/>
  <c r="BY83" i="67"/>
  <c r="CS84" i="66" s="1"/>
  <c r="CY84" i="66" s="1"/>
  <c r="BX83" i="67"/>
  <c r="CR84" i="66" s="1"/>
  <c r="CX84" i="66" s="1"/>
  <c r="BW83" i="67"/>
  <c r="CQ84" i="66" s="1"/>
  <c r="CW84" i="66" s="1"/>
  <c r="CA82" i="67"/>
  <c r="CU83" i="66" s="1"/>
  <c r="DA83" i="66" s="1"/>
  <c r="BZ82" i="67"/>
  <c r="CT83" i="66" s="1"/>
  <c r="CZ83" i="66" s="1"/>
  <c r="BY82" i="67"/>
  <c r="CS83" i="66" s="1"/>
  <c r="CY83" i="66" s="1"/>
  <c r="BX82" i="67"/>
  <c r="CR83" i="66" s="1"/>
  <c r="CX83" i="66" s="1"/>
  <c r="BW82" i="67"/>
  <c r="CQ83" i="66" s="1"/>
  <c r="CW83" i="66" s="1"/>
  <c r="CA81" i="67"/>
  <c r="CU82" i="66" s="1"/>
  <c r="DA82" i="66" s="1"/>
  <c r="BZ81" i="67"/>
  <c r="CT82" i="66" s="1"/>
  <c r="CZ82" i="66" s="1"/>
  <c r="BY81" i="67"/>
  <c r="CS82" i="66" s="1"/>
  <c r="CY82" i="66" s="1"/>
  <c r="BX81" i="67"/>
  <c r="CR82" i="66" s="1"/>
  <c r="CX82" i="66" s="1"/>
  <c r="BW81" i="67"/>
  <c r="CQ82" i="66" s="1"/>
  <c r="CW82" i="66" s="1"/>
  <c r="CA80" i="67"/>
  <c r="CU81" i="66" s="1"/>
  <c r="DA81" i="66" s="1"/>
  <c r="BZ80" i="67"/>
  <c r="CT81" i="66" s="1"/>
  <c r="CZ81" i="66" s="1"/>
  <c r="BY80" i="67"/>
  <c r="CS81" i="66" s="1"/>
  <c r="CY81" i="66" s="1"/>
  <c r="BX80" i="67"/>
  <c r="CR81" i="66" s="1"/>
  <c r="CX81" i="66" s="1"/>
  <c r="BW80" i="67"/>
  <c r="CQ81" i="66" s="1"/>
  <c r="CW81" i="66" s="1"/>
  <c r="CA79" i="67"/>
  <c r="CU80" i="66" s="1"/>
  <c r="DA80" i="66" s="1"/>
  <c r="BZ79" i="67"/>
  <c r="CT80" i="66" s="1"/>
  <c r="CZ80" i="66" s="1"/>
  <c r="BY79" i="67"/>
  <c r="CS80" i="66" s="1"/>
  <c r="CY80" i="66" s="1"/>
  <c r="BX79" i="67"/>
  <c r="CR80" i="66" s="1"/>
  <c r="CX80" i="66" s="1"/>
  <c r="BW79" i="67"/>
  <c r="CQ80" i="66" s="1"/>
  <c r="CW80" i="66" s="1"/>
  <c r="CA77" i="67"/>
  <c r="CU78" i="66" s="1"/>
  <c r="DA78" i="66" s="1"/>
  <c r="BZ77" i="67"/>
  <c r="CT78" i="66" s="1"/>
  <c r="CZ78" i="66" s="1"/>
  <c r="BY77" i="67"/>
  <c r="CS78" i="66" s="1"/>
  <c r="CY78" i="66" s="1"/>
  <c r="BX77" i="67"/>
  <c r="CR78" i="66" s="1"/>
  <c r="CX78" i="66" s="1"/>
  <c r="BW77" i="67"/>
  <c r="CQ78" i="66" s="1"/>
  <c r="CW78" i="66" s="1"/>
  <c r="CA76" i="67"/>
  <c r="CU77" i="66" s="1"/>
  <c r="DA77" i="66" s="1"/>
  <c r="BZ76" i="67"/>
  <c r="CT77" i="66" s="1"/>
  <c r="CZ77" i="66" s="1"/>
  <c r="BY76" i="67"/>
  <c r="CS77" i="66" s="1"/>
  <c r="CY77" i="66" s="1"/>
  <c r="BX76" i="67"/>
  <c r="CR77" i="66" s="1"/>
  <c r="CX77" i="66" s="1"/>
  <c r="BW76" i="67"/>
  <c r="CQ77" i="66" s="1"/>
  <c r="CW77" i="66" s="1"/>
  <c r="CA75" i="67"/>
  <c r="CU76" i="66" s="1"/>
  <c r="DA76" i="66" s="1"/>
  <c r="BZ75" i="67"/>
  <c r="CT76" i="66" s="1"/>
  <c r="CZ76" i="66" s="1"/>
  <c r="BY75" i="67"/>
  <c r="CS76" i="66" s="1"/>
  <c r="CY76" i="66" s="1"/>
  <c r="BX75" i="67"/>
  <c r="CR76" i="66" s="1"/>
  <c r="CX76" i="66" s="1"/>
  <c r="BW75" i="67"/>
  <c r="CQ76" i="66" s="1"/>
  <c r="CW76" i="66" s="1"/>
  <c r="CA74" i="67"/>
  <c r="CU75" i="66" s="1"/>
  <c r="DA75" i="66" s="1"/>
  <c r="BZ74" i="67"/>
  <c r="CT75" i="66" s="1"/>
  <c r="CZ75" i="66" s="1"/>
  <c r="BY74" i="67"/>
  <c r="CS75" i="66" s="1"/>
  <c r="CY75" i="66" s="1"/>
  <c r="BX74" i="67"/>
  <c r="CR75" i="66" s="1"/>
  <c r="CX75" i="66" s="1"/>
  <c r="BW74" i="67"/>
  <c r="CQ75" i="66" s="1"/>
  <c r="CW75" i="66" s="1"/>
  <c r="CA73" i="67"/>
  <c r="CU74" i="66" s="1"/>
  <c r="DA74" i="66" s="1"/>
  <c r="BZ73" i="67"/>
  <c r="CT74" i="66" s="1"/>
  <c r="CZ74" i="66" s="1"/>
  <c r="BY73" i="67"/>
  <c r="CS74" i="66" s="1"/>
  <c r="CY74" i="66" s="1"/>
  <c r="BX73" i="67"/>
  <c r="CR74" i="66" s="1"/>
  <c r="CX74" i="66" s="1"/>
  <c r="BW73" i="67"/>
  <c r="CQ74" i="66" s="1"/>
  <c r="CW74" i="66" s="1"/>
  <c r="CA72" i="67"/>
  <c r="CU73" i="66" s="1"/>
  <c r="DA73" i="66" s="1"/>
  <c r="BZ72" i="67"/>
  <c r="CT73" i="66" s="1"/>
  <c r="CZ73" i="66" s="1"/>
  <c r="BY72" i="67"/>
  <c r="CS73" i="66" s="1"/>
  <c r="CY73" i="66" s="1"/>
  <c r="BX72" i="67"/>
  <c r="CR73" i="66" s="1"/>
  <c r="CX73" i="66" s="1"/>
  <c r="BW72" i="67"/>
  <c r="CQ73" i="66" s="1"/>
  <c r="CW73" i="66" s="1"/>
  <c r="CA71" i="67"/>
  <c r="CU72" i="66" s="1"/>
  <c r="DA72" i="66" s="1"/>
  <c r="BZ71" i="67"/>
  <c r="CT72" i="66" s="1"/>
  <c r="CZ72" i="66" s="1"/>
  <c r="BY71" i="67"/>
  <c r="CS72" i="66" s="1"/>
  <c r="CY72" i="66" s="1"/>
  <c r="BX71" i="67"/>
  <c r="CR72" i="66" s="1"/>
  <c r="CX72" i="66" s="1"/>
  <c r="BW71" i="67"/>
  <c r="CQ72" i="66" s="1"/>
  <c r="CW72" i="66" s="1"/>
  <c r="CA70" i="67"/>
  <c r="CU71" i="66" s="1"/>
  <c r="DA71" i="66" s="1"/>
  <c r="BZ70" i="67"/>
  <c r="CT71" i="66" s="1"/>
  <c r="CZ71" i="66" s="1"/>
  <c r="BY70" i="67"/>
  <c r="CS71" i="66" s="1"/>
  <c r="CY71" i="66" s="1"/>
  <c r="BX70" i="67"/>
  <c r="CR71" i="66" s="1"/>
  <c r="CX71" i="66" s="1"/>
  <c r="BW70" i="67"/>
  <c r="CQ71" i="66" s="1"/>
  <c r="CW71" i="66" s="1"/>
  <c r="CA69" i="67"/>
  <c r="CU70" i="66" s="1"/>
  <c r="DA70" i="66" s="1"/>
  <c r="BZ69" i="67"/>
  <c r="CT70" i="66" s="1"/>
  <c r="CZ70" i="66" s="1"/>
  <c r="BY69" i="67"/>
  <c r="CS70" i="66" s="1"/>
  <c r="CY70" i="66" s="1"/>
  <c r="BX69" i="67"/>
  <c r="CR70" i="66" s="1"/>
  <c r="CX70" i="66" s="1"/>
  <c r="BW69" i="67"/>
  <c r="CQ70" i="66" s="1"/>
  <c r="CW70" i="66" s="1"/>
  <c r="CA68" i="67"/>
  <c r="CU69" i="66" s="1"/>
  <c r="DA69" i="66" s="1"/>
  <c r="BZ68" i="67"/>
  <c r="CT69" i="66" s="1"/>
  <c r="CZ69" i="66" s="1"/>
  <c r="BY68" i="67"/>
  <c r="CS69" i="66" s="1"/>
  <c r="CY69" i="66" s="1"/>
  <c r="BX68" i="67"/>
  <c r="CR69" i="66" s="1"/>
  <c r="CX69" i="66" s="1"/>
  <c r="BW68" i="67"/>
  <c r="CQ69" i="66" s="1"/>
  <c r="CW69" i="66" s="1"/>
  <c r="CA67" i="67"/>
  <c r="CU68" i="66" s="1"/>
  <c r="DA68" i="66" s="1"/>
  <c r="BZ67" i="67"/>
  <c r="CT68" i="66" s="1"/>
  <c r="CZ68" i="66" s="1"/>
  <c r="BY67" i="67"/>
  <c r="CS68" i="66" s="1"/>
  <c r="CY68" i="66" s="1"/>
  <c r="BX67" i="67"/>
  <c r="CR68" i="66" s="1"/>
  <c r="CX68" i="66" s="1"/>
  <c r="BW67" i="67"/>
  <c r="CQ68" i="66" s="1"/>
  <c r="CW68" i="66" s="1"/>
  <c r="CA66" i="67"/>
  <c r="CU67" i="66" s="1"/>
  <c r="DA67" i="66" s="1"/>
  <c r="BZ66" i="67"/>
  <c r="CT67" i="66" s="1"/>
  <c r="CZ67" i="66" s="1"/>
  <c r="BY66" i="67"/>
  <c r="CS67" i="66" s="1"/>
  <c r="CY67" i="66" s="1"/>
  <c r="BX66" i="67"/>
  <c r="CR67" i="66" s="1"/>
  <c r="CX67" i="66" s="1"/>
  <c r="BW66" i="67"/>
  <c r="CQ67" i="66" s="1"/>
  <c r="CW67" i="66" s="1"/>
  <c r="CA65" i="67"/>
  <c r="CU66" i="66" s="1"/>
  <c r="DA66" i="66" s="1"/>
  <c r="BZ65" i="67"/>
  <c r="CT66" i="66" s="1"/>
  <c r="CZ66" i="66" s="1"/>
  <c r="BY65" i="67"/>
  <c r="CS66" i="66" s="1"/>
  <c r="CY66" i="66" s="1"/>
  <c r="BX65" i="67"/>
  <c r="CR66" i="66" s="1"/>
  <c r="CX66" i="66" s="1"/>
  <c r="BW65" i="67"/>
  <c r="CQ66" i="66" s="1"/>
  <c r="CW66" i="66" s="1"/>
  <c r="CA64" i="67"/>
  <c r="CU65" i="66" s="1"/>
  <c r="DA65" i="66" s="1"/>
  <c r="BZ64" i="67"/>
  <c r="CT65" i="66" s="1"/>
  <c r="CZ65" i="66" s="1"/>
  <c r="BY64" i="67"/>
  <c r="CS65" i="66" s="1"/>
  <c r="CY65" i="66" s="1"/>
  <c r="BX64" i="67"/>
  <c r="CR65" i="66" s="1"/>
  <c r="CX65" i="66" s="1"/>
  <c r="BW64" i="67"/>
  <c r="CQ65" i="66" s="1"/>
  <c r="CW65" i="66" s="1"/>
  <c r="CA63" i="67"/>
  <c r="CU64" i="66" s="1"/>
  <c r="DA64" i="66" s="1"/>
  <c r="BZ63" i="67"/>
  <c r="CT64" i="66" s="1"/>
  <c r="CZ64" i="66" s="1"/>
  <c r="BY63" i="67"/>
  <c r="CS64" i="66" s="1"/>
  <c r="CY64" i="66" s="1"/>
  <c r="BX63" i="67"/>
  <c r="CR64" i="66" s="1"/>
  <c r="CX64" i="66" s="1"/>
  <c r="BW63" i="67"/>
  <c r="CQ64" i="66" s="1"/>
  <c r="CW64" i="66" s="1"/>
  <c r="CA62" i="67"/>
  <c r="CU63" i="66" s="1"/>
  <c r="DA63" i="66" s="1"/>
  <c r="BZ62" i="67"/>
  <c r="CT63" i="66" s="1"/>
  <c r="CZ63" i="66" s="1"/>
  <c r="BY62" i="67"/>
  <c r="CS63" i="66" s="1"/>
  <c r="CY63" i="66" s="1"/>
  <c r="BX62" i="67"/>
  <c r="CR63" i="66" s="1"/>
  <c r="CX63" i="66" s="1"/>
  <c r="BW62" i="67"/>
  <c r="CQ63" i="66" s="1"/>
  <c r="CW63" i="66" s="1"/>
  <c r="CA61" i="67"/>
  <c r="CU62" i="66" s="1"/>
  <c r="DA62" i="66" s="1"/>
  <c r="BZ61" i="67"/>
  <c r="CT62" i="66" s="1"/>
  <c r="CZ62" i="66" s="1"/>
  <c r="BY61" i="67"/>
  <c r="CS62" i="66" s="1"/>
  <c r="CY62" i="66" s="1"/>
  <c r="BX61" i="67"/>
  <c r="CR62" i="66" s="1"/>
  <c r="CX62" i="66" s="1"/>
  <c r="BW61" i="67"/>
  <c r="CQ62" i="66" s="1"/>
  <c r="CW62" i="66" s="1"/>
  <c r="CA60" i="67"/>
  <c r="CU61" i="66" s="1"/>
  <c r="DA61" i="66" s="1"/>
  <c r="BZ60" i="67"/>
  <c r="CT61" i="66" s="1"/>
  <c r="CZ61" i="66" s="1"/>
  <c r="BY60" i="67"/>
  <c r="CS61" i="66" s="1"/>
  <c r="CY61" i="66" s="1"/>
  <c r="BX60" i="67"/>
  <c r="CR61" i="66" s="1"/>
  <c r="CX61" i="66" s="1"/>
  <c r="BW60" i="67"/>
  <c r="CQ61" i="66" s="1"/>
  <c r="CW61" i="66" s="1"/>
  <c r="CA58" i="67"/>
  <c r="CU59" i="66" s="1"/>
  <c r="DA59" i="66" s="1"/>
  <c r="BZ58" i="67"/>
  <c r="CT59" i="66" s="1"/>
  <c r="CZ59" i="66" s="1"/>
  <c r="BY58" i="67"/>
  <c r="CS59" i="66" s="1"/>
  <c r="CY59" i="66" s="1"/>
  <c r="BX58" i="67"/>
  <c r="CR59" i="66" s="1"/>
  <c r="CX59" i="66" s="1"/>
  <c r="BW58" i="67"/>
  <c r="CQ59" i="66" s="1"/>
  <c r="CW59" i="66" s="1"/>
  <c r="CA57" i="67"/>
  <c r="CU58" i="66" s="1"/>
  <c r="DA58" i="66" s="1"/>
  <c r="BZ57" i="67"/>
  <c r="CT58" i="66" s="1"/>
  <c r="CZ58" i="66" s="1"/>
  <c r="BY57" i="67"/>
  <c r="CS58" i="66" s="1"/>
  <c r="CY58" i="66" s="1"/>
  <c r="BX57" i="67"/>
  <c r="CR58" i="66" s="1"/>
  <c r="CX58" i="66" s="1"/>
  <c r="BW57" i="67"/>
  <c r="CQ58" i="66" s="1"/>
  <c r="CW58" i="66" s="1"/>
  <c r="CA56" i="67"/>
  <c r="CU57" i="66" s="1"/>
  <c r="DA57" i="66" s="1"/>
  <c r="BZ56" i="67"/>
  <c r="CT57" i="66" s="1"/>
  <c r="CZ57" i="66" s="1"/>
  <c r="BY56" i="67"/>
  <c r="CS57" i="66" s="1"/>
  <c r="CY57" i="66" s="1"/>
  <c r="BX56" i="67"/>
  <c r="CR57" i="66" s="1"/>
  <c r="CX57" i="66" s="1"/>
  <c r="BW56" i="67"/>
  <c r="CQ57" i="66" s="1"/>
  <c r="CW57" i="66" s="1"/>
  <c r="CA55" i="67"/>
  <c r="CU56" i="66" s="1"/>
  <c r="DA56" i="66" s="1"/>
  <c r="BZ55" i="67"/>
  <c r="CT56" i="66" s="1"/>
  <c r="CZ56" i="66" s="1"/>
  <c r="BY55" i="67"/>
  <c r="CS56" i="66" s="1"/>
  <c r="CY56" i="66" s="1"/>
  <c r="BX55" i="67"/>
  <c r="CR56" i="66" s="1"/>
  <c r="CX56" i="66" s="1"/>
  <c r="BW55" i="67"/>
  <c r="CQ56" i="66" s="1"/>
  <c r="CW56" i="66" s="1"/>
  <c r="CA54" i="67"/>
  <c r="CU55" i="66" s="1"/>
  <c r="DA55" i="66" s="1"/>
  <c r="BZ54" i="67"/>
  <c r="CT55" i="66" s="1"/>
  <c r="CZ55" i="66" s="1"/>
  <c r="BY54" i="67"/>
  <c r="CS55" i="66" s="1"/>
  <c r="CY55" i="66" s="1"/>
  <c r="BX54" i="67"/>
  <c r="CR55" i="66" s="1"/>
  <c r="CX55" i="66" s="1"/>
  <c r="BW54" i="67"/>
  <c r="CQ55" i="66" s="1"/>
  <c r="CW55" i="66" s="1"/>
  <c r="CA53" i="67"/>
  <c r="CU54" i="66" s="1"/>
  <c r="DA54" i="66" s="1"/>
  <c r="BZ53" i="67"/>
  <c r="CT54" i="66" s="1"/>
  <c r="CZ54" i="66" s="1"/>
  <c r="BY53" i="67"/>
  <c r="CS54" i="66" s="1"/>
  <c r="CY54" i="66" s="1"/>
  <c r="BX53" i="67"/>
  <c r="CR54" i="66" s="1"/>
  <c r="CX54" i="66" s="1"/>
  <c r="BW53" i="67"/>
  <c r="CQ54" i="66" s="1"/>
  <c r="CW54" i="66" s="1"/>
  <c r="CA52" i="67"/>
  <c r="CU53" i="66" s="1"/>
  <c r="DA53" i="66" s="1"/>
  <c r="BZ52" i="67"/>
  <c r="CT53" i="66" s="1"/>
  <c r="CZ53" i="66" s="1"/>
  <c r="BY52" i="67"/>
  <c r="CS53" i="66" s="1"/>
  <c r="CY53" i="66" s="1"/>
  <c r="BX52" i="67"/>
  <c r="CR53" i="66" s="1"/>
  <c r="CX53" i="66" s="1"/>
  <c r="BW52" i="67"/>
  <c r="CQ53" i="66" s="1"/>
  <c r="CW53" i="66" s="1"/>
  <c r="CA51" i="67"/>
  <c r="CU52" i="66" s="1"/>
  <c r="DA52" i="66" s="1"/>
  <c r="BZ51" i="67"/>
  <c r="CT52" i="66" s="1"/>
  <c r="CZ52" i="66" s="1"/>
  <c r="BY51" i="67"/>
  <c r="CS52" i="66" s="1"/>
  <c r="CY52" i="66" s="1"/>
  <c r="BX51" i="67"/>
  <c r="CR52" i="66" s="1"/>
  <c r="CX52" i="66" s="1"/>
  <c r="BW51" i="67"/>
  <c r="CQ52" i="66" s="1"/>
  <c r="CW52" i="66" s="1"/>
  <c r="CA49" i="67"/>
  <c r="CU50" i="66" s="1"/>
  <c r="DA50" i="66" s="1"/>
  <c r="BZ49" i="67"/>
  <c r="CT50" i="66" s="1"/>
  <c r="CZ50" i="66" s="1"/>
  <c r="BY49" i="67"/>
  <c r="CS50" i="66" s="1"/>
  <c r="CY50" i="66" s="1"/>
  <c r="BX49" i="67"/>
  <c r="CR50" i="66" s="1"/>
  <c r="CX50" i="66" s="1"/>
  <c r="BW49" i="67"/>
  <c r="CQ50" i="66" s="1"/>
  <c r="CW50" i="66" s="1"/>
  <c r="CA48" i="67"/>
  <c r="CU49" i="66" s="1"/>
  <c r="DA49" i="66" s="1"/>
  <c r="BZ48" i="67"/>
  <c r="CT49" i="66" s="1"/>
  <c r="CZ49" i="66" s="1"/>
  <c r="BY48" i="67"/>
  <c r="CS49" i="66" s="1"/>
  <c r="CY49" i="66" s="1"/>
  <c r="BX48" i="67"/>
  <c r="CR49" i="66" s="1"/>
  <c r="CX49" i="66" s="1"/>
  <c r="BW48" i="67"/>
  <c r="CQ49" i="66" s="1"/>
  <c r="CW49" i="66" s="1"/>
  <c r="CA47" i="67"/>
  <c r="CU48" i="66" s="1"/>
  <c r="DA48" i="66" s="1"/>
  <c r="BZ47" i="67"/>
  <c r="CT48" i="66" s="1"/>
  <c r="CZ48" i="66" s="1"/>
  <c r="BY47" i="67"/>
  <c r="CS48" i="66" s="1"/>
  <c r="CY48" i="66" s="1"/>
  <c r="BX47" i="67"/>
  <c r="CR48" i="66" s="1"/>
  <c r="CX48" i="66" s="1"/>
  <c r="BW47" i="67"/>
  <c r="CQ48" i="66" s="1"/>
  <c r="CW48" i="66" s="1"/>
  <c r="CA46" i="67"/>
  <c r="CU47" i="66" s="1"/>
  <c r="DA47" i="66" s="1"/>
  <c r="BZ46" i="67"/>
  <c r="CT47" i="66" s="1"/>
  <c r="CZ47" i="66" s="1"/>
  <c r="BY46" i="67"/>
  <c r="CS47" i="66" s="1"/>
  <c r="CY47" i="66" s="1"/>
  <c r="BX46" i="67"/>
  <c r="CR47" i="66" s="1"/>
  <c r="CX47" i="66" s="1"/>
  <c r="BW46" i="67"/>
  <c r="CQ47" i="66" s="1"/>
  <c r="CW47" i="66" s="1"/>
  <c r="CA45" i="67"/>
  <c r="CU46" i="66" s="1"/>
  <c r="DA46" i="66" s="1"/>
  <c r="BZ45" i="67"/>
  <c r="CT46" i="66" s="1"/>
  <c r="CZ46" i="66" s="1"/>
  <c r="BY45" i="67"/>
  <c r="CS46" i="66" s="1"/>
  <c r="CY46" i="66" s="1"/>
  <c r="BX45" i="67"/>
  <c r="CR46" i="66" s="1"/>
  <c r="CX46" i="66" s="1"/>
  <c r="BW45" i="67"/>
  <c r="CQ46" i="66" s="1"/>
  <c r="CW46" i="66" s="1"/>
  <c r="CA44" i="67"/>
  <c r="CU45" i="66" s="1"/>
  <c r="DA45" i="66" s="1"/>
  <c r="BZ44" i="67"/>
  <c r="CT45" i="66" s="1"/>
  <c r="CZ45" i="66" s="1"/>
  <c r="BY44" i="67"/>
  <c r="CS45" i="66" s="1"/>
  <c r="CY45" i="66" s="1"/>
  <c r="BX44" i="67"/>
  <c r="CR45" i="66" s="1"/>
  <c r="CX45" i="66" s="1"/>
  <c r="BW44" i="67"/>
  <c r="CQ45" i="66" s="1"/>
  <c r="CW45" i="66" s="1"/>
  <c r="CA43" i="67"/>
  <c r="CU44" i="66" s="1"/>
  <c r="DA44" i="66" s="1"/>
  <c r="BZ43" i="67"/>
  <c r="CT44" i="66" s="1"/>
  <c r="CZ44" i="66" s="1"/>
  <c r="BY43" i="67"/>
  <c r="CS44" i="66" s="1"/>
  <c r="CY44" i="66" s="1"/>
  <c r="BX43" i="67"/>
  <c r="CR44" i="66" s="1"/>
  <c r="CX44" i="66" s="1"/>
  <c r="BW43" i="67"/>
  <c r="CQ44" i="66" s="1"/>
  <c r="CW44" i="66" s="1"/>
  <c r="CA42" i="67"/>
  <c r="CU43" i="66" s="1"/>
  <c r="DA43" i="66" s="1"/>
  <c r="BZ42" i="67"/>
  <c r="CT43" i="66" s="1"/>
  <c r="CZ43" i="66" s="1"/>
  <c r="BY42" i="67"/>
  <c r="CS43" i="66" s="1"/>
  <c r="CY43" i="66" s="1"/>
  <c r="BX42" i="67"/>
  <c r="CR43" i="66" s="1"/>
  <c r="CX43" i="66" s="1"/>
  <c r="BW42" i="67"/>
  <c r="CQ43" i="66" s="1"/>
  <c r="CW43" i="66" s="1"/>
  <c r="CA41" i="67"/>
  <c r="CU42" i="66" s="1"/>
  <c r="DA42" i="66" s="1"/>
  <c r="BZ41" i="67"/>
  <c r="CT42" i="66" s="1"/>
  <c r="CZ42" i="66" s="1"/>
  <c r="BY41" i="67"/>
  <c r="CS42" i="66" s="1"/>
  <c r="CY42" i="66" s="1"/>
  <c r="BX41" i="67"/>
  <c r="CR42" i="66" s="1"/>
  <c r="CX42" i="66" s="1"/>
  <c r="BW41" i="67"/>
  <c r="CQ42" i="66" s="1"/>
  <c r="CW42" i="66" s="1"/>
  <c r="CA40" i="67"/>
  <c r="CU41" i="66" s="1"/>
  <c r="DA41" i="66" s="1"/>
  <c r="BZ40" i="67"/>
  <c r="CT41" i="66" s="1"/>
  <c r="CZ41" i="66" s="1"/>
  <c r="BY40" i="67"/>
  <c r="CS41" i="66" s="1"/>
  <c r="CY41" i="66" s="1"/>
  <c r="BX40" i="67"/>
  <c r="CR41" i="66" s="1"/>
  <c r="CX41" i="66" s="1"/>
  <c r="BW40" i="67"/>
  <c r="CQ41" i="66" s="1"/>
  <c r="CW41" i="66" s="1"/>
  <c r="CA39" i="67"/>
  <c r="CU40" i="66" s="1"/>
  <c r="DA40" i="66" s="1"/>
  <c r="BZ39" i="67"/>
  <c r="CT40" i="66" s="1"/>
  <c r="CZ40" i="66" s="1"/>
  <c r="BY39" i="67"/>
  <c r="CS40" i="66" s="1"/>
  <c r="CY40" i="66" s="1"/>
  <c r="BX39" i="67"/>
  <c r="CR40" i="66" s="1"/>
  <c r="CX40" i="66" s="1"/>
  <c r="BW39" i="67"/>
  <c r="CQ40" i="66" s="1"/>
  <c r="CW40" i="66" s="1"/>
  <c r="CA38" i="67"/>
  <c r="CU39" i="66" s="1"/>
  <c r="DA39" i="66" s="1"/>
  <c r="BZ38" i="67"/>
  <c r="CT39" i="66" s="1"/>
  <c r="CZ39" i="66" s="1"/>
  <c r="BY38" i="67"/>
  <c r="CS39" i="66" s="1"/>
  <c r="CY39" i="66" s="1"/>
  <c r="BX38" i="67"/>
  <c r="CR39" i="66" s="1"/>
  <c r="CX39" i="66" s="1"/>
  <c r="BW38" i="67"/>
  <c r="CQ39" i="66" s="1"/>
  <c r="CW39" i="66" s="1"/>
  <c r="CA36" i="67"/>
  <c r="CU37" i="66" s="1"/>
  <c r="DA37" i="66" s="1"/>
  <c r="BZ36" i="67"/>
  <c r="CT37" i="66" s="1"/>
  <c r="CZ37" i="66" s="1"/>
  <c r="BY36" i="67"/>
  <c r="CS37" i="66" s="1"/>
  <c r="CY37" i="66" s="1"/>
  <c r="BX36" i="67"/>
  <c r="CR37" i="66" s="1"/>
  <c r="CX37" i="66" s="1"/>
  <c r="BW36" i="67"/>
  <c r="CQ37" i="66" s="1"/>
  <c r="CW37" i="66" s="1"/>
  <c r="CA35" i="67"/>
  <c r="CU36" i="66" s="1"/>
  <c r="DA36" i="66" s="1"/>
  <c r="BZ35" i="67"/>
  <c r="CT36" i="66" s="1"/>
  <c r="CZ36" i="66" s="1"/>
  <c r="BY35" i="67"/>
  <c r="CS36" i="66" s="1"/>
  <c r="CY36" i="66" s="1"/>
  <c r="BX35" i="67"/>
  <c r="CR36" i="66" s="1"/>
  <c r="CX36" i="66" s="1"/>
  <c r="BW35" i="67"/>
  <c r="CQ36" i="66" s="1"/>
  <c r="CW36" i="66" s="1"/>
  <c r="CA34" i="67"/>
  <c r="CU35" i="66" s="1"/>
  <c r="DA35" i="66" s="1"/>
  <c r="BZ34" i="67"/>
  <c r="CT35" i="66" s="1"/>
  <c r="CZ35" i="66" s="1"/>
  <c r="BY34" i="67"/>
  <c r="CS35" i="66" s="1"/>
  <c r="CY35" i="66" s="1"/>
  <c r="BX34" i="67"/>
  <c r="CR35" i="66" s="1"/>
  <c r="CX35" i="66" s="1"/>
  <c r="BW34" i="67"/>
  <c r="CQ35" i="66" s="1"/>
  <c r="CW35" i="66" s="1"/>
  <c r="CA33" i="67"/>
  <c r="CU34" i="66" s="1"/>
  <c r="DA34" i="66" s="1"/>
  <c r="BZ33" i="67"/>
  <c r="CT34" i="66" s="1"/>
  <c r="CZ34" i="66" s="1"/>
  <c r="BY33" i="67"/>
  <c r="CS34" i="66" s="1"/>
  <c r="CY34" i="66" s="1"/>
  <c r="BX33" i="67"/>
  <c r="CR34" i="66" s="1"/>
  <c r="CX34" i="66" s="1"/>
  <c r="BW33" i="67"/>
  <c r="CQ34" i="66" s="1"/>
  <c r="CW34" i="66" s="1"/>
  <c r="CA32" i="67"/>
  <c r="CU33" i="66" s="1"/>
  <c r="DA33" i="66" s="1"/>
  <c r="BZ32" i="67"/>
  <c r="CT33" i="66" s="1"/>
  <c r="CZ33" i="66" s="1"/>
  <c r="BY32" i="67"/>
  <c r="CS33" i="66" s="1"/>
  <c r="CY33" i="66" s="1"/>
  <c r="BX32" i="67"/>
  <c r="CR33" i="66" s="1"/>
  <c r="CX33" i="66" s="1"/>
  <c r="BW32" i="67"/>
  <c r="CQ33" i="66" s="1"/>
  <c r="CW33" i="66" s="1"/>
  <c r="CA31" i="67"/>
  <c r="CU32" i="66" s="1"/>
  <c r="DA32" i="66" s="1"/>
  <c r="BZ31" i="67"/>
  <c r="CT32" i="66" s="1"/>
  <c r="CZ32" i="66" s="1"/>
  <c r="BY31" i="67"/>
  <c r="CS32" i="66" s="1"/>
  <c r="CY32" i="66" s="1"/>
  <c r="BX31" i="67"/>
  <c r="CR32" i="66" s="1"/>
  <c r="CX32" i="66" s="1"/>
  <c r="BW31" i="67"/>
  <c r="CQ32" i="66" s="1"/>
  <c r="CW32" i="66" s="1"/>
  <c r="CA30" i="67"/>
  <c r="CU31" i="66" s="1"/>
  <c r="DA31" i="66" s="1"/>
  <c r="BZ30" i="67"/>
  <c r="CT31" i="66" s="1"/>
  <c r="CZ31" i="66" s="1"/>
  <c r="BY30" i="67"/>
  <c r="CS31" i="66" s="1"/>
  <c r="CY31" i="66" s="1"/>
  <c r="BX30" i="67"/>
  <c r="CR31" i="66" s="1"/>
  <c r="CX31" i="66" s="1"/>
  <c r="BW30" i="67"/>
  <c r="CQ31" i="66" s="1"/>
  <c r="CW31" i="66" s="1"/>
  <c r="CA29" i="67"/>
  <c r="CU30" i="66" s="1"/>
  <c r="DA30" i="66" s="1"/>
  <c r="BZ29" i="67"/>
  <c r="CT30" i="66" s="1"/>
  <c r="CZ30" i="66" s="1"/>
  <c r="BY29" i="67"/>
  <c r="CS30" i="66" s="1"/>
  <c r="CY30" i="66" s="1"/>
  <c r="BX29" i="67"/>
  <c r="CR30" i="66" s="1"/>
  <c r="CX30" i="66" s="1"/>
  <c r="BW29" i="67"/>
  <c r="CQ30" i="66" s="1"/>
  <c r="CW30" i="66" s="1"/>
  <c r="CA28" i="67"/>
  <c r="CU29" i="66" s="1"/>
  <c r="DA29" i="66" s="1"/>
  <c r="BZ28" i="67"/>
  <c r="CT29" i="66" s="1"/>
  <c r="CZ29" i="66" s="1"/>
  <c r="BY28" i="67"/>
  <c r="CS29" i="66" s="1"/>
  <c r="CY29" i="66" s="1"/>
  <c r="BX28" i="67"/>
  <c r="CR29" i="66" s="1"/>
  <c r="CX29" i="66" s="1"/>
  <c r="BW28" i="67"/>
  <c r="CQ29" i="66" s="1"/>
  <c r="CW29" i="66" s="1"/>
  <c r="CA27" i="67"/>
  <c r="CU28" i="66" s="1"/>
  <c r="DA28" i="66" s="1"/>
  <c r="BZ27" i="67"/>
  <c r="CT28" i="66" s="1"/>
  <c r="CZ28" i="66" s="1"/>
  <c r="BY27" i="67"/>
  <c r="CS28" i="66" s="1"/>
  <c r="CY28" i="66" s="1"/>
  <c r="BX27" i="67"/>
  <c r="CR28" i="66" s="1"/>
  <c r="CX28" i="66" s="1"/>
  <c r="BW27" i="67"/>
  <c r="CQ28" i="66" s="1"/>
  <c r="CW28" i="66" s="1"/>
  <c r="CA25" i="67"/>
  <c r="CU26" i="66" s="1"/>
  <c r="DA26" i="66" s="1"/>
  <c r="BZ25" i="67"/>
  <c r="CT26" i="66" s="1"/>
  <c r="CZ26" i="66" s="1"/>
  <c r="BY25" i="67"/>
  <c r="CS26" i="66" s="1"/>
  <c r="CY26" i="66" s="1"/>
  <c r="BX25" i="67"/>
  <c r="CR26" i="66" s="1"/>
  <c r="CX26" i="66" s="1"/>
  <c r="BW25" i="67"/>
  <c r="CQ26" i="66" s="1"/>
  <c r="CW26" i="66" s="1"/>
  <c r="CA24" i="67"/>
  <c r="CU25" i="66" s="1"/>
  <c r="DA25" i="66" s="1"/>
  <c r="BZ24" i="67"/>
  <c r="CT25" i="66" s="1"/>
  <c r="CZ25" i="66" s="1"/>
  <c r="BY24" i="67"/>
  <c r="CS25" i="66" s="1"/>
  <c r="CY25" i="66" s="1"/>
  <c r="BX24" i="67"/>
  <c r="CR25" i="66" s="1"/>
  <c r="CX25" i="66" s="1"/>
  <c r="BW24" i="67"/>
  <c r="CQ25" i="66" s="1"/>
  <c r="CW25" i="66" s="1"/>
  <c r="CA23" i="67"/>
  <c r="CU24" i="66" s="1"/>
  <c r="DA24" i="66" s="1"/>
  <c r="BZ23" i="67"/>
  <c r="CT24" i="66" s="1"/>
  <c r="CZ24" i="66" s="1"/>
  <c r="BY23" i="67"/>
  <c r="CS24" i="66" s="1"/>
  <c r="CY24" i="66" s="1"/>
  <c r="BX23" i="67"/>
  <c r="CR24" i="66" s="1"/>
  <c r="CX24" i="66" s="1"/>
  <c r="BW23" i="67"/>
  <c r="CQ24" i="66" s="1"/>
  <c r="CW24" i="66" s="1"/>
  <c r="CA22" i="67"/>
  <c r="CU23" i="66" s="1"/>
  <c r="DA23" i="66" s="1"/>
  <c r="BZ22" i="67"/>
  <c r="CT23" i="66" s="1"/>
  <c r="CZ23" i="66" s="1"/>
  <c r="BY22" i="67"/>
  <c r="CS23" i="66" s="1"/>
  <c r="CY23" i="66" s="1"/>
  <c r="BX22" i="67"/>
  <c r="CR23" i="66" s="1"/>
  <c r="CX23" i="66" s="1"/>
  <c r="BW22" i="67"/>
  <c r="CQ23" i="66" s="1"/>
  <c r="CW23" i="66" s="1"/>
  <c r="CA21" i="67"/>
  <c r="CU22" i="66" s="1"/>
  <c r="DA22" i="66" s="1"/>
  <c r="BZ21" i="67"/>
  <c r="CT22" i="66" s="1"/>
  <c r="CZ22" i="66" s="1"/>
  <c r="BY21" i="67"/>
  <c r="CS22" i="66" s="1"/>
  <c r="CY22" i="66" s="1"/>
  <c r="BX21" i="67"/>
  <c r="CR22" i="66" s="1"/>
  <c r="CX22" i="66" s="1"/>
  <c r="BW21" i="67"/>
  <c r="CQ22" i="66" s="1"/>
  <c r="CW22" i="66" s="1"/>
  <c r="CA20" i="67"/>
  <c r="CU21" i="66" s="1"/>
  <c r="DA21" i="66" s="1"/>
  <c r="BZ20" i="67"/>
  <c r="CT21" i="66" s="1"/>
  <c r="CZ21" i="66" s="1"/>
  <c r="BY20" i="67"/>
  <c r="CS21" i="66" s="1"/>
  <c r="CY21" i="66" s="1"/>
  <c r="BX20" i="67"/>
  <c r="CR21" i="66" s="1"/>
  <c r="CX21" i="66" s="1"/>
  <c r="BW20" i="67"/>
  <c r="CQ21" i="66" s="1"/>
  <c r="CW21" i="66" s="1"/>
  <c r="CA19" i="67"/>
  <c r="CU20" i="66" s="1"/>
  <c r="DA20" i="66" s="1"/>
  <c r="BZ19" i="67"/>
  <c r="CT20" i="66" s="1"/>
  <c r="CZ20" i="66" s="1"/>
  <c r="BY19" i="67"/>
  <c r="CS20" i="66" s="1"/>
  <c r="CY20" i="66" s="1"/>
  <c r="BX19" i="67"/>
  <c r="CR20" i="66" s="1"/>
  <c r="CX20" i="66" s="1"/>
  <c r="BW19" i="67"/>
  <c r="CQ20" i="66" s="1"/>
  <c r="CW20" i="66" s="1"/>
  <c r="CA18" i="67"/>
  <c r="CU19" i="66" s="1"/>
  <c r="DA19" i="66" s="1"/>
  <c r="BZ18" i="67"/>
  <c r="CT19" i="66" s="1"/>
  <c r="CZ19" i="66" s="1"/>
  <c r="BY18" i="67"/>
  <c r="CS19" i="66" s="1"/>
  <c r="CY19" i="66" s="1"/>
  <c r="BX18" i="67"/>
  <c r="CR19" i="66" s="1"/>
  <c r="CX19" i="66" s="1"/>
  <c r="BW18" i="67"/>
  <c r="CQ19" i="66" s="1"/>
  <c r="CW19" i="66" s="1"/>
  <c r="CA17" i="67"/>
  <c r="CU18" i="66" s="1"/>
  <c r="DA18" i="66" s="1"/>
  <c r="BZ17" i="67"/>
  <c r="CT18" i="66" s="1"/>
  <c r="CZ18" i="66" s="1"/>
  <c r="BY17" i="67"/>
  <c r="CS18" i="66" s="1"/>
  <c r="CY18" i="66" s="1"/>
  <c r="BX17" i="67"/>
  <c r="CR18" i="66" s="1"/>
  <c r="CX18" i="66" s="1"/>
  <c r="BW17" i="67"/>
  <c r="CQ18" i="66" s="1"/>
  <c r="CW18" i="66" s="1"/>
  <c r="CA15" i="67"/>
  <c r="CU16" i="66" s="1"/>
  <c r="DA16" i="66" s="1"/>
  <c r="BZ15" i="67"/>
  <c r="CT16" i="66" s="1"/>
  <c r="CZ16" i="66" s="1"/>
  <c r="BY15" i="67"/>
  <c r="CS16" i="66" s="1"/>
  <c r="CY16" i="66" s="1"/>
  <c r="BX15" i="67"/>
  <c r="CR16" i="66" s="1"/>
  <c r="CX16" i="66" s="1"/>
  <c r="BW15" i="67"/>
  <c r="CQ16" i="66" s="1"/>
  <c r="CW16" i="66" s="1"/>
  <c r="CA14" i="67"/>
  <c r="CU15" i="66" s="1"/>
  <c r="DA15" i="66" s="1"/>
  <c r="BZ14" i="67"/>
  <c r="CT15" i="66" s="1"/>
  <c r="CZ15" i="66" s="1"/>
  <c r="BY14" i="67"/>
  <c r="CS15" i="66" s="1"/>
  <c r="CY15" i="66" s="1"/>
  <c r="BX14" i="67"/>
  <c r="CR15" i="66" s="1"/>
  <c r="CX15" i="66" s="1"/>
  <c r="BW14" i="67"/>
  <c r="CQ15" i="66" s="1"/>
  <c r="CW15" i="66" s="1"/>
  <c r="CA13" i="67"/>
  <c r="CU14" i="66" s="1"/>
  <c r="DA14" i="66" s="1"/>
  <c r="BZ13" i="67"/>
  <c r="CT14" i="66" s="1"/>
  <c r="CZ14" i="66" s="1"/>
  <c r="BY13" i="67"/>
  <c r="CS14" i="66" s="1"/>
  <c r="CY14" i="66" s="1"/>
  <c r="BX13" i="67"/>
  <c r="CR14" i="66" s="1"/>
  <c r="CX14" i="66" s="1"/>
  <c r="BW13" i="67"/>
  <c r="CQ14" i="66" s="1"/>
  <c r="CW14" i="66" s="1"/>
  <c r="CA12" i="67"/>
  <c r="CU13" i="66" s="1"/>
  <c r="DA13" i="66" s="1"/>
  <c r="BZ12" i="67"/>
  <c r="CT13" i="66" s="1"/>
  <c r="CZ13" i="66" s="1"/>
  <c r="BY12" i="67"/>
  <c r="CS13" i="66" s="1"/>
  <c r="CY13" i="66" s="1"/>
  <c r="BX12" i="67"/>
  <c r="CR13" i="66" s="1"/>
  <c r="CX13" i="66" s="1"/>
  <c r="BW12" i="67"/>
  <c r="CQ13" i="66" s="1"/>
  <c r="CW13" i="66" s="1"/>
  <c r="CA11" i="67"/>
  <c r="CU12" i="66" s="1"/>
  <c r="DA12" i="66" s="1"/>
  <c r="BZ11" i="67"/>
  <c r="CT12" i="66" s="1"/>
  <c r="CZ12" i="66" s="1"/>
  <c r="BY11" i="67"/>
  <c r="CS12" i="66" s="1"/>
  <c r="CY12" i="66" s="1"/>
  <c r="BX11" i="67"/>
  <c r="CR12" i="66" s="1"/>
  <c r="CX12" i="66" s="1"/>
  <c r="BW11" i="67"/>
  <c r="CQ12" i="66" s="1"/>
  <c r="CW12" i="66" s="1"/>
  <c r="CA10" i="67"/>
  <c r="CU11" i="66" s="1"/>
  <c r="DA11" i="66" s="1"/>
  <c r="BZ10" i="67"/>
  <c r="CT11" i="66" s="1"/>
  <c r="CZ11" i="66" s="1"/>
  <c r="BY10" i="67"/>
  <c r="CS11" i="66" s="1"/>
  <c r="CY11" i="66" s="1"/>
  <c r="BX10" i="67"/>
  <c r="CR11" i="66" s="1"/>
  <c r="CX11" i="66" s="1"/>
  <c r="BW10" i="67"/>
  <c r="CQ11" i="66" s="1"/>
  <c r="CW11" i="66" s="1"/>
  <c r="CA9" i="67"/>
  <c r="CU10" i="66" s="1"/>
  <c r="DA10" i="66" s="1"/>
  <c r="BZ9" i="67"/>
  <c r="CT10" i="66" s="1"/>
  <c r="CZ10" i="66" s="1"/>
  <c r="BY9" i="67"/>
  <c r="CS10" i="66" s="1"/>
  <c r="CY10" i="66" s="1"/>
  <c r="BX9" i="67"/>
  <c r="CR10" i="66" s="1"/>
  <c r="CX10" i="66" s="1"/>
  <c r="BW9" i="67"/>
  <c r="CQ10" i="66" s="1"/>
  <c r="CW10" i="66" s="1"/>
  <c r="CA8" i="67"/>
  <c r="CU9" i="66" s="1"/>
  <c r="DA9" i="66" s="1"/>
  <c r="BZ8" i="67"/>
  <c r="CT9" i="66" s="1"/>
  <c r="CZ9" i="66" s="1"/>
  <c r="BY8" i="67"/>
  <c r="CS9" i="66" s="1"/>
  <c r="CY9" i="66" s="1"/>
  <c r="BX8" i="67"/>
  <c r="CR9" i="66" s="1"/>
  <c r="CX9" i="66" s="1"/>
  <c r="BW8" i="67"/>
  <c r="CQ9" i="66" s="1"/>
  <c r="CW9" i="66" s="1"/>
  <c r="CA7" i="67"/>
  <c r="CU8" i="66" s="1"/>
  <c r="DA8" i="66" s="1"/>
  <c r="BZ7" i="67"/>
  <c r="CT8" i="66" s="1"/>
  <c r="CZ8" i="66" s="1"/>
  <c r="BY7" i="67"/>
  <c r="CS8" i="66" s="1"/>
  <c r="CY8" i="66" s="1"/>
  <c r="BX7" i="67"/>
  <c r="CR8" i="66" s="1"/>
  <c r="CX8" i="66" s="1"/>
  <c r="BW7" i="67"/>
  <c r="CQ8" i="66" s="1"/>
  <c r="CW8" i="66" s="1"/>
  <c r="CA6" i="67"/>
  <c r="CU7" i="66" s="1"/>
  <c r="DA7" i="66" s="1"/>
  <c r="BZ6" i="67"/>
  <c r="CT7" i="66" s="1"/>
  <c r="CZ7" i="66" s="1"/>
  <c r="BY6" i="67"/>
  <c r="CS7" i="66" s="1"/>
  <c r="CY7" i="66" s="1"/>
  <c r="BX6" i="67"/>
  <c r="CR7" i="66" s="1"/>
  <c r="CX7" i="66" s="1"/>
  <c r="BW6" i="67"/>
  <c r="CQ7" i="66" s="1"/>
  <c r="CW7" i="66" s="1"/>
  <c r="CA5" i="67"/>
  <c r="CU6" i="66" s="1"/>
  <c r="DA6" i="66" s="1"/>
  <c r="BZ5" i="67"/>
  <c r="CT6" i="66" s="1"/>
  <c r="CZ6" i="66" s="1"/>
  <c r="BY5" i="67"/>
  <c r="CS6" i="66" s="1"/>
  <c r="CY6" i="66" s="1"/>
  <c r="BX5" i="67"/>
  <c r="CR6" i="66" s="1"/>
  <c r="CX6" i="66" s="1"/>
  <c r="BW5" i="67"/>
  <c r="CQ6" i="66" s="1"/>
  <c r="CW6" i="66" s="1"/>
  <c r="CA4" i="67"/>
  <c r="CU5" i="66" s="1"/>
  <c r="DA5" i="66" s="1"/>
  <c r="BZ4" i="67"/>
  <c r="CT5" i="66" s="1"/>
  <c r="CZ5" i="66" s="1"/>
  <c r="BY4" i="67"/>
  <c r="CS5" i="66" s="1"/>
  <c r="CY5" i="66" s="1"/>
  <c r="BX4" i="67"/>
  <c r="CR5" i="66" s="1"/>
  <c r="CX5" i="66" s="1"/>
  <c r="BW4" i="67"/>
  <c r="CQ5" i="66" s="1"/>
  <c r="CW5" i="66" s="1"/>
  <c r="CA3" i="67"/>
  <c r="CU4" i="66" s="1"/>
  <c r="DA4" i="66" s="1"/>
  <c r="BZ3" i="67"/>
  <c r="CT4" i="66" s="1"/>
  <c r="CZ4" i="66" s="1"/>
  <c r="BY3" i="67"/>
  <c r="CS4" i="66" s="1"/>
  <c r="CY4" i="66" s="1"/>
  <c r="BX3" i="67"/>
  <c r="CR4" i="66" s="1"/>
  <c r="CX4" i="66" s="1"/>
  <c r="BW3" i="67"/>
  <c r="CQ4" i="66" s="1"/>
  <c r="CW4" i="66" s="1"/>
  <c r="CA98" i="65"/>
  <c r="CU99" i="64" s="1"/>
  <c r="DA99" i="64" s="1"/>
  <c r="BZ98" i="65"/>
  <c r="CT99" i="64" s="1"/>
  <c r="CZ99" i="64" s="1"/>
  <c r="BY98" i="65"/>
  <c r="CS99" i="64" s="1"/>
  <c r="CY99" i="64" s="1"/>
  <c r="BX98" i="65"/>
  <c r="CR99" i="64" s="1"/>
  <c r="CX99" i="64" s="1"/>
  <c r="BW98" i="65"/>
  <c r="CQ99" i="64" s="1"/>
  <c r="CW99" i="64" s="1"/>
  <c r="CA97" i="65"/>
  <c r="CU98" i="64" s="1"/>
  <c r="DA98" i="64" s="1"/>
  <c r="BZ97" i="65"/>
  <c r="CT98" i="64" s="1"/>
  <c r="CZ98" i="64" s="1"/>
  <c r="BY97" i="65"/>
  <c r="CS98" i="64" s="1"/>
  <c r="CY98" i="64" s="1"/>
  <c r="BX97" i="65"/>
  <c r="CR98" i="64" s="1"/>
  <c r="CX98" i="64" s="1"/>
  <c r="BW97" i="65"/>
  <c r="CQ98" i="64" s="1"/>
  <c r="CW98" i="64" s="1"/>
  <c r="CA96" i="65"/>
  <c r="CU97" i="64" s="1"/>
  <c r="DA97" i="64" s="1"/>
  <c r="BZ96" i="65"/>
  <c r="CT97" i="64" s="1"/>
  <c r="CZ97" i="64" s="1"/>
  <c r="BY96" i="65"/>
  <c r="CS97" i="64" s="1"/>
  <c r="CY97" i="64" s="1"/>
  <c r="BX96" i="65"/>
  <c r="CR97" i="64" s="1"/>
  <c r="CX97" i="64" s="1"/>
  <c r="BW96" i="65"/>
  <c r="CQ97" i="64" s="1"/>
  <c r="CW97" i="64" s="1"/>
  <c r="CA95" i="65"/>
  <c r="CU96" i="64" s="1"/>
  <c r="DA96" i="64" s="1"/>
  <c r="BZ95" i="65"/>
  <c r="CT96" i="64" s="1"/>
  <c r="CZ96" i="64" s="1"/>
  <c r="BY95" i="65"/>
  <c r="CS96" i="64" s="1"/>
  <c r="CY96" i="64" s="1"/>
  <c r="BX95" i="65"/>
  <c r="CR96" i="64" s="1"/>
  <c r="CX96" i="64" s="1"/>
  <c r="BW95" i="65"/>
  <c r="CQ96" i="64" s="1"/>
  <c r="CW96" i="64" s="1"/>
  <c r="CA94" i="65"/>
  <c r="CU95" i="64" s="1"/>
  <c r="DA95" i="64" s="1"/>
  <c r="BZ94" i="65"/>
  <c r="CT95" i="64" s="1"/>
  <c r="CZ95" i="64" s="1"/>
  <c r="BY94" i="65"/>
  <c r="CS95" i="64" s="1"/>
  <c r="CY95" i="64" s="1"/>
  <c r="BX94" i="65"/>
  <c r="CR95" i="64" s="1"/>
  <c r="CX95" i="64" s="1"/>
  <c r="BW94" i="65"/>
  <c r="CQ95" i="64" s="1"/>
  <c r="CW95" i="64" s="1"/>
  <c r="CA93" i="65"/>
  <c r="CU94" i="64" s="1"/>
  <c r="DA94" i="64" s="1"/>
  <c r="BZ93" i="65"/>
  <c r="CT94" i="64" s="1"/>
  <c r="CZ94" i="64" s="1"/>
  <c r="BY93" i="65"/>
  <c r="CS94" i="64" s="1"/>
  <c r="CY94" i="64" s="1"/>
  <c r="BX93" i="65"/>
  <c r="CR94" i="64" s="1"/>
  <c r="CX94" i="64" s="1"/>
  <c r="BW93" i="65"/>
  <c r="CQ94" i="64" s="1"/>
  <c r="CW94" i="64" s="1"/>
  <c r="CA92" i="65"/>
  <c r="CU93" i="64" s="1"/>
  <c r="DA93" i="64" s="1"/>
  <c r="BZ92" i="65"/>
  <c r="CT93" i="64" s="1"/>
  <c r="CZ93" i="64" s="1"/>
  <c r="BY92" i="65"/>
  <c r="CS93" i="64" s="1"/>
  <c r="CY93" i="64" s="1"/>
  <c r="BX92" i="65"/>
  <c r="CR93" i="64" s="1"/>
  <c r="CX93" i="64" s="1"/>
  <c r="BW92" i="65"/>
  <c r="CQ93" i="64" s="1"/>
  <c r="CW93" i="64" s="1"/>
  <c r="CA91" i="65"/>
  <c r="CU92" i="64" s="1"/>
  <c r="DA92" i="64" s="1"/>
  <c r="BZ91" i="65"/>
  <c r="CT92" i="64" s="1"/>
  <c r="CZ92" i="64" s="1"/>
  <c r="BY91" i="65"/>
  <c r="CS92" i="64" s="1"/>
  <c r="CY92" i="64" s="1"/>
  <c r="BX91" i="65"/>
  <c r="CR92" i="64" s="1"/>
  <c r="CX92" i="64" s="1"/>
  <c r="BW91" i="65"/>
  <c r="CQ92" i="64" s="1"/>
  <c r="CW92" i="64" s="1"/>
  <c r="CA90" i="65"/>
  <c r="CU91" i="64" s="1"/>
  <c r="DA91" i="64" s="1"/>
  <c r="BZ90" i="65"/>
  <c r="CT91" i="64" s="1"/>
  <c r="CZ91" i="64" s="1"/>
  <c r="BY90" i="65"/>
  <c r="CS91" i="64" s="1"/>
  <c r="CY91" i="64" s="1"/>
  <c r="BX90" i="65"/>
  <c r="CR91" i="64" s="1"/>
  <c r="CX91" i="64" s="1"/>
  <c r="BW90" i="65"/>
  <c r="CQ91" i="64" s="1"/>
  <c r="CW91" i="64" s="1"/>
  <c r="CA89" i="65"/>
  <c r="CU90" i="64" s="1"/>
  <c r="DA90" i="64" s="1"/>
  <c r="BZ89" i="65"/>
  <c r="CT90" i="64" s="1"/>
  <c r="CZ90" i="64" s="1"/>
  <c r="BY89" i="65"/>
  <c r="CS90" i="64" s="1"/>
  <c r="CY90" i="64" s="1"/>
  <c r="BX89" i="65"/>
  <c r="CR90" i="64" s="1"/>
  <c r="CX90" i="64" s="1"/>
  <c r="BW89" i="65"/>
  <c r="CQ90" i="64" s="1"/>
  <c r="CW90" i="64" s="1"/>
  <c r="CA88" i="65"/>
  <c r="CU89" i="64" s="1"/>
  <c r="DA89" i="64" s="1"/>
  <c r="BZ88" i="65"/>
  <c r="CT89" i="64" s="1"/>
  <c r="CZ89" i="64" s="1"/>
  <c r="BY88" i="65"/>
  <c r="CS89" i="64" s="1"/>
  <c r="CY89" i="64" s="1"/>
  <c r="BX88" i="65"/>
  <c r="CR89" i="64" s="1"/>
  <c r="CX89" i="64" s="1"/>
  <c r="BW88" i="65"/>
  <c r="CQ89" i="64" s="1"/>
  <c r="CW89" i="64" s="1"/>
  <c r="CA87" i="65"/>
  <c r="CU88" i="64" s="1"/>
  <c r="DA88" i="64" s="1"/>
  <c r="BZ87" i="65"/>
  <c r="CT88" i="64" s="1"/>
  <c r="CZ88" i="64" s="1"/>
  <c r="BY87" i="65"/>
  <c r="CS88" i="64" s="1"/>
  <c r="CY88" i="64" s="1"/>
  <c r="BX87" i="65"/>
  <c r="CR88" i="64" s="1"/>
  <c r="CX88" i="64" s="1"/>
  <c r="BW87" i="65"/>
  <c r="CQ88" i="64" s="1"/>
  <c r="CW88" i="64" s="1"/>
  <c r="CA86" i="65"/>
  <c r="CU87" i="64" s="1"/>
  <c r="DA87" i="64" s="1"/>
  <c r="BZ86" i="65"/>
  <c r="CT87" i="64" s="1"/>
  <c r="CZ87" i="64" s="1"/>
  <c r="BY86" i="65"/>
  <c r="CS87" i="64" s="1"/>
  <c r="CY87" i="64" s="1"/>
  <c r="BX86" i="65"/>
  <c r="CR87" i="64" s="1"/>
  <c r="CX87" i="64" s="1"/>
  <c r="BW86" i="65"/>
  <c r="CQ87" i="64" s="1"/>
  <c r="CW87" i="64" s="1"/>
  <c r="CA85" i="65"/>
  <c r="CU86" i="64" s="1"/>
  <c r="DA86" i="64" s="1"/>
  <c r="BZ85" i="65"/>
  <c r="CT86" i="64" s="1"/>
  <c r="CZ86" i="64" s="1"/>
  <c r="BY85" i="65"/>
  <c r="CS86" i="64" s="1"/>
  <c r="CY86" i="64" s="1"/>
  <c r="BX85" i="65"/>
  <c r="CR86" i="64" s="1"/>
  <c r="CX86" i="64" s="1"/>
  <c r="BW85" i="65"/>
  <c r="CQ86" i="64" s="1"/>
  <c r="CW86" i="64" s="1"/>
  <c r="CA84" i="65"/>
  <c r="CU85" i="64" s="1"/>
  <c r="DA85" i="64" s="1"/>
  <c r="BZ84" i="65"/>
  <c r="CT85" i="64" s="1"/>
  <c r="CZ85" i="64" s="1"/>
  <c r="BY84" i="65"/>
  <c r="CS85" i="64" s="1"/>
  <c r="CY85" i="64" s="1"/>
  <c r="BX84" i="65"/>
  <c r="CR85" i="64" s="1"/>
  <c r="CX85" i="64" s="1"/>
  <c r="BW84" i="65"/>
  <c r="CQ85" i="64" s="1"/>
  <c r="CW85" i="64" s="1"/>
  <c r="CA82" i="65"/>
  <c r="CU83" i="64" s="1"/>
  <c r="DA83" i="64" s="1"/>
  <c r="BZ82" i="65"/>
  <c r="CT83" i="64" s="1"/>
  <c r="CZ83" i="64" s="1"/>
  <c r="BY82" i="65"/>
  <c r="CS83" i="64" s="1"/>
  <c r="CY83" i="64" s="1"/>
  <c r="BX82" i="65"/>
  <c r="CR83" i="64" s="1"/>
  <c r="CX83" i="64" s="1"/>
  <c r="BW82" i="65"/>
  <c r="CQ83" i="64" s="1"/>
  <c r="CW83" i="64" s="1"/>
  <c r="CA81" i="65"/>
  <c r="CU82" i="64" s="1"/>
  <c r="DA82" i="64" s="1"/>
  <c r="BZ81" i="65"/>
  <c r="CT82" i="64" s="1"/>
  <c r="CZ82" i="64" s="1"/>
  <c r="BY81" i="65"/>
  <c r="CS82" i="64" s="1"/>
  <c r="CY82" i="64" s="1"/>
  <c r="BX81" i="65"/>
  <c r="CR82" i="64" s="1"/>
  <c r="CX82" i="64" s="1"/>
  <c r="BW81" i="65"/>
  <c r="CQ82" i="64" s="1"/>
  <c r="CW82" i="64" s="1"/>
  <c r="CA80" i="65"/>
  <c r="CU81" i="64" s="1"/>
  <c r="DA81" i="64" s="1"/>
  <c r="BZ80" i="65"/>
  <c r="CT81" i="64" s="1"/>
  <c r="CZ81" i="64" s="1"/>
  <c r="BY80" i="65"/>
  <c r="CS81" i="64" s="1"/>
  <c r="CY81" i="64" s="1"/>
  <c r="BX80" i="65"/>
  <c r="CR81" i="64" s="1"/>
  <c r="CX81" i="64" s="1"/>
  <c r="BW80" i="65"/>
  <c r="CQ81" i="64" s="1"/>
  <c r="CW81" i="64" s="1"/>
  <c r="CA79" i="65"/>
  <c r="CU80" i="64" s="1"/>
  <c r="DA80" i="64" s="1"/>
  <c r="BZ79" i="65"/>
  <c r="CT80" i="64" s="1"/>
  <c r="CZ80" i="64" s="1"/>
  <c r="BY79" i="65"/>
  <c r="CS80" i="64" s="1"/>
  <c r="CY80" i="64" s="1"/>
  <c r="BX79" i="65"/>
  <c r="CR80" i="64" s="1"/>
  <c r="CX80" i="64" s="1"/>
  <c r="BW79" i="65"/>
  <c r="CQ80" i="64" s="1"/>
  <c r="CW80" i="64" s="1"/>
  <c r="CA77" i="65"/>
  <c r="CU78" i="64" s="1"/>
  <c r="DA78" i="64" s="1"/>
  <c r="BZ77" i="65"/>
  <c r="CT78" i="64" s="1"/>
  <c r="CZ78" i="64" s="1"/>
  <c r="BY77" i="65"/>
  <c r="CS78" i="64" s="1"/>
  <c r="CY78" i="64" s="1"/>
  <c r="BX77" i="65"/>
  <c r="CR78" i="64" s="1"/>
  <c r="CX78" i="64" s="1"/>
  <c r="BW77" i="65"/>
  <c r="CQ78" i="64" s="1"/>
  <c r="CW78" i="64" s="1"/>
  <c r="CA76" i="65"/>
  <c r="CU77" i="64" s="1"/>
  <c r="DA77" i="64" s="1"/>
  <c r="BZ76" i="65"/>
  <c r="CT77" i="64" s="1"/>
  <c r="CZ77" i="64" s="1"/>
  <c r="BY76" i="65"/>
  <c r="CS77" i="64" s="1"/>
  <c r="CY77" i="64" s="1"/>
  <c r="BX76" i="65"/>
  <c r="CR77" i="64" s="1"/>
  <c r="CX77" i="64" s="1"/>
  <c r="BW76" i="65"/>
  <c r="CQ77" i="64" s="1"/>
  <c r="CW77" i="64" s="1"/>
  <c r="CA75" i="65"/>
  <c r="CU76" i="64" s="1"/>
  <c r="DA76" i="64" s="1"/>
  <c r="BZ75" i="65"/>
  <c r="CT76" i="64" s="1"/>
  <c r="CZ76" i="64" s="1"/>
  <c r="BY75" i="65"/>
  <c r="CS76" i="64" s="1"/>
  <c r="CY76" i="64" s="1"/>
  <c r="BX75" i="65"/>
  <c r="CR76" i="64" s="1"/>
  <c r="CX76" i="64" s="1"/>
  <c r="BW75" i="65"/>
  <c r="CQ76" i="64" s="1"/>
  <c r="CW76" i="64" s="1"/>
  <c r="CA74" i="65"/>
  <c r="CU75" i="64" s="1"/>
  <c r="DA75" i="64" s="1"/>
  <c r="BZ74" i="65"/>
  <c r="CT75" i="64" s="1"/>
  <c r="CZ75" i="64" s="1"/>
  <c r="BY74" i="65"/>
  <c r="CS75" i="64" s="1"/>
  <c r="CY75" i="64" s="1"/>
  <c r="BX74" i="65"/>
  <c r="CR75" i="64" s="1"/>
  <c r="CX75" i="64" s="1"/>
  <c r="BW74" i="65"/>
  <c r="CQ75" i="64" s="1"/>
  <c r="CW75" i="64" s="1"/>
  <c r="CA73" i="65"/>
  <c r="CU74" i="64" s="1"/>
  <c r="DA74" i="64" s="1"/>
  <c r="BZ73" i="65"/>
  <c r="CT74" i="64" s="1"/>
  <c r="CZ74" i="64" s="1"/>
  <c r="BY73" i="65"/>
  <c r="CS74" i="64" s="1"/>
  <c r="CY74" i="64" s="1"/>
  <c r="BX73" i="65"/>
  <c r="CR74" i="64" s="1"/>
  <c r="CX74" i="64" s="1"/>
  <c r="BW73" i="65"/>
  <c r="CQ74" i="64" s="1"/>
  <c r="CW74" i="64" s="1"/>
  <c r="CA72" i="65"/>
  <c r="CU73" i="64" s="1"/>
  <c r="DA73" i="64" s="1"/>
  <c r="BZ72" i="65"/>
  <c r="CT73" i="64" s="1"/>
  <c r="CZ73" i="64" s="1"/>
  <c r="BY72" i="65"/>
  <c r="CS73" i="64" s="1"/>
  <c r="CY73" i="64" s="1"/>
  <c r="BX72" i="65"/>
  <c r="CR73" i="64" s="1"/>
  <c r="CX73" i="64" s="1"/>
  <c r="BW72" i="65"/>
  <c r="CQ73" i="64" s="1"/>
  <c r="CW73" i="64" s="1"/>
  <c r="CA71" i="65"/>
  <c r="CU72" i="64" s="1"/>
  <c r="DA72" i="64" s="1"/>
  <c r="BZ71" i="65"/>
  <c r="CT72" i="64" s="1"/>
  <c r="CZ72" i="64" s="1"/>
  <c r="BY71" i="65"/>
  <c r="CS72" i="64" s="1"/>
  <c r="CY72" i="64" s="1"/>
  <c r="BX71" i="65"/>
  <c r="CR72" i="64" s="1"/>
  <c r="CX72" i="64" s="1"/>
  <c r="BW71" i="65"/>
  <c r="CQ72" i="64" s="1"/>
  <c r="CW72" i="64" s="1"/>
  <c r="CA70" i="65"/>
  <c r="CU71" i="64" s="1"/>
  <c r="DA71" i="64" s="1"/>
  <c r="BZ70" i="65"/>
  <c r="CT71" i="64" s="1"/>
  <c r="CZ71" i="64" s="1"/>
  <c r="BY70" i="65"/>
  <c r="CS71" i="64" s="1"/>
  <c r="CY71" i="64" s="1"/>
  <c r="BX70" i="65"/>
  <c r="CR71" i="64" s="1"/>
  <c r="CX71" i="64" s="1"/>
  <c r="BW70" i="65"/>
  <c r="CQ71" i="64" s="1"/>
  <c r="CW71" i="64" s="1"/>
  <c r="CA69" i="65"/>
  <c r="CU70" i="64" s="1"/>
  <c r="DA70" i="64" s="1"/>
  <c r="BZ69" i="65"/>
  <c r="CT70" i="64" s="1"/>
  <c r="CZ70" i="64" s="1"/>
  <c r="BY69" i="65"/>
  <c r="CS70" i="64" s="1"/>
  <c r="CY70" i="64" s="1"/>
  <c r="BX69" i="65"/>
  <c r="CR70" i="64" s="1"/>
  <c r="CX70" i="64" s="1"/>
  <c r="BW69" i="65"/>
  <c r="CQ70" i="64" s="1"/>
  <c r="CW70" i="64" s="1"/>
  <c r="CA68" i="65"/>
  <c r="CU69" i="64" s="1"/>
  <c r="DA69" i="64" s="1"/>
  <c r="BZ68" i="65"/>
  <c r="CT69" i="64" s="1"/>
  <c r="CZ69" i="64" s="1"/>
  <c r="BY68" i="65"/>
  <c r="CS69" i="64" s="1"/>
  <c r="CY69" i="64" s="1"/>
  <c r="BX68" i="65"/>
  <c r="CR69" i="64" s="1"/>
  <c r="CX69" i="64" s="1"/>
  <c r="BW68" i="65"/>
  <c r="CQ69" i="64" s="1"/>
  <c r="CW69" i="64" s="1"/>
  <c r="CA67" i="65"/>
  <c r="CU68" i="64" s="1"/>
  <c r="DA68" i="64" s="1"/>
  <c r="BZ67" i="65"/>
  <c r="CT68" i="64" s="1"/>
  <c r="CZ68" i="64" s="1"/>
  <c r="BY67" i="65"/>
  <c r="CS68" i="64" s="1"/>
  <c r="CY68" i="64" s="1"/>
  <c r="BX67" i="65"/>
  <c r="CR68" i="64" s="1"/>
  <c r="CX68" i="64" s="1"/>
  <c r="BW67" i="65"/>
  <c r="CQ68" i="64" s="1"/>
  <c r="CW68" i="64" s="1"/>
  <c r="CA66" i="65"/>
  <c r="CU67" i="64" s="1"/>
  <c r="DA67" i="64" s="1"/>
  <c r="BZ66" i="65"/>
  <c r="CT67" i="64" s="1"/>
  <c r="CZ67" i="64" s="1"/>
  <c r="BY66" i="65"/>
  <c r="CS67" i="64" s="1"/>
  <c r="CY67" i="64" s="1"/>
  <c r="BX66" i="65"/>
  <c r="CR67" i="64" s="1"/>
  <c r="CX67" i="64" s="1"/>
  <c r="BW66" i="65"/>
  <c r="CQ67" i="64" s="1"/>
  <c r="CW67" i="64" s="1"/>
  <c r="CA65" i="65"/>
  <c r="CU66" i="64" s="1"/>
  <c r="DA66" i="64" s="1"/>
  <c r="BZ65" i="65"/>
  <c r="CT66" i="64" s="1"/>
  <c r="CZ66" i="64" s="1"/>
  <c r="BY65" i="65"/>
  <c r="CS66" i="64" s="1"/>
  <c r="CY66" i="64" s="1"/>
  <c r="BX65" i="65"/>
  <c r="CR66" i="64" s="1"/>
  <c r="CX66" i="64" s="1"/>
  <c r="BW65" i="65"/>
  <c r="CQ66" i="64" s="1"/>
  <c r="CW66" i="64" s="1"/>
  <c r="CA64" i="65"/>
  <c r="CU65" i="64" s="1"/>
  <c r="DA65" i="64" s="1"/>
  <c r="BZ64" i="65"/>
  <c r="CT65" i="64" s="1"/>
  <c r="CZ65" i="64" s="1"/>
  <c r="BY64" i="65"/>
  <c r="CS65" i="64" s="1"/>
  <c r="CY65" i="64" s="1"/>
  <c r="BX64" i="65"/>
  <c r="CR65" i="64" s="1"/>
  <c r="CX65" i="64" s="1"/>
  <c r="BW64" i="65"/>
  <c r="CQ65" i="64" s="1"/>
  <c r="CW65" i="64" s="1"/>
  <c r="CA63" i="65"/>
  <c r="CU64" i="64" s="1"/>
  <c r="DA64" i="64" s="1"/>
  <c r="BZ63" i="65"/>
  <c r="CT64" i="64" s="1"/>
  <c r="CZ64" i="64" s="1"/>
  <c r="BY63" i="65"/>
  <c r="CS64" i="64" s="1"/>
  <c r="CY64" i="64" s="1"/>
  <c r="BX63" i="65"/>
  <c r="CR64" i="64" s="1"/>
  <c r="CX64" i="64" s="1"/>
  <c r="BW63" i="65"/>
  <c r="CQ64" i="64" s="1"/>
  <c r="CW64" i="64" s="1"/>
  <c r="CA62" i="65"/>
  <c r="CU63" i="64" s="1"/>
  <c r="DA63" i="64" s="1"/>
  <c r="BZ62" i="65"/>
  <c r="CT63" i="64" s="1"/>
  <c r="CZ63" i="64" s="1"/>
  <c r="BY62" i="65"/>
  <c r="CS63" i="64" s="1"/>
  <c r="CY63" i="64" s="1"/>
  <c r="BX62" i="65"/>
  <c r="CR63" i="64" s="1"/>
  <c r="CX63" i="64" s="1"/>
  <c r="BW62" i="65"/>
  <c r="CQ63" i="64" s="1"/>
  <c r="CW63" i="64" s="1"/>
  <c r="CA61" i="65"/>
  <c r="CU62" i="64" s="1"/>
  <c r="DA62" i="64" s="1"/>
  <c r="BZ61" i="65"/>
  <c r="CT62" i="64" s="1"/>
  <c r="CZ62" i="64" s="1"/>
  <c r="BY61" i="65"/>
  <c r="CS62" i="64" s="1"/>
  <c r="CY62" i="64" s="1"/>
  <c r="BX61" i="65"/>
  <c r="CR62" i="64" s="1"/>
  <c r="CX62" i="64" s="1"/>
  <c r="BW61" i="65"/>
  <c r="CQ62" i="64" s="1"/>
  <c r="CW62" i="64" s="1"/>
  <c r="CA60" i="65"/>
  <c r="CU61" i="64" s="1"/>
  <c r="DA61" i="64" s="1"/>
  <c r="BZ60" i="65"/>
  <c r="CT61" i="64" s="1"/>
  <c r="CZ61" i="64" s="1"/>
  <c r="BY60" i="65"/>
  <c r="CS61" i="64" s="1"/>
  <c r="CY61" i="64" s="1"/>
  <c r="BX60" i="65"/>
  <c r="CR61" i="64" s="1"/>
  <c r="CX61" i="64" s="1"/>
  <c r="BW60" i="65"/>
  <c r="CQ61" i="64" s="1"/>
  <c r="CW61" i="64" s="1"/>
  <c r="CA58" i="65"/>
  <c r="CU59" i="64" s="1"/>
  <c r="DA59" i="64" s="1"/>
  <c r="BZ58" i="65"/>
  <c r="CT59" i="64" s="1"/>
  <c r="CZ59" i="64" s="1"/>
  <c r="BY58" i="65"/>
  <c r="CS59" i="64" s="1"/>
  <c r="CY59" i="64" s="1"/>
  <c r="BX58" i="65"/>
  <c r="CR59" i="64" s="1"/>
  <c r="CX59" i="64" s="1"/>
  <c r="BW58" i="65"/>
  <c r="CQ59" i="64" s="1"/>
  <c r="CW59" i="64" s="1"/>
  <c r="CA57" i="65"/>
  <c r="CU58" i="64" s="1"/>
  <c r="DA58" i="64" s="1"/>
  <c r="BZ57" i="65"/>
  <c r="CT58" i="64" s="1"/>
  <c r="CZ58" i="64" s="1"/>
  <c r="BY57" i="65"/>
  <c r="CS58" i="64" s="1"/>
  <c r="CY58" i="64" s="1"/>
  <c r="BX57" i="65"/>
  <c r="CR58" i="64" s="1"/>
  <c r="CX58" i="64" s="1"/>
  <c r="BW57" i="65"/>
  <c r="CQ58" i="64" s="1"/>
  <c r="CW58" i="64" s="1"/>
  <c r="CA56" i="65"/>
  <c r="CU57" i="64" s="1"/>
  <c r="DA57" i="64" s="1"/>
  <c r="BZ56" i="65"/>
  <c r="CT57" i="64" s="1"/>
  <c r="CZ57" i="64" s="1"/>
  <c r="BY56" i="65"/>
  <c r="CS57" i="64" s="1"/>
  <c r="CY57" i="64" s="1"/>
  <c r="BX56" i="65"/>
  <c r="CR57" i="64" s="1"/>
  <c r="CX57" i="64" s="1"/>
  <c r="BW56" i="65"/>
  <c r="CQ57" i="64" s="1"/>
  <c r="CW57" i="64" s="1"/>
  <c r="CA55" i="65"/>
  <c r="CU56" i="64" s="1"/>
  <c r="DA56" i="64" s="1"/>
  <c r="BZ55" i="65"/>
  <c r="CT56" i="64" s="1"/>
  <c r="CZ56" i="64" s="1"/>
  <c r="BY55" i="65"/>
  <c r="CS56" i="64" s="1"/>
  <c r="CY56" i="64" s="1"/>
  <c r="BX55" i="65"/>
  <c r="CR56" i="64" s="1"/>
  <c r="CX56" i="64" s="1"/>
  <c r="BW55" i="65"/>
  <c r="CQ56" i="64" s="1"/>
  <c r="CW56" i="64" s="1"/>
  <c r="CA54" i="65"/>
  <c r="CU55" i="64" s="1"/>
  <c r="DA55" i="64" s="1"/>
  <c r="BZ54" i="65"/>
  <c r="CT55" i="64" s="1"/>
  <c r="CZ55" i="64" s="1"/>
  <c r="BY54" i="65"/>
  <c r="CS55" i="64" s="1"/>
  <c r="CY55" i="64" s="1"/>
  <c r="BX54" i="65"/>
  <c r="CR55" i="64" s="1"/>
  <c r="CX55" i="64" s="1"/>
  <c r="BW54" i="65"/>
  <c r="CQ55" i="64" s="1"/>
  <c r="CW55" i="64" s="1"/>
  <c r="CA53" i="65"/>
  <c r="CU54" i="64" s="1"/>
  <c r="DA54" i="64" s="1"/>
  <c r="BZ53" i="65"/>
  <c r="CT54" i="64" s="1"/>
  <c r="CZ54" i="64" s="1"/>
  <c r="BY53" i="65"/>
  <c r="CS54" i="64" s="1"/>
  <c r="CY54" i="64" s="1"/>
  <c r="BX53" i="65"/>
  <c r="CR54" i="64" s="1"/>
  <c r="CX54" i="64" s="1"/>
  <c r="BW53" i="65"/>
  <c r="CQ54" i="64" s="1"/>
  <c r="CW54" i="64" s="1"/>
  <c r="CA52" i="65"/>
  <c r="CU53" i="64" s="1"/>
  <c r="DA53" i="64" s="1"/>
  <c r="BZ52" i="65"/>
  <c r="CT53" i="64" s="1"/>
  <c r="CZ53" i="64" s="1"/>
  <c r="BY52" i="65"/>
  <c r="CS53" i="64" s="1"/>
  <c r="CY53" i="64" s="1"/>
  <c r="BX52" i="65"/>
  <c r="CR53" i="64" s="1"/>
  <c r="CX53" i="64" s="1"/>
  <c r="BW52" i="65"/>
  <c r="CQ53" i="64" s="1"/>
  <c r="CW53" i="64" s="1"/>
  <c r="CA51" i="65"/>
  <c r="CU52" i="64" s="1"/>
  <c r="DA52" i="64" s="1"/>
  <c r="BZ51" i="65"/>
  <c r="CT52" i="64" s="1"/>
  <c r="CZ52" i="64" s="1"/>
  <c r="BY51" i="65"/>
  <c r="CS52" i="64" s="1"/>
  <c r="CY52" i="64" s="1"/>
  <c r="BX51" i="65"/>
  <c r="CR52" i="64" s="1"/>
  <c r="CX52" i="64" s="1"/>
  <c r="BW51" i="65"/>
  <c r="CQ52" i="64" s="1"/>
  <c r="CW52" i="64" s="1"/>
  <c r="CA49" i="65"/>
  <c r="CU50" i="64" s="1"/>
  <c r="DA50" i="64" s="1"/>
  <c r="BZ49" i="65"/>
  <c r="CT50" i="64" s="1"/>
  <c r="CZ50" i="64" s="1"/>
  <c r="BY49" i="65"/>
  <c r="CS50" i="64" s="1"/>
  <c r="CY50" i="64" s="1"/>
  <c r="BX49" i="65"/>
  <c r="CR50" i="64" s="1"/>
  <c r="CX50" i="64" s="1"/>
  <c r="BW49" i="65"/>
  <c r="CQ50" i="64" s="1"/>
  <c r="CW50" i="64" s="1"/>
  <c r="CA48" i="65"/>
  <c r="CU49" i="64" s="1"/>
  <c r="DA49" i="64" s="1"/>
  <c r="BZ48" i="65"/>
  <c r="CT49" i="64" s="1"/>
  <c r="CZ49" i="64" s="1"/>
  <c r="BY48" i="65"/>
  <c r="CS49" i="64" s="1"/>
  <c r="CY49" i="64" s="1"/>
  <c r="BX48" i="65"/>
  <c r="CR49" i="64" s="1"/>
  <c r="CX49" i="64" s="1"/>
  <c r="BW48" i="65"/>
  <c r="CQ49" i="64" s="1"/>
  <c r="CW49" i="64" s="1"/>
  <c r="CA47" i="65"/>
  <c r="CU48" i="64" s="1"/>
  <c r="DA48" i="64" s="1"/>
  <c r="BZ47" i="65"/>
  <c r="CT48" i="64" s="1"/>
  <c r="CZ48" i="64" s="1"/>
  <c r="BY47" i="65"/>
  <c r="CS48" i="64" s="1"/>
  <c r="CY48" i="64" s="1"/>
  <c r="BX47" i="65"/>
  <c r="CR48" i="64" s="1"/>
  <c r="CX48" i="64" s="1"/>
  <c r="BW47" i="65"/>
  <c r="CQ48" i="64" s="1"/>
  <c r="CW48" i="64" s="1"/>
  <c r="CA46" i="65"/>
  <c r="CU47" i="64" s="1"/>
  <c r="DA47" i="64" s="1"/>
  <c r="BZ46" i="65"/>
  <c r="CT47" i="64" s="1"/>
  <c r="CZ47" i="64" s="1"/>
  <c r="BY46" i="65"/>
  <c r="CS47" i="64" s="1"/>
  <c r="CY47" i="64" s="1"/>
  <c r="BX46" i="65"/>
  <c r="CR47" i="64" s="1"/>
  <c r="CX47" i="64" s="1"/>
  <c r="BW46" i="65"/>
  <c r="CQ47" i="64" s="1"/>
  <c r="CW47" i="64" s="1"/>
  <c r="CA45" i="65"/>
  <c r="CU46" i="64" s="1"/>
  <c r="DA46" i="64" s="1"/>
  <c r="BZ45" i="65"/>
  <c r="CT46" i="64" s="1"/>
  <c r="CZ46" i="64" s="1"/>
  <c r="BY45" i="65"/>
  <c r="CS46" i="64" s="1"/>
  <c r="CY46" i="64" s="1"/>
  <c r="BX45" i="65"/>
  <c r="CR46" i="64" s="1"/>
  <c r="CX46" i="64" s="1"/>
  <c r="BW45" i="65"/>
  <c r="CQ46" i="64" s="1"/>
  <c r="CW46" i="64" s="1"/>
  <c r="CA44" i="65"/>
  <c r="CU45" i="64" s="1"/>
  <c r="DA45" i="64" s="1"/>
  <c r="BZ44" i="65"/>
  <c r="CT45" i="64" s="1"/>
  <c r="CZ45" i="64" s="1"/>
  <c r="BY44" i="65"/>
  <c r="CS45" i="64" s="1"/>
  <c r="CY45" i="64" s="1"/>
  <c r="BX44" i="65"/>
  <c r="CR45" i="64" s="1"/>
  <c r="CX45" i="64" s="1"/>
  <c r="BW44" i="65"/>
  <c r="CQ45" i="64" s="1"/>
  <c r="CW45" i="64" s="1"/>
  <c r="CA43" i="65"/>
  <c r="CU44" i="64" s="1"/>
  <c r="DA44" i="64" s="1"/>
  <c r="BZ43" i="65"/>
  <c r="CT44" i="64" s="1"/>
  <c r="CZ44" i="64" s="1"/>
  <c r="BY43" i="65"/>
  <c r="CS44" i="64" s="1"/>
  <c r="CY44" i="64" s="1"/>
  <c r="BX43" i="65"/>
  <c r="CR44" i="64" s="1"/>
  <c r="CX44" i="64" s="1"/>
  <c r="BW43" i="65"/>
  <c r="CQ44" i="64" s="1"/>
  <c r="CW44" i="64" s="1"/>
  <c r="CA42" i="65"/>
  <c r="CU43" i="64" s="1"/>
  <c r="DA43" i="64" s="1"/>
  <c r="BZ42" i="65"/>
  <c r="CT43" i="64" s="1"/>
  <c r="CZ43" i="64" s="1"/>
  <c r="BY42" i="65"/>
  <c r="CS43" i="64" s="1"/>
  <c r="CY43" i="64" s="1"/>
  <c r="BX42" i="65"/>
  <c r="CR43" i="64" s="1"/>
  <c r="CX43" i="64" s="1"/>
  <c r="BW42" i="65"/>
  <c r="CQ43" i="64" s="1"/>
  <c r="CW43" i="64" s="1"/>
  <c r="CA41" i="65"/>
  <c r="CU42" i="64" s="1"/>
  <c r="DA42" i="64" s="1"/>
  <c r="BZ41" i="65"/>
  <c r="CT42" i="64" s="1"/>
  <c r="CZ42" i="64" s="1"/>
  <c r="BY41" i="65"/>
  <c r="CS42" i="64" s="1"/>
  <c r="CY42" i="64" s="1"/>
  <c r="BX41" i="65"/>
  <c r="CR42" i="64" s="1"/>
  <c r="CX42" i="64" s="1"/>
  <c r="BW41" i="65"/>
  <c r="CQ42" i="64" s="1"/>
  <c r="CW42" i="64" s="1"/>
  <c r="CA40" i="65"/>
  <c r="CU41" i="64" s="1"/>
  <c r="DA41" i="64" s="1"/>
  <c r="BZ40" i="65"/>
  <c r="CT41" i="64" s="1"/>
  <c r="CZ41" i="64" s="1"/>
  <c r="BY40" i="65"/>
  <c r="CS41" i="64" s="1"/>
  <c r="CY41" i="64" s="1"/>
  <c r="BX40" i="65"/>
  <c r="CR41" i="64" s="1"/>
  <c r="CX41" i="64" s="1"/>
  <c r="BW40" i="65"/>
  <c r="CQ41" i="64" s="1"/>
  <c r="CW41" i="64" s="1"/>
  <c r="CA39" i="65"/>
  <c r="CU40" i="64" s="1"/>
  <c r="DA40" i="64" s="1"/>
  <c r="BZ39" i="65"/>
  <c r="CT40" i="64" s="1"/>
  <c r="CZ40" i="64" s="1"/>
  <c r="BY39" i="65"/>
  <c r="CS40" i="64" s="1"/>
  <c r="CY40" i="64" s="1"/>
  <c r="BX39" i="65"/>
  <c r="CR40" i="64" s="1"/>
  <c r="CX40" i="64" s="1"/>
  <c r="BW39" i="65"/>
  <c r="CQ40" i="64" s="1"/>
  <c r="CW40" i="64" s="1"/>
  <c r="CA38" i="65"/>
  <c r="CU39" i="64" s="1"/>
  <c r="DA39" i="64" s="1"/>
  <c r="BZ38" i="65"/>
  <c r="CT39" i="64" s="1"/>
  <c r="CZ39" i="64" s="1"/>
  <c r="BY38" i="65"/>
  <c r="CS39" i="64" s="1"/>
  <c r="CY39" i="64" s="1"/>
  <c r="BX38" i="65"/>
  <c r="CR39" i="64" s="1"/>
  <c r="CX39" i="64" s="1"/>
  <c r="BW38" i="65"/>
  <c r="CQ39" i="64" s="1"/>
  <c r="CW39" i="64" s="1"/>
  <c r="CA36" i="65"/>
  <c r="CU37" i="64" s="1"/>
  <c r="DA37" i="64" s="1"/>
  <c r="BZ36" i="65"/>
  <c r="CT37" i="64" s="1"/>
  <c r="CZ37" i="64" s="1"/>
  <c r="BY36" i="65"/>
  <c r="CS37" i="64" s="1"/>
  <c r="CY37" i="64" s="1"/>
  <c r="BX36" i="65"/>
  <c r="CR37" i="64" s="1"/>
  <c r="CX37" i="64" s="1"/>
  <c r="BW36" i="65"/>
  <c r="CQ37" i="64" s="1"/>
  <c r="CW37" i="64" s="1"/>
  <c r="CA35" i="65"/>
  <c r="CU36" i="64" s="1"/>
  <c r="DA36" i="64" s="1"/>
  <c r="BZ35" i="65"/>
  <c r="CT36" i="64" s="1"/>
  <c r="CZ36" i="64" s="1"/>
  <c r="BY35" i="65"/>
  <c r="CS36" i="64" s="1"/>
  <c r="CY36" i="64" s="1"/>
  <c r="BX35" i="65"/>
  <c r="CR36" i="64" s="1"/>
  <c r="CX36" i="64" s="1"/>
  <c r="BW35" i="65"/>
  <c r="CQ36" i="64" s="1"/>
  <c r="CW36" i="64" s="1"/>
  <c r="CA34" i="65"/>
  <c r="CU35" i="64" s="1"/>
  <c r="DA35" i="64" s="1"/>
  <c r="BZ34" i="65"/>
  <c r="CT35" i="64" s="1"/>
  <c r="CZ35" i="64" s="1"/>
  <c r="BY34" i="65"/>
  <c r="CS35" i="64" s="1"/>
  <c r="CY35" i="64" s="1"/>
  <c r="BX34" i="65"/>
  <c r="CR35" i="64" s="1"/>
  <c r="CX35" i="64" s="1"/>
  <c r="BW34" i="65"/>
  <c r="CQ35" i="64" s="1"/>
  <c r="CW35" i="64" s="1"/>
  <c r="CA33" i="65"/>
  <c r="CU34" i="64" s="1"/>
  <c r="DA34" i="64" s="1"/>
  <c r="BZ33" i="65"/>
  <c r="CT34" i="64" s="1"/>
  <c r="CZ34" i="64" s="1"/>
  <c r="BY33" i="65"/>
  <c r="CS34" i="64" s="1"/>
  <c r="CY34" i="64" s="1"/>
  <c r="BX33" i="65"/>
  <c r="CR34" i="64" s="1"/>
  <c r="CX34" i="64" s="1"/>
  <c r="BW33" i="65"/>
  <c r="CQ34" i="64" s="1"/>
  <c r="CW34" i="64" s="1"/>
  <c r="CA32" i="65"/>
  <c r="CU33" i="64" s="1"/>
  <c r="DA33" i="64" s="1"/>
  <c r="BZ32" i="65"/>
  <c r="CT33" i="64" s="1"/>
  <c r="CZ33" i="64" s="1"/>
  <c r="BY32" i="65"/>
  <c r="CS33" i="64" s="1"/>
  <c r="CY33" i="64" s="1"/>
  <c r="BX32" i="65"/>
  <c r="CR33" i="64" s="1"/>
  <c r="CX33" i="64" s="1"/>
  <c r="BW32" i="65"/>
  <c r="CQ33" i="64" s="1"/>
  <c r="CW33" i="64" s="1"/>
  <c r="CA31" i="65"/>
  <c r="CU32" i="64" s="1"/>
  <c r="DA32" i="64" s="1"/>
  <c r="BZ31" i="65"/>
  <c r="CT32" i="64" s="1"/>
  <c r="CZ32" i="64" s="1"/>
  <c r="BY31" i="65"/>
  <c r="CS32" i="64" s="1"/>
  <c r="CY32" i="64" s="1"/>
  <c r="BX31" i="65"/>
  <c r="CR32" i="64" s="1"/>
  <c r="CX32" i="64" s="1"/>
  <c r="BW31" i="65"/>
  <c r="CQ32" i="64" s="1"/>
  <c r="CW32" i="64" s="1"/>
  <c r="CA30" i="65"/>
  <c r="CU31" i="64" s="1"/>
  <c r="DA31" i="64" s="1"/>
  <c r="BZ30" i="65"/>
  <c r="CT31" i="64" s="1"/>
  <c r="CZ31" i="64" s="1"/>
  <c r="BY30" i="65"/>
  <c r="CS31" i="64" s="1"/>
  <c r="CY31" i="64" s="1"/>
  <c r="BX30" i="65"/>
  <c r="CR31" i="64" s="1"/>
  <c r="CX31" i="64" s="1"/>
  <c r="BW30" i="65"/>
  <c r="CQ31" i="64" s="1"/>
  <c r="CW31" i="64" s="1"/>
  <c r="CA29" i="65"/>
  <c r="CU30" i="64" s="1"/>
  <c r="DA30" i="64" s="1"/>
  <c r="BZ29" i="65"/>
  <c r="CT30" i="64" s="1"/>
  <c r="CZ30" i="64" s="1"/>
  <c r="BY29" i="65"/>
  <c r="CS30" i="64" s="1"/>
  <c r="CY30" i="64" s="1"/>
  <c r="BX29" i="65"/>
  <c r="CR30" i="64" s="1"/>
  <c r="CX30" i="64" s="1"/>
  <c r="BW29" i="65"/>
  <c r="CQ30" i="64" s="1"/>
  <c r="CW30" i="64" s="1"/>
  <c r="CA28" i="65"/>
  <c r="CU29" i="64" s="1"/>
  <c r="DA29" i="64" s="1"/>
  <c r="BZ28" i="65"/>
  <c r="CT29" i="64" s="1"/>
  <c r="CZ29" i="64" s="1"/>
  <c r="BY28" i="65"/>
  <c r="CS29" i="64" s="1"/>
  <c r="CY29" i="64" s="1"/>
  <c r="BX28" i="65"/>
  <c r="CR29" i="64" s="1"/>
  <c r="CX29" i="64" s="1"/>
  <c r="BW28" i="65"/>
  <c r="CQ29" i="64" s="1"/>
  <c r="CW29" i="64" s="1"/>
  <c r="CA27" i="65"/>
  <c r="CU28" i="64" s="1"/>
  <c r="DA28" i="64" s="1"/>
  <c r="BZ27" i="65"/>
  <c r="CT28" i="64" s="1"/>
  <c r="CZ28" i="64" s="1"/>
  <c r="BY27" i="65"/>
  <c r="CS28" i="64" s="1"/>
  <c r="CY28" i="64" s="1"/>
  <c r="BX27" i="65"/>
  <c r="CR28" i="64" s="1"/>
  <c r="CX28" i="64" s="1"/>
  <c r="BW27" i="65"/>
  <c r="CQ28" i="64" s="1"/>
  <c r="CW28" i="64" s="1"/>
  <c r="CA25" i="65"/>
  <c r="CU26" i="64" s="1"/>
  <c r="DA26" i="64" s="1"/>
  <c r="BZ25" i="65"/>
  <c r="CT26" i="64" s="1"/>
  <c r="CZ26" i="64" s="1"/>
  <c r="BY25" i="65"/>
  <c r="CS26" i="64" s="1"/>
  <c r="CY26" i="64" s="1"/>
  <c r="BX25" i="65"/>
  <c r="CR26" i="64" s="1"/>
  <c r="CX26" i="64" s="1"/>
  <c r="BW25" i="65"/>
  <c r="CQ26" i="64" s="1"/>
  <c r="CW26" i="64" s="1"/>
  <c r="CA24" i="65"/>
  <c r="CU25" i="64" s="1"/>
  <c r="DA25" i="64" s="1"/>
  <c r="BZ24" i="65"/>
  <c r="CT25" i="64" s="1"/>
  <c r="CZ25" i="64" s="1"/>
  <c r="BY24" i="65"/>
  <c r="CS25" i="64" s="1"/>
  <c r="CY25" i="64" s="1"/>
  <c r="BX24" i="65"/>
  <c r="CR25" i="64" s="1"/>
  <c r="CX25" i="64" s="1"/>
  <c r="BW24" i="65"/>
  <c r="CQ25" i="64" s="1"/>
  <c r="CW25" i="64" s="1"/>
  <c r="CA23" i="65"/>
  <c r="CU24" i="64" s="1"/>
  <c r="DA24" i="64" s="1"/>
  <c r="BZ23" i="65"/>
  <c r="CT24" i="64" s="1"/>
  <c r="CZ24" i="64" s="1"/>
  <c r="BY23" i="65"/>
  <c r="CS24" i="64" s="1"/>
  <c r="CY24" i="64" s="1"/>
  <c r="BX23" i="65"/>
  <c r="CR24" i="64" s="1"/>
  <c r="CX24" i="64" s="1"/>
  <c r="BW23" i="65"/>
  <c r="CQ24" i="64" s="1"/>
  <c r="CW24" i="64" s="1"/>
  <c r="CA22" i="65"/>
  <c r="CU23" i="64" s="1"/>
  <c r="DA23" i="64" s="1"/>
  <c r="BZ22" i="65"/>
  <c r="CT23" i="64" s="1"/>
  <c r="CZ23" i="64" s="1"/>
  <c r="BY22" i="65"/>
  <c r="CS23" i="64" s="1"/>
  <c r="CY23" i="64" s="1"/>
  <c r="BX22" i="65"/>
  <c r="CR23" i="64" s="1"/>
  <c r="CX23" i="64" s="1"/>
  <c r="BW22" i="65"/>
  <c r="CQ23" i="64" s="1"/>
  <c r="CW23" i="64" s="1"/>
  <c r="CA21" i="65"/>
  <c r="CU22" i="64" s="1"/>
  <c r="DA22" i="64" s="1"/>
  <c r="BZ21" i="65"/>
  <c r="CT22" i="64" s="1"/>
  <c r="CZ22" i="64" s="1"/>
  <c r="BY21" i="65"/>
  <c r="CS22" i="64" s="1"/>
  <c r="CY22" i="64" s="1"/>
  <c r="BX21" i="65"/>
  <c r="CR22" i="64" s="1"/>
  <c r="CX22" i="64" s="1"/>
  <c r="BW21" i="65"/>
  <c r="CQ22" i="64" s="1"/>
  <c r="CW22" i="64" s="1"/>
  <c r="CA20" i="65"/>
  <c r="CU21" i="64" s="1"/>
  <c r="DA21" i="64" s="1"/>
  <c r="BZ20" i="65"/>
  <c r="CT21" i="64" s="1"/>
  <c r="CZ21" i="64" s="1"/>
  <c r="BY20" i="65"/>
  <c r="CS21" i="64" s="1"/>
  <c r="CY21" i="64" s="1"/>
  <c r="BX20" i="65"/>
  <c r="CR21" i="64" s="1"/>
  <c r="CX21" i="64" s="1"/>
  <c r="BW20" i="65"/>
  <c r="CQ21" i="64" s="1"/>
  <c r="CW21" i="64" s="1"/>
  <c r="CA19" i="65"/>
  <c r="CU20" i="64" s="1"/>
  <c r="DA20" i="64" s="1"/>
  <c r="BZ19" i="65"/>
  <c r="CT20" i="64" s="1"/>
  <c r="CZ20" i="64" s="1"/>
  <c r="BY19" i="65"/>
  <c r="CS20" i="64" s="1"/>
  <c r="CY20" i="64" s="1"/>
  <c r="BX19" i="65"/>
  <c r="CR20" i="64" s="1"/>
  <c r="CX20" i="64" s="1"/>
  <c r="BW19" i="65"/>
  <c r="CQ20" i="64" s="1"/>
  <c r="CW20" i="64" s="1"/>
  <c r="CA18" i="65"/>
  <c r="CU19" i="64" s="1"/>
  <c r="DA19" i="64" s="1"/>
  <c r="BZ18" i="65"/>
  <c r="CT19" i="64" s="1"/>
  <c r="CZ19" i="64" s="1"/>
  <c r="BY18" i="65"/>
  <c r="CS19" i="64" s="1"/>
  <c r="CY19" i="64" s="1"/>
  <c r="BX18" i="65"/>
  <c r="CR19" i="64" s="1"/>
  <c r="CX19" i="64" s="1"/>
  <c r="BW18" i="65"/>
  <c r="CQ19" i="64" s="1"/>
  <c r="CW19" i="64" s="1"/>
  <c r="CA17" i="65"/>
  <c r="CU18" i="64" s="1"/>
  <c r="DA18" i="64" s="1"/>
  <c r="BZ17" i="65"/>
  <c r="CT18" i="64" s="1"/>
  <c r="CZ18" i="64" s="1"/>
  <c r="BY17" i="65"/>
  <c r="CS18" i="64" s="1"/>
  <c r="CY18" i="64" s="1"/>
  <c r="BX17" i="65"/>
  <c r="CR18" i="64" s="1"/>
  <c r="CX18" i="64" s="1"/>
  <c r="BW17" i="65"/>
  <c r="CQ18" i="64" s="1"/>
  <c r="CW18" i="64" s="1"/>
  <c r="CA15" i="65"/>
  <c r="CU16" i="64" s="1"/>
  <c r="DA16" i="64" s="1"/>
  <c r="BZ15" i="65"/>
  <c r="CT16" i="64" s="1"/>
  <c r="CZ16" i="64" s="1"/>
  <c r="BY15" i="65"/>
  <c r="CS16" i="64" s="1"/>
  <c r="CY16" i="64" s="1"/>
  <c r="BX15" i="65"/>
  <c r="CR16" i="64" s="1"/>
  <c r="CX16" i="64" s="1"/>
  <c r="BW15" i="65"/>
  <c r="CQ16" i="64" s="1"/>
  <c r="CW16" i="64" s="1"/>
  <c r="CA14" i="65"/>
  <c r="CU15" i="64" s="1"/>
  <c r="DA15" i="64" s="1"/>
  <c r="BZ14" i="65"/>
  <c r="CT15" i="64" s="1"/>
  <c r="CZ15" i="64" s="1"/>
  <c r="BY14" i="65"/>
  <c r="CS15" i="64" s="1"/>
  <c r="CY15" i="64" s="1"/>
  <c r="BX14" i="65"/>
  <c r="CR15" i="64" s="1"/>
  <c r="CX15" i="64" s="1"/>
  <c r="BW14" i="65"/>
  <c r="CQ15" i="64" s="1"/>
  <c r="CW15" i="64" s="1"/>
  <c r="CA13" i="65"/>
  <c r="CU14" i="64" s="1"/>
  <c r="DA14" i="64" s="1"/>
  <c r="BZ13" i="65"/>
  <c r="CT14" i="64" s="1"/>
  <c r="CZ14" i="64" s="1"/>
  <c r="BY13" i="65"/>
  <c r="CS14" i="64" s="1"/>
  <c r="CY14" i="64" s="1"/>
  <c r="BX13" i="65"/>
  <c r="CR14" i="64" s="1"/>
  <c r="CX14" i="64" s="1"/>
  <c r="BW13" i="65"/>
  <c r="CQ14" i="64" s="1"/>
  <c r="CW14" i="64" s="1"/>
  <c r="CA12" i="65"/>
  <c r="CU13" i="64" s="1"/>
  <c r="DA13" i="64" s="1"/>
  <c r="BZ12" i="65"/>
  <c r="CT13" i="64" s="1"/>
  <c r="CZ13" i="64" s="1"/>
  <c r="BY12" i="65"/>
  <c r="CS13" i="64" s="1"/>
  <c r="CY13" i="64" s="1"/>
  <c r="BX12" i="65"/>
  <c r="CR13" i="64" s="1"/>
  <c r="CX13" i="64" s="1"/>
  <c r="BW12" i="65"/>
  <c r="CQ13" i="64" s="1"/>
  <c r="CW13" i="64" s="1"/>
  <c r="CA11" i="65"/>
  <c r="CU12" i="64" s="1"/>
  <c r="DA12" i="64" s="1"/>
  <c r="BZ11" i="65"/>
  <c r="CT12" i="64" s="1"/>
  <c r="CZ12" i="64" s="1"/>
  <c r="BY11" i="65"/>
  <c r="CS12" i="64" s="1"/>
  <c r="CY12" i="64" s="1"/>
  <c r="BX11" i="65"/>
  <c r="CR12" i="64" s="1"/>
  <c r="CX12" i="64" s="1"/>
  <c r="BW11" i="65"/>
  <c r="CQ12" i="64" s="1"/>
  <c r="CW12" i="64" s="1"/>
  <c r="CA10" i="65"/>
  <c r="CU11" i="64" s="1"/>
  <c r="DA11" i="64" s="1"/>
  <c r="BZ10" i="65"/>
  <c r="CT11" i="64" s="1"/>
  <c r="CZ11" i="64" s="1"/>
  <c r="BY10" i="65"/>
  <c r="CS11" i="64" s="1"/>
  <c r="CY11" i="64" s="1"/>
  <c r="BX10" i="65"/>
  <c r="CR11" i="64" s="1"/>
  <c r="CX11" i="64" s="1"/>
  <c r="BW10" i="65"/>
  <c r="CQ11" i="64" s="1"/>
  <c r="CW11" i="64" s="1"/>
  <c r="CA9" i="65"/>
  <c r="CU10" i="64" s="1"/>
  <c r="DA10" i="64" s="1"/>
  <c r="BZ9" i="65"/>
  <c r="CT10" i="64" s="1"/>
  <c r="CZ10" i="64" s="1"/>
  <c r="BY9" i="65"/>
  <c r="CS10" i="64" s="1"/>
  <c r="CY10" i="64" s="1"/>
  <c r="BX9" i="65"/>
  <c r="CR10" i="64" s="1"/>
  <c r="CX10" i="64" s="1"/>
  <c r="BW9" i="65"/>
  <c r="CQ10" i="64" s="1"/>
  <c r="CW10" i="64" s="1"/>
  <c r="CA8" i="65"/>
  <c r="CU9" i="64" s="1"/>
  <c r="DA9" i="64" s="1"/>
  <c r="BZ8" i="65"/>
  <c r="CT9" i="64" s="1"/>
  <c r="CZ9" i="64" s="1"/>
  <c r="BY8" i="65"/>
  <c r="CS9" i="64" s="1"/>
  <c r="CY9" i="64" s="1"/>
  <c r="BX8" i="65"/>
  <c r="CR9" i="64" s="1"/>
  <c r="CX9" i="64" s="1"/>
  <c r="BW8" i="65"/>
  <c r="CQ9" i="64" s="1"/>
  <c r="CW9" i="64" s="1"/>
  <c r="CA7" i="65"/>
  <c r="CU8" i="64" s="1"/>
  <c r="DA8" i="64" s="1"/>
  <c r="BZ7" i="65"/>
  <c r="CT8" i="64" s="1"/>
  <c r="CZ8" i="64" s="1"/>
  <c r="BY7" i="65"/>
  <c r="CS8" i="64" s="1"/>
  <c r="CY8" i="64" s="1"/>
  <c r="BX7" i="65"/>
  <c r="CR8" i="64" s="1"/>
  <c r="CX8" i="64" s="1"/>
  <c r="BW7" i="65"/>
  <c r="CQ8" i="64" s="1"/>
  <c r="CW8" i="64" s="1"/>
  <c r="CA6" i="65"/>
  <c r="CU7" i="64" s="1"/>
  <c r="DA7" i="64" s="1"/>
  <c r="BZ6" i="65"/>
  <c r="CT7" i="64" s="1"/>
  <c r="CZ7" i="64" s="1"/>
  <c r="BY6" i="65"/>
  <c r="CS7" i="64" s="1"/>
  <c r="CY7" i="64" s="1"/>
  <c r="BX6" i="65"/>
  <c r="CR7" i="64" s="1"/>
  <c r="CX7" i="64" s="1"/>
  <c r="BW6" i="65"/>
  <c r="CQ7" i="64" s="1"/>
  <c r="CW7" i="64" s="1"/>
  <c r="CA5" i="65"/>
  <c r="CU6" i="64" s="1"/>
  <c r="DA6" i="64" s="1"/>
  <c r="BZ5" i="65"/>
  <c r="CT6" i="64" s="1"/>
  <c r="CZ6" i="64" s="1"/>
  <c r="BY5" i="65"/>
  <c r="CS6" i="64" s="1"/>
  <c r="CY6" i="64" s="1"/>
  <c r="BX5" i="65"/>
  <c r="CR6" i="64" s="1"/>
  <c r="CX6" i="64" s="1"/>
  <c r="BW5" i="65"/>
  <c r="CQ6" i="64" s="1"/>
  <c r="CW6" i="64" s="1"/>
  <c r="CA4" i="65"/>
  <c r="CU5" i="64" s="1"/>
  <c r="DA5" i="64" s="1"/>
  <c r="BZ4" i="65"/>
  <c r="CT5" i="64" s="1"/>
  <c r="CZ5" i="64" s="1"/>
  <c r="BY4" i="65"/>
  <c r="CS5" i="64" s="1"/>
  <c r="CY5" i="64" s="1"/>
  <c r="BX4" i="65"/>
  <c r="CR5" i="64" s="1"/>
  <c r="CX5" i="64" s="1"/>
  <c r="BW4" i="65"/>
  <c r="CQ5" i="64" s="1"/>
  <c r="CW5" i="64" s="1"/>
  <c r="CA3" i="65"/>
  <c r="CU4" i="64" s="1"/>
  <c r="DA4" i="64" s="1"/>
  <c r="BZ3" i="65"/>
  <c r="CT4" i="64" s="1"/>
  <c r="CZ4" i="64" s="1"/>
  <c r="BY3" i="65"/>
  <c r="CS4" i="64" s="1"/>
  <c r="CY4" i="64" s="1"/>
  <c r="BX3" i="65"/>
  <c r="CR4" i="64" s="1"/>
  <c r="CX4" i="64" s="1"/>
  <c r="BW3" i="65"/>
  <c r="CQ4" i="64" s="1"/>
  <c r="CW4" i="64" s="1"/>
  <c r="AL75" i="17" l="1"/>
  <c r="AK75" i="17"/>
  <c r="AJ75"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E75" i="17"/>
  <c r="D75" i="17"/>
  <c r="AS87" i="1" l="1"/>
  <c r="AR87" i="1"/>
  <c r="AQ87" i="1"/>
  <c r="AQ73" i="1"/>
  <c r="AN5" i="17"/>
  <c r="AP10" i="17"/>
  <c r="AO33" i="17"/>
  <c r="AQ50" i="17"/>
  <c r="AN10" i="17"/>
  <c r="AP35" i="17"/>
  <c r="AQ51" i="17"/>
  <c r="AQ11" i="17"/>
  <c r="AQ14" i="17"/>
  <c r="AN66" i="17"/>
  <c r="AO12" i="17"/>
  <c r="AQ67" i="17"/>
  <c r="AQ71" i="17"/>
  <c r="AN50" i="17"/>
  <c r="AO25" i="17"/>
  <c r="AO55" i="17"/>
  <c r="AQ49" i="17"/>
  <c r="AQ17" i="17"/>
  <c r="AR35" i="17"/>
  <c r="AP12" i="17"/>
  <c r="AN46" i="17"/>
  <c r="AP28" i="17"/>
  <c r="AR10" i="17"/>
  <c r="AP42" i="17"/>
  <c r="AR22" i="17"/>
  <c r="AO4" i="17"/>
  <c r="AO9" i="17"/>
  <c r="AP30" i="17"/>
  <c r="AR14" i="17"/>
  <c r="AR21" i="17"/>
  <c r="AR3" i="17"/>
  <c r="AO64" i="17"/>
  <c r="AR50" i="17"/>
  <c r="AR56" i="17"/>
  <c r="AN67" i="17"/>
  <c r="AR24" i="17"/>
  <c r="AN56" i="17"/>
  <c r="AQ48" i="17"/>
  <c r="AO68" i="17"/>
  <c r="AN69" i="17"/>
  <c r="AN11" i="17"/>
  <c r="AP13" i="17"/>
  <c r="AR63" i="17"/>
  <c r="AN7" i="17"/>
  <c r="AO44" i="17"/>
  <c r="AO24" i="17"/>
  <c r="AR34" i="17"/>
  <c r="AN62" i="17"/>
  <c r="AQ5" i="17"/>
  <c r="AR20" i="17"/>
  <c r="AO34" i="17"/>
  <c r="AP61" i="17"/>
  <c r="AO70" i="17"/>
  <c r="AR49" i="17"/>
  <c r="AR65" i="17"/>
  <c r="AO17" i="17"/>
  <c r="AQ32" i="17"/>
  <c r="AO67" i="17"/>
  <c r="AR13" i="17"/>
  <c r="AQ22" i="17"/>
  <c r="AP68" i="17"/>
  <c r="AP31" i="17"/>
  <c r="AP60" i="17"/>
  <c r="AP72" i="17"/>
  <c r="AN45" i="17"/>
  <c r="AO57" i="17"/>
  <c r="AP27" i="17"/>
  <c r="AQ9" i="17"/>
  <c r="AN29" i="17"/>
  <c r="AR42" i="17"/>
  <c r="AN53" i="17"/>
  <c r="AQ20" i="17"/>
  <c r="AP69" i="17"/>
  <c r="AN37" i="17"/>
  <c r="AN23" i="17"/>
  <c r="AO45" i="17"/>
  <c r="AR43" i="17"/>
  <c r="AR7" i="17"/>
  <c r="AR51" i="17"/>
  <c r="AQ4" i="17"/>
  <c r="AO53" i="17"/>
  <c r="AR38" i="17"/>
  <c r="AQ45" i="17"/>
  <c r="AO10" i="17"/>
  <c r="AN28" i="17"/>
  <c r="AO63" i="17"/>
  <c r="AQ42" i="17"/>
  <c r="AP39" i="17"/>
  <c r="AQ62" i="17"/>
  <c r="AP38" i="17"/>
  <c r="AN38" i="17"/>
  <c r="AO14" i="17"/>
  <c r="AR44" i="17"/>
  <c r="AQ8" i="17"/>
  <c r="AP15" i="17"/>
  <c r="AN35" i="17"/>
  <c r="AQ23" i="17"/>
  <c r="AN25" i="17"/>
  <c r="AQ15" i="17"/>
  <c r="AP44" i="17"/>
  <c r="AP21" i="17"/>
  <c r="AQ38" i="17"/>
  <c r="AR19" i="17"/>
  <c r="AP55" i="17"/>
  <c r="AR41" i="17"/>
  <c r="AN33" i="17"/>
  <c r="AQ27" i="17"/>
  <c r="AP43" i="17"/>
  <c r="AP34" i="17"/>
  <c r="AR67" i="17"/>
  <c r="AO29" i="17"/>
  <c r="AQ44" i="17"/>
  <c r="AN70" i="17"/>
  <c r="AQ52" i="17"/>
  <c r="AR8" i="17"/>
  <c r="AO58" i="17"/>
  <c r="AR48" i="17"/>
  <c r="AP70" i="17"/>
  <c r="AN51" i="17"/>
  <c r="AR64" i="17"/>
  <c r="AO28" i="17"/>
  <c r="AN60" i="17"/>
  <c r="AQ21" i="17"/>
  <c r="AR62" i="17"/>
  <c r="AP17" i="17"/>
  <c r="AQ12" i="17"/>
  <c r="AP4" i="17"/>
  <c r="AR57" i="17"/>
  <c r="AN3" i="17"/>
  <c r="AP46" i="17"/>
  <c r="AQ64" i="17"/>
  <c r="AN8" i="17"/>
  <c r="AQ65" i="17"/>
  <c r="AP18" i="17"/>
  <c r="AQ7" i="17"/>
  <c r="AR11" i="17"/>
  <c r="AQ39" i="17"/>
  <c r="AN55" i="17"/>
  <c r="AP23" i="17"/>
  <c r="AO60" i="17"/>
  <c r="AP29" i="17"/>
  <c r="AN63" i="17"/>
  <c r="AQ69" i="17"/>
  <c r="AP14" i="17"/>
  <c r="AO69" i="17"/>
  <c r="AN49" i="17"/>
  <c r="AN15" i="17"/>
  <c r="AR40" i="17"/>
  <c r="AQ72" i="17"/>
  <c r="AN52" i="17"/>
  <c r="AO61" i="17"/>
  <c r="AO18" i="17"/>
  <c r="AN59" i="17"/>
  <c r="AO20" i="17"/>
  <c r="AP67" i="17"/>
  <c r="AQ70" i="17"/>
  <c r="AR12" i="17"/>
  <c r="AP33" i="17"/>
  <c r="AN20" i="17"/>
  <c r="AN72" i="17"/>
  <c r="AP20" i="17"/>
  <c r="AR68" i="17"/>
  <c r="AQ29" i="17"/>
  <c r="AR32" i="17"/>
  <c r="AO22" i="17"/>
  <c r="AP40" i="17"/>
  <c r="AQ35" i="17"/>
  <c r="AP71" i="17"/>
  <c r="AO59" i="17"/>
  <c r="AN24" i="17"/>
  <c r="AO42" i="17"/>
  <c r="AN65" i="17"/>
  <c r="AQ66" i="17"/>
  <c r="AN42" i="17"/>
  <c r="AN43" i="17"/>
  <c r="AN31" i="17"/>
  <c r="AP41" i="17"/>
  <c r="AR45" i="17"/>
  <c r="AP53" i="17"/>
  <c r="AP57" i="17"/>
  <c r="AR58" i="17"/>
  <c r="AO52" i="17"/>
  <c r="AN39" i="17"/>
  <c r="AP45" i="17"/>
  <c r="AO35" i="17"/>
  <c r="AQ3" i="17"/>
  <c r="AR69" i="17"/>
  <c r="AP51" i="17"/>
  <c r="AO13" i="17"/>
  <c r="AR18" i="17"/>
  <c r="AQ53" i="17"/>
  <c r="AO30" i="17"/>
  <c r="AO23" i="17"/>
  <c r="AN21" i="17"/>
  <c r="AN40" i="17"/>
  <c r="AP50" i="17"/>
  <c r="AO32" i="17"/>
  <c r="AN61" i="17"/>
  <c r="AQ24" i="17"/>
  <c r="AO15" i="17"/>
  <c r="AR25" i="17"/>
  <c r="AQ25" i="17"/>
  <c r="AR29" i="17"/>
  <c r="AR61" i="17"/>
  <c r="AQ19" i="17"/>
  <c r="AR4" i="17"/>
  <c r="AQ56" i="17"/>
  <c r="AP3" i="17"/>
  <c r="AP66" i="17"/>
  <c r="AO46" i="17"/>
  <c r="AP22" i="17"/>
  <c r="AR52" i="17"/>
  <c r="AN48" i="17"/>
  <c r="AP58" i="17"/>
  <c r="AN44" i="17"/>
  <c r="AO8" i="17"/>
  <c r="AQ61" i="17"/>
  <c r="AN12" i="17"/>
  <c r="AO43" i="17"/>
  <c r="AP19" i="17"/>
  <c r="AO21" i="17"/>
  <c r="AP8" i="17"/>
  <c r="AR37" i="17"/>
  <c r="AR6" i="17"/>
  <c r="AQ34" i="17"/>
  <c r="AO5" i="17"/>
  <c r="AN64" i="17"/>
  <c r="AQ63" i="17"/>
  <c r="AN13" i="17"/>
  <c r="AR23" i="17"/>
  <c r="AN14" i="17"/>
  <c r="AQ60" i="17"/>
  <c r="AN6" i="17"/>
  <c r="AQ33" i="17"/>
  <c r="AQ10" i="17"/>
  <c r="AP65" i="17"/>
  <c r="AO6" i="17"/>
  <c r="AO56" i="17"/>
  <c r="AO7" i="17"/>
  <c r="AO72" i="17"/>
  <c r="AN18" i="17"/>
  <c r="AO38" i="17"/>
  <c r="AO50" i="17"/>
  <c r="AN57" i="17"/>
  <c r="AR71" i="17"/>
  <c r="AQ55" i="17"/>
  <c r="AN9" i="17"/>
  <c r="AN41" i="17"/>
  <c r="AQ28" i="17"/>
  <c r="AQ31" i="17"/>
  <c r="AO66" i="17"/>
  <c r="AR53" i="17"/>
  <c r="AQ41" i="17"/>
  <c r="AP52" i="17"/>
  <c r="AO49" i="17"/>
  <c r="AN27" i="17"/>
  <c r="AP37" i="17"/>
  <c r="AR33" i="17"/>
  <c r="AR46" i="17"/>
  <c r="AP49" i="17"/>
  <c r="AQ18" i="17"/>
  <c r="AN58" i="17"/>
  <c r="AO65" i="17"/>
  <c r="AQ46" i="17"/>
  <c r="AO11" i="17"/>
  <c r="AO48" i="17"/>
  <c r="AQ6" i="17"/>
  <c r="AR31" i="17"/>
  <c r="AO27" i="17"/>
  <c r="AR17" i="17"/>
  <c r="AP62" i="17"/>
  <c r="AN17" i="17"/>
  <c r="AR28" i="17"/>
  <c r="AQ40" i="17"/>
  <c r="AQ59" i="17"/>
  <c r="AP6" i="17"/>
  <c r="AR15" i="17"/>
  <c r="AR59" i="17"/>
  <c r="AP59" i="17"/>
  <c r="AQ58" i="17"/>
  <c r="AQ13" i="17"/>
  <c r="AN68" i="17"/>
  <c r="AP11" i="17"/>
  <c r="AR55" i="17"/>
  <c r="AO40" i="17"/>
  <c r="AN32" i="17"/>
  <c r="AN71" i="17"/>
  <c r="AN19" i="17"/>
  <c r="AQ30" i="17"/>
  <c r="AQ43" i="17"/>
  <c r="AP64" i="17"/>
  <c r="AR30" i="17"/>
  <c r="AO41" i="17"/>
  <c r="AR5" i="17"/>
  <c r="AP5" i="17"/>
  <c r="AO37" i="17"/>
  <c r="AP24" i="17"/>
  <c r="AQ68" i="17"/>
  <c r="AP9" i="17"/>
  <c r="AP25" i="17"/>
  <c r="AQ57" i="17"/>
  <c r="AR39" i="17"/>
  <c r="AN34" i="17"/>
  <c r="AN22" i="17"/>
  <c r="AN30" i="17"/>
  <c r="AO31" i="17"/>
  <c r="AO19" i="17"/>
  <c r="AR66" i="17"/>
  <c r="AN4" i="17"/>
  <c r="AR9" i="17"/>
  <c r="AQ37" i="17"/>
  <c r="AO71" i="17"/>
  <c r="AP63" i="17"/>
  <c r="AP32" i="17"/>
  <c r="AR60" i="17"/>
  <c r="AR70" i="17"/>
  <c r="AP48" i="17"/>
  <c r="AP7" i="17"/>
  <c r="AR72" i="17"/>
  <c r="AO3" i="17"/>
  <c r="AO62" i="17"/>
  <c r="AO51" i="17"/>
  <c r="AP56" i="17"/>
  <c r="AR27" i="17"/>
  <c r="AO39" i="17"/>
  <c r="AN79" i="1" l="1"/>
  <c r="AM79" i="1"/>
  <c r="AL79" i="1"/>
  <c r="AK79" i="1"/>
  <c r="AJ79" i="1"/>
  <c r="AI79" i="1"/>
  <c r="AH79" i="1"/>
  <c r="AG79" i="1"/>
  <c r="AF79" i="1"/>
  <c r="AE79" i="1"/>
  <c r="AD79" i="1"/>
  <c r="AC79" i="1"/>
  <c r="AB79" i="1"/>
  <c r="AA79" i="1"/>
  <c r="Z79" i="1"/>
  <c r="Y79" i="1"/>
  <c r="X79" i="1"/>
  <c r="W79" i="1"/>
  <c r="V79" i="1"/>
  <c r="U79" i="1"/>
  <c r="T79" i="1"/>
  <c r="S79" i="1"/>
  <c r="R79" i="1"/>
  <c r="Q79" i="1"/>
  <c r="P79" i="1"/>
  <c r="O79" i="1"/>
  <c r="N79" i="1"/>
  <c r="M79" i="1"/>
  <c r="L79" i="1"/>
  <c r="K79" i="1"/>
  <c r="J79" i="1"/>
  <c r="I79" i="1"/>
  <c r="H79" i="1"/>
  <c r="G79" i="1"/>
  <c r="F79" i="1"/>
  <c r="AN78" i="1"/>
  <c r="AM78" i="1"/>
  <c r="AL78" i="1"/>
  <c r="AK78" i="1"/>
  <c r="AJ78" i="1"/>
  <c r="AI78" i="1"/>
  <c r="AH78" i="1"/>
  <c r="AG78" i="1"/>
  <c r="AF78" i="1"/>
  <c r="AE78" i="1"/>
  <c r="AD78" i="1"/>
  <c r="AC78" i="1"/>
  <c r="AB78" i="1"/>
  <c r="AA78" i="1"/>
  <c r="Z78" i="1"/>
  <c r="Y78" i="1"/>
  <c r="X78" i="1"/>
  <c r="W78" i="1"/>
  <c r="V78" i="1"/>
  <c r="U78" i="1"/>
  <c r="T78" i="1"/>
  <c r="S78" i="1"/>
  <c r="R78" i="1"/>
  <c r="Q78" i="1"/>
  <c r="P78" i="1"/>
  <c r="O78" i="1"/>
  <c r="N78" i="1"/>
  <c r="M78" i="1"/>
  <c r="L78" i="1"/>
  <c r="K78" i="1"/>
  <c r="J78" i="1"/>
  <c r="I78" i="1"/>
  <c r="H78" i="1"/>
  <c r="AN77" i="1"/>
  <c r="AM77" i="1"/>
  <c r="AL77" i="1"/>
  <c r="AK77" i="1"/>
  <c r="AJ77" i="1"/>
  <c r="AI77" i="1"/>
  <c r="AG77" i="1"/>
  <c r="AF77" i="1"/>
  <c r="AE77" i="1"/>
  <c r="AD77" i="1"/>
  <c r="AC77" i="1"/>
  <c r="AB77" i="1"/>
  <c r="AA77" i="1"/>
  <c r="Z77" i="1"/>
  <c r="Y77" i="1"/>
  <c r="X77" i="1"/>
  <c r="W77" i="1"/>
  <c r="V77" i="1"/>
  <c r="U77" i="1"/>
  <c r="Q77" i="1"/>
  <c r="P77" i="1"/>
  <c r="O77" i="1"/>
  <c r="N77" i="1"/>
  <c r="J77" i="1"/>
  <c r="I77" i="1"/>
  <c r="H77" i="1"/>
  <c r="AN75" i="1"/>
  <c r="AM75" i="1"/>
  <c r="AL75" i="1"/>
  <c r="AK75" i="1"/>
  <c r="AJ75" i="1"/>
  <c r="AI75" i="1"/>
  <c r="AH75" i="1"/>
  <c r="AG75" i="1"/>
  <c r="AF75" i="1"/>
  <c r="AE75" i="1"/>
  <c r="AD75" i="1"/>
  <c r="AC75" i="1"/>
  <c r="AB75" i="1"/>
  <c r="AA75" i="1"/>
  <c r="Z75" i="1"/>
  <c r="Y75" i="1"/>
  <c r="X75" i="1"/>
  <c r="W75" i="1"/>
  <c r="V75" i="1"/>
  <c r="U75" i="1"/>
  <c r="T75" i="1"/>
  <c r="S75" i="1"/>
  <c r="Q75" i="1"/>
  <c r="P75" i="1"/>
  <c r="O75" i="1"/>
  <c r="N75" i="1"/>
  <c r="K75" i="1"/>
  <c r="J75" i="1"/>
  <c r="I75" i="1"/>
  <c r="H75" i="1"/>
  <c r="AM76" i="1"/>
  <c r="AL76" i="1"/>
  <c r="AJ76" i="1"/>
  <c r="AI76" i="1"/>
  <c r="AE76" i="1"/>
  <c r="AD76" i="1"/>
  <c r="AG76" i="1"/>
  <c r="AF76" i="1"/>
  <c r="AC76" i="1"/>
  <c r="AB76" i="1"/>
  <c r="AA76" i="1"/>
  <c r="Z76" i="1"/>
  <c r="Y76" i="1"/>
  <c r="X76" i="1"/>
  <c r="W76" i="1"/>
  <c r="V76" i="1"/>
  <c r="U76" i="1"/>
  <c r="S76" i="1"/>
  <c r="R76" i="1"/>
  <c r="Q76" i="1"/>
  <c r="P76" i="1"/>
  <c r="O76" i="1"/>
  <c r="N76" i="1"/>
  <c r="J76" i="1"/>
  <c r="I76" i="1"/>
  <c r="H76" i="1"/>
  <c r="AM85" i="1" l="1"/>
  <c r="AM81" i="1"/>
  <c r="AG81" i="1"/>
  <c r="AN85" i="1" l="1"/>
  <c r="AK85" i="1"/>
  <c r="AJ85" i="1"/>
  <c r="AI85" i="1"/>
  <c r="AH85" i="1"/>
  <c r="AF85" i="1"/>
  <c r="AE85" i="1"/>
  <c r="AD85" i="1"/>
  <c r="AC85" i="1"/>
  <c r="AB85" i="1"/>
  <c r="AA85" i="1"/>
  <c r="Z85" i="1"/>
  <c r="Y85" i="1"/>
  <c r="X85" i="1"/>
  <c r="W85" i="1"/>
  <c r="V85" i="1"/>
  <c r="U85" i="1"/>
  <c r="T85" i="1"/>
  <c r="S85" i="1"/>
  <c r="R85" i="1"/>
  <c r="Q85" i="1"/>
  <c r="P85" i="1"/>
  <c r="O85" i="1"/>
  <c r="N85" i="1"/>
  <c r="M85" i="1"/>
  <c r="L85" i="1"/>
  <c r="K85" i="1"/>
  <c r="J85" i="1"/>
  <c r="I85" i="1"/>
  <c r="H85" i="1"/>
  <c r="G85" i="1"/>
  <c r="F85" i="1"/>
  <c r="E85" i="1"/>
  <c r="D85" i="1"/>
  <c r="AL85" i="1"/>
  <c r="AL81" i="1"/>
  <c r="AT89" i="1"/>
  <c r="BF89" i="1" s="1"/>
  <c r="AS89" i="1"/>
  <c r="BE89" i="1" s="1"/>
  <c r="AR89" i="1"/>
  <c r="BD89" i="1" s="1"/>
  <c r="AQ89" i="1"/>
  <c r="BC89" i="1" s="1"/>
  <c r="AP89" i="1"/>
  <c r="BB89" i="1" s="1"/>
  <c r="AT88" i="1"/>
  <c r="BF88" i="1" s="1"/>
  <c r="AS88" i="1"/>
  <c r="BE88" i="1" s="1"/>
  <c r="AR88" i="1"/>
  <c r="BD88" i="1" s="1"/>
  <c r="AQ88" i="1"/>
  <c r="BC88" i="1" s="1"/>
  <c r="AP88" i="1"/>
  <c r="BB88" i="1" s="1"/>
  <c r="AT87" i="1"/>
  <c r="BF87" i="1" s="1"/>
  <c r="BE87" i="1"/>
  <c r="BD87" i="1"/>
  <c r="BC87" i="1"/>
  <c r="AP87" i="1"/>
  <c r="BB87" i="1" s="1"/>
  <c r="I81" i="1"/>
  <c r="AP26" i="1" l="1"/>
  <c r="BB26" i="1" s="1"/>
  <c r="AQ26" i="1"/>
  <c r="BC26" i="1" s="1"/>
  <c r="AR26" i="1"/>
  <c r="BD26" i="1" s="1"/>
  <c r="AS26" i="1"/>
  <c r="BE26" i="1" s="1"/>
  <c r="AT26" i="1"/>
  <c r="BF26" i="1" s="1"/>
  <c r="AP54" i="1" l="1"/>
  <c r="BB54" i="1" s="1"/>
  <c r="AQ54" i="1"/>
  <c r="BC54" i="1" s="1"/>
  <c r="AR54" i="1"/>
  <c r="BD54" i="1" s="1"/>
  <c r="AS54" i="1"/>
  <c r="BE54" i="1" s="1"/>
  <c r="AT54" i="1"/>
  <c r="BF54" i="1" s="1"/>
  <c r="J81" i="1"/>
  <c r="AJ81" i="1" l="1"/>
  <c r="AI81" i="1"/>
  <c r="AF81" i="1"/>
  <c r="AE81" i="1"/>
  <c r="AD81" i="1"/>
  <c r="AC81" i="1"/>
  <c r="AB81" i="1"/>
  <c r="AA81" i="1"/>
  <c r="Z81" i="1"/>
  <c r="Y81" i="1"/>
  <c r="X81" i="1"/>
  <c r="W81" i="1"/>
  <c r="V81" i="1"/>
  <c r="U81" i="1"/>
  <c r="O81" i="1"/>
  <c r="H81" i="1"/>
  <c r="E79" i="1" l="1"/>
  <c r="D79" i="1"/>
  <c r="G78" i="1"/>
  <c r="F78" i="1"/>
  <c r="E78" i="1"/>
  <c r="D78" i="1"/>
  <c r="AH77" i="1"/>
  <c r="T77" i="1"/>
  <c r="S77" i="1"/>
  <c r="R77" i="1"/>
  <c r="M77" i="1"/>
  <c r="L77" i="1"/>
  <c r="K77" i="1"/>
  <c r="G77" i="1"/>
  <c r="F77" i="1"/>
  <c r="E77" i="1"/>
  <c r="D77" i="1"/>
  <c r="AN76" i="1"/>
  <c r="AK76" i="1"/>
  <c r="AH76" i="1"/>
  <c r="T76" i="1"/>
  <c r="M76" i="1"/>
  <c r="L76" i="1"/>
  <c r="K76" i="1"/>
  <c r="G76" i="1"/>
  <c r="F76" i="1"/>
  <c r="E76" i="1"/>
  <c r="D76" i="1"/>
  <c r="R75" i="1"/>
  <c r="M75" i="1"/>
  <c r="L75" i="1"/>
  <c r="G75" i="1"/>
  <c r="F75" i="1"/>
  <c r="E75" i="1"/>
  <c r="D75" i="1"/>
  <c r="AT74" i="1"/>
  <c r="BF74" i="1" s="1"/>
  <c r="AS74" i="1"/>
  <c r="BE74" i="1" s="1"/>
  <c r="AR74" i="1"/>
  <c r="BD74" i="1" s="1"/>
  <c r="AQ74" i="1"/>
  <c r="BC74" i="1" s="1"/>
  <c r="AP74" i="1"/>
  <c r="BB74" i="1" s="1"/>
  <c r="AT73" i="1"/>
  <c r="BF73" i="1" s="1"/>
  <c r="AS73" i="1"/>
  <c r="BE73" i="1" s="1"/>
  <c r="AR73" i="1"/>
  <c r="BD73" i="1" s="1"/>
  <c r="BC73" i="1"/>
  <c r="AP73" i="1"/>
  <c r="BB73" i="1" s="1"/>
  <c r="AT72" i="1"/>
  <c r="BF72" i="1" s="1"/>
  <c r="AS72" i="1"/>
  <c r="BE72" i="1" s="1"/>
  <c r="AR72" i="1"/>
  <c r="BD72" i="1" s="1"/>
  <c r="AQ72" i="1"/>
  <c r="BC72" i="1" s="1"/>
  <c r="AP72" i="1"/>
  <c r="BB72" i="1" s="1"/>
  <c r="AT71" i="1"/>
  <c r="BF71" i="1" s="1"/>
  <c r="AS71" i="1"/>
  <c r="BE71" i="1" s="1"/>
  <c r="AR71" i="1"/>
  <c r="BD71" i="1" s="1"/>
  <c r="AQ71" i="1"/>
  <c r="BC71" i="1" s="1"/>
  <c r="AP71" i="1"/>
  <c r="BB71" i="1" s="1"/>
  <c r="AT70" i="1"/>
  <c r="BF70" i="1" s="1"/>
  <c r="AS70" i="1"/>
  <c r="BE70" i="1" s="1"/>
  <c r="AR70" i="1"/>
  <c r="BD70" i="1" s="1"/>
  <c r="AQ70" i="1"/>
  <c r="BC70" i="1" s="1"/>
  <c r="AP70" i="1"/>
  <c r="BB70" i="1" s="1"/>
  <c r="AT69" i="1"/>
  <c r="BF69" i="1" s="1"/>
  <c r="AS69" i="1"/>
  <c r="BE69" i="1" s="1"/>
  <c r="AR69" i="1"/>
  <c r="BD69" i="1" s="1"/>
  <c r="AQ69" i="1"/>
  <c r="BC69" i="1" s="1"/>
  <c r="AP69" i="1"/>
  <c r="BB69" i="1" s="1"/>
  <c r="AT68" i="1"/>
  <c r="BF68" i="1" s="1"/>
  <c r="AS68" i="1"/>
  <c r="BE68" i="1" s="1"/>
  <c r="AR68" i="1"/>
  <c r="BD68" i="1" s="1"/>
  <c r="AQ68" i="1"/>
  <c r="BC68" i="1" s="1"/>
  <c r="AP68" i="1"/>
  <c r="BB68" i="1" s="1"/>
  <c r="AT67" i="1"/>
  <c r="BF67" i="1" s="1"/>
  <c r="AS67" i="1"/>
  <c r="BE67" i="1" s="1"/>
  <c r="AR67" i="1"/>
  <c r="BD67" i="1" s="1"/>
  <c r="AQ67" i="1"/>
  <c r="BC67" i="1" s="1"/>
  <c r="AP67" i="1"/>
  <c r="BB67" i="1" s="1"/>
  <c r="AT66" i="1"/>
  <c r="BF66" i="1" s="1"/>
  <c r="AS66" i="1"/>
  <c r="BE66" i="1" s="1"/>
  <c r="AR66" i="1"/>
  <c r="BD66" i="1" s="1"/>
  <c r="AQ66" i="1"/>
  <c r="BC66" i="1" s="1"/>
  <c r="AP66" i="1"/>
  <c r="BB66" i="1" s="1"/>
  <c r="AT65" i="1"/>
  <c r="BF65" i="1" s="1"/>
  <c r="AS65" i="1"/>
  <c r="BE65" i="1" s="1"/>
  <c r="AR65" i="1"/>
  <c r="BD65" i="1" s="1"/>
  <c r="AQ65" i="1"/>
  <c r="BC65" i="1" s="1"/>
  <c r="AP65" i="1"/>
  <c r="BB65" i="1" s="1"/>
  <c r="AT64" i="1"/>
  <c r="BF64" i="1" s="1"/>
  <c r="AS64" i="1"/>
  <c r="BE64" i="1" s="1"/>
  <c r="AR64" i="1"/>
  <c r="BD64" i="1" s="1"/>
  <c r="AQ64" i="1"/>
  <c r="BC64" i="1" s="1"/>
  <c r="AP64" i="1"/>
  <c r="BB64" i="1" s="1"/>
  <c r="AT63" i="1"/>
  <c r="BF63" i="1" s="1"/>
  <c r="AS63" i="1"/>
  <c r="BE63" i="1" s="1"/>
  <c r="AR63" i="1"/>
  <c r="BD63" i="1" s="1"/>
  <c r="AQ63" i="1"/>
  <c r="BC63" i="1" s="1"/>
  <c r="AP63" i="1"/>
  <c r="BB63" i="1" s="1"/>
  <c r="AT62" i="1"/>
  <c r="BF62" i="1" s="1"/>
  <c r="AS62" i="1"/>
  <c r="BE62" i="1" s="1"/>
  <c r="AR62" i="1"/>
  <c r="BD62" i="1" s="1"/>
  <c r="AQ62" i="1"/>
  <c r="BC62" i="1" s="1"/>
  <c r="AP62" i="1"/>
  <c r="BB62" i="1" s="1"/>
  <c r="AT61" i="1"/>
  <c r="BF61" i="1" s="1"/>
  <c r="AS61" i="1"/>
  <c r="BE61" i="1" s="1"/>
  <c r="AR61" i="1"/>
  <c r="BD61" i="1" s="1"/>
  <c r="AQ61" i="1"/>
  <c r="BC61" i="1" s="1"/>
  <c r="AP61" i="1"/>
  <c r="BB61" i="1" s="1"/>
  <c r="AT60" i="1"/>
  <c r="BF60" i="1" s="1"/>
  <c r="AS60" i="1"/>
  <c r="BE60" i="1" s="1"/>
  <c r="AR60" i="1"/>
  <c r="BD60" i="1" s="1"/>
  <c r="AQ60" i="1"/>
  <c r="BC60" i="1" s="1"/>
  <c r="AP60" i="1"/>
  <c r="BB60" i="1" s="1"/>
  <c r="AT59" i="1"/>
  <c r="BF59" i="1" s="1"/>
  <c r="AS59" i="1"/>
  <c r="BE59" i="1" s="1"/>
  <c r="AR59" i="1"/>
  <c r="BD59" i="1" s="1"/>
  <c r="AQ59" i="1"/>
  <c r="BC59" i="1" s="1"/>
  <c r="AP59" i="1"/>
  <c r="BB59" i="1" s="1"/>
  <c r="AT58" i="1"/>
  <c r="BF58" i="1" s="1"/>
  <c r="AS58" i="1"/>
  <c r="BE58" i="1" s="1"/>
  <c r="AR58" i="1"/>
  <c r="BD58" i="1" s="1"/>
  <c r="AQ58" i="1"/>
  <c r="BC58" i="1" s="1"/>
  <c r="AP58" i="1"/>
  <c r="BB58" i="1" s="1"/>
  <c r="AT57" i="1"/>
  <c r="BF57" i="1" s="1"/>
  <c r="AS57" i="1"/>
  <c r="BE57" i="1" s="1"/>
  <c r="AR57" i="1"/>
  <c r="BD57" i="1" s="1"/>
  <c r="AQ57" i="1"/>
  <c r="BC57" i="1" s="1"/>
  <c r="AP57" i="1"/>
  <c r="BB57" i="1" s="1"/>
  <c r="AT56" i="1"/>
  <c r="BF56" i="1" s="1"/>
  <c r="AS56" i="1"/>
  <c r="BE56" i="1" s="1"/>
  <c r="AR56" i="1"/>
  <c r="BD56" i="1" s="1"/>
  <c r="AQ56" i="1"/>
  <c r="BC56" i="1" s="1"/>
  <c r="AP56" i="1"/>
  <c r="BB56" i="1" s="1"/>
  <c r="AT55" i="1"/>
  <c r="BF55" i="1" s="1"/>
  <c r="AS55" i="1"/>
  <c r="BE55" i="1" s="1"/>
  <c r="AR55" i="1"/>
  <c r="BD55" i="1" s="1"/>
  <c r="AQ55" i="1"/>
  <c r="BC55" i="1" s="1"/>
  <c r="AP55" i="1"/>
  <c r="BB55" i="1" s="1"/>
  <c r="AT53" i="1"/>
  <c r="BF53" i="1" s="1"/>
  <c r="AS53" i="1"/>
  <c r="BE53" i="1" s="1"/>
  <c r="AR53" i="1"/>
  <c r="BD53" i="1" s="1"/>
  <c r="AQ53" i="1"/>
  <c r="BC53" i="1" s="1"/>
  <c r="AP53" i="1"/>
  <c r="BB53" i="1" s="1"/>
  <c r="AT52" i="1"/>
  <c r="BF52" i="1" s="1"/>
  <c r="AS52" i="1"/>
  <c r="BE52" i="1" s="1"/>
  <c r="AR52" i="1"/>
  <c r="BD52" i="1" s="1"/>
  <c r="AQ52" i="1"/>
  <c r="BC52" i="1" s="1"/>
  <c r="AP52" i="1"/>
  <c r="BB52" i="1" s="1"/>
  <c r="AT51" i="1"/>
  <c r="BF51" i="1" s="1"/>
  <c r="AS51" i="1"/>
  <c r="BE51" i="1" s="1"/>
  <c r="AR51" i="1"/>
  <c r="BD51" i="1" s="1"/>
  <c r="AQ51" i="1"/>
  <c r="BC51" i="1" s="1"/>
  <c r="AP51" i="1"/>
  <c r="BB51" i="1" s="1"/>
  <c r="AT50" i="1"/>
  <c r="BF50" i="1" s="1"/>
  <c r="AS50" i="1"/>
  <c r="BE50" i="1" s="1"/>
  <c r="AR50" i="1"/>
  <c r="BD50" i="1" s="1"/>
  <c r="AQ50" i="1"/>
  <c r="BC50" i="1" s="1"/>
  <c r="AP50" i="1"/>
  <c r="BB50" i="1" s="1"/>
  <c r="AT49" i="1"/>
  <c r="BF49" i="1" s="1"/>
  <c r="AS49" i="1"/>
  <c r="BE49" i="1" s="1"/>
  <c r="AR49" i="1"/>
  <c r="BD49" i="1" s="1"/>
  <c r="AQ49" i="1"/>
  <c r="BC49" i="1" s="1"/>
  <c r="AP49" i="1"/>
  <c r="BB49" i="1" s="1"/>
  <c r="AT48" i="1"/>
  <c r="BF48" i="1" s="1"/>
  <c r="AS48" i="1"/>
  <c r="BE48" i="1" s="1"/>
  <c r="AR48" i="1"/>
  <c r="BD48" i="1" s="1"/>
  <c r="AQ48" i="1"/>
  <c r="BC48" i="1" s="1"/>
  <c r="AP48" i="1"/>
  <c r="BB48" i="1" s="1"/>
  <c r="AT47" i="1"/>
  <c r="BF47" i="1" s="1"/>
  <c r="AS47" i="1"/>
  <c r="BE47" i="1" s="1"/>
  <c r="AR47" i="1"/>
  <c r="BD47" i="1" s="1"/>
  <c r="AQ47" i="1"/>
  <c r="BC47" i="1" s="1"/>
  <c r="AP47" i="1"/>
  <c r="BB47" i="1" s="1"/>
  <c r="AT46" i="1"/>
  <c r="BF46" i="1" s="1"/>
  <c r="AS46" i="1"/>
  <c r="BE46" i="1" s="1"/>
  <c r="AR46" i="1"/>
  <c r="BD46" i="1" s="1"/>
  <c r="AQ46" i="1"/>
  <c r="BC46" i="1" s="1"/>
  <c r="AP46" i="1"/>
  <c r="BB46" i="1" s="1"/>
  <c r="AT45" i="1"/>
  <c r="BF45" i="1" s="1"/>
  <c r="AS45" i="1"/>
  <c r="BE45" i="1" s="1"/>
  <c r="AR45" i="1"/>
  <c r="BD45" i="1" s="1"/>
  <c r="AQ45" i="1"/>
  <c r="BC45" i="1" s="1"/>
  <c r="AP45" i="1"/>
  <c r="BB45" i="1" s="1"/>
  <c r="AT44" i="1"/>
  <c r="BF44" i="1" s="1"/>
  <c r="AS44" i="1"/>
  <c r="BE44" i="1" s="1"/>
  <c r="AR44" i="1"/>
  <c r="BD44" i="1" s="1"/>
  <c r="AQ44" i="1"/>
  <c r="BC44" i="1" s="1"/>
  <c r="AP44" i="1"/>
  <c r="BB44" i="1" s="1"/>
  <c r="AT43" i="1"/>
  <c r="BF43" i="1" s="1"/>
  <c r="AS43" i="1"/>
  <c r="BE43" i="1" s="1"/>
  <c r="AR43" i="1"/>
  <c r="BD43" i="1" s="1"/>
  <c r="AQ43" i="1"/>
  <c r="BC43" i="1" s="1"/>
  <c r="AP43" i="1"/>
  <c r="BB43" i="1" s="1"/>
  <c r="AT42" i="1"/>
  <c r="BF42" i="1" s="1"/>
  <c r="AS42" i="1"/>
  <c r="BE42" i="1" s="1"/>
  <c r="AR42" i="1"/>
  <c r="BD42" i="1" s="1"/>
  <c r="AQ42" i="1"/>
  <c r="BC42" i="1" s="1"/>
  <c r="AP42" i="1"/>
  <c r="BB42" i="1" s="1"/>
  <c r="AT41" i="1"/>
  <c r="BF41" i="1" s="1"/>
  <c r="AS41" i="1"/>
  <c r="BE41" i="1" s="1"/>
  <c r="AR41" i="1"/>
  <c r="BD41" i="1" s="1"/>
  <c r="AQ41" i="1"/>
  <c r="BC41" i="1" s="1"/>
  <c r="AP41" i="1"/>
  <c r="BB41" i="1" s="1"/>
  <c r="AT40" i="1"/>
  <c r="BF40" i="1" s="1"/>
  <c r="AS40" i="1"/>
  <c r="BE40" i="1" s="1"/>
  <c r="AR40" i="1"/>
  <c r="BD40" i="1" s="1"/>
  <c r="AQ40" i="1"/>
  <c r="BC40" i="1" s="1"/>
  <c r="AP40" i="1"/>
  <c r="BB40" i="1" s="1"/>
  <c r="AT39" i="1"/>
  <c r="BF39" i="1" s="1"/>
  <c r="AS39" i="1"/>
  <c r="BE39" i="1" s="1"/>
  <c r="AR39" i="1"/>
  <c r="BD39" i="1" s="1"/>
  <c r="AQ39" i="1"/>
  <c r="BC39" i="1" s="1"/>
  <c r="AP39" i="1"/>
  <c r="BB39" i="1" s="1"/>
  <c r="AT38" i="1"/>
  <c r="BF38" i="1" s="1"/>
  <c r="AS38" i="1"/>
  <c r="BE38" i="1" s="1"/>
  <c r="AR38" i="1"/>
  <c r="BD38" i="1" s="1"/>
  <c r="AQ38" i="1"/>
  <c r="BC38" i="1" s="1"/>
  <c r="AP38" i="1"/>
  <c r="BB38" i="1" s="1"/>
  <c r="AT37" i="1"/>
  <c r="BF37" i="1" s="1"/>
  <c r="AS37" i="1"/>
  <c r="BE37" i="1" s="1"/>
  <c r="AR37" i="1"/>
  <c r="BD37" i="1" s="1"/>
  <c r="AQ37" i="1"/>
  <c r="BC37" i="1" s="1"/>
  <c r="AP37" i="1"/>
  <c r="BB37" i="1" s="1"/>
  <c r="AT36" i="1"/>
  <c r="BF36" i="1" s="1"/>
  <c r="AS36" i="1"/>
  <c r="BE36" i="1" s="1"/>
  <c r="AR36" i="1"/>
  <c r="BD36" i="1" s="1"/>
  <c r="AQ36" i="1"/>
  <c r="BC36" i="1" s="1"/>
  <c r="AP36" i="1"/>
  <c r="BB36" i="1" s="1"/>
  <c r="AT35" i="1"/>
  <c r="BF35" i="1" s="1"/>
  <c r="AS35" i="1"/>
  <c r="BE35" i="1" s="1"/>
  <c r="AR35" i="1"/>
  <c r="BD35" i="1" s="1"/>
  <c r="AQ35" i="1"/>
  <c r="BC35" i="1" s="1"/>
  <c r="AP35" i="1"/>
  <c r="BB35" i="1" s="1"/>
  <c r="AT34" i="1"/>
  <c r="BF34" i="1" s="1"/>
  <c r="AS34" i="1"/>
  <c r="BE34" i="1" s="1"/>
  <c r="AR34" i="1"/>
  <c r="BD34" i="1" s="1"/>
  <c r="AQ34" i="1"/>
  <c r="BC34" i="1" s="1"/>
  <c r="AP34" i="1"/>
  <c r="BB34" i="1" s="1"/>
  <c r="AT33" i="1"/>
  <c r="BF33" i="1" s="1"/>
  <c r="AS33" i="1"/>
  <c r="BE33" i="1" s="1"/>
  <c r="AR33" i="1"/>
  <c r="BD33" i="1" s="1"/>
  <c r="AQ33" i="1"/>
  <c r="BC33" i="1" s="1"/>
  <c r="AP33" i="1"/>
  <c r="BB33" i="1" s="1"/>
  <c r="AT32" i="1"/>
  <c r="BF32" i="1" s="1"/>
  <c r="AS32" i="1"/>
  <c r="BE32" i="1" s="1"/>
  <c r="AR32" i="1"/>
  <c r="BD32" i="1" s="1"/>
  <c r="AQ32" i="1"/>
  <c r="BC32" i="1" s="1"/>
  <c r="AP32" i="1"/>
  <c r="BB32" i="1" s="1"/>
  <c r="AT31" i="1"/>
  <c r="BF31" i="1" s="1"/>
  <c r="AS31" i="1"/>
  <c r="BE31" i="1" s="1"/>
  <c r="AR31" i="1"/>
  <c r="BD31" i="1" s="1"/>
  <c r="AQ31" i="1"/>
  <c r="BC31" i="1" s="1"/>
  <c r="AP31" i="1"/>
  <c r="BB31" i="1" s="1"/>
  <c r="AT30" i="1"/>
  <c r="BF30" i="1" s="1"/>
  <c r="AS30" i="1"/>
  <c r="BE30" i="1" s="1"/>
  <c r="AR30" i="1"/>
  <c r="BD30" i="1" s="1"/>
  <c r="AQ30" i="1"/>
  <c r="BC30" i="1" s="1"/>
  <c r="AP30" i="1"/>
  <c r="BB30" i="1" s="1"/>
  <c r="AT29" i="1"/>
  <c r="BF29" i="1" s="1"/>
  <c r="AS29" i="1"/>
  <c r="BE29" i="1" s="1"/>
  <c r="AR29" i="1"/>
  <c r="BD29" i="1" s="1"/>
  <c r="AQ29" i="1"/>
  <c r="BC29" i="1" s="1"/>
  <c r="AP29" i="1"/>
  <c r="BB29" i="1" s="1"/>
  <c r="AT28" i="1"/>
  <c r="BF28" i="1" s="1"/>
  <c r="AS28" i="1"/>
  <c r="BE28" i="1" s="1"/>
  <c r="AR28" i="1"/>
  <c r="BD28" i="1" s="1"/>
  <c r="AQ28" i="1"/>
  <c r="BC28" i="1" s="1"/>
  <c r="AP28" i="1"/>
  <c r="BB28" i="1" s="1"/>
  <c r="AT27" i="1"/>
  <c r="BF27" i="1" s="1"/>
  <c r="AS27" i="1"/>
  <c r="BE27" i="1" s="1"/>
  <c r="AR27" i="1"/>
  <c r="BD27" i="1" s="1"/>
  <c r="AQ27" i="1"/>
  <c r="BC27" i="1" s="1"/>
  <c r="AP27" i="1"/>
  <c r="BB27" i="1" s="1"/>
  <c r="AT25" i="1"/>
  <c r="BF25" i="1" s="1"/>
  <c r="AS25" i="1"/>
  <c r="BE25" i="1" s="1"/>
  <c r="AR25" i="1"/>
  <c r="BD25" i="1" s="1"/>
  <c r="AQ25" i="1"/>
  <c r="BC25" i="1" s="1"/>
  <c r="AP25" i="1"/>
  <c r="BB25" i="1" s="1"/>
  <c r="AT24" i="1"/>
  <c r="BF24" i="1" s="1"/>
  <c r="AS24" i="1"/>
  <c r="BE24" i="1" s="1"/>
  <c r="AR24" i="1"/>
  <c r="BD24" i="1" s="1"/>
  <c r="AQ24" i="1"/>
  <c r="BC24" i="1" s="1"/>
  <c r="AP24" i="1"/>
  <c r="BB24" i="1" s="1"/>
  <c r="AT23" i="1"/>
  <c r="BF23" i="1" s="1"/>
  <c r="AS23" i="1"/>
  <c r="BE23" i="1" s="1"/>
  <c r="AR23" i="1"/>
  <c r="BD23" i="1" s="1"/>
  <c r="AQ23" i="1"/>
  <c r="BC23" i="1" s="1"/>
  <c r="AP23" i="1"/>
  <c r="BB23" i="1" s="1"/>
  <c r="AT22" i="1"/>
  <c r="BF22" i="1" s="1"/>
  <c r="AS22" i="1"/>
  <c r="BE22" i="1" s="1"/>
  <c r="AR22" i="1"/>
  <c r="BD22" i="1" s="1"/>
  <c r="AQ22" i="1"/>
  <c r="BC22" i="1" s="1"/>
  <c r="AP22" i="1"/>
  <c r="BB22" i="1" s="1"/>
  <c r="AT21" i="1"/>
  <c r="BF21" i="1" s="1"/>
  <c r="AS21" i="1"/>
  <c r="BE21" i="1" s="1"/>
  <c r="AR21" i="1"/>
  <c r="BD21" i="1" s="1"/>
  <c r="AQ21" i="1"/>
  <c r="BC21" i="1" s="1"/>
  <c r="AP21" i="1"/>
  <c r="BB21" i="1" s="1"/>
  <c r="AT20" i="1"/>
  <c r="BF20" i="1" s="1"/>
  <c r="AS20" i="1"/>
  <c r="BE20" i="1" s="1"/>
  <c r="AR20" i="1"/>
  <c r="BD20" i="1" s="1"/>
  <c r="AQ20" i="1"/>
  <c r="BC20" i="1" s="1"/>
  <c r="AP20" i="1"/>
  <c r="BB20" i="1" s="1"/>
  <c r="AT19" i="1"/>
  <c r="BF19" i="1" s="1"/>
  <c r="AS19" i="1"/>
  <c r="BE19" i="1" s="1"/>
  <c r="AR19" i="1"/>
  <c r="BD19" i="1" s="1"/>
  <c r="AQ19" i="1"/>
  <c r="BC19" i="1" s="1"/>
  <c r="AP19" i="1"/>
  <c r="BB19" i="1" s="1"/>
  <c r="AT18" i="1"/>
  <c r="BF18" i="1" s="1"/>
  <c r="AS18" i="1"/>
  <c r="BE18" i="1" s="1"/>
  <c r="AR18" i="1"/>
  <c r="BD18" i="1" s="1"/>
  <c r="AQ18" i="1"/>
  <c r="BC18" i="1" s="1"/>
  <c r="AP18" i="1"/>
  <c r="BB18" i="1" s="1"/>
  <c r="AT17" i="1"/>
  <c r="BF17" i="1" s="1"/>
  <c r="AS17" i="1"/>
  <c r="BE17" i="1" s="1"/>
  <c r="AR17" i="1"/>
  <c r="BD17" i="1" s="1"/>
  <c r="AQ17" i="1"/>
  <c r="BC17" i="1" s="1"/>
  <c r="AP17" i="1"/>
  <c r="BB17" i="1" s="1"/>
  <c r="AT16" i="1"/>
  <c r="BF16" i="1" s="1"/>
  <c r="AS16" i="1"/>
  <c r="BE16" i="1" s="1"/>
  <c r="AR16" i="1"/>
  <c r="BD16" i="1" s="1"/>
  <c r="AQ16" i="1"/>
  <c r="BC16" i="1" s="1"/>
  <c r="AP16" i="1"/>
  <c r="BB16" i="1" s="1"/>
  <c r="AT15" i="1"/>
  <c r="BF15" i="1" s="1"/>
  <c r="AS15" i="1"/>
  <c r="BE15" i="1" s="1"/>
  <c r="AR15" i="1"/>
  <c r="BD15" i="1" s="1"/>
  <c r="AQ15" i="1"/>
  <c r="BC15" i="1" s="1"/>
  <c r="AP15" i="1"/>
  <c r="BB15" i="1" s="1"/>
  <c r="AT14" i="1"/>
  <c r="BF14" i="1" s="1"/>
  <c r="AS14" i="1"/>
  <c r="BE14" i="1" s="1"/>
  <c r="AR14" i="1"/>
  <c r="BD14" i="1" s="1"/>
  <c r="AQ14" i="1"/>
  <c r="BC14" i="1" s="1"/>
  <c r="AP14" i="1"/>
  <c r="BB14" i="1" s="1"/>
  <c r="AT13" i="1"/>
  <c r="BF13" i="1" s="1"/>
  <c r="AS13" i="1"/>
  <c r="BE13" i="1" s="1"/>
  <c r="AR13" i="1"/>
  <c r="BD13" i="1" s="1"/>
  <c r="AQ13" i="1"/>
  <c r="BC13" i="1" s="1"/>
  <c r="AP13" i="1"/>
  <c r="BB13" i="1" s="1"/>
  <c r="AT12" i="1"/>
  <c r="BF12" i="1" s="1"/>
  <c r="AS12" i="1"/>
  <c r="BE12" i="1" s="1"/>
  <c r="AR12" i="1"/>
  <c r="BD12" i="1" s="1"/>
  <c r="AQ12" i="1"/>
  <c r="BC12" i="1" s="1"/>
  <c r="AP12" i="1"/>
  <c r="BB12" i="1" s="1"/>
  <c r="AT11" i="1"/>
  <c r="BF11" i="1" s="1"/>
  <c r="AS11" i="1"/>
  <c r="BE11" i="1" s="1"/>
  <c r="AR11" i="1"/>
  <c r="BD11" i="1" s="1"/>
  <c r="AQ11" i="1"/>
  <c r="BC11" i="1" s="1"/>
  <c r="AP11" i="1"/>
  <c r="BB11" i="1" s="1"/>
  <c r="AT10" i="1"/>
  <c r="BF10" i="1" s="1"/>
  <c r="AS10" i="1"/>
  <c r="BE10" i="1" s="1"/>
  <c r="AR10" i="1"/>
  <c r="BD10" i="1" s="1"/>
  <c r="AQ10" i="1"/>
  <c r="BC10" i="1" s="1"/>
  <c r="AP10" i="1"/>
  <c r="BB10" i="1" s="1"/>
  <c r="AT9" i="1"/>
  <c r="BF9" i="1" s="1"/>
  <c r="AS9" i="1"/>
  <c r="BE9" i="1" s="1"/>
  <c r="AR9" i="1"/>
  <c r="BD9" i="1" s="1"/>
  <c r="AQ9" i="1"/>
  <c r="BC9" i="1" s="1"/>
  <c r="AP9" i="1"/>
  <c r="BB9" i="1" s="1"/>
  <c r="AT8" i="1"/>
  <c r="BF8" i="1" s="1"/>
  <c r="AS8" i="1"/>
  <c r="BE8" i="1" s="1"/>
  <c r="AR8" i="1"/>
  <c r="BD8" i="1" s="1"/>
  <c r="AQ8" i="1"/>
  <c r="BC8" i="1" s="1"/>
  <c r="AP8" i="1"/>
  <c r="BB8" i="1" s="1"/>
  <c r="AT7" i="1"/>
  <c r="BF7" i="1" s="1"/>
  <c r="AS7" i="1"/>
  <c r="BE7" i="1" s="1"/>
  <c r="AR7" i="1"/>
  <c r="BD7" i="1" s="1"/>
  <c r="AQ7" i="1"/>
  <c r="BC7" i="1" s="1"/>
  <c r="AP7" i="1"/>
  <c r="BB7" i="1" s="1"/>
  <c r="AT6" i="1"/>
  <c r="BF6" i="1" s="1"/>
  <c r="AS6" i="1"/>
  <c r="BE6" i="1" s="1"/>
  <c r="AR6" i="1"/>
  <c r="BD6" i="1" s="1"/>
  <c r="AQ6" i="1"/>
  <c r="BC6" i="1" s="1"/>
  <c r="AP6" i="1"/>
  <c r="BB6" i="1" s="1"/>
  <c r="AT5" i="1"/>
  <c r="BF5" i="1" s="1"/>
  <c r="AS5" i="1"/>
  <c r="BE5" i="1" s="1"/>
  <c r="AR5" i="1"/>
  <c r="BD5" i="1" s="1"/>
  <c r="AQ5" i="1"/>
  <c r="BC5" i="1" s="1"/>
  <c r="AP5" i="1"/>
  <c r="BB5" i="1" s="1"/>
  <c r="AT4" i="1"/>
  <c r="BF4" i="1" s="1"/>
  <c r="AS4" i="1"/>
  <c r="BE4" i="1" s="1"/>
  <c r="AR4" i="1"/>
  <c r="BD4" i="1" s="1"/>
  <c r="AQ4" i="1"/>
  <c r="BC4" i="1" s="1"/>
  <c r="AP4" i="1"/>
  <c r="BB4" i="1" s="1"/>
  <c r="E81" i="1" l="1"/>
  <c r="Q81" i="1"/>
  <c r="T81" i="1"/>
  <c r="L81" i="1"/>
  <c r="P81" i="1"/>
  <c r="S81" i="1"/>
  <c r="F81" i="1"/>
  <c r="AH81" i="1"/>
  <c r="M81" i="1"/>
  <c r="G81" i="1"/>
  <c r="N81" i="1"/>
  <c r="AK81" i="1"/>
  <c r="K81" i="1"/>
  <c r="AN81" i="1"/>
  <c r="D81" i="1"/>
  <c r="R81" i="1"/>
</calcChain>
</file>

<file path=xl/comments1.xml><?xml version="1.0" encoding="utf-8"?>
<comments xmlns="http://schemas.openxmlformats.org/spreadsheetml/2006/main">
  <authors>
    <author>rt.Dellonetools</author>
  </authors>
  <commentList>
    <comment ref="E5" authorId="0" shapeId="0">
      <text>
        <r>
          <rPr>
            <sz val="9"/>
            <color indexed="81"/>
            <rFont val="Tahoma"/>
            <family val="2"/>
          </rPr>
          <t>Executed in 30 seconds</t>
        </r>
      </text>
    </comment>
    <comment ref="O5" authorId="0" shapeId="0">
      <text>
        <r>
          <rPr>
            <sz val="9"/>
            <color indexed="81"/>
            <rFont val="Tahoma"/>
            <family val="2"/>
          </rPr>
          <t>dell_prod [DellOne]</t>
        </r>
      </text>
    </comment>
    <comment ref="Q5" authorId="0" shapeId="0">
      <text>
        <r>
          <rPr>
            <sz val="9"/>
            <color indexed="81"/>
            <rFont val="Tahoma"/>
            <family val="2"/>
          </rPr>
          <t>n/a</t>
        </r>
      </text>
    </comment>
    <comment ref="E6" authorId="0" shapeId="0">
      <text>
        <r>
          <rPr>
            <sz val="9"/>
            <color indexed="81"/>
            <rFont val="Tahoma"/>
            <family val="2"/>
          </rPr>
          <t>Executed in 7 seconds</t>
        </r>
      </text>
    </comment>
    <comment ref="O6" authorId="0" shapeId="0">
      <text>
        <r>
          <rPr>
            <sz val="9"/>
            <color indexed="81"/>
            <rFont val="Tahoma"/>
            <family val="2"/>
          </rPr>
          <t>dell_prod [DellOne]</t>
        </r>
      </text>
    </comment>
    <comment ref="Q6" authorId="0" shapeId="0">
      <text>
        <r>
          <rPr>
            <sz val="9"/>
            <color indexed="81"/>
            <rFont val="Tahoma"/>
            <family val="2"/>
          </rPr>
          <t>n/a</t>
        </r>
      </text>
    </comment>
  </commentList>
</comments>
</file>

<file path=xl/comments2.xml><?xml version="1.0" encoding="utf-8"?>
<comments xmlns="http://schemas.openxmlformats.org/spreadsheetml/2006/main">
  <authors>
    <author>rt.Dellonetools</author>
  </authors>
  <commentList>
    <comment ref="B2" authorId="0" shapeId="0">
      <text>
        <r>
          <rPr>
            <sz val="9"/>
            <color indexed="81"/>
            <rFont val="Tahoma"/>
            <family val="2"/>
          </rPr>
          <t>WITH emps AS (
  SELECT TOP 100 
    p.RAB_IdentityStatus, p.RAB_DisplayName, p.EntryDate, p.FirstName, p.LastName, 
    p.PreferredName, p.Title, d.DepartmentName, p.RAB_GlobalDepartmentName, p.CentralAccount, 
    p.DefaultEmailAddress, p.RAB_IdentityType, p.RAB_PersonType
  FROM dbo.Person p
  LEFT OUTER JOIN dbo.[Department] d
    ON p.UID_Department=d.UID_Department
)  
SELECTX(dell_prod)
RAB_IdentityStatus as "
Identity Status",
RAB_DisplayName
 as "Display Name", 
EntryDate
 as "Start Date",
FirstName as "
First name",
LastName as "
Last name",
PreferredName as "
Preferred name",
Title as "
Position Title",
DepartmentName as "Primary Local Department",
RAB_GlobalDepartmentName as "
Global Department Name",
CentralAccount as "
Central user account",
DefaultEmailAddress as "
Email Address",
RAB_IdentityType
 as "
Identity Type",
RAB_PersonType as "
Person Type"
FROM emps;</t>
        </r>
      </text>
    </comment>
    <comment ref="B5" authorId="0" shapeId="0">
      <text>
        <r>
          <rPr>
            <sz val="9"/>
            <color indexed="81"/>
            <rFont val="Tahoma"/>
            <family val="2"/>
          </rPr>
          <t>WITH emps AS (
  SELECT TOP 100 
    p.RAB_IdentityStatus, p.RAB_DisplayName, p.EntryDate, p.FirstName, p.LastName, 
    p.PreferredName, p.Title, d.DepartmentName, p.RAB_GlobalDepartmentName, p.CentralAccount, 
    p.DefaultEmailAddress, p.RAB_IdentityType, p.RAB_PersonType
  FROM dbo.Person p
  LEFT OUTER JOIN dbo.[Department] d
    ON p.UID_Department=d.UID_Department
)  
SELECTX(dell_prod)
RAB_IdentityStatus as "
Identity Status",
RAB_DisplayName
 as "Display Name", 
EntryDate
 as "Start Date",
FirstName as "
First name",
LastName as "
Last name",
PreferredName as "
Preferred name",
Title as "
Position Title",
DepartmentName as "Primary Local Department",
RAB_GlobalDepartmentName as "
Global Department Name",
CentralAccount as "
Central user account",
DefaultEmailAddress as "
Email Address",
RAB_IdentityType
 as "
Identity Type",
RAB_PersonType as "
Person Type"
FROM emps;</t>
        </r>
      </text>
    </comment>
    <comment ref="B8" authorId="0" shapeId="0">
      <text>
        <r>
          <rPr>
            <sz val="9"/>
            <color indexed="81"/>
            <rFont val="Tahoma"/>
            <family val="2"/>
          </rPr>
          <t>RowID - sort on this column to return table to its original sort order.</t>
        </r>
      </text>
    </comment>
    <comment ref="C8" authorId="0" shapeId="0">
      <text>
        <r>
          <rPr>
            <sz val="9"/>
            <color indexed="81"/>
            <rFont val="Tahoma"/>
            <family val="2"/>
          </rPr>
          <t>RAB_IdentityStatus</t>
        </r>
      </text>
    </comment>
    <comment ref="D8" authorId="0" shapeId="0">
      <text>
        <r>
          <rPr>
            <sz val="9"/>
            <color indexed="81"/>
            <rFont val="Tahoma"/>
            <family val="2"/>
          </rPr>
          <t>RAB_DisplayName</t>
        </r>
      </text>
    </comment>
    <comment ref="E8" authorId="0" shapeId="0">
      <text>
        <r>
          <rPr>
            <sz val="9"/>
            <color indexed="81"/>
            <rFont val="Tahoma"/>
            <family val="2"/>
          </rPr>
          <t>EntryDate</t>
        </r>
      </text>
    </comment>
    <comment ref="F8" authorId="0" shapeId="0">
      <text>
        <r>
          <rPr>
            <sz val="9"/>
            <color indexed="81"/>
            <rFont val="Tahoma"/>
            <family val="2"/>
          </rPr>
          <t>FirstName</t>
        </r>
      </text>
    </comment>
    <comment ref="G8" authorId="0" shapeId="0">
      <text>
        <r>
          <rPr>
            <sz val="9"/>
            <color indexed="81"/>
            <rFont val="Tahoma"/>
            <family val="2"/>
          </rPr>
          <t>LastName</t>
        </r>
      </text>
    </comment>
    <comment ref="H8" authorId="0" shapeId="0">
      <text>
        <r>
          <rPr>
            <sz val="9"/>
            <color indexed="81"/>
            <rFont val="Tahoma"/>
            <family val="2"/>
          </rPr>
          <t>PreferredName</t>
        </r>
      </text>
    </comment>
    <comment ref="I8" authorId="0" shapeId="0">
      <text>
        <r>
          <rPr>
            <sz val="9"/>
            <color indexed="81"/>
            <rFont val="Tahoma"/>
            <family val="2"/>
          </rPr>
          <t>Title</t>
        </r>
      </text>
    </comment>
    <comment ref="J8" authorId="0" shapeId="0">
      <text>
        <r>
          <rPr>
            <sz val="9"/>
            <color indexed="81"/>
            <rFont val="Tahoma"/>
            <family val="2"/>
          </rPr>
          <t>DepartmentName</t>
        </r>
      </text>
    </comment>
    <comment ref="K8" authorId="0" shapeId="0">
      <text>
        <r>
          <rPr>
            <sz val="9"/>
            <color indexed="81"/>
            <rFont val="Tahoma"/>
            <family val="2"/>
          </rPr>
          <t>RAB_GlobalDepartmentName</t>
        </r>
      </text>
    </comment>
    <comment ref="L8" authorId="0" shapeId="0">
      <text>
        <r>
          <rPr>
            <sz val="9"/>
            <color indexed="81"/>
            <rFont val="Tahoma"/>
            <family val="2"/>
          </rPr>
          <t>CentralAccount</t>
        </r>
      </text>
    </comment>
    <comment ref="M8" authorId="0" shapeId="0">
      <text>
        <r>
          <rPr>
            <sz val="9"/>
            <color indexed="81"/>
            <rFont val="Tahoma"/>
            <family val="2"/>
          </rPr>
          <t>DefaultEmailAddress</t>
        </r>
      </text>
    </comment>
    <comment ref="N8" authorId="0" shapeId="0">
      <text>
        <r>
          <rPr>
            <sz val="9"/>
            <color indexed="81"/>
            <rFont val="Tahoma"/>
            <family val="2"/>
          </rPr>
          <t>RAB_IdentityType</t>
        </r>
      </text>
    </comment>
    <comment ref="O8" authorId="0" shapeId="0">
      <text>
        <r>
          <rPr>
            <sz val="9"/>
            <color indexed="81"/>
            <rFont val="Tahoma"/>
            <family val="2"/>
          </rPr>
          <t>RAB_PersonType</t>
        </r>
      </text>
    </comment>
    <comment ref="B112" authorId="0" shapeId="0">
      <text>
        <r>
          <rPr>
            <sz val="9"/>
            <color indexed="81"/>
            <rFont val="Tahoma"/>
            <family val="2"/>
          </rPr>
          <t>WITH emps AS (
  SELECT TOP 100 
    p.RAB_IdentityStatus, p.RAB_DisplayName, p.EntryDate, p.FirstName, p.LastName, 
    p.PreferredName, p.Title, d.DepartmentName, p.RAB_GlobalDepartmentName, p.CentralAccount, 
    p.DefaultEmailAddress, p.RAB_IdentityType, p.RAB_PersonType
  FROM dbo.Person p
  LEFT OUTER JOIN dbo.[Department] d
    ON p.UID_Department=d.UID_Department
)  
SELECTX(dell_prod)
RAB_IdentityStatus as "
Identity Status",
RAB_DisplayName
 as "Display Name", 
EntryDate
 as "Start Date",
FirstName as "
First name",
LastName as "
Last name",
PreferredName as "
Preferred name",
Title as "
Position Title",
DepartmentName as "Primary Local Department",
RAB_GlobalDepartmentName as "
Global Department Name",
CentralAccount as "
Central user account",
DefaultEmailAddress as "
Email Address",
RAB_IdentityType
 as "
Identity Type",
RAB_PersonType as "
Person Type"
FROM emps;</t>
        </r>
      </text>
    </comment>
    <comment ref="C112" authorId="0" shapeId="0">
      <text>
        <r>
          <rPr>
            <sz val="9"/>
            <color indexed="81"/>
            <rFont val="Tahoma"/>
            <family val="2"/>
          </rPr>
          <t>emps</t>
        </r>
      </text>
    </comment>
    <comment ref="B113" authorId="0" shapeId="0">
      <text>
        <r>
          <rPr>
            <sz val="9"/>
            <color indexed="81"/>
            <rFont val="Tahoma"/>
            <family val="2"/>
          </rPr>
          <t>Last Query:
WITH emps AS (
  SELECT TOP 100 
    p.RAB_IdentityStatus, p.RAB_DisplayName, p.EntryDate, p.FirstName, p.LastName, 
    p.PreferredName, p.Title, d.DepartmentName, p.RAB_GlobalDepartmentName, p.CentralAccount, 
    p.DefaultEmailAddress, p.RAB_IdentityType, p.RAB_PersonType
  FROM dbo.Person p
  LEFT OUTER JOIN dbo.[Department] d
    ON p.UID_Department=d.UID_Department
)  
SELECTX(dell_prod)
RAB_IdentityStatus as "
Identity Status",
RAB_DisplayName
 as "Display Name", 
EntryDate
 as "Start Date",
FirstName as "
First name",
LastName as "
Last name",
PreferredName as "
Preferred name",
Title as "
Position Title",
DepartmentName as "Primary Local Department",
RAB_GlobalDepartmentName as "
Global Department Name",
CentralAccount as "
Central user account",
DefaultEmailAddress as "
Email Address",
RAB_IdentityType
 as "
Identity Type",
RAB_PersonType as "
Person Type"
FROM emps</t>
        </r>
      </text>
    </comment>
  </commentList>
</comments>
</file>

<file path=xl/comments3.xml><?xml version="1.0" encoding="utf-8"?>
<comments xmlns="http://schemas.openxmlformats.org/spreadsheetml/2006/main">
  <authors>
    <author>rt.Dellonetools</author>
  </authors>
  <commentList>
    <comment ref="B2" authorId="0" shapeId="0">
      <text>
        <r>
          <rPr>
            <sz val="9"/>
            <color indexed="81"/>
            <rFont val="Tahoma"/>
            <family val="2"/>
          </rPr>
          <t>SELECTX([Talent Matrix],n/a)   
  Employee, Department, "Inter/Extern", EmployeePattern      
FROM Members     
ORDER BY Employee, DEPARTMENT
JOIN_ON EmployeePattern=~fullname
WITH emps AS (   
   SELECT     
     p.RAB_IdentityStatus, p.RAB_DisplayName, p.EntryDate, p.FirstName, p.LastName,     
     p.PreferredName, p.Title, d.DepartmentName, p.RAB_GlobalDepartmentName, p.CentralAccount,     
     p.DefaultEmailAddress, p.RAB_IdentityType, p.RAB_PersonType   
  FROM Person p     
  LEFT OUTER JOIN dbo.[Department] d     
   ON p.UID_Department=d.UID_Department     
  WHERE UID_Person in (     
    select uid_person     
    from (     
      select FirstName + ' ' + LastName as fullname, UID_Person from Person     
    ) p     
    where &lt;JOIN_FILTER&gt;     
  )     
)     
SELECTX(dell_prod)     
  RAB_IdentityStatus as "Identity Status",     
  RAB_DisplayName as "Display Name",     
  EntryDate as "Start Date",     
  FirstName as "First name",     
  LastName as "Last name",     
  PreferredName as "Preferred name",     
  Title as "Position Title",     
  DepartmentName as "Primary Local Department",     
  RAB_GlobalDepartmentName as "Global Department Name",     
  CentralAccount as "Central user account",     
  DefaultEmailAddress as "Email Address",     
  RAB_IdentityType as "Identity Type",     
  RAB_PersonType as "Person Type"     
FROM emps;</t>
        </r>
      </text>
    </comment>
    <comment ref="B9" authorId="0" shapeId="0">
      <text>
        <r>
          <rPr>
            <sz val="9"/>
            <color indexed="81"/>
            <rFont val="Tahoma"/>
            <family val="2"/>
          </rPr>
          <t>SELECTX([Talent Matrix],n/a)   
  Employee, Department, "Inter/Extern", EmployeePattern      
FROM Members     
ORDER BY Employee, DEPARTMENT
JOIN_ON EmployeePattern=~fullname
WITH emps AS (   
   SELECT     
     p.RAB_IdentityStatus, p.RAB_DisplayName, p.EntryDate, p.FirstName, p.LastName,     
     p.PreferredName, p.Title, d.DepartmentName, p.RAB_GlobalDepartmentName, p.CentralAccount,     
     p.DefaultEmailAddress, p.RAB_IdentityType, p.RAB_PersonType   
  FROM Person p     
  LEFT OUTER JOIN dbo.[Department] d     
   ON p.UID_Department=d.UID_Department     
  WHERE UID_Person in (     
    select uid_person     
    from (     
      select FirstName + ' ' + LastName as fullname, UID_Person from Person     
    ) p     
    where &lt;JOIN_FILTER&gt;     
  )     
)     
SELECTX(dell_prod)     
  RAB_IdentityStatus as "Identity Status",     
  RAB_DisplayName as "Display Name",     
  EntryDate as "Start Date",     
  FirstName as "First name",     
  LastName as "Last name",     
  PreferredName as "Preferred name",     
  Title as "Position Title",     
  DepartmentName as "Primary Local Department",     
  RAB_GlobalDepartmentName as "Global Department Name",     
  CentralAccount as "Central user account",     
  DefaultEmailAddress as "Email Address",     
  RAB_IdentityType as "Identity Type",     
  RAB_PersonType as "Person Type"     
FROM emps;</t>
        </r>
      </text>
    </comment>
    <comment ref="B12" authorId="0" shapeId="0">
      <text>
        <r>
          <rPr>
            <sz val="9"/>
            <color indexed="81"/>
            <rFont val="Tahoma"/>
            <family val="2"/>
          </rPr>
          <t>RowID - sort on this column to return table to its original sort order.</t>
        </r>
      </text>
    </comment>
    <comment ref="C12" authorId="0" shapeId="0">
      <text>
        <r>
          <rPr>
            <sz val="9"/>
            <color indexed="81"/>
            <rFont val="Tahoma"/>
            <family val="2"/>
          </rPr>
          <t>Employee
Employee
&lt;SQL&gt; / General</t>
        </r>
      </text>
    </comment>
    <comment ref="D12" authorId="0" shapeId="0">
      <text>
        <r>
          <rPr>
            <sz val="9"/>
            <color indexed="81"/>
            <rFont val="Tahoma"/>
            <family val="2"/>
          </rPr>
          <t>Department
Department
&lt;SQL&gt; / General</t>
        </r>
      </text>
    </comment>
    <comment ref="E12" authorId="0" shapeId="0">
      <text>
        <r>
          <rPr>
            <sz val="9"/>
            <color indexed="81"/>
            <rFont val="Tahoma"/>
            <family val="2"/>
          </rPr>
          <t>"Inter/Extern"
Inter/Extern
&lt;SQL&gt; / General</t>
        </r>
      </text>
    </comment>
    <comment ref="F12" authorId="0" shapeId="0">
      <text>
        <r>
          <rPr>
            <sz val="9"/>
            <color indexed="81"/>
            <rFont val="Tahoma"/>
            <family val="2"/>
          </rPr>
          <t>RAB_IdentityStatus</t>
        </r>
      </text>
    </comment>
    <comment ref="G12" authorId="0" shapeId="0">
      <text>
        <r>
          <rPr>
            <sz val="9"/>
            <color indexed="81"/>
            <rFont val="Tahoma"/>
            <family val="2"/>
          </rPr>
          <t>RAB_DisplayName</t>
        </r>
      </text>
    </comment>
    <comment ref="H12" authorId="0" shapeId="0">
      <text>
        <r>
          <rPr>
            <sz val="9"/>
            <color indexed="81"/>
            <rFont val="Tahoma"/>
            <family val="2"/>
          </rPr>
          <t>EntryDate</t>
        </r>
      </text>
    </comment>
    <comment ref="I12" authorId="0" shapeId="0">
      <text>
        <r>
          <rPr>
            <sz val="9"/>
            <color indexed="81"/>
            <rFont val="Tahoma"/>
            <family val="2"/>
          </rPr>
          <t>FirstName</t>
        </r>
      </text>
    </comment>
    <comment ref="J12" authorId="0" shapeId="0">
      <text>
        <r>
          <rPr>
            <sz val="9"/>
            <color indexed="81"/>
            <rFont val="Tahoma"/>
            <family val="2"/>
          </rPr>
          <t>LastName</t>
        </r>
      </text>
    </comment>
    <comment ref="K12" authorId="0" shapeId="0">
      <text>
        <r>
          <rPr>
            <sz val="9"/>
            <color indexed="81"/>
            <rFont val="Tahoma"/>
            <family val="2"/>
          </rPr>
          <t>PreferredName</t>
        </r>
      </text>
    </comment>
    <comment ref="L12" authorId="0" shapeId="0">
      <text>
        <r>
          <rPr>
            <sz val="9"/>
            <color indexed="81"/>
            <rFont val="Tahoma"/>
            <family val="2"/>
          </rPr>
          <t>Title</t>
        </r>
      </text>
    </comment>
    <comment ref="M12" authorId="0" shapeId="0">
      <text>
        <r>
          <rPr>
            <sz val="9"/>
            <color indexed="81"/>
            <rFont val="Tahoma"/>
            <family val="2"/>
          </rPr>
          <t>DepartmentName</t>
        </r>
      </text>
    </comment>
    <comment ref="N12" authorId="0" shapeId="0">
      <text>
        <r>
          <rPr>
            <sz val="9"/>
            <color indexed="81"/>
            <rFont val="Tahoma"/>
            <family val="2"/>
          </rPr>
          <t>RAB_GlobalDepartmentName</t>
        </r>
      </text>
    </comment>
    <comment ref="O12" authorId="0" shapeId="0">
      <text>
        <r>
          <rPr>
            <sz val="9"/>
            <color indexed="81"/>
            <rFont val="Tahoma"/>
            <family val="2"/>
          </rPr>
          <t>CentralAccount</t>
        </r>
      </text>
    </comment>
    <comment ref="P12" authorId="0" shapeId="0">
      <text>
        <r>
          <rPr>
            <sz val="9"/>
            <color indexed="81"/>
            <rFont val="Tahoma"/>
            <family val="2"/>
          </rPr>
          <t>DefaultEmailAddress</t>
        </r>
      </text>
    </comment>
    <comment ref="Q12" authorId="0" shapeId="0">
      <text>
        <r>
          <rPr>
            <sz val="9"/>
            <color indexed="81"/>
            <rFont val="Tahoma"/>
            <family val="2"/>
          </rPr>
          <t>RAB_IdentityType</t>
        </r>
      </text>
    </comment>
    <comment ref="R12" authorId="0" shapeId="0">
      <text>
        <r>
          <rPr>
            <sz val="9"/>
            <color indexed="81"/>
            <rFont val="Tahoma"/>
            <family val="2"/>
          </rPr>
          <t>RAB_PersonType</t>
        </r>
      </text>
    </comment>
    <comment ref="B101" authorId="0" shapeId="0">
      <text>
        <r>
          <rPr>
            <sz val="9"/>
            <color indexed="81"/>
            <rFont val="Tahoma"/>
            <family val="2"/>
          </rPr>
          <t>SELECTX([Talent Matrix],n/a)   
  Employee, Department, "Inter/Extern", EmployeePattern      
FROM Members     
ORDER BY Employee, DEPARTMENT
JOIN_ON EmployeePattern=~fullname
WITH emps AS (   
   SELECT     
     p.RAB_IdentityStatus, p.RAB_DisplayName, p.EntryDate, p.FirstName, p.LastName,     
     p.PreferredName, p.Title, d.DepartmentName, p.RAB_GlobalDepartmentName, p.CentralAccount,     
     p.DefaultEmailAddress, p.RAB_IdentityType, p.RAB_PersonType   
  FROM Person p     
  LEFT OUTER JOIN dbo.[Department] d     
   ON p.UID_Department=d.UID_Department     
  WHERE UID_Person in (     
    select uid_person     
    from (     
      select FirstName + ' ' + LastName as fullname, UID_Person from Person     
    ) p     
    where &lt;JOIN_FILTER&gt;     
  )     
)     
SELECTX(dell_prod)     
  RAB_IdentityStatus as "Identity Status",     
  RAB_DisplayName as "Display Name",     
  EntryDate as "Start Date",     
  FirstName as "First name",     
  LastName as "Last name",     
  PreferredName as "Preferred name",     
  Title as "Position Title",     
  DepartmentName as "Primary Local Department",     
  RAB_GlobalDepartmentName as "Global Department Name",     
  CentralAccount as "Central user account",     
  DefaultEmailAddress as "Email Address",     
  RAB_IdentityType as "Identity Type",     
  RAB_PersonType as "Person Type"     
FROM emps;</t>
        </r>
      </text>
    </comment>
    <comment ref="B102" authorId="0" shapeId="0">
      <text>
        <r>
          <rPr>
            <sz val="9"/>
            <color indexed="81"/>
            <rFont val="Tahoma"/>
            <family val="2"/>
          </rPr>
          <t>Last Query:
SELECTX([Talent Matrix],n/a)   
  Employee, Department, "Inter/Extern", EmployeePattern      
FROM Members     
ORDER BY Employee, DEPARTMENT</t>
        </r>
      </text>
    </comment>
    <comment ref="C105" authorId="0" shapeId="0">
      <text>
        <r>
          <rPr>
            <sz val="9"/>
            <color indexed="81"/>
            <rFont val="Tahoma"/>
            <family val="2"/>
          </rPr>
          <t>emps</t>
        </r>
      </text>
    </comment>
    <comment ref="B106" authorId="0" shapeId="0">
      <text>
        <r>
          <rPr>
            <sz val="9"/>
            <color indexed="81"/>
            <rFont val="Tahoma"/>
            <family val="2"/>
          </rPr>
          <t>Last Query:
WITH emps AS (   
   SELECT     
     p.RAB_IdentityStatus, p.RAB_DisplayName, p.EntryDate, p.FirstName, p.LastName,     
     p.PreferredName, p.Title, d.DepartmentName, p.RAB_GlobalDepartmentName, p.CentralAccount,     
     p.DefaultEmailAddress, p.RAB_IdentityType, p.RAB_PersonType   
  FROM Person p     
  LEFT OUTER JOIN dbo.[Department] d     
   ON p.UID_Department=d.UID_Department     
  WHERE UID_Person in (     
    select uid_person     
    from (     
      select FirstName + ' ' + LastName as fullname, UID_Person from Person     
    ) p     
    where &lt;JOIN_FILTER&gt;     
  )     
)     
SELECTX(dell_prod)     
  RAB_IdentityStatus as "Identity Status",     
  RAB_DisplayName as "Display Name",     
  EntryDate as "Start Date",     
  FirstName as "First name",     
  LastName as "Last name",     
  PreferredName as "Preferred name",     
  Title as "Position Title",     
  DepartmentName as "Primary Local Department",     
  RAB_GlobalDepartmentName as "Global Department Name",     
  CentralAccount as "Central user account",     
  DefaultEmailAddress as "Email Address",     
  RAB_IdentityType as "Identity Type",     
  RAB_PersonType as "Person Type"     
FROM emps</t>
        </r>
      </text>
    </comment>
  </commentList>
</comments>
</file>

<file path=xl/comments4.xml><?xml version="1.0" encoding="utf-8"?>
<comments xmlns="http://schemas.openxmlformats.org/spreadsheetml/2006/main">
  <authors>
    <author>Rombeek, R (Robert)</author>
  </authors>
  <commentList>
    <comment ref="J2" authorId="0" shapeId="0">
      <text>
        <r>
          <rPr>
            <b/>
            <sz val="9"/>
            <color indexed="81"/>
            <rFont val="Tahoma"/>
            <family val="2"/>
          </rPr>
          <t>Rombeek, R (Robert):</t>
        </r>
        <r>
          <rPr>
            <sz val="9"/>
            <color indexed="81"/>
            <rFont val="Tahoma"/>
            <family val="2"/>
          </rPr>
          <t xml:space="preserve">
Fred is van Connect, maar voor de Kennismatrix een externe</t>
        </r>
      </text>
    </comment>
    <comment ref="C21" authorId="0" shapeId="0">
      <text>
        <r>
          <rPr>
            <b/>
            <sz val="9"/>
            <color indexed="81"/>
            <rFont val="Tahoma"/>
            <family val="2"/>
          </rPr>
          <t>Rombeek, R (Robert):</t>
        </r>
        <r>
          <rPr>
            <sz val="9"/>
            <color indexed="81"/>
            <rFont val="Tahoma"/>
            <family val="2"/>
          </rPr>
          <t xml:space="preserve">
CCISP, CISA</t>
        </r>
      </text>
    </comment>
    <comment ref="C23" authorId="0" shapeId="0">
      <text>
        <r>
          <rPr>
            <b/>
            <sz val="9"/>
            <color indexed="81"/>
            <rFont val="Tahoma"/>
            <family val="2"/>
          </rPr>
          <t>Rombeek, R (Robert):</t>
        </r>
        <r>
          <rPr>
            <sz val="9"/>
            <color indexed="81"/>
            <rFont val="Tahoma"/>
            <family val="2"/>
          </rPr>
          <t xml:space="preserve">
Denk aan BIV, kritisch of niet, hoge bevoegdheden, etc)</t>
        </r>
      </text>
    </comment>
    <comment ref="J85" authorId="0" shapeId="0">
      <text>
        <r>
          <rPr>
            <b/>
            <sz val="9"/>
            <color indexed="81"/>
            <rFont val="Tahoma"/>
            <family val="2"/>
          </rPr>
          <t>Rombeek, R (Robert):</t>
        </r>
        <r>
          <rPr>
            <sz val="9"/>
            <color indexed="81"/>
            <rFont val="Tahoma"/>
            <family val="2"/>
          </rPr>
          <t xml:space="preserve">
Fred is van Connect, maar voor de Kennismatrix een externe</t>
        </r>
      </text>
    </comment>
  </commentList>
</comments>
</file>

<file path=xl/sharedStrings.xml><?xml version="1.0" encoding="utf-8"?>
<sst xmlns="http://schemas.openxmlformats.org/spreadsheetml/2006/main" count="16976" uniqueCount="1516">
  <si>
    <t>KENNISMATRIX R&amp;V</t>
  </si>
  <si>
    <t>Beleid &amp; Advies</t>
  </si>
  <si>
    <t>User Support &amp; PO</t>
  </si>
  <si>
    <t>Data analyse &amp; Reporting</t>
  </si>
  <si>
    <t>Loket</t>
  </si>
  <si>
    <t>Rolbeheer</t>
  </si>
  <si>
    <t>Rolontwerp</t>
  </si>
  <si>
    <t>Huidig</t>
  </si>
  <si>
    <t>Behoefte R&amp;V</t>
  </si>
  <si>
    <t>O=Opleiding
J=Junior
M=Medior
S=Senior
E=Expert</t>
  </si>
  <si>
    <t>Iris Koop</t>
  </si>
  <si>
    <t>Maarten de Jong</t>
  </si>
  <si>
    <t>Wiebe Stuivenwold</t>
  </si>
  <si>
    <t>Tako van der Giessen</t>
  </si>
  <si>
    <t>Carmen Emanuels</t>
  </si>
  <si>
    <t>Jeanne Driessen</t>
  </si>
  <si>
    <t>Philip van der Most</t>
  </si>
  <si>
    <t>Marion van Draanen</t>
  </si>
  <si>
    <t>Arnold Blankespoor</t>
  </si>
  <si>
    <t>Frank Meuwissen</t>
  </si>
  <si>
    <t>Vacature</t>
  </si>
  <si>
    <t>Matthijs Lamberse</t>
  </si>
  <si>
    <t>Frank van Geffen</t>
  </si>
  <si>
    <t>Dennis van Dijk</t>
  </si>
  <si>
    <t>Bob Poelstra</t>
  </si>
  <si>
    <t>Mandy Raaijmakers</t>
  </si>
  <si>
    <t>Bogdan van der Tol</t>
  </si>
  <si>
    <t>Robin Vervuren</t>
  </si>
  <si>
    <t>Peter Jan Donker</t>
  </si>
  <si>
    <t>Peter van Drie</t>
  </si>
  <si>
    <t>Marijn Hordijk</t>
  </si>
  <si>
    <t>Jan Kooij</t>
  </si>
  <si>
    <t>Roel Meijer</t>
  </si>
  <si>
    <t>Maurice Zuurhout</t>
  </si>
  <si>
    <t>Wim van der Leeden</t>
  </si>
  <si>
    <t>Tom van Alphen</t>
  </si>
  <si>
    <t>Ad Martens</t>
  </si>
  <si>
    <t>Henk Rooijakkers</t>
  </si>
  <si>
    <t>Danny van Onna</t>
  </si>
  <si>
    <t>Siberta Hassing</t>
  </si>
  <si>
    <t>Jaap Hilte (OR)</t>
  </si>
  <si>
    <t>O=Opleiding</t>
  </si>
  <si>
    <t>J=Junior</t>
  </si>
  <si>
    <t>M=Medior</t>
  </si>
  <si>
    <t>S=Senior</t>
  </si>
  <si>
    <t>E=Expert</t>
  </si>
  <si>
    <t>i</t>
  </si>
  <si>
    <t>e</t>
  </si>
  <si>
    <t>Systemen</t>
  </si>
  <si>
    <t>Oracle</t>
  </si>
  <si>
    <t>Bert+</t>
  </si>
  <si>
    <t>Raboshop</t>
  </si>
  <si>
    <t>HP Servicemanager</t>
  </si>
  <si>
    <t>IT Shop</t>
  </si>
  <si>
    <t>OBIP</t>
  </si>
  <si>
    <t>Rapportageserver</t>
  </si>
  <si>
    <t>Splunk</t>
  </si>
  <si>
    <t>Dell One Identity</t>
  </si>
  <si>
    <t>RSA</t>
  </si>
  <si>
    <t>RWA</t>
  </si>
  <si>
    <t>Integraal IAM landschap</t>
  </si>
  <si>
    <t>Disconnected applicaties</t>
  </si>
  <si>
    <t>Specifieke Risico / IAM-kennis</t>
  </si>
  <si>
    <t>IAM beleid</t>
  </si>
  <si>
    <t>Key Control Framework</t>
  </si>
  <si>
    <t>IT Security</t>
  </si>
  <si>
    <t>Cross domain</t>
  </si>
  <si>
    <t>FSE's</t>
  </si>
  <si>
    <t>Toerusten</t>
  </si>
  <si>
    <t>Authenthiseren</t>
  </si>
  <si>
    <t>Methodieken</t>
  </si>
  <si>
    <t>Lean</t>
  </si>
  <si>
    <t>DevOps</t>
  </si>
  <si>
    <t>Agile/scrum</t>
  </si>
  <si>
    <t>BiSL</t>
  </si>
  <si>
    <t>Rolmodellen (RBAC)</t>
  </si>
  <si>
    <t>Opstellen (KC)Frameworks</t>
  </si>
  <si>
    <t>ITIL</t>
  </si>
  <si>
    <t>Prince 2</t>
  </si>
  <si>
    <t>Sox</t>
  </si>
  <si>
    <t>Cobit</t>
  </si>
  <si>
    <t>Competenties</t>
  </si>
  <si>
    <t>Overtuigingskracht</t>
  </si>
  <si>
    <t>Ketendenken/helicopterview</t>
  </si>
  <si>
    <t>Presentatievaardigheden</t>
  </si>
  <si>
    <t>Stakeholdermanagement</t>
  </si>
  <si>
    <t>Analyse &amp; advies</t>
  </si>
  <si>
    <t>Veranderkracht</t>
  </si>
  <si>
    <t>Zelfsturend</t>
  </si>
  <si>
    <t>Inspireren &amp; beïnvloeden</t>
  </si>
  <si>
    <t>Resultaatgerichtheid</t>
  </si>
  <si>
    <t>Organisatiesensitiviteit</t>
  </si>
  <si>
    <t>Excel/VBA</t>
  </si>
  <si>
    <t>Product ownership</t>
  </si>
  <si>
    <t>Proces mining</t>
  </si>
  <si>
    <t>Data mining / big data</t>
  </si>
  <si>
    <t>Business Intelligence</t>
  </si>
  <si>
    <t>PDCA (in het algemeen)</t>
  </si>
  <si>
    <t>Organisatie / klantomgeving</t>
  </si>
  <si>
    <t>LB - PPB</t>
  </si>
  <si>
    <t>LB - Bedrijven</t>
  </si>
  <si>
    <t>LB - Business Support</t>
  </si>
  <si>
    <t>PPB</t>
  </si>
  <si>
    <t>Bedrijven</t>
  </si>
  <si>
    <t>Digitale Bank</t>
  </si>
  <si>
    <t>CRO</t>
  </si>
  <si>
    <t>CFO</t>
  </si>
  <si>
    <t>COO - OPS B&amp;V</t>
  </si>
  <si>
    <t>COO - OPS FIN</t>
  </si>
  <si>
    <t>COO - OPS Beleggen</t>
  </si>
  <si>
    <t>COO - OPS overig</t>
  </si>
  <si>
    <t>COO - ITS</t>
  </si>
  <si>
    <t>COO - Infra</t>
  </si>
  <si>
    <t>COO - RRS</t>
  </si>
  <si>
    <t>COO - IAM</t>
  </si>
  <si>
    <t>HR (processen)</t>
  </si>
  <si>
    <t>LEX-en</t>
  </si>
  <si>
    <t>Totaal</t>
  </si>
  <si>
    <t>IAM Processen/procedures</t>
  </si>
  <si>
    <t>GAP (negatief getal)</t>
  </si>
  <si>
    <t>OR</t>
  </si>
  <si>
    <t>Fred van der Vecht</t>
  </si>
  <si>
    <t>Vaardigheden</t>
  </si>
  <si>
    <t>Engels</t>
  </si>
  <si>
    <t>Eugene Wijnvoord</t>
  </si>
  <si>
    <t>Carin Prosée</t>
  </si>
  <si>
    <t>Intern/Extern --&gt;</t>
  </si>
  <si>
    <t>KENNISMATRIX R&amp;V Talen</t>
  </si>
  <si>
    <t>A=Basic</t>
  </si>
  <si>
    <t>B=Independent</t>
  </si>
  <si>
    <t>C=Proficient</t>
  </si>
  <si>
    <t>User Support &amp; Product owners</t>
  </si>
  <si>
    <t>Uitleg over de maatstaf voor het gebruik van A, B &amp; C tref je onderstaand aan. NB: je hoeft alleen A, B of C aan te geven en dus niet A1, B1, enz.</t>
  </si>
  <si>
    <t>Angelina Malloggi</t>
  </si>
  <si>
    <t>O=Opleiding
A=Basic
B=Indepen-dent
C=Proficient
E=Expert</t>
  </si>
  <si>
    <t>Leiding, Secr. &amp; OR</t>
  </si>
  <si>
    <t>J</t>
  </si>
  <si>
    <t>M</t>
  </si>
  <si>
    <t>S</t>
  </si>
  <si>
    <t>E</t>
  </si>
  <si>
    <t>b</t>
  </si>
  <si>
    <t>Systemen vond ik lastig – nog niets ingevuld. Betekent kennis van systemen: kunnen bedienen of weten waar ze voor dienen?</t>
  </si>
  <si>
    <t xml:space="preserve">Duits </t>
  </si>
  <si>
    <t>Frans</t>
  </si>
  <si>
    <t>O</t>
  </si>
  <si>
    <t>c</t>
  </si>
  <si>
    <t>Feedback en aanvulling:</t>
  </si>
  <si>
    <t>j</t>
  </si>
  <si>
    <t>m</t>
  </si>
  <si>
    <t>o</t>
  </si>
  <si>
    <t>s</t>
  </si>
  <si>
    <t>Altijd lastig, wanneer ben jij medior, senior of expert?</t>
  </si>
  <si>
    <t xml:space="preserve">Tevens ben ik hier (mede op verzoek van Harald) ook nog steeds aanspreek punt voor. </t>
  </si>
  <si>
    <t>a</t>
  </si>
  <si>
    <t>Integraal IAM landschap: hier zou ik graag meer van weten heb er last van dat overzicht ontbreekt</t>
  </si>
  <si>
    <t>IT security: hier wil ik me ook graag in ontwikkelen</t>
  </si>
  <si>
    <t>Authentiseren: hem m ingevuld voor autoriseren</t>
  </si>
  <si>
    <t>Sox en Cobit: voor IAM deel S voor rest M</t>
  </si>
  <si>
    <t xml:space="preserve">Frank van Geffen </t>
  </si>
  <si>
    <t>Toegevoegd: Expert op Bussiness- / Procesanalyse</t>
  </si>
  <si>
    <t>Ik denk dat het goed is om ook nog op te nemen:</t>
  </si>
  <si>
    <r>
      <t>·</t>
    </r>
    <r>
      <rPr>
        <sz val="7"/>
        <color theme="1"/>
        <rFont val="Times New Roman"/>
        <family val="1"/>
      </rPr>
      <t xml:space="preserve">         </t>
    </r>
    <r>
      <rPr>
        <sz val="11"/>
        <color theme="1"/>
        <rFont val="Calibri"/>
        <family val="2"/>
        <scheme val="minor"/>
      </rPr>
      <t>Basiskennis van NIbe over bankieren</t>
    </r>
  </si>
  <si>
    <r>
      <t>·</t>
    </r>
    <r>
      <rPr>
        <sz val="7"/>
        <color theme="1"/>
        <rFont val="Times New Roman"/>
        <family val="1"/>
      </rPr>
      <t xml:space="preserve">         </t>
    </r>
    <r>
      <rPr>
        <sz val="11"/>
        <color theme="1"/>
        <rFont val="Calibri"/>
        <family val="2"/>
        <scheme val="minor"/>
      </rPr>
      <t>Basiskennis risicomanagement</t>
    </r>
  </si>
  <si>
    <r>
      <t>·</t>
    </r>
    <r>
      <rPr>
        <sz val="7"/>
        <color theme="1"/>
        <rFont val="Times New Roman"/>
        <family val="1"/>
      </rPr>
      <t xml:space="preserve">         </t>
    </r>
    <r>
      <rPr>
        <sz val="11"/>
        <color theme="1"/>
        <rFont val="Calibri"/>
        <family val="2"/>
        <scheme val="minor"/>
      </rPr>
      <t>Kijken wat in het vereistenprofiel staat, zou moeten staan</t>
    </r>
  </si>
  <si>
    <t>Ad martens</t>
  </si>
  <si>
    <t>toegevoegd: senior in Business Process Management</t>
  </si>
  <si>
    <t>Aanvullende opmerkingen</t>
  </si>
  <si>
    <t>Van</t>
  </si>
  <si>
    <t>Opmerking</t>
  </si>
  <si>
    <t>*De processen zijn samen gebundeld in één kopje, maar de systemen zijn allen uitgeschreven. Het is ook goed om te weten wie er een bepaald niveau heeft van ieder proces. Zo zal niet iedereen kennis hebben van het proces digitale identiteit maar worden hier wel vragen over gesteld vanuit het KCF</t>
  </si>
  <si>
    <t>*De Systemen SM9 en HP servicemanager zijn één en dezelfde. De volledige naam van de applicatie is HP Servicemanager 9.</t>
  </si>
  <si>
    <t>*De systemen IT Shop en Dell One Identity zijn één en dezelfde. De volledige naam van de applicatie is Quest One Identity manager IT Schop.</t>
  </si>
  <si>
    <t>Beoordeling kan enigszins beïnvloed zijn door mijn huidige situatie.</t>
  </si>
  <si>
    <t>Individueel:</t>
  </si>
  <si>
    <t>*HP Servicemanager en SM9 zijn hetzelfde.</t>
  </si>
  <si>
    <t>Inhoudelijk, door een aantal mensen gemaakt:</t>
  </si>
  <si>
    <r>
      <t>·</t>
    </r>
    <r>
      <rPr>
        <sz val="7"/>
        <color theme="1"/>
        <rFont val="Times New Roman"/>
        <family val="1"/>
      </rPr>
      <t xml:space="preserve">         </t>
    </r>
    <r>
      <rPr>
        <sz val="11"/>
        <color theme="1"/>
        <rFont val="Calibri"/>
        <family val="2"/>
        <scheme val="minor"/>
      </rPr>
      <t>Ik mis het keten denken. Een paar losse processen worden genoemd, maar niet het totale IAM veld met de 10 processen.</t>
    </r>
  </si>
  <si>
    <r>
      <t>·</t>
    </r>
    <r>
      <rPr>
        <sz val="7"/>
        <color theme="1"/>
        <rFont val="Times New Roman"/>
        <family val="1"/>
      </rPr>
      <t xml:space="preserve">         </t>
    </r>
    <r>
      <rPr>
        <sz val="11"/>
        <color theme="1"/>
        <rFont val="Calibri"/>
        <family val="2"/>
        <scheme val="minor"/>
      </rPr>
      <t>Daarnaast mis ik het onderdeel DNB.</t>
    </r>
  </si>
  <si>
    <t>*Foutje in de sheet: cellen AP88 t/m AT92 aangepast op waardenbereik.</t>
  </si>
  <si>
    <t>Nog maar eens samen doorheen lopen om e.e.a scherp te krijgen.</t>
  </si>
  <si>
    <t>Ik ben ook expert v.w.b. de SAP applicaties welke door Toerusten worden toegerust.</t>
  </si>
  <si>
    <t>Maurice Neuféglise</t>
  </si>
  <si>
    <t>C</t>
  </si>
  <si>
    <t>Categories</t>
  </si>
  <si>
    <t>Nederlands</t>
  </si>
  <si>
    <t>English</t>
  </si>
  <si>
    <t>Systems</t>
  </si>
  <si>
    <t>IAM Knowledge Area</t>
  </si>
  <si>
    <t>Methods</t>
  </si>
  <si>
    <t>Competence</t>
  </si>
  <si>
    <t>Skills</t>
  </si>
  <si>
    <t>Organizatons / End-users</t>
  </si>
  <si>
    <t>Category</t>
  </si>
  <si>
    <t>Departments</t>
  </si>
  <si>
    <t>Department Members</t>
  </si>
  <si>
    <t>Employee</t>
  </si>
  <si>
    <t>Inter/Extern</t>
  </si>
  <si>
    <t>Column Caegory</t>
  </si>
  <si>
    <t>column 1</t>
  </si>
  <si>
    <t>column 2</t>
  </si>
  <si>
    <t>column 3</t>
  </si>
  <si>
    <t>column 4</t>
  </si>
  <si>
    <t>Row Category</t>
  </si>
  <si>
    <t>row 1</t>
  </si>
  <si>
    <t>row 2</t>
  </si>
  <si>
    <t>row 3</t>
  </si>
  <si>
    <t>row 4</t>
  </si>
  <si>
    <t>Department Name</t>
  </si>
  <si>
    <t>Skill Category</t>
  </si>
  <si>
    <t>training</t>
  </si>
  <si>
    <t>junior</t>
  </si>
  <si>
    <t>intermediate</t>
  </si>
  <si>
    <t>senior</t>
  </si>
  <si>
    <t>expert</t>
  </si>
  <si>
    <t>opleiding</t>
  </si>
  <si>
    <t>medior</t>
  </si>
  <si>
    <t>#</t>
  </si>
  <si>
    <t>o = Training</t>
  </si>
  <si>
    <t>j = Junior</t>
  </si>
  <si>
    <t>m = Intermediate</t>
  </si>
  <si>
    <t>s = Senior</t>
  </si>
  <si>
    <t>e = Expert</t>
  </si>
  <si>
    <t>Totals</t>
  </si>
  <si>
    <t>Desired Skill Level</t>
  </si>
  <si>
    <t>BENODIGDE KENNIS R&amp;V</t>
  </si>
  <si>
    <t>CISM/CISSP</t>
  </si>
  <si>
    <t>Netwerken en contacten onderhouden en uitbouwen</t>
  </si>
  <si>
    <t>Werken in zelfsturend team</t>
  </si>
  <si>
    <t>PowerPoint (Presentaties)</t>
  </si>
  <si>
    <t>Uitvoeren impactanalyse</t>
  </si>
  <si>
    <t>Strategy &amp; Compliance</t>
  </si>
  <si>
    <t>Consulting</t>
  </si>
  <si>
    <t>Business Support</t>
  </si>
  <si>
    <t>Implementatie/communicatie</t>
  </si>
  <si>
    <t>Data</t>
  </si>
  <si>
    <t>Product Owner</t>
  </si>
  <si>
    <t>Overig</t>
  </si>
  <si>
    <t>I</t>
  </si>
  <si>
    <t>Jaap Hilte</t>
  </si>
  <si>
    <t>Alexander ter Cock</t>
  </si>
  <si>
    <t>Arno Gouverneur</t>
  </si>
  <si>
    <t>Huub Bosch</t>
  </si>
  <si>
    <t>Patrick Haazelager</t>
  </si>
  <si>
    <t>Onno Visser</t>
  </si>
  <si>
    <t>Corino de Wilt - van Tilburg</t>
  </si>
  <si>
    <t>Marion van Draanen- van Waardenburg</t>
  </si>
  <si>
    <t>Jeroen van Esch</t>
  </si>
  <si>
    <t>Edvard Gooijenga</t>
  </si>
  <si>
    <t>Attapong Giesken</t>
  </si>
  <si>
    <t>Siberta Hassing- Aukema</t>
  </si>
  <si>
    <t>Martijn Hendriks</t>
  </si>
  <si>
    <t>Edo Immink</t>
  </si>
  <si>
    <t>Rudy Licht</t>
  </si>
  <si>
    <t>Mandy van de Raaijmakers Scheur</t>
  </si>
  <si>
    <t>Reinou van den Berg</t>
  </si>
  <si>
    <t>Maud Merks</t>
  </si>
  <si>
    <t>Sabine van Tergouw</t>
  </si>
  <si>
    <t>Kasper Dortland</t>
  </si>
  <si>
    <t>Roger Koch</t>
  </si>
  <si>
    <t>Shere Singh</t>
  </si>
  <si>
    <t>Henk Marsman</t>
  </si>
  <si>
    <t>Mickael van den Noort</t>
  </si>
  <si>
    <t>Han van Bruggen</t>
  </si>
  <si>
    <t>Jan-Peter Boor</t>
  </si>
  <si>
    <t>Kars Wittens</t>
  </si>
  <si>
    <t>Arjan Wildeman</t>
  </si>
  <si>
    <t>Talen</t>
  </si>
  <si>
    <t>Extra vaardigheden</t>
  </si>
  <si>
    <t>Duits</t>
  </si>
  <si>
    <t>Vormgeving/ontwerpen</t>
  </si>
  <si>
    <t>Organiseren</t>
  </si>
  <si>
    <t>Fotografie</t>
  </si>
  <si>
    <t>Tekenen</t>
  </si>
  <si>
    <t>Creatief</t>
  </si>
  <si>
    <t>Videobewerking</t>
  </si>
  <si>
    <t>Excel</t>
  </si>
  <si>
    <t>Word</t>
  </si>
  <si>
    <t>Filmpjes maken</t>
  </si>
  <si>
    <t>Website bouwen</t>
  </si>
  <si>
    <t>Lesgeven op school</t>
  </si>
  <si>
    <t>Coachen</t>
  </si>
  <si>
    <t>PowerPoint</t>
  </si>
  <si>
    <t>Muziek maken</t>
  </si>
  <si>
    <t>Koken en/of bakken</t>
  </si>
  <si>
    <t>Ton Gerrits</t>
  </si>
  <si>
    <t>Language</t>
  </si>
  <si>
    <t>Extra skills</t>
  </si>
  <si>
    <t>Nieuwe Categorië</t>
  </si>
  <si>
    <t>vaardigheid 1</t>
  </si>
  <si>
    <t>skill 1</t>
  </si>
  <si>
    <t>vaaerdigheid 3</t>
  </si>
  <si>
    <t>skill 3</t>
  </si>
  <si>
    <t>vaardigheid 2</t>
  </si>
  <si>
    <t>skill 2</t>
  </si>
  <si>
    <t>CONTROL-SA Entity Reporter - Saved Queries</t>
  </si>
  <si>
    <t>name query</t>
  </si>
  <si>
    <t>date / time</t>
  </si>
  <si>
    <t>entities</t>
  </si>
  <si>
    <t>query</t>
  </si>
  <si>
    <t>ess-profile</t>
  </si>
  <si>
    <t>ess-admin</t>
  </si>
  <si>
    <t>Department</t>
  </si>
  <si>
    <t>unknown</t>
  </si>
  <si>
    <t>Totals per Employee</t>
  </si>
  <si>
    <t>Current Skill Level</t>
  </si>
  <si>
    <t>Total Gap</t>
  </si>
  <si>
    <t>Total Desired Skill Level</t>
  </si>
  <si>
    <t>Member Lookup</t>
  </si>
  <si>
    <t>dell_prod</t>
  </si>
  <si>
    <t>n/a</t>
  </si>
  <si>
    <t>QUERY:</t>
  </si>
  <si>
    <t>MAX-ROWS:</t>
  </si>
  <si>
    <t>SORT ON:</t>
  </si>
  <si>
    <t>ORDER BY Employee, Department</t>
  </si>
  <si>
    <t>QUERY-NAME:</t>
  </si>
  <si>
    <t>00001</t>
  </si>
  <si>
    <t>00002</t>
  </si>
  <si>
    <t>00003</t>
  </si>
  <si>
    <t>00004</t>
  </si>
  <si>
    <t>00005</t>
  </si>
  <si>
    <t>00006</t>
  </si>
  <si>
    <t>00007</t>
  </si>
  <si>
    <t>00008</t>
  </si>
  <si>
    <t>00009</t>
  </si>
  <si>
    <t>00010</t>
  </si>
  <si>
    <t>00011</t>
  </si>
  <si>
    <t>00012</t>
  </si>
  <si>
    <t>00013</t>
  </si>
  <si>
    <t>00014</t>
  </si>
  <si>
    <t>00015</t>
  </si>
  <si>
    <t>00016</t>
  </si>
  <si>
    <t>00017</t>
  </si>
  <si>
    <t>00018</t>
  </si>
  <si>
    <t>00019</t>
  </si>
  <si>
    <t>00020</t>
  </si>
  <si>
    <t>00021</t>
  </si>
  <si>
    <t>00022</t>
  </si>
  <si>
    <t>00023</t>
  </si>
  <si>
    <t>00024</t>
  </si>
  <si>
    <t>00025</t>
  </si>
  <si>
    <t>00026</t>
  </si>
  <si>
    <t>00027</t>
  </si>
  <si>
    <t>00028</t>
  </si>
  <si>
    <t>00029</t>
  </si>
  <si>
    <t>00030</t>
  </si>
  <si>
    <t>00031</t>
  </si>
  <si>
    <t>00032</t>
  </si>
  <si>
    <t>00033</t>
  </si>
  <si>
    <t>00034</t>
  </si>
  <si>
    <t>00035</t>
  </si>
  <si>
    <t>00036</t>
  </si>
  <si>
    <t>00037</t>
  </si>
  <si>
    <t>00038</t>
  </si>
  <si>
    <t>00039</t>
  </si>
  <si>
    <t>00040</t>
  </si>
  <si>
    <t>00041</t>
  </si>
  <si>
    <t>00042</t>
  </si>
  <si>
    <t>00043</t>
  </si>
  <si>
    <t>00044</t>
  </si>
  <si>
    <t>00045</t>
  </si>
  <si>
    <t>00046</t>
  </si>
  <si>
    <t>00047</t>
  </si>
  <si>
    <t>00048</t>
  </si>
  <si>
    <t>00049</t>
  </si>
  <si>
    <t>00050</t>
  </si>
  <si>
    <t>00051</t>
  </si>
  <si>
    <t>00052</t>
  </si>
  <si>
    <t>00053</t>
  </si>
  <si>
    <t>00054</t>
  </si>
  <si>
    <t>00055</t>
  </si>
  <si>
    <t>00056</t>
  </si>
  <si>
    <t>00057</t>
  </si>
  <si>
    <t>00058</t>
  </si>
  <si>
    <t>00059</t>
  </si>
  <si>
    <t>00060</t>
  </si>
  <si>
    <t>00061</t>
  </si>
  <si>
    <t>00062</t>
  </si>
  <si>
    <t>00063</t>
  </si>
  <si>
    <t>00064</t>
  </si>
  <si>
    <t>00065</t>
  </si>
  <si>
    <t>00066</t>
  </si>
  <si>
    <t>00067</t>
  </si>
  <si>
    <t>00068</t>
  </si>
  <si>
    <t>00069</t>
  </si>
  <si>
    <t>00070</t>
  </si>
  <si>
    <t>00071</t>
  </si>
  <si>
    <t>00072</t>
  </si>
  <si>
    <t>00073</t>
  </si>
  <si>
    <t>00074</t>
  </si>
  <si>
    <t>00075</t>
  </si>
  <si>
    <t>00076</t>
  </si>
  <si>
    <t>00077</t>
  </si>
  <si>
    <t>00078</t>
  </si>
  <si>
    <t>00079</t>
  </si>
  <si>
    <t>00080</t>
  </si>
  <si>
    <t>00081</t>
  </si>
  <si>
    <t>00082</t>
  </si>
  <si>
    <t>00083</t>
  </si>
  <si>
    <t>00084</t>
  </si>
  <si>
    <t>ENTITY:</t>
  </si>
  <si>
    <t>QUERY-METHOD:</t>
  </si>
  <si>
    <t>data retrieved via ODBC from [Talent Matrix]</t>
  </si>
  <si>
    <t>PASS-THROUGH:</t>
  </si>
  <si>
    <t>query passed directly to database</t>
  </si>
  <si>
    <t>JOIN ON:</t>
  </si>
  <si>
    <t>&lt;emps&gt;</t>
  </si>
  <si>
    <t>ENTITY 1:</t>
  </si>
  <si>
    <t>'Members</t>
  </si>
  <si>
    <t>ENTITY 2:</t>
  </si>
  <si>
    <t>'&lt;emps&gt;</t>
  </si>
  <si>
    <t>Members|&lt;emps&gt;</t>
  </si>
  <si>
    <t>Identities</t>
  </si>
  <si>
    <t>Display Name</t>
  </si>
  <si>
    <t>Start Date</t>
  </si>
  <si>
    <t>Primary Local Department</t>
  </si>
  <si>
    <t>Active</t>
  </si>
  <si>
    <t>Hartley, KL (Krystle)</t>
  </si>
  <si>
    <t>Krystle</t>
  </si>
  <si>
    <t>Hartley</t>
  </si>
  <si>
    <t>Finance Officer</t>
  </si>
  <si>
    <t>HartleyKL</t>
  </si>
  <si>
    <t>Krystle.Hartley@rabobank.com</t>
  </si>
  <si>
    <t>Internal</t>
  </si>
  <si>
    <t>CBAU - Nrthrn NSW &amp; Sthrn QLD</t>
  </si>
  <si>
    <t>Wieman, B (Bas)</t>
  </si>
  <si>
    <t>Bas</t>
  </si>
  <si>
    <t>Wieman</t>
  </si>
  <si>
    <t>projectmanager</t>
  </si>
  <si>
    <t>WiemanB</t>
  </si>
  <si>
    <t>Bas.Wieman@rabobank.com</t>
  </si>
  <si>
    <t>SYS W&amp;I Financial markets Back</t>
  </si>
  <si>
    <t>FutureJoiner</t>
  </si>
  <si>
    <t>Kennedy, JJ (Jeanette)</t>
  </si>
  <si>
    <t>Jeanette</t>
  </si>
  <si>
    <t>Kennedy</t>
  </si>
  <si>
    <t>BSA/AML Investgation Anlyst II</t>
  </si>
  <si>
    <t>KennedyJJ</t>
  </si>
  <si>
    <t>Jeanette.Kennedy@rabobank.com</t>
  </si>
  <si>
    <t>Financial Intelligence Unit</t>
  </si>
  <si>
    <t>Terminated</t>
  </si>
  <si>
    <t>Maas, PMM (Patrice)</t>
  </si>
  <si>
    <t>Patrice Michel Marie</t>
  </si>
  <si>
    <t>Maas</t>
  </si>
  <si>
    <t>Patrice</t>
  </si>
  <si>
    <t>Associate</t>
  </si>
  <si>
    <t>MaasPMM</t>
  </si>
  <si>
    <t>patrice.maas@rabobank.com</t>
  </si>
  <si>
    <t>Retail Banking Management</t>
  </si>
  <si>
    <t>Alexander - Orr, L (Lucie)</t>
  </si>
  <si>
    <t>Lucie</t>
  </si>
  <si>
    <t>Alexander - Orr</t>
  </si>
  <si>
    <t>KPMG Consultant</t>
  </si>
  <si>
    <t>AlexanderL</t>
  </si>
  <si>
    <t>Lucie.Alexander---Orr@rabobank.com</t>
  </si>
  <si>
    <t>External</t>
  </si>
  <si>
    <t>Executive</t>
  </si>
  <si>
    <t>Wikantanti, DA (Dian)</t>
  </si>
  <si>
    <t>Dian</t>
  </si>
  <si>
    <t>Wikantanti</t>
  </si>
  <si>
    <t>Organizational Development Specialist</t>
  </si>
  <si>
    <t>WikantantiDA</t>
  </si>
  <si>
    <t>Dian.Wikantanti@rabobank.com</t>
  </si>
  <si>
    <t>Organizational Development &amp; H</t>
  </si>
  <si>
    <t>Bosch van den, J (Jeroen)</t>
  </si>
  <si>
    <t>Jeroen</t>
  </si>
  <si>
    <t>Bosch</t>
  </si>
  <si>
    <t>BoschJ1</t>
  </si>
  <si>
    <t>Jeroen.van.den.Bosch@rabobank.nl</t>
  </si>
  <si>
    <t>INF ENG Cloud and Platforms</t>
  </si>
  <si>
    <t>Chosani, AM (Anna)</t>
  </si>
  <si>
    <t>Anna</t>
  </si>
  <si>
    <t>Chosani</t>
  </si>
  <si>
    <t>Head of Commercial</t>
  </si>
  <si>
    <t>ChosaniAM</t>
  </si>
  <si>
    <t>Anna.Chosani@rabobank.com</t>
  </si>
  <si>
    <t>Region Jakarta - HO</t>
  </si>
  <si>
    <t>Graff, R (Robert)</t>
  </si>
  <si>
    <t>Robert</t>
  </si>
  <si>
    <t>Graff</t>
  </si>
  <si>
    <t>Sr. Relationship Manager</t>
  </si>
  <si>
    <t>GraffR</t>
  </si>
  <si>
    <t>Robert.Graff@rabobank.com</t>
  </si>
  <si>
    <t>Chicago Client Coverage</t>
  </si>
  <si>
    <t>Negara, AAAPP (Anak)</t>
  </si>
  <si>
    <t>Anak</t>
  </si>
  <si>
    <t>Negara</t>
  </si>
  <si>
    <t>Multi Payment Staff</t>
  </si>
  <si>
    <t>NegaraAAAPP</t>
  </si>
  <si>
    <t>Anak.Negara@rabobank.com</t>
  </si>
  <si>
    <t>Operations</t>
  </si>
  <si>
    <t>Fabbri, D (Dana)</t>
  </si>
  <si>
    <t>Dana</t>
  </si>
  <si>
    <t>Fabbri</t>
  </si>
  <si>
    <t>Retail Training &amp; Develop Mgr</t>
  </si>
  <si>
    <t>FabbriD</t>
  </si>
  <si>
    <t>Dana.Fabbri@rabobank.com</t>
  </si>
  <si>
    <t>Human Resources</t>
  </si>
  <si>
    <t>Doodeman, CH (Cees)</t>
  </si>
  <si>
    <t>Cornelis Hendrik</t>
  </si>
  <si>
    <t>Doodeman</t>
  </si>
  <si>
    <t>Cees</t>
  </si>
  <si>
    <t>Senior Consultant</t>
  </si>
  <si>
    <t>DoodemanCH</t>
  </si>
  <si>
    <t>Cees.Doodeman@rabobank.com</t>
  </si>
  <si>
    <t>ISD Corp Banking &amp; e-Commerce</t>
  </si>
  <si>
    <t>Chong, GXF (Gabriel)</t>
  </si>
  <si>
    <t>Gabriel Xing Fa</t>
  </si>
  <si>
    <t>Chong</t>
  </si>
  <si>
    <t>Gabriel</t>
  </si>
  <si>
    <t>Analyst, M&amp;A</t>
  </si>
  <si>
    <t>ChongGXF</t>
  </si>
  <si>
    <t>Gabriel.Chong@rabobank.com</t>
  </si>
  <si>
    <t>Corporate Finance Advisory</t>
  </si>
  <si>
    <t>Case, S (Scott)</t>
  </si>
  <si>
    <t>Scott</t>
  </si>
  <si>
    <t>Case</t>
  </si>
  <si>
    <t>Appraiser</t>
  </si>
  <si>
    <t>CaseS</t>
  </si>
  <si>
    <t>Scott.Case@raboag.com</t>
  </si>
  <si>
    <t>Appraisal</t>
  </si>
  <si>
    <t>Marcal, A (Andreia)</t>
  </si>
  <si>
    <t>Andreia</t>
  </si>
  <si>
    <t>Marcal da Silva</t>
  </si>
  <si>
    <t>Sr Rural Analyst</t>
  </si>
  <si>
    <t>MarcalA</t>
  </si>
  <si>
    <t>Andreia.Marcal@rabobank.com</t>
  </si>
  <si>
    <t>Rural-Ribeirão Preto Branch</t>
  </si>
  <si>
    <t>Halma, MJE (Menno)</t>
  </si>
  <si>
    <t>Menno J E</t>
  </si>
  <si>
    <t>Halma</t>
  </si>
  <si>
    <t>Menno</t>
  </si>
  <si>
    <t>Manager RFA</t>
  </si>
  <si>
    <t>HalmaMJE</t>
  </si>
  <si>
    <t>Menno.Halma@rabobank.com</t>
  </si>
  <si>
    <t>BEDR CC RFA</t>
  </si>
  <si>
    <t>Rice, T (Ty)</t>
  </si>
  <si>
    <t>Ty</t>
  </si>
  <si>
    <t>Rice</t>
  </si>
  <si>
    <t>Consultant</t>
  </si>
  <si>
    <t>RiceT</t>
  </si>
  <si>
    <t>Ty.Rice@rabobank.com</t>
  </si>
  <si>
    <t>Compliance</t>
  </si>
  <si>
    <t>Pegorer, E (Elio)</t>
  </si>
  <si>
    <t>Elio</t>
  </si>
  <si>
    <t>Pegorer</t>
  </si>
  <si>
    <t>Executive Mgr - Revenue Growth</t>
  </si>
  <si>
    <t>PegorerE</t>
  </si>
  <si>
    <t>Elio.Pegorer@rabobank.com</t>
  </si>
  <si>
    <t>Country Banking AU - Other</t>
  </si>
  <si>
    <t>Mijnarends, JC (Jos)</t>
  </si>
  <si>
    <t>Johannes Cornelis</t>
  </si>
  <si>
    <t>Mijnarends</t>
  </si>
  <si>
    <t>Jos</t>
  </si>
  <si>
    <t>Associate Director IRR M&amp;S</t>
  </si>
  <si>
    <t>MijnarendsJC</t>
  </si>
  <si>
    <t>Jos.Mijnarends@rabobank.com</t>
  </si>
  <si>
    <t>TRG BSM ALM</t>
  </si>
  <si>
    <t>Manting, O (Oscar)</t>
  </si>
  <si>
    <t>Oscar</t>
  </si>
  <si>
    <t>Manting</t>
  </si>
  <si>
    <t>credit analyst</t>
  </si>
  <si>
    <t>MantingO</t>
  </si>
  <si>
    <t>Oscar.Manting@rabobank.nl</t>
  </si>
  <si>
    <t>BEDR Regiomanagement ZW</t>
  </si>
  <si>
    <t>Verbakel, MM (Marinda)</t>
  </si>
  <si>
    <t>Marinda</t>
  </si>
  <si>
    <t>Verbakel</t>
  </si>
  <si>
    <t>Support Officer</t>
  </si>
  <si>
    <t>VerbakelMM</t>
  </si>
  <si>
    <t>Marinda.Verbakel@rabobank.com</t>
  </si>
  <si>
    <t>B4F Positioning</t>
  </si>
  <si>
    <t>Laviola, S (Saverio)</t>
  </si>
  <si>
    <t>Saverio</t>
  </si>
  <si>
    <t>Laviola</t>
  </si>
  <si>
    <t>LaviolaS</t>
  </si>
  <si>
    <t>Saverio.Laviola@rabobank.com</t>
  </si>
  <si>
    <t>Sys W&amp;I Mgmt &amp; Admin</t>
  </si>
  <si>
    <t>Borba, AV (Alexis)</t>
  </si>
  <si>
    <t>Alexis</t>
  </si>
  <si>
    <t>Borba</t>
  </si>
  <si>
    <t>Financial Analyst III</t>
  </si>
  <si>
    <t>BorbaAV</t>
  </si>
  <si>
    <t>Alexis.Borba@rabobank.com</t>
  </si>
  <si>
    <t>Commercial Credit Risk</t>
  </si>
  <si>
    <t>Minto, D (David)</t>
  </si>
  <si>
    <t>David</t>
  </si>
  <si>
    <t>Minto</t>
  </si>
  <si>
    <t>KYC Project Consultant</t>
  </si>
  <si>
    <t>MintoD</t>
  </si>
  <si>
    <t>David.Minto@rabobank.com</t>
  </si>
  <si>
    <t>Client Data Management</t>
  </si>
  <si>
    <t>Loef, H (Hannah) (Out of Scope)</t>
  </si>
  <si>
    <t>Hannah</t>
  </si>
  <si>
    <t>Loef</t>
  </si>
  <si>
    <t>RN NL Expat Outbound</t>
  </si>
  <si>
    <t>LoefH1</t>
  </si>
  <si>
    <t>Hannah.Loef@rabobank.nl</t>
  </si>
  <si>
    <t>Out of Scope</t>
  </si>
  <si>
    <t>Bree van-Bruggeman, YJ (Yvonne)</t>
  </si>
  <si>
    <t>Yvonne</t>
  </si>
  <si>
    <t>Bree-Bruggeman</t>
  </si>
  <si>
    <t>BruggemanY</t>
  </si>
  <si>
    <t>Yvonne.Bruggeman@rabobank.com</t>
  </si>
  <si>
    <t>CFO Mngt Accounting &amp; Reporting</t>
  </si>
  <si>
    <t>Ryan, N (Natalie)</t>
  </si>
  <si>
    <t>Natalie</t>
  </si>
  <si>
    <t>Ryan</t>
  </si>
  <si>
    <t>Business Analyst</t>
  </si>
  <si>
    <t>RyanN</t>
  </si>
  <si>
    <t>Natalie.Ryan@rabobank.com</t>
  </si>
  <si>
    <t>Direct Banking</t>
  </si>
  <si>
    <t>Komuro, H (Hudson)</t>
  </si>
  <si>
    <t>Hudson</t>
  </si>
  <si>
    <t>Komuro</t>
  </si>
  <si>
    <t>Consultor</t>
  </si>
  <si>
    <t>KomuroH</t>
  </si>
  <si>
    <t>Hudson.Komuro@rabobank.com</t>
  </si>
  <si>
    <t>Operations Rural Control</t>
  </si>
  <si>
    <t>Callaway, G (Glenn)</t>
  </si>
  <si>
    <t>Glenn</t>
  </si>
  <si>
    <t>Callaway</t>
  </si>
  <si>
    <t>Project Mgr Sr</t>
  </si>
  <si>
    <t>CallawayG</t>
  </si>
  <si>
    <t>Glenn.Callaway@rabobank.com</t>
  </si>
  <si>
    <t>Project Management</t>
  </si>
  <si>
    <t>Noort van den, M (Mickael)</t>
  </si>
  <si>
    <t>Mickael</t>
  </si>
  <si>
    <t>Noort</t>
  </si>
  <si>
    <t>NoortM</t>
  </si>
  <si>
    <t>Mickael.van.den.Noort@rabobank.com</t>
  </si>
  <si>
    <t>RRS IAM Control and Reporting</t>
  </si>
  <si>
    <t>Esveldt, CJ (Christian)</t>
  </si>
  <si>
    <t>Christian</t>
  </si>
  <si>
    <t>Esveldt</t>
  </si>
  <si>
    <t>Medewerker Bijzonder Beheer</t>
  </si>
  <si>
    <t>EsveldtCJ1</t>
  </si>
  <si>
    <t>Christian.Esveldt@rabobank.nl</t>
  </si>
  <si>
    <t>Rabobank Netherlands</t>
  </si>
  <si>
    <t>LeaverGrace</t>
  </si>
  <si>
    <t>Chatfield, M (Michael)</t>
  </si>
  <si>
    <t>Michael</t>
  </si>
  <si>
    <t>Chatfield</t>
  </si>
  <si>
    <t>Backup Engineer</t>
  </si>
  <si>
    <t>ChatfieldM</t>
  </si>
  <si>
    <t>Michael.Chatfield@rabobank.com</t>
  </si>
  <si>
    <t>ITI INFRA Cloud Platform Servs</t>
  </si>
  <si>
    <t>Ribeiro, W (Wanessa)</t>
  </si>
  <si>
    <t>Wanessa</t>
  </si>
  <si>
    <t>Ribeiro</t>
  </si>
  <si>
    <t>RibeiroW</t>
  </si>
  <si>
    <t>Wanessa.Ribeiro.Consultoraexterna@rabobank.com</t>
  </si>
  <si>
    <t>Risk Control-Corporate</t>
  </si>
  <si>
    <t>Ridder de, J (Justin)</t>
  </si>
  <si>
    <t>Justin</t>
  </si>
  <si>
    <t>Ridder</t>
  </si>
  <si>
    <t>Associate Project Finance</t>
  </si>
  <si>
    <t>RidderJ1</t>
  </si>
  <si>
    <t>Justin.de.Ridder@rabobank.com</t>
  </si>
  <si>
    <t>GWPC PF Infra</t>
  </si>
  <si>
    <t>Jong de, HW (Hans)</t>
  </si>
  <si>
    <t>Hans</t>
  </si>
  <si>
    <t>Jong</t>
  </si>
  <si>
    <t>Kredietbeoordelaar</t>
  </si>
  <si>
    <t>JongHW</t>
  </si>
  <si>
    <t>Hans.de.Jong@rabobank.com</t>
  </si>
  <si>
    <t>Cluster 2</t>
  </si>
  <si>
    <t>Kil, C (Cyril)</t>
  </si>
  <si>
    <t>Cyril</t>
  </si>
  <si>
    <t>Kil</t>
  </si>
  <si>
    <t>kredietbeoordelaar</t>
  </si>
  <si>
    <t>KilC</t>
  </si>
  <si>
    <t>Cyril.Kil@rabobank.com</t>
  </si>
  <si>
    <t>Cluster 7</t>
  </si>
  <si>
    <t>EmergencyDisabled</t>
  </si>
  <si>
    <t>Meisner, J (Jeffrey)</t>
  </si>
  <si>
    <t>Jeffrey</t>
  </si>
  <si>
    <t>Meisner</t>
  </si>
  <si>
    <t>Counsel</t>
  </si>
  <si>
    <t>MeisnerJ</t>
  </si>
  <si>
    <t>Jeffrey.Meisner@rabobank.com</t>
  </si>
  <si>
    <t>Legal</t>
  </si>
  <si>
    <t>Roy, KS (Shweta)</t>
  </si>
  <si>
    <t>Kumari</t>
  </si>
  <si>
    <t>Shweta</t>
  </si>
  <si>
    <t>Intern</t>
  </si>
  <si>
    <t>RoyKS</t>
  </si>
  <si>
    <t>Shweta.Roy@rabobank.com</t>
  </si>
  <si>
    <t>Dool van den, WR (Wybe)</t>
  </si>
  <si>
    <t>Wybe Ruurd</t>
  </si>
  <si>
    <t>Dool</t>
  </si>
  <si>
    <t>Wybe</t>
  </si>
  <si>
    <t>DoolWR</t>
  </si>
  <si>
    <t>Wybe.van.den.Dool@rabobank.com</t>
  </si>
  <si>
    <t>SYS W&amp;I Wholesale Client</t>
  </si>
  <si>
    <t>Chiam, L (Lee Ping)</t>
  </si>
  <si>
    <t>Lee Ping</t>
  </si>
  <si>
    <t>Chiam</t>
  </si>
  <si>
    <t>Int'l Trade Services Officer</t>
  </si>
  <si>
    <t>ChiamL</t>
  </si>
  <si>
    <t>LeePing.Chiam@rabobank.com</t>
  </si>
  <si>
    <t>International Trade Services</t>
  </si>
  <si>
    <t>Jonkergouw, L (Leoné)</t>
  </si>
  <si>
    <t>Leoné</t>
  </si>
  <si>
    <t>Jonkergouw</t>
  </si>
  <si>
    <t>Business Support Officer</t>
  </si>
  <si>
    <t>JonkergouwL</t>
  </si>
  <si>
    <t>Leone.Jonkergouw@rabobank.com</t>
  </si>
  <si>
    <t>ITI EUFMSS Workplace Portfolio</t>
  </si>
  <si>
    <t>Villafañe, R (Ricardo)</t>
  </si>
  <si>
    <t>Ricardo</t>
  </si>
  <si>
    <t>Villafañe</t>
  </si>
  <si>
    <t>Project Manager</t>
  </si>
  <si>
    <t>VillafaneR</t>
  </si>
  <si>
    <t>Ricardo.Villafane@rabobank.com</t>
  </si>
  <si>
    <t>SYS RF WRR Finance Data</t>
  </si>
  <si>
    <t>Neubauer, R (Ron)</t>
  </si>
  <si>
    <t>Ronald</t>
  </si>
  <si>
    <t>Neubauer</t>
  </si>
  <si>
    <t>Ron</t>
  </si>
  <si>
    <t>Srvc Desk Tech I</t>
  </si>
  <si>
    <t>NeubauerR</t>
  </si>
  <si>
    <t>Ron.Neubauer@rabobank.com</t>
  </si>
  <si>
    <t>IT Service Desk</t>
  </si>
  <si>
    <t>Saft, I (Ivo)</t>
  </si>
  <si>
    <t>Ivo</t>
  </si>
  <si>
    <t>Saft</t>
  </si>
  <si>
    <t>Senior Consultant Financiële L</t>
  </si>
  <si>
    <t>SaftI</t>
  </si>
  <si>
    <t>Ivo.Saft@rabobank.com</t>
  </si>
  <si>
    <t>HR Mobiliteitscentrum RN ET</t>
  </si>
  <si>
    <t>Alphen van, TFJM (Tom)</t>
  </si>
  <si>
    <t>Tom</t>
  </si>
  <si>
    <t>Alphen</t>
  </si>
  <si>
    <t>Autorisatiespecialist</t>
  </si>
  <si>
    <t>AlphenTFJM1</t>
  </si>
  <si>
    <t>Tom.van.Alphen@rabobank.nl</t>
  </si>
  <si>
    <t>RSS IAM Control and Reporting</t>
  </si>
  <si>
    <t>Nuno, S (Susan)</t>
  </si>
  <si>
    <t>Susan</t>
  </si>
  <si>
    <t>Nuno</t>
  </si>
  <si>
    <t>Susie</t>
  </si>
  <si>
    <t>Loan Process Coordinator II</t>
  </si>
  <si>
    <t>NunoS</t>
  </si>
  <si>
    <t>Susan.Nuno@rabobank.com</t>
  </si>
  <si>
    <t>Commercial Loan Admin Services</t>
  </si>
  <si>
    <t>Gijtenbeek, JB (Johan)</t>
  </si>
  <si>
    <t>Johan</t>
  </si>
  <si>
    <t>Gijtenbeek</t>
  </si>
  <si>
    <t>GijtenbeekJB1</t>
  </si>
  <si>
    <t>Johan.Gijtenbeek@rabobank.nl</t>
  </si>
  <si>
    <t>CFO DS Internal Reporting</t>
  </si>
  <si>
    <t>Temmink, J (Jeroen)</t>
  </si>
  <si>
    <t>Temmink</t>
  </si>
  <si>
    <t>Team Lead Market and Liquidity Risk</t>
  </si>
  <si>
    <t>TemminkJ</t>
  </si>
  <si>
    <t>Jeroen.Temmink@rabobank.com</t>
  </si>
  <si>
    <t>CFO Market Data &amp; Reporting</t>
  </si>
  <si>
    <t>Versteeg, W (Wim)</t>
  </si>
  <si>
    <t>Wim</t>
  </si>
  <si>
    <t>Versteeg</t>
  </si>
  <si>
    <t>Commercial Support Officer FI</t>
  </si>
  <si>
    <t>VersteegW</t>
  </si>
  <si>
    <t>Wim.Versteeg@rabobank.com</t>
  </si>
  <si>
    <t>FI client Office</t>
  </si>
  <si>
    <t>Castro de, MPM (Miriam)</t>
  </si>
  <si>
    <t>Miriam</t>
  </si>
  <si>
    <t>Pinho Monteiro De Castro</t>
  </si>
  <si>
    <t>Middle Office Manager</t>
  </si>
  <si>
    <t>CastroM</t>
  </si>
  <si>
    <t>Miriam.Castro@rabobank.com</t>
  </si>
  <si>
    <t>Loans Products Group</t>
  </si>
  <si>
    <t>OLIVEIRA, C (Carlos)</t>
  </si>
  <si>
    <t>Carlos</t>
  </si>
  <si>
    <t>OLIVEIRA</t>
  </si>
  <si>
    <t>waiter</t>
  </si>
  <si>
    <t>OliveiraC1</t>
  </si>
  <si>
    <t>Carlos.OLIVEIRA01@rabobank.com</t>
  </si>
  <si>
    <t>Executive Support</t>
  </si>
  <si>
    <t>Stronks, MJ (Mark)</t>
  </si>
  <si>
    <t>Mark</t>
  </si>
  <si>
    <t>Stronks</t>
  </si>
  <si>
    <t>software engineer</t>
  </si>
  <si>
    <t>StronksMJ</t>
  </si>
  <si>
    <t>Mark.Stronks@rabobank.com</t>
  </si>
  <si>
    <t>Bax, SIP (Sven)</t>
  </si>
  <si>
    <t>Sven Ignatius Philipus</t>
  </si>
  <si>
    <t>Bax</t>
  </si>
  <si>
    <t>Sven</t>
  </si>
  <si>
    <t>Sectorhead Commercial Services</t>
  </si>
  <si>
    <t>BaxS</t>
  </si>
  <si>
    <t>Sven.Bax@rabobank.com</t>
  </si>
  <si>
    <t>Regio NL CC Large Corporates C</t>
  </si>
  <si>
    <t>Leung, YF (Yu Fong)</t>
  </si>
  <si>
    <t>Yu Fong</t>
  </si>
  <si>
    <t>Leung</t>
  </si>
  <si>
    <t>delivery analyst</t>
  </si>
  <si>
    <t>LeungYF</t>
  </si>
  <si>
    <t>YuFong.Leung@rabobank.com</t>
  </si>
  <si>
    <t>EU Logistics &amp; Deskside Suppor</t>
  </si>
  <si>
    <t>Heryanto, H (Heryanto)</t>
  </si>
  <si>
    <t>Heryanto</t>
  </si>
  <si>
    <t>Branch Operation Head</t>
  </si>
  <si>
    <t>HeryantoH</t>
  </si>
  <si>
    <t>Heryanto.Heryanto@rabobank.com</t>
  </si>
  <si>
    <t>Regional West</t>
  </si>
  <si>
    <t>Southwick, D (Christian)</t>
  </si>
  <si>
    <t>Dwight</t>
  </si>
  <si>
    <t>Southwick</t>
  </si>
  <si>
    <t>Chris</t>
  </si>
  <si>
    <t>Compliance Director RSI/GFM</t>
  </si>
  <si>
    <t>SouthwickC.dep</t>
  </si>
  <si>
    <t>Chris.Southwick.old@rabobank.com</t>
  </si>
  <si>
    <t>Graham, MJ (Melanie)</t>
  </si>
  <si>
    <t>Melanie</t>
  </si>
  <si>
    <t>Graham</t>
  </si>
  <si>
    <t>CB Risk &amp; Compliance Officer</t>
  </si>
  <si>
    <t>GrahamMJ</t>
  </si>
  <si>
    <t>Melanie.Graham@rabobank.com</t>
  </si>
  <si>
    <t>CB AU - Riverina</t>
  </si>
  <si>
    <t>Schenk, SJHB (Sybren)</t>
  </si>
  <si>
    <t>Sybren</t>
  </si>
  <si>
    <t>Schenk</t>
  </si>
  <si>
    <t>engineer</t>
  </si>
  <si>
    <t>SchenkSJHB</t>
  </si>
  <si>
    <t>Sybren.Schenk@rabobank.nl</t>
  </si>
  <si>
    <t>RRS Global Information Security Office</t>
  </si>
  <si>
    <t>Gillingham, T (Tanya)</t>
  </si>
  <si>
    <t>Tatiana</t>
  </si>
  <si>
    <t>Gillingham</t>
  </si>
  <si>
    <t>Tanya</t>
  </si>
  <si>
    <t>Senior Software Engineer</t>
  </si>
  <si>
    <t>GillinghamT</t>
  </si>
  <si>
    <t>Tanya.Gillingham@rabobank.com</t>
  </si>
  <si>
    <t>Sys W&amp;I Financial Markets FO</t>
  </si>
  <si>
    <t>Jong de, F (Frank)</t>
  </si>
  <si>
    <t>Frank</t>
  </si>
  <si>
    <t>JongF1</t>
  </si>
  <si>
    <t>Frank.Jong@rabobank.com</t>
  </si>
  <si>
    <t>SYS Development Automation</t>
  </si>
  <si>
    <t>Lieshout van, MJM (Michel) (OPS Business Mgt and Services)</t>
  </si>
  <si>
    <t>Michel Johannes Maria</t>
  </si>
  <si>
    <t>Lieshout</t>
  </si>
  <si>
    <t>Michel</t>
  </si>
  <si>
    <t>Informatie Consultant</t>
  </si>
  <si>
    <t>LieshoutMJM1</t>
  </si>
  <si>
    <t>Michel.JM.van.Lieshout@rabobank.com</t>
  </si>
  <si>
    <t>OPS WRR Business Mgt and Servi</t>
  </si>
  <si>
    <t>Bungey, GL (Grant)</t>
  </si>
  <si>
    <t>Grant</t>
  </si>
  <si>
    <t>Bungey</t>
  </si>
  <si>
    <t>Senior Rural Manager</t>
  </si>
  <si>
    <t>BungeyGL</t>
  </si>
  <si>
    <t>Grant.Bungey@rabobank.com</t>
  </si>
  <si>
    <t>CB AU - Western Australia</t>
  </si>
  <si>
    <t>Tapia, E (Esther)</t>
  </si>
  <si>
    <t>Esther</t>
  </si>
  <si>
    <t>Tapia</t>
  </si>
  <si>
    <t>Banking Srvcs Rep</t>
  </si>
  <si>
    <t>TapiaEA</t>
  </si>
  <si>
    <t>Esther.Tapia@rabobank.com</t>
  </si>
  <si>
    <t>Gosford Branch</t>
  </si>
  <si>
    <t>Willemsen, X (Xander)</t>
  </si>
  <si>
    <t>Xander</t>
  </si>
  <si>
    <t>Willemsen</t>
  </si>
  <si>
    <t>Head of Metals</t>
  </si>
  <si>
    <t>WillemsenX</t>
  </si>
  <si>
    <t>Xander.Willemsen@rabobank.com</t>
  </si>
  <si>
    <t>TCF Metals and Minerals</t>
  </si>
  <si>
    <t>Bigwood, SD (Simon)</t>
  </si>
  <si>
    <t>Simon</t>
  </si>
  <si>
    <t>Bigwood</t>
  </si>
  <si>
    <t>Rural Manager</t>
  </si>
  <si>
    <t>BigwoodSD</t>
  </si>
  <si>
    <t>Simon.Bigwood@rabobank.com</t>
  </si>
  <si>
    <t>Verhagen, LTT (Linsey)</t>
  </si>
  <si>
    <t>Linsey Theresia Theodora</t>
  </si>
  <si>
    <t>Verhagen</t>
  </si>
  <si>
    <t>Linsey</t>
  </si>
  <si>
    <t>Procesmanager</t>
  </si>
  <si>
    <t>VerhagenLTT</t>
  </si>
  <si>
    <t>Linsey.Verhagen@rabobank.com</t>
  </si>
  <si>
    <t>OPS WRR GCDM Development</t>
  </si>
  <si>
    <t>Vught van, NJT (Nicole)</t>
  </si>
  <si>
    <t>Nicole</t>
  </si>
  <si>
    <t>Vught</t>
  </si>
  <si>
    <t>Sales Support Manager Bedrijve</t>
  </si>
  <si>
    <t>VughtNJT</t>
  </si>
  <si>
    <t>Nicole.van.Vught@rabobank.com</t>
  </si>
  <si>
    <t>BEDR K&amp;D S&amp;D</t>
  </si>
  <si>
    <t>Rurup, KMT (Charles)</t>
  </si>
  <si>
    <t>Charles</t>
  </si>
  <si>
    <t>Rurup</t>
  </si>
  <si>
    <t>Proj Mgr Digital &amp; Database Ma</t>
  </si>
  <si>
    <t>RurupKMT</t>
  </si>
  <si>
    <t>Charles.Rurup@rabobank.com</t>
  </si>
  <si>
    <t>GFAB Global F&amp;A Virtual Farm B</t>
  </si>
  <si>
    <t>Lord, A (Alison)</t>
  </si>
  <si>
    <t>Alison</t>
  </si>
  <si>
    <t>Lord</t>
  </si>
  <si>
    <t>Transaction Manager</t>
  </si>
  <si>
    <t>LordA</t>
  </si>
  <si>
    <t>Alison.Lord@rabobank.com</t>
  </si>
  <si>
    <t>TCF Commodity Support Group</t>
  </si>
  <si>
    <t>Konstantinov, AV (Alexandre)</t>
  </si>
  <si>
    <t>Alexandre Ventzeslavov</t>
  </si>
  <si>
    <t>Konstantinov</t>
  </si>
  <si>
    <t>Alexandre</t>
  </si>
  <si>
    <t>Quantitative Analyst</t>
  </si>
  <si>
    <t>KonstantinovAV</t>
  </si>
  <si>
    <t>Alexandre.Konstantinov@rabobank.com</t>
  </si>
  <si>
    <t>A&amp;A CRM Corporate</t>
  </si>
  <si>
    <t>Tutelaers, N (Noortje)</t>
  </si>
  <si>
    <t>Noortje</t>
  </si>
  <si>
    <t>Tutelaers</t>
  </si>
  <si>
    <t>TutelaersN1</t>
  </si>
  <si>
    <t>Noortje.Tutelaers@rabobank.nl</t>
  </si>
  <si>
    <t>OPS FIN Funct Beheer &amp; Bus. Solutions</t>
  </si>
  <si>
    <t>Ramos-consultorexterno, AD (Andre)</t>
  </si>
  <si>
    <t>Andre</t>
  </si>
  <si>
    <t>Ramos-consultorexterno</t>
  </si>
  <si>
    <t>RamosAD</t>
  </si>
  <si>
    <t>Andre.Ramos-consultorexterno@rabobank.com</t>
  </si>
  <si>
    <t>Security Officer</t>
  </si>
  <si>
    <t>Cahyadi, N (Norman)</t>
  </si>
  <si>
    <t>Norman</t>
  </si>
  <si>
    <t>Cahyadi</t>
  </si>
  <si>
    <t>Incident &amp; Problem Manager</t>
  </si>
  <si>
    <t>CahyadiN</t>
  </si>
  <si>
    <t>Norman.Cahyadi@rabobank.com</t>
  </si>
  <si>
    <t>IT Infrastructure</t>
  </si>
  <si>
    <t>Friesen, HJW (Dirk-Jan)</t>
  </si>
  <si>
    <t>Dirk-Jan</t>
  </si>
  <si>
    <t>Friesen</t>
  </si>
  <si>
    <t>FriesenHJW</t>
  </si>
  <si>
    <t>Dirk-Jan.Friesen@rabobank.com</t>
  </si>
  <si>
    <t>Cluster 6</t>
  </si>
  <si>
    <t>Reiser, E (Eric) (Risk Services) (1)</t>
  </si>
  <si>
    <t>Eric</t>
  </si>
  <si>
    <t>Reiser</t>
  </si>
  <si>
    <t>External Examiner</t>
  </si>
  <si>
    <t>ReiserE2</t>
  </si>
  <si>
    <t>Eric.Reiser02@rabobank.com</t>
  </si>
  <si>
    <t>Risk Services</t>
  </si>
  <si>
    <t>Luzyk, D (Daria)</t>
  </si>
  <si>
    <t>Daria</t>
  </si>
  <si>
    <t>Luzyk</t>
  </si>
  <si>
    <t>LuzykD</t>
  </si>
  <si>
    <t>Daria.Luzyk@rabobank.com</t>
  </si>
  <si>
    <t>SYS RF Analysis</t>
  </si>
  <si>
    <t>Caroca, A (Alexander) (Quintec)</t>
  </si>
  <si>
    <t>Alexander</t>
  </si>
  <si>
    <t>Caroca</t>
  </si>
  <si>
    <t>Analista Mesa de Ayuda</t>
  </si>
  <si>
    <t>CarocaA</t>
  </si>
  <si>
    <t>Alexander.Caroca.Quintec@rabobank.com</t>
  </si>
  <si>
    <t>Supplier and IT Contract Mgmt</t>
  </si>
  <si>
    <t>Wilcox, J (Jeremy)</t>
  </si>
  <si>
    <t>Jeremy</t>
  </si>
  <si>
    <t>Wilcox</t>
  </si>
  <si>
    <t>CSG Transaction Manager</t>
  </si>
  <si>
    <t>WilcoxJ</t>
  </si>
  <si>
    <t>Jeremy.Wilcox@rabobank.com</t>
  </si>
  <si>
    <t>Commodity Support Group</t>
  </si>
  <si>
    <t>Gray, K (Kevin)</t>
  </si>
  <si>
    <t>Kevin</t>
  </si>
  <si>
    <t>Gray</t>
  </si>
  <si>
    <t>consultant</t>
  </si>
  <si>
    <t>GrayK</t>
  </si>
  <si>
    <t>Kevin.Gray@rabobank.com</t>
  </si>
  <si>
    <t>Regional Finance</t>
  </si>
  <si>
    <t>Rutgers, R (Renske)</t>
  </si>
  <si>
    <t>Renske</t>
  </si>
  <si>
    <t>Rutgers</t>
  </si>
  <si>
    <t>Business Analist</t>
  </si>
  <si>
    <t>RutgersR</t>
  </si>
  <si>
    <t>Renske.Rutgers@rabobank.com</t>
  </si>
  <si>
    <t>SYS RF RDW Credit</t>
  </si>
  <si>
    <t>Vliet van, JP (Jan Pieter)</t>
  </si>
  <si>
    <t>Jan Pieter</t>
  </si>
  <si>
    <t>Vliet</t>
  </si>
  <si>
    <t>Citrx Administrator</t>
  </si>
  <si>
    <t>VlietJP</t>
  </si>
  <si>
    <t>Jan.van.Vliet@rabobank.com</t>
  </si>
  <si>
    <t>ITI GCS  Operations Telecoms</t>
  </si>
  <si>
    <t>Schuyler, J (Justin)</t>
  </si>
  <si>
    <t>Schuyler</t>
  </si>
  <si>
    <t>Consultant, Technical Specialist</t>
  </si>
  <si>
    <t>SchuylerJ</t>
  </si>
  <si>
    <t>Justin.Schuyler@raboag.com</t>
  </si>
  <si>
    <t>Information Services</t>
  </si>
  <si>
    <t>Deuser, TB (Thomas)</t>
  </si>
  <si>
    <t>Thomas Bernhard</t>
  </si>
  <si>
    <t>Deuser</t>
  </si>
  <si>
    <t>Thomas</t>
  </si>
  <si>
    <t>DeuserTB1</t>
  </si>
  <si>
    <t>Thomas.Deuser@rabobank.com</t>
  </si>
  <si>
    <t>INF Support</t>
  </si>
  <si>
    <t>Gaudart, JJ (Jonathan)</t>
  </si>
  <si>
    <t>Jonathan</t>
  </si>
  <si>
    <t>Gaudart</t>
  </si>
  <si>
    <t>Senior Mgr IT Risk &amp; Security</t>
  </si>
  <si>
    <t>GaudartJJ</t>
  </si>
  <si>
    <t>Jonathan.Gaudart@rabobank.com</t>
  </si>
  <si>
    <t>Risk Reporting &amp; Security</t>
  </si>
  <si>
    <t>Perez, MI (Miguel)</t>
  </si>
  <si>
    <t>Miguel José</t>
  </si>
  <si>
    <t>Perez</t>
  </si>
  <si>
    <t>Sr Special Assets Exec</t>
  </si>
  <si>
    <t>PerezMI</t>
  </si>
  <si>
    <t>Miguel.Perez@rabobank.com</t>
  </si>
  <si>
    <t>Special Assets</t>
  </si>
  <si>
    <t>00085</t>
  </si>
  <si>
    <t>Oddo, N (Nichole)</t>
  </si>
  <si>
    <t>Nichole</t>
  </si>
  <si>
    <t>Oddo</t>
  </si>
  <si>
    <t>Customer Srvc Rep</t>
  </si>
  <si>
    <t>OddoN</t>
  </si>
  <si>
    <t>Nichole.Oddo@rabobank.com</t>
  </si>
  <si>
    <t>Lodi Branch</t>
  </si>
  <si>
    <t>00086</t>
  </si>
  <si>
    <t>Duijzer, HC (Henco)</t>
  </si>
  <si>
    <t>Henco</t>
  </si>
  <si>
    <t>Duijzer</t>
  </si>
  <si>
    <t>DuijzerHC1</t>
  </si>
  <si>
    <t>Henco.Duijzer@rabobank.nl</t>
  </si>
  <si>
    <t>SYS Performance Competence Center</t>
  </si>
  <si>
    <t>00087</t>
  </si>
  <si>
    <t>Morabet el, S (Sohila)</t>
  </si>
  <si>
    <t>Sohila</t>
  </si>
  <si>
    <t>Morabet</t>
  </si>
  <si>
    <t>Operations officer</t>
  </si>
  <si>
    <t>MorabetS</t>
  </si>
  <si>
    <t>Sohila.el.Morabet@rabobank.com</t>
  </si>
  <si>
    <t>OPS WRR CBS LAS Investigations</t>
  </si>
  <si>
    <t>00088</t>
  </si>
  <si>
    <t>Lont, MITC (Mitch)</t>
  </si>
  <si>
    <t>Mitch</t>
  </si>
  <si>
    <t>Lont</t>
  </si>
  <si>
    <t>LontMITC1</t>
  </si>
  <si>
    <t>Mitch.Lont@rabobank.nl</t>
  </si>
  <si>
    <t>OPS BV CB Verwerking</t>
  </si>
  <si>
    <t>00089</t>
  </si>
  <si>
    <t>Troncoso, JT (Joselyn)</t>
  </si>
  <si>
    <t>Joselyn</t>
  </si>
  <si>
    <t>Troncoso</t>
  </si>
  <si>
    <t>Executive Assistant</t>
  </si>
  <si>
    <t>TroncosoJ</t>
  </si>
  <si>
    <t>joselyn.troncoso@rabobank.com</t>
  </si>
  <si>
    <t>Risk</t>
  </si>
  <si>
    <t>00090</t>
  </si>
  <si>
    <t>Segers, GJJ (Gert-Jan)</t>
  </si>
  <si>
    <t>Gert-Jan</t>
  </si>
  <si>
    <t>Segers</t>
  </si>
  <si>
    <t>Auditor</t>
  </si>
  <si>
    <t>SegersGJJ</t>
  </si>
  <si>
    <t>Gert-Jan.Segers2@rabobank.com</t>
  </si>
  <si>
    <t>Audit Rabobank</t>
  </si>
  <si>
    <t>00091</t>
  </si>
  <si>
    <t>Jong de, FY (Friso)</t>
  </si>
  <si>
    <t>Friso Yme</t>
  </si>
  <si>
    <t>Friso</t>
  </si>
  <si>
    <t>Intern CFA M&amp;A</t>
  </si>
  <si>
    <t>JongFY</t>
  </si>
  <si>
    <t>Friso.de.Jong@rabobank.com</t>
  </si>
  <si>
    <t>GCC CFA MA Pool</t>
  </si>
  <si>
    <t>00092</t>
  </si>
  <si>
    <t>Hoelen, L (Leen)</t>
  </si>
  <si>
    <t>Marleen</t>
  </si>
  <si>
    <t>Hoelen</t>
  </si>
  <si>
    <t>Leen</t>
  </si>
  <si>
    <t>Back Office Investments</t>
  </si>
  <si>
    <t>HoelenL</t>
  </si>
  <si>
    <t>Leen.Hoelen@rabobank.com</t>
  </si>
  <si>
    <t>00093</t>
  </si>
  <si>
    <t>Larue, A (Annabelle)</t>
  </si>
  <si>
    <t>Annabelle</t>
  </si>
  <si>
    <t>Larue</t>
  </si>
  <si>
    <t>HR Business Partner</t>
  </si>
  <si>
    <t>LarueA</t>
  </si>
  <si>
    <t>Annabelle.Larue@rabobank.com</t>
  </si>
  <si>
    <t>00094</t>
  </si>
  <si>
    <t>Nieuwenhuizen van, JL (Jan)</t>
  </si>
  <si>
    <t>Jan</t>
  </si>
  <si>
    <t>Nieuwenhuizen</t>
  </si>
  <si>
    <t>Member of the Executive Board</t>
  </si>
  <si>
    <t>NieuwenhuizenJL</t>
  </si>
  <si>
    <t>Jan.van.Nieuwenhuizen@rabobank.com</t>
  </si>
  <si>
    <t>Raad van Bestuur</t>
  </si>
  <si>
    <t>00095</t>
  </si>
  <si>
    <t>Celebi, T (Tolga)</t>
  </si>
  <si>
    <t>Tolga</t>
  </si>
  <si>
    <t>Celebi</t>
  </si>
  <si>
    <t>Modelling Analyst</t>
  </si>
  <si>
    <t>CelebiT</t>
  </si>
  <si>
    <t>Tolga.Celebi@rabobank.com</t>
  </si>
  <si>
    <t>A&amp;A CRM Advisory</t>
  </si>
  <si>
    <t>00096</t>
  </si>
  <si>
    <t>Jeukens, NE (Nina)</t>
  </si>
  <si>
    <t>Nina</t>
  </si>
  <si>
    <t>Jeukens</t>
  </si>
  <si>
    <t>JeukensNE1</t>
  </si>
  <si>
    <t>Nina.Jeukens@rabobank.com</t>
  </si>
  <si>
    <t>00097</t>
  </si>
  <si>
    <t>Anderson, WA (Wayne)</t>
  </si>
  <si>
    <t>Wayne</t>
  </si>
  <si>
    <t>Anderson</t>
  </si>
  <si>
    <t>AndersonWA</t>
  </si>
  <si>
    <t>Wayne.Anderson@rabobank.com</t>
  </si>
  <si>
    <t>Pro Srvcs, Logistic &amp; Planning</t>
  </si>
  <si>
    <t>00098</t>
  </si>
  <si>
    <t>Hebden, W (William)</t>
  </si>
  <si>
    <t>William</t>
  </si>
  <si>
    <t>Hebden</t>
  </si>
  <si>
    <t>HebdenW</t>
  </si>
  <si>
    <t>William.Hebden@rabobank.com</t>
  </si>
  <si>
    <t>00099</t>
  </si>
  <si>
    <t>Ching, TCC (Terence)</t>
  </si>
  <si>
    <t>Terence</t>
  </si>
  <si>
    <t>Ching</t>
  </si>
  <si>
    <t>Regulatory Report Specialist</t>
  </si>
  <si>
    <t>ChingTCC</t>
  </si>
  <si>
    <t>Terence.Ching@rabobank.com</t>
  </si>
  <si>
    <t>Finance, Control &amp; Tax</t>
  </si>
  <si>
    <t>00100</t>
  </si>
  <si>
    <t>data retrieved via ODBC from dell_prod  [ DellOne ]</t>
  </si>
  <si>
    <t>WITH emps AS (
  SELECT TOP 100 
    p.RAB_IdentityStatus, p.RAB_DisplayName, p.EntryDate, p.FirstName, p.LastName, 
    p.PreferredName, p.Title, d.DepartmentName, p.RAB_GlobalDepartmentName, p.CentralAccount, 
    p.DefaultEmailAddress, p.RAB_IdentityType, p.RAB_PersonType
  FROM dbo.Person p
  LEFT OUTER JOIN dbo.[Department] d
    ON p.UID_Department=d.UID_Department
)  
SELECTX(dell_prod)
RAB_IdentityStatus as "
Identity Status",
RAB_DisplayName
 as "Display Name", 
EntryDate
 as "Start Date",
FirstName as "
First name",
LastName as "
Last name",
PreferredName as "
Preferred name",
Title as "
Position Title",
DepartmentName as "Primary Local Department",
RAB_GlobalDepartmentName as "
Global Department Name",
CentralAccount as "
Central user account",
DefaultEmailAddress as "
Email Address",
RAB_IdentityType
 as "
Identity Type",
RAB_PersonType as "
Person Type"
FROM emps</t>
  </si>
  <si>
    <t xml:space="preserve">
Identity Status</t>
  </si>
  <si>
    <t xml:space="preserve">
First name</t>
  </si>
  <si>
    <t xml:space="preserve">
Last name</t>
  </si>
  <si>
    <t xml:space="preserve">
Preferred name</t>
  </si>
  <si>
    <t xml:space="preserve">
Position Title</t>
  </si>
  <si>
    <t xml:space="preserve">
Global Department Name</t>
  </si>
  <si>
    <t xml:space="preserve">
Central user account</t>
  </si>
  <si>
    <t xml:space="preserve">
Email Address</t>
  </si>
  <si>
    <t xml:space="preserve">
Identity Type</t>
  </si>
  <si>
    <t xml:space="preserve">
Person Type</t>
  </si>
  <si>
    <t>Query retrieved 100/100 &lt;emps&gt;s in 7 sec's</t>
  </si>
  <si>
    <t>WITH emps AS (
  SELECT TOP 100 
    p.RAB_IdentityStatus, p.RAB_DisplayName, p.EntryDate, p.FirstName, p.LastName, 
    p.PreferredName, p.Title, d.DepartmentName, p.RAB_GlobalDepartmentName, p.CentralAccount, 
    p.DefaultEmailAddress, p.RAB_IdentityType, p.RAB_PersonType
  FROM dbo.Person p
  LEFT OUTER JOIN dbo.[Department] d
    ON p.UID_Department=d.UID_Department
)  
SELECTX(dell_prod)
RAB_IdentityStatus as "
Identity Status",
RAB_DisplayName
 as "Display Name", 
EntryDate
 as "Start Date",
FirstName as "
First name",
LastName as "
Last name",
PreferredName as "
Preferred name",
Title as "
Position Title",
DepartmentName as "Primary Local Department",
RAB_GlobalDepartmentName as "
Global Department Name",
CentralAccount as "
Central user account",
DefaultEmailAddress as "
Email Address",
RAB_IdentityType
 as "
Identity Type",
RAB_PersonType as "
Person Type"
FROM emps;</t>
  </si>
  <si>
    <t>Employee
Employee</t>
  </si>
  <si>
    <t>Department
Department</t>
  </si>
  <si>
    <t>"Inter/Extern"
Inter/Extern</t>
  </si>
  <si>
    <t>Martens, A (Ad)</t>
  </si>
  <si>
    <t>Ad</t>
  </si>
  <si>
    <t>Martens</t>
  </si>
  <si>
    <t>Proces Specialist</t>
  </si>
  <si>
    <t>MartensAJ1</t>
  </si>
  <si>
    <t>Ad.Martens@rabobank.nl</t>
  </si>
  <si>
    <t>00001.001</t>
  </si>
  <si>
    <t>00002.001</t>
  </si>
  <si>
    <t>00003.000</t>
  </si>
  <si>
    <t>Malloggi, A (Angelina)</t>
  </si>
  <si>
    <t>Angelina</t>
  </si>
  <si>
    <t>Malloggi</t>
  </si>
  <si>
    <t>MalloggiAH1</t>
  </si>
  <si>
    <t>Angelina.Malloggi@rabobank.nl</t>
  </si>
  <si>
    <t>00004.001</t>
  </si>
  <si>
    <t>00005.000</t>
  </si>
  <si>
    <t>Gouverneur, AC (Arno)</t>
  </si>
  <si>
    <t>Arno</t>
  </si>
  <si>
    <t>Gouverneur</t>
  </si>
  <si>
    <t>RRS IAM Consultancy and Suppor</t>
  </si>
  <si>
    <t>GouverneurAC</t>
  </si>
  <si>
    <t>Arno.Gouverneur@rabobank.com</t>
  </si>
  <si>
    <t>00006.001</t>
  </si>
  <si>
    <t>Blankespoor, HAA (Arnold)</t>
  </si>
  <si>
    <t>Arnold</t>
  </si>
  <si>
    <t>Blankespoor</t>
  </si>
  <si>
    <t>BlankespoorHAA1</t>
  </si>
  <si>
    <t>Arnold.Blankespoor@rabobank.nl</t>
  </si>
  <si>
    <t>00007.001</t>
  </si>
  <si>
    <t>00008.001</t>
  </si>
  <si>
    <t>00009.000</t>
  </si>
  <si>
    <t>Poelstra, BS (Bob)</t>
  </si>
  <si>
    <t>Bob</t>
  </si>
  <si>
    <t>Poelstra</t>
  </si>
  <si>
    <t>PoelstraBS1</t>
  </si>
  <si>
    <t>Bob.Poelstra@rabobank.nl</t>
  </si>
  <si>
    <t>00010.001</t>
  </si>
  <si>
    <t>Prosée, CLM (Carin)</t>
  </si>
  <si>
    <t>Carin</t>
  </si>
  <si>
    <t>Prosée</t>
  </si>
  <si>
    <t>ProseeCLM1</t>
  </si>
  <si>
    <t>Carin.Prosee@rabobank.nl</t>
  </si>
  <si>
    <t>00012.001</t>
  </si>
  <si>
    <t>00013.001</t>
  </si>
  <si>
    <t>Emanuels, CL (Carmen)</t>
  </si>
  <si>
    <t>Carmen</t>
  </si>
  <si>
    <t>Emanuels</t>
  </si>
  <si>
    <t>Strategy &amp; Compliance Officer</t>
  </si>
  <si>
    <t>EmanuelsCL1</t>
  </si>
  <si>
    <t>Carmen.Emanuels@rabobank.nl</t>
  </si>
  <si>
    <t>00014.001</t>
  </si>
  <si>
    <t>00015.000</t>
  </si>
  <si>
    <t>00018.000</t>
  </si>
  <si>
    <t>Immink, EW (Edo)</t>
  </si>
  <si>
    <t>Edo</t>
  </si>
  <si>
    <t>Immink</t>
  </si>
  <si>
    <t>ImminkEW1</t>
  </si>
  <si>
    <t>Edo.Immink@rabobank.nl</t>
  </si>
  <si>
    <t>00019.001</t>
  </si>
  <si>
    <t>Gooijenga, EJ (Edvard)</t>
  </si>
  <si>
    <t>Edvard</t>
  </si>
  <si>
    <t>Gooijenga</t>
  </si>
  <si>
    <t>IAM processpecialist</t>
  </si>
  <si>
    <t>GooijengaEJ1</t>
  </si>
  <si>
    <t>Edvard.Gooijenga@rabobank.nl</t>
  </si>
  <si>
    <t>00020.001</t>
  </si>
  <si>
    <t>Wijnvoord, EPF (Eugene)</t>
  </si>
  <si>
    <t>Eugene</t>
  </si>
  <si>
    <t>Wijnvoord</t>
  </si>
  <si>
    <t>WijnvoordEPF1</t>
  </si>
  <si>
    <t>Eugene.Wijnvoord@rabobank.nl</t>
  </si>
  <si>
    <t>00021.001</t>
  </si>
  <si>
    <t>00022.001</t>
  </si>
  <si>
    <t>Meuwissen, FRMJM  (Frank)</t>
  </si>
  <si>
    <t>Meuwissen</t>
  </si>
  <si>
    <t>Themamanager Bedrijfsmanagement</t>
  </si>
  <si>
    <t>MeuwissenFRMJM1</t>
  </si>
  <si>
    <t>Frank.Meuwissen@rabobank.nl</t>
  </si>
  <si>
    <t>00023.001</t>
  </si>
  <si>
    <t>00024.001</t>
  </si>
  <si>
    <t>Marsman, H (Henk)</t>
  </si>
  <si>
    <t>Henk</t>
  </si>
  <si>
    <t>Marsman</t>
  </si>
  <si>
    <t>MarsmanH1</t>
  </si>
  <si>
    <t>Henk.Marsman@rabobank.nl</t>
  </si>
  <si>
    <t>00029.001</t>
  </si>
  <si>
    <t>Rooijakkers, HJ (Henk)</t>
  </si>
  <si>
    <t>Rooijakkers</t>
  </si>
  <si>
    <t>RooijakkersHJ1</t>
  </si>
  <si>
    <t>Henk.Rooijakkers@rabobank.nl</t>
  </si>
  <si>
    <t>00030.001</t>
  </si>
  <si>
    <t>00031.001</t>
  </si>
  <si>
    <t>Bosch, HWM (Huub)</t>
  </si>
  <si>
    <t>Huub</t>
  </si>
  <si>
    <t>Programmamanager</t>
  </si>
  <si>
    <t>BoschHWM1</t>
  </si>
  <si>
    <t>Huub.Bosch@rabobank.nl</t>
  </si>
  <si>
    <t>00032.001</t>
  </si>
  <si>
    <t>00033.001</t>
  </si>
  <si>
    <t>Koop, IM (Iris)</t>
  </si>
  <si>
    <t>Iris</t>
  </si>
  <si>
    <t>Koop</t>
  </si>
  <si>
    <t>adviseur I&amp;A</t>
  </si>
  <si>
    <t>KoopIM1</t>
  </si>
  <si>
    <t>Iris.Koop@rabobank.nl</t>
  </si>
  <si>
    <t>00034.001</t>
  </si>
  <si>
    <t>00035.001</t>
  </si>
  <si>
    <t>00036.000</t>
  </si>
  <si>
    <t>00037.000</t>
  </si>
  <si>
    <t>00038.000</t>
  </si>
  <si>
    <t>00039.000</t>
  </si>
  <si>
    <t>00040.000</t>
  </si>
  <si>
    <t>00043.000</t>
  </si>
  <si>
    <t>00044.000</t>
  </si>
  <si>
    <t>Raaijmakers, M (Mandy)</t>
  </si>
  <si>
    <t>Mandy</t>
  </si>
  <si>
    <t>Raaijmakers</t>
  </si>
  <si>
    <t>rol-en autorisatie specialist</t>
  </si>
  <si>
    <t>RaaijmakersM1</t>
  </si>
  <si>
    <t>Mandy.Raaijmakers@rabobank.nl</t>
  </si>
  <si>
    <t>00047.001</t>
  </si>
  <si>
    <t>00048.000</t>
  </si>
  <si>
    <t>Hordijk, M (Marijn)</t>
  </si>
  <si>
    <t>Marijn</t>
  </si>
  <si>
    <t>Hordijk</t>
  </si>
  <si>
    <t>HordijkM1</t>
  </si>
  <si>
    <t>Marijn.Hordijk@rabobank.nl</t>
  </si>
  <si>
    <t>00049.001</t>
  </si>
  <si>
    <t>Hendriks, M (Martijn)</t>
  </si>
  <si>
    <t>Martijn</t>
  </si>
  <si>
    <t>Hendriks</t>
  </si>
  <si>
    <t>Transaction Officer</t>
  </si>
  <si>
    <t>OPS WRR CBS ITS Operations</t>
  </si>
  <si>
    <t>HendriksM</t>
  </si>
  <si>
    <t>Martijn.Hendriks01@rabobank.com</t>
  </si>
  <si>
    <t>00052.001</t>
  </si>
  <si>
    <t>Hendriks, MGC (Martijn)</t>
  </si>
  <si>
    <t>HendriksMGC1</t>
  </si>
  <si>
    <t>Martijn.Hendriks@rabobank.nl</t>
  </si>
  <si>
    <t>00052.002</t>
  </si>
  <si>
    <t>00053.000</t>
  </si>
  <si>
    <t>00054.000</t>
  </si>
  <si>
    <t>00055.000</t>
  </si>
  <si>
    <t>00056.000</t>
  </si>
  <si>
    <t>00058.000</t>
  </si>
  <si>
    <t>Haazelager, PWA (Patrick)</t>
  </si>
  <si>
    <t>Patrick</t>
  </si>
  <si>
    <t>Haazelager</t>
  </si>
  <si>
    <t>Compliance &amp; Strategy officer IAM</t>
  </si>
  <si>
    <t>HaazelagerPWA1</t>
  </si>
  <si>
    <t>Patrick.Haazelager.9000@rabobank.nl</t>
  </si>
  <si>
    <t>00059.001</t>
  </si>
  <si>
    <t>Donker, PJ (Peter Jan)</t>
  </si>
  <si>
    <t>Peter Jan</t>
  </si>
  <si>
    <t>Donker</t>
  </si>
  <si>
    <t>DonkerPJ1</t>
  </si>
  <si>
    <t>Peter.Jan.Donker@rabobank.nl</t>
  </si>
  <si>
    <t>00060.001</t>
  </si>
  <si>
    <t>00061.001</t>
  </si>
  <si>
    <t>00062.000</t>
  </si>
  <si>
    <t>Vervuren, R (Robin)</t>
  </si>
  <si>
    <t>Robin</t>
  </si>
  <si>
    <t>Vervuren</t>
  </si>
  <si>
    <t>RRS IAM Operations</t>
  </si>
  <si>
    <t>VervurenR1</t>
  </si>
  <si>
    <t>Robin.Vervuren@rabobank.com</t>
  </si>
  <si>
    <t>00066.001</t>
  </si>
  <si>
    <t>00067.000</t>
  </si>
  <si>
    <t>Koch, RAE (Roger)</t>
  </si>
  <si>
    <t>Roger</t>
  </si>
  <si>
    <t>Koch</t>
  </si>
  <si>
    <t>KochRAE1</t>
  </si>
  <si>
    <t>Roger.Koch@rabobank.nl</t>
  </si>
  <si>
    <t>00068.001</t>
  </si>
  <si>
    <t>00069.000</t>
  </si>
  <si>
    <t>00070.000</t>
  </si>
  <si>
    <t>Singh, SP (Shere)</t>
  </si>
  <si>
    <t>Shere</t>
  </si>
  <si>
    <t>Singh</t>
  </si>
  <si>
    <t>SinghSP</t>
  </si>
  <si>
    <t>Shere.Singh@rabobank.com</t>
  </si>
  <si>
    <t>00071.001</t>
  </si>
  <si>
    <t>00079.000</t>
  </si>
  <si>
    <t>00080.000</t>
  </si>
  <si>
    <t>00081.000</t>
  </si>
  <si>
    <t>00082.000</t>
  </si>
  <si>
    <t>Members    (Members)</t>
  </si>
  <si>
    <t>Maarten*Jong</t>
  </si>
  <si>
    <t>Tako*Giessen</t>
  </si>
  <si>
    <t>Fred*Vecht</t>
  </si>
  <si>
    <t>Philip*Most</t>
  </si>
  <si>
    <t>Bogdan*Tol</t>
  </si>
  <si>
    <t>Wim*Leeden</t>
  </si>
  <si>
    <t>Marion*Draanen</t>
  </si>
  <si>
    <t>Frank*Geffen</t>
  </si>
  <si>
    <t>Peter*Drie</t>
  </si>
  <si>
    <t>Dennis*Dijk</t>
  </si>
  <si>
    <t>Tom*Alphen</t>
  </si>
  <si>
    <t>Danny*Onna</t>
  </si>
  <si>
    <t>Marion*Draanen-*Waardenburg</t>
  </si>
  <si>
    <t>Jeroen*Esch</t>
  </si>
  <si>
    <t>Sabine*Tergouw</t>
  </si>
  <si>
    <t>Han*Bruggen</t>
  </si>
  <si>
    <t>Alexander*Cock</t>
  </si>
  <si>
    <t>Corino*Wilt*Tilburg</t>
  </si>
  <si>
    <t>Reinou*Berg</t>
  </si>
  <si>
    <t>Mickael*Noort</t>
  </si>
  <si>
    <t>Iris*Koop</t>
  </si>
  <si>
    <t>Wiebe*Stuivenwold</t>
  </si>
  <si>
    <t>Carmen*Emanuels</t>
  </si>
  <si>
    <t>Carin*Prosée</t>
  </si>
  <si>
    <t>Jeanne*Driessen</t>
  </si>
  <si>
    <t>Arnold*Blankespoor</t>
  </si>
  <si>
    <t>Frank*Meuwissen</t>
  </si>
  <si>
    <t>Matthijs*Lamberse</t>
  </si>
  <si>
    <t>Peter*Jan*Donker</t>
  </si>
  <si>
    <t>Bob*Poelstra</t>
  </si>
  <si>
    <t>Robin*Vervuren</t>
  </si>
  <si>
    <t>Eugene*Wijnvoord</t>
  </si>
  <si>
    <t>Maurice*Zuurhout</t>
  </si>
  <si>
    <t>Marijn*Hordijk</t>
  </si>
  <si>
    <t>Maurice*Neuféglise</t>
  </si>
  <si>
    <t>Jan*Kooij</t>
  </si>
  <si>
    <t>Roel*Meijer</t>
  </si>
  <si>
    <t>Mandy*Raaijmakers</t>
  </si>
  <si>
    <t>Ad*Martens</t>
  </si>
  <si>
    <t>Henk*Rooijakkers</t>
  </si>
  <si>
    <t>Angelina*Malloggi</t>
  </si>
  <si>
    <t>Siberta*Hassing</t>
  </si>
  <si>
    <t>Jaap*Hilte</t>
  </si>
  <si>
    <t>Ton*Gerrits</t>
  </si>
  <si>
    <t>Attapong*Giesken</t>
  </si>
  <si>
    <t>Edvard*Gooijenga</t>
  </si>
  <si>
    <t>Siberta*Hassing-*Aukema</t>
  </si>
  <si>
    <t>Martijn*Hendriks</t>
  </si>
  <si>
    <t>Edo*Immink</t>
  </si>
  <si>
    <t>Rudy*Licht</t>
  </si>
  <si>
    <t>Mandy*van*Raaijmakers*Scheur</t>
  </si>
  <si>
    <t>Huub*Bosch</t>
  </si>
  <si>
    <t>Patrick*Haazelager</t>
  </si>
  <si>
    <t>Jan-Peter*Boor</t>
  </si>
  <si>
    <t>Arno*Gouverneur</t>
  </si>
  <si>
    <t>Arjan*Wildeman</t>
  </si>
  <si>
    <t>Kars*Wittens</t>
  </si>
  <si>
    <t>Onno*Visser</t>
  </si>
  <si>
    <t>Maud*Merks</t>
  </si>
  <si>
    <t>Kasper*Dortland</t>
  </si>
  <si>
    <t>Roger*Koch</t>
  </si>
  <si>
    <t>Henk*Marsman</t>
  </si>
  <si>
    <t>Shere*Singh</t>
  </si>
  <si>
    <t>EmployeePattern</t>
  </si>
  <si>
    <t>SELECTX([Talent Matrix],n/a)   
  Employee, Department, "Inter/Extern"     
FROM Members     
ORDER BY Employee, DEPARTMENT
JOIN_ON EmployeePattern=~fullname
WITH emps AS (   
   SELECT     
     p.RAB_IdentityStatus, p.RAB_DisplayName, p.EntryDate, p.FirstName, p.LastName,     
     p.PreferredName, p.Title, d.DepartmentName, p.RAB_GlobalDepartmentName, p.CentralAccount,     
     p.DefaultEmailAddress, p.RAB_IdentityType, p.RAB_PersonType   
  FROM Person p     
  LEFT OUTER JOIN dbo.[Department] d     
   ON p.UID_Department=d.UID_Department     
  WHERE UID_Person in (     
    select uid_person     
    from (     
      select FirstName + ' ' + LastName as fullname, UID_Person from Person     
    ) p     
    where &lt;JOIN_FILTER&gt;     
  )     
)     
SELECTX(dell_prod)     
  RAB_IdentityStatus as "Identity Status",     
  RAB_DisplayName as "Display Name",     
  EntryDate as "Start Date",     
  FirstName as "First name",     
  LastName as "Last name",     
  PreferredName as "Preferred name",     
  Title as "Position Title",     
  DepartmentName as "Primary Local Department",     
  RAB_GlobalDepartmentName as "Global Department Name",     
  CentralAccount as "Central user account",     
  DefaultEmailAddress as "Email Address",     
  RAB_IdentityType as "Identity Type",     
  RAB_PersonType as "Person Type"     
FROM emps;</t>
  </si>
  <si>
    <t>SELECTX([Talent Matrix],n/a)   
  Employee, Department, "Inter/Extern", EmployeePattern      
FROM Members     
ORDER BY Employee, DEPARTMENT</t>
  </si>
  <si>
    <t>EmployeePattern=~fullname</t>
  </si>
  <si>
    <t>WITH emps AS (   
   SELECT     
     p.RAB_IdentityStatus, p.RAB_DisplayName, p.EntryDate, p.FirstName, p.LastName,     
     p.PreferredName, p.Title, d.DepartmentName, p.RAB_GlobalDepartmentName, p.CentralAccount,     
     p.DefaultEmailAddress, p.RAB_IdentityType, p.RAB_PersonType   
  FROM Person p     
  LEFT OUTER JOIN dbo.[Department] d     
   ON p.UID_Department=d.UID_Department     
  WHERE UID_Person in (     
    select uid_person     
    from (     
      select FirstName + ' ' + LastName as fullname, UID_Person from Person     
    ) p     
    where &lt;JOIN_FILTER&gt;     
  )     
)     
SELECTX(dell_prod)     
  RAB_IdentityStatus as "Identity Status",     
  RAB_DisplayName as "Display Name",     
  EntryDate as "Start Date",     
  FirstName as "First name",     
  LastName as "Last name",     
  PreferredName as "Preferred name",     
  Title as "Position Title",     
  DepartmentName as "Primary Local Department",     
  RAB_GlobalDepartmentName as "Global Department Name",     
  CentralAccount as "Central user account",     
  DefaultEmailAddress as "Email Address",     
  RAB_IdentityType as "Identity Type",     
  RAB_PersonType as "Person Type"     
FROM emps</t>
  </si>
  <si>
    <t>Identity Status</t>
  </si>
  <si>
    <t>First name</t>
  </si>
  <si>
    <t>Last name</t>
  </si>
  <si>
    <t>Preferred name</t>
  </si>
  <si>
    <t>Position Title</t>
  </si>
  <si>
    <t>Global Department Name</t>
  </si>
  <si>
    <t>Central user account</t>
  </si>
  <si>
    <t>Email Address</t>
  </si>
  <si>
    <t>Identity Type</t>
  </si>
  <si>
    <t>Person Type</t>
  </si>
  <si>
    <t>Tol van der, BJ (Bogdan)</t>
  </si>
  <si>
    <t>Bogdan</t>
  </si>
  <si>
    <t>Tol</t>
  </si>
  <si>
    <t>TolBJ1</t>
  </si>
  <si>
    <t>Bogdan.van.der.Tol@rabobank.nl</t>
  </si>
  <si>
    <t>00011.001</t>
  </si>
  <si>
    <t>Onna van, D (Danny)</t>
  </si>
  <si>
    <t>Danny</t>
  </si>
  <si>
    <t>Onna</t>
  </si>
  <si>
    <t>IAM Business Consultant</t>
  </si>
  <si>
    <t>OnnaD1</t>
  </si>
  <si>
    <t>Danny.Onna@rabobank.com</t>
  </si>
  <si>
    <t>00016.001</t>
  </si>
  <si>
    <t>00017.001</t>
  </si>
  <si>
    <t>Geffen van, F (Frank)</t>
  </si>
  <si>
    <t>Geffen</t>
  </si>
  <si>
    <t>GeffenF1</t>
  </si>
  <si>
    <t>Frank.van.Geffen@rabobank.nl</t>
  </si>
  <si>
    <t>00025.001</t>
  </si>
  <si>
    <t>00026.001</t>
  </si>
  <si>
    <t>Vecht van de, FAM (Fred)</t>
  </si>
  <si>
    <t>Fred</t>
  </si>
  <si>
    <t>Vecht</t>
  </si>
  <si>
    <t>Projectmanager</t>
  </si>
  <si>
    <t>VechtFAM1</t>
  </si>
  <si>
    <t>Fred.van.de.Vecht@rabobank.nl</t>
  </si>
  <si>
    <t>00027.001</t>
  </si>
  <si>
    <t>Bruggen van der, JM (Hans)</t>
  </si>
  <si>
    <t>Bruggen</t>
  </si>
  <si>
    <t>BruggenJM1</t>
  </si>
  <si>
    <t>Hans.van.der.Bruggen@rabobank.nl</t>
  </si>
  <si>
    <t>00028.001</t>
  </si>
  <si>
    <t>Driessen-Engels, JMG (Jeanne) (HR Mobiliteitscentrum RN)</t>
  </si>
  <si>
    <t>Jeanne</t>
  </si>
  <si>
    <t>Driessen-Engels</t>
  </si>
  <si>
    <t>manager</t>
  </si>
  <si>
    <t>HR Mobiliteitscentrum RN</t>
  </si>
  <si>
    <t>DriessenJMG3</t>
  </si>
  <si>
    <t>Jeanne.Driessen@rabobank.nl</t>
  </si>
  <si>
    <t>00041.001</t>
  </si>
  <si>
    <t>Defesche, J (Jeroen)</t>
  </si>
  <si>
    <t>Defesche</t>
  </si>
  <si>
    <t>CFO Leiding &amp; Control Retail NL</t>
  </si>
  <si>
    <t>DefescheJWHM1</t>
  </si>
  <si>
    <t>Jeroen.Defesche@rabobank.nl</t>
  </si>
  <si>
    <t>00042.001</t>
  </si>
  <si>
    <t>Jong de, M (Maarten)</t>
  </si>
  <si>
    <t>Maarten</t>
  </si>
  <si>
    <t>Proces-en rolspecialist</t>
  </si>
  <si>
    <t>JongM2</t>
  </si>
  <si>
    <t>Maarten.de.Jong@rabobank.nl</t>
  </si>
  <si>
    <t>00045.001</t>
  </si>
  <si>
    <t>00046.001</t>
  </si>
  <si>
    <t>Draanen-van Waardenburg van, M (Marion)</t>
  </si>
  <si>
    <t>Marion</t>
  </si>
  <si>
    <t>Draanen-van Waardenburg</t>
  </si>
  <si>
    <t>Business Support IAM</t>
  </si>
  <si>
    <t>DraanenM1</t>
  </si>
  <si>
    <t>Marion.van.Draanen@rabobank.nl</t>
  </si>
  <si>
    <t>00050.001</t>
  </si>
  <si>
    <t>00051.001</t>
  </si>
  <si>
    <t>00057.001</t>
  </si>
  <si>
    <t>Most van der, PG (Philip)</t>
  </si>
  <si>
    <t>Philip</t>
  </si>
  <si>
    <t>Most</t>
  </si>
  <si>
    <t>Senior Business Support Officer</t>
  </si>
  <si>
    <t>MostPG1</t>
  </si>
  <si>
    <t>Philip.van.der.Most@rabobank.nl</t>
  </si>
  <si>
    <t>00063.001</t>
  </si>
  <si>
    <t>00064.001</t>
  </si>
  <si>
    <t>Berg van den, RR (Reinou)</t>
  </si>
  <si>
    <t>Reinou</t>
  </si>
  <si>
    <t>Berg</t>
  </si>
  <si>
    <t>Implementatiemanager</t>
  </si>
  <si>
    <t>BergRR1</t>
  </si>
  <si>
    <t>Reinou.van.den.Berg@rabobank.nl</t>
  </si>
  <si>
    <t>00065.001</t>
  </si>
  <si>
    <t>Hassing-Aukema, S (Siberta)</t>
  </si>
  <si>
    <t>Siberta</t>
  </si>
  <si>
    <t>Hassing-Aukema</t>
  </si>
  <si>
    <t>Teamleider PRA team</t>
  </si>
  <si>
    <t>HassingS1</t>
  </si>
  <si>
    <t>Siberta.Hassing@rabobank.nl</t>
  </si>
  <si>
    <t>00072.001</t>
  </si>
  <si>
    <t>00073.001</t>
  </si>
  <si>
    <t>Giessen van der, T (Tako)</t>
  </si>
  <si>
    <t>Tako</t>
  </si>
  <si>
    <t>Giessen</t>
  </si>
  <si>
    <t>Productmanager IAM</t>
  </si>
  <si>
    <t>GiessenT1</t>
  </si>
  <si>
    <t>Tako.van.der.Giessen@rabobank.nl</t>
  </si>
  <si>
    <t>00074.001</t>
  </si>
  <si>
    <t>00075.001</t>
  </si>
  <si>
    <t>00076.001</t>
  </si>
  <si>
    <t>00077.001</t>
  </si>
  <si>
    <t>Gerrits, AJ (Ton)</t>
  </si>
  <si>
    <t>Antonius Johannes</t>
  </si>
  <si>
    <t>Gerrits</t>
  </si>
  <si>
    <t>Ton</t>
  </si>
  <si>
    <t>WRR WS NL Transaction Banking</t>
  </si>
  <si>
    <t>GerritsAJ1</t>
  </si>
  <si>
    <t>Ton.Gerrits@rabobank.com</t>
  </si>
  <si>
    <t>00078.001</t>
  </si>
  <si>
    <t>Leeden van der, WF (Wim)</t>
  </si>
  <si>
    <t>Leeden</t>
  </si>
  <si>
    <t>LeedenWF1</t>
  </si>
  <si>
    <t>Wim.van.der.Leeden@rabobank.nl</t>
  </si>
  <si>
    <t>00083.001</t>
  </si>
  <si>
    <t>00084.001</t>
  </si>
  <si>
    <t>Query retrieved 85 Rows:   84/84 Members's  59 &lt;emps&gt;s  (processed 143 records) in 30 sec's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</si>
</sst>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mmm/yy\ hh:mm:ss"/>
    <numFmt numFmtId="165" formatCode="000000"/>
    <numFmt numFmtId="166" formatCode="dd\-mm\-yy\ hh:mm"/>
  </numFmts>
  <fonts count="44" x14ac:knownFonts="1">
    <font>
      <sz val="11"/>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b/>
      <sz val="16"/>
      <color theme="0"/>
      <name val="Corbel"/>
      <family val="2"/>
    </font>
    <font>
      <b/>
      <sz val="9"/>
      <color theme="0"/>
      <name val="Corbel"/>
      <family val="2"/>
    </font>
    <font>
      <b/>
      <sz val="9"/>
      <color theme="1"/>
      <name val="Corbel"/>
      <family val="2"/>
    </font>
    <font>
      <sz val="9"/>
      <color theme="1"/>
      <name val="Corbel"/>
      <family val="2"/>
    </font>
    <font>
      <sz val="9"/>
      <name val="Corbel"/>
      <family val="2"/>
    </font>
    <font>
      <sz val="9"/>
      <color theme="0"/>
      <name val="Corbel"/>
      <family val="2"/>
    </font>
    <font>
      <b/>
      <sz val="9"/>
      <color indexed="81"/>
      <name val="Tahoma"/>
      <family val="2"/>
    </font>
    <font>
      <sz val="9"/>
      <color indexed="81"/>
      <name val="Tahoma"/>
      <family val="2"/>
    </font>
    <font>
      <sz val="11"/>
      <name val="Calibri"/>
      <family val="2"/>
    </font>
    <font>
      <i/>
      <sz val="9"/>
      <color theme="1"/>
      <name val="Corbel"/>
      <family val="2"/>
    </font>
    <font>
      <sz val="11"/>
      <name val="Calibri"/>
      <family val="2"/>
      <scheme val="minor"/>
    </font>
    <font>
      <b/>
      <sz val="9"/>
      <color rgb="FFFF0000"/>
      <name val="Corbel"/>
      <family val="2"/>
    </font>
    <font>
      <sz val="11"/>
      <color theme="1"/>
      <name val="Symbol"/>
      <family val="1"/>
      <charset val="2"/>
    </font>
    <font>
      <sz val="7"/>
      <color theme="1"/>
      <name val="Times New Roman"/>
      <family val="1"/>
    </font>
    <font>
      <b/>
      <sz val="11"/>
      <color theme="0"/>
      <name val="Calibri"/>
      <family val="2"/>
      <scheme val="minor"/>
    </font>
    <font>
      <b/>
      <sz val="11"/>
      <color theme="1"/>
      <name val="Calibri"/>
      <family val="2"/>
      <scheme val="minor"/>
    </font>
    <font>
      <i/>
      <sz val="11"/>
      <color theme="1"/>
      <name val="Calibri"/>
      <family val="2"/>
      <scheme val="minor"/>
    </font>
    <font>
      <b/>
      <sz val="10"/>
      <color theme="0"/>
      <name val="Calibri"/>
      <family val="2"/>
      <scheme val="minor"/>
    </font>
    <font>
      <sz val="14"/>
      <color theme="5" tint="-0.499984740745262"/>
      <name val="Calibri"/>
      <family val="2"/>
      <scheme val="minor"/>
    </font>
    <font>
      <sz val="10"/>
      <name val="Calibri"/>
      <family val="2"/>
      <scheme val="minor"/>
    </font>
    <font>
      <b/>
      <sz val="9"/>
      <color theme="0"/>
      <name val="Calibri"/>
      <family val="2"/>
      <scheme val="minor"/>
    </font>
    <font>
      <sz val="8"/>
      <color theme="1"/>
      <name val="Calibri"/>
      <family val="2"/>
      <scheme val="minor"/>
    </font>
    <font>
      <sz val="8"/>
      <color theme="6" tint="0.79998168889431442"/>
      <name val="Calibri"/>
      <family val="2"/>
      <scheme val="minor"/>
    </font>
    <font>
      <sz val="8"/>
      <color theme="2" tint="0.79998168889431442"/>
      <name val="Calibri"/>
      <family val="2"/>
      <scheme val="minor"/>
    </font>
    <font>
      <sz val="10"/>
      <color theme="6" tint="0.79998168889431442"/>
      <name val="Calibri"/>
      <family val="2"/>
      <scheme val="minor"/>
    </font>
    <font>
      <sz val="10"/>
      <color theme="2" tint="0.79998168889431442"/>
      <name val="Calibri"/>
      <family val="2"/>
      <scheme val="minor"/>
    </font>
    <font>
      <sz val="8"/>
      <name val="Calibri"/>
      <family val="2"/>
      <scheme val="minor"/>
    </font>
    <font>
      <sz val="10"/>
      <color rgb="FF000000"/>
      <name val="Verdana"/>
      <family val="2"/>
    </font>
    <font>
      <sz val="10"/>
      <color rgb="FFFFFFFF"/>
      <name val="Verdana"/>
      <family val="2"/>
    </font>
    <font>
      <sz val="10"/>
      <name val="Arial"/>
      <family val="2"/>
    </font>
    <font>
      <b/>
      <sz val="20"/>
      <name val="Arial"/>
      <family val="2"/>
    </font>
    <font>
      <b/>
      <sz val="9"/>
      <name val="Arial"/>
      <family val="2"/>
    </font>
    <font>
      <sz val="8"/>
      <name val="Arial"/>
      <family val="2"/>
    </font>
    <font>
      <sz val="8"/>
      <name val="Arial Narrow"/>
      <family val="2"/>
    </font>
    <font>
      <sz val="11"/>
      <color rgb="FFFFFFFF"/>
      <name val="Calibri"/>
      <family val="2"/>
      <scheme val="minor"/>
    </font>
    <font>
      <b/>
      <sz val="10"/>
      <color theme="0"/>
      <name val="Corbel"/>
      <family val="2"/>
    </font>
    <font>
      <sz val="10"/>
      <name val="Corbel"/>
      <family val="2"/>
    </font>
    <font>
      <sz val="11"/>
      <color rgb="FF000000"/>
      <name val="Calibri"/>
      <family val="2"/>
      <scheme val="minor"/>
    </font>
    <font>
      <sz val="10"/>
      <color rgb="FF000000"/>
      <name val="Corbel"/>
      <family val="2"/>
    </font>
    <font>
      <sz val="10"/>
      <color rgb="FFFFFFFF"/>
      <name val="Corbel"/>
      <family val="2"/>
    </font>
  </fonts>
  <fills count="36">
    <fill>
      <patternFill patternType="none"/>
    </fill>
    <fill>
      <patternFill patternType="gray125"/>
    </fill>
    <fill>
      <patternFill patternType="solid">
        <fgColor theme="4"/>
        <bgColor indexed="64"/>
      </patternFill>
    </fill>
    <fill>
      <patternFill patternType="solid">
        <fgColor theme="9"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FFFF66"/>
        <bgColor indexed="64"/>
      </patternFill>
    </fill>
    <fill>
      <patternFill patternType="solid">
        <fgColor theme="0"/>
        <bgColor indexed="64"/>
      </patternFill>
    </fill>
    <fill>
      <patternFill patternType="solid">
        <fgColor theme="1"/>
        <bgColor indexed="64"/>
      </patternFill>
    </fill>
    <fill>
      <patternFill patternType="solid">
        <fgColor theme="5"/>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indexed="47"/>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5" tint="-0.24994659260841701"/>
        <bgColor indexed="64"/>
      </patternFill>
    </fill>
    <fill>
      <patternFill patternType="solid">
        <fgColor rgb="FF8DB4E2"/>
        <bgColor indexed="64"/>
      </patternFill>
    </fill>
    <fill>
      <patternFill patternType="solid">
        <fgColor rgb="FFC5D9F1"/>
        <bgColor indexed="64"/>
      </patternFill>
    </fill>
    <fill>
      <patternFill patternType="solid">
        <fgColor rgb="FF538DD5"/>
        <bgColor indexed="64"/>
      </patternFill>
    </fill>
    <fill>
      <patternFill patternType="solid">
        <fgColor rgb="FF16365C"/>
        <bgColor indexed="64"/>
      </patternFill>
    </fill>
    <fill>
      <patternFill patternType="solid">
        <fgColor rgb="FFA6A6A6"/>
        <bgColor indexed="64"/>
      </patternFill>
    </fill>
    <fill>
      <patternFill patternType="solid">
        <fgColor indexed="22"/>
        <bgColor indexed="64"/>
      </patternFill>
    </fill>
    <fill>
      <patternFill patternType="solid">
        <fgColor indexed="55"/>
        <bgColor indexed="64"/>
      </patternFill>
    </fill>
    <fill>
      <patternFill patternType="solid">
        <fgColor theme="0" tint="-4.9989318521683403E-2"/>
        <bgColor indexed="64"/>
      </patternFill>
    </fill>
    <fill>
      <patternFill patternType="solid">
        <fgColor theme="9" tint="0.79995117038483843"/>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s>
  <borders count="152">
    <border>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diagonal/>
    </border>
    <border>
      <left style="thick">
        <color indexed="64"/>
      </left>
      <right/>
      <top style="thick">
        <color indexed="64"/>
      </top>
      <bottom/>
      <diagonal/>
    </border>
    <border>
      <left style="thick">
        <color indexed="64"/>
      </left>
      <right style="thick">
        <color indexed="64"/>
      </right>
      <top style="thick">
        <color indexed="64"/>
      </top>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n">
        <color indexed="0"/>
      </left>
      <right style="thin">
        <color indexed="0"/>
      </right>
      <top style="thin">
        <color indexed="64"/>
      </top>
      <bottom/>
      <diagonal/>
    </border>
    <border>
      <left style="thick">
        <color indexed="64"/>
      </left>
      <right style="thin">
        <color indexed="64"/>
      </right>
      <top style="thick">
        <color indexed="64"/>
      </top>
      <bottom style="hair">
        <color indexed="64"/>
      </bottom>
      <diagonal/>
    </border>
    <border>
      <left style="thin">
        <color indexed="64"/>
      </left>
      <right style="thin">
        <color indexed="64"/>
      </right>
      <top style="thick">
        <color indexed="64"/>
      </top>
      <bottom style="hair">
        <color indexed="64"/>
      </bottom>
      <diagonal/>
    </border>
    <border>
      <left style="thin">
        <color indexed="64"/>
      </left>
      <right style="thick">
        <color indexed="64"/>
      </right>
      <top style="thick">
        <color indexed="64"/>
      </top>
      <bottom style="hair">
        <color indexed="64"/>
      </bottom>
      <diagonal/>
    </border>
    <border>
      <left style="thick">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right/>
      <top style="thick">
        <color indexed="64"/>
      </top>
      <bottom/>
      <diagonal/>
    </border>
    <border>
      <left/>
      <right style="thick">
        <color indexed="64"/>
      </right>
      <top style="thick">
        <color indexed="64"/>
      </top>
      <bottom style="thick">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ck">
        <color indexed="64"/>
      </right>
      <top style="thick">
        <color indexed="64"/>
      </top>
      <bottom/>
      <diagonal/>
    </border>
    <border>
      <left style="thick">
        <color indexed="64"/>
      </left>
      <right/>
      <top style="thick">
        <color indexed="64"/>
      </top>
      <bottom style="thin">
        <color indexed="64"/>
      </bottom>
      <diagonal/>
    </border>
    <border>
      <left style="thick">
        <color indexed="64"/>
      </left>
      <right/>
      <top/>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style="thick">
        <color indexed="64"/>
      </right>
      <top/>
      <bottom style="thick">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style="thick">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thick">
        <color indexed="64"/>
      </right>
      <top style="hair">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diagonal/>
    </border>
    <border>
      <left style="thick">
        <color indexed="64"/>
      </left>
      <right style="thick">
        <color indexed="64"/>
      </right>
      <top/>
      <bottom/>
      <diagonal/>
    </border>
    <border>
      <left style="thick">
        <color indexed="64"/>
      </left>
      <right/>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diagonal/>
    </border>
    <border>
      <left style="thin">
        <color indexed="64"/>
      </left>
      <right/>
      <top style="thick">
        <color indexed="64"/>
      </top>
      <bottom style="thick">
        <color indexed="64"/>
      </bottom>
      <diagonal/>
    </border>
    <border>
      <left style="thin">
        <color indexed="64"/>
      </left>
      <right/>
      <top style="thick">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ck">
        <color indexed="64"/>
      </bottom>
      <diagonal/>
    </border>
    <border>
      <left style="medium">
        <color indexed="64"/>
      </left>
      <right style="thick">
        <color indexed="64"/>
      </right>
      <top style="medium">
        <color indexed="64"/>
      </top>
      <bottom/>
      <diagonal/>
    </border>
    <border>
      <left style="medium">
        <color indexed="64"/>
      </left>
      <right style="thick">
        <color indexed="64"/>
      </right>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medium">
        <color indexed="64"/>
      </bottom>
      <diagonal/>
    </border>
    <border>
      <left style="medium">
        <color indexed="55"/>
      </left>
      <right/>
      <top style="medium">
        <color indexed="55"/>
      </top>
      <bottom/>
      <diagonal/>
    </border>
    <border>
      <left/>
      <right style="double">
        <color indexed="55"/>
      </right>
      <top style="medium">
        <color indexed="55"/>
      </top>
      <bottom/>
      <diagonal/>
    </border>
    <border>
      <left/>
      <right/>
      <top style="medium">
        <color indexed="55"/>
      </top>
      <bottom/>
      <diagonal/>
    </border>
    <border>
      <left/>
      <right style="medium">
        <color indexed="55"/>
      </right>
      <top style="medium">
        <color indexed="55"/>
      </top>
      <bottom/>
      <diagonal/>
    </border>
    <border>
      <left style="medium">
        <color indexed="55"/>
      </left>
      <right/>
      <top style="hair">
        <color indexed="55"/>
      </top>
      <bottom style="hair">
        <color indexed="55"/>
      </bottom>
      <diagonal/>
    </border>
    <border>
      <left/>
      <right style="double">
        <color indexed="55"/>
      </right>
      <top style="hair">
        <color indexed="55"/>
      </top>
      <bottom style="hair">
        <color indexed="55"/>
      </bottom>
      <diagonal/>
    </border>
    <border>
      <left/>
      <right/>
      <top style="hair">
        <color indexed="55"/>
      </top>
      <bottom style="hair">
        <color indexed="55"/>
      </bottom>
      <diagonal/>
    </border>
    <border>
      <left/>
      <right style="medium">
        <color indexed="55"/>
      </right>
      <top style="hair">
        <color indexed="55"/>
      </top>
      <bottom style="hair">
        <color indexed="55"/>
      </bottom>
      <diagonal/>
    </border>
    <border>
      <left style="thin">
        <color indexed="64"/>
      </left>
      <right style="thick">
        <color indexed="64"/>
      </right>
      <top style="thick">
        <color indexed="64"/>
      </top>
      <bottom style="thin">
        <color indexed="64"/>
      </bottom>
      <diagonal/>
    </border>
    <border>
      <left/>
      <right style="thin">
        <color indexed="64"/>
      </right>
      <top style="thick">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ck">
        <color indexed="64"/>
      </bottom>
      <diagonal/>
    </border>
    <border>
      <left style="thick">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ck">
        <color indexed="64"/>
      </right>
      <top/>
      <bottom style="hair">
        <color indexed="64"/>
      </bottom>
      <diagonal/>
    </border>
    <border>
      <left style="thin">
        <color indexed="64"/>
      </left>
      <right style="thin">
        <color indexed="0"/>
      </right>
      <top style="thin">
        <color indexed="64"/>
      </top>
      <bottom/>
      <diagonal/>
    </border>
    <border>
      <left style="thin">
        <color indexed="64"/>
      </left>
      <right style="thin">
        <color auto="1"/>
      </right>
      <top style="thin">
        <color indexed="64"/>
      </top>
      <bottom style="thick">
        <color indexed="64"/>
      </bottom>
      <diagonal/>
    </border>
    <border>
      <left style="thin">
        <color indexed="64"/>
      </left>
      <right style="thin">
        <color auto="1"/>
      </right>
      <top style="medium">
        <color indexed="64"/>
      </top>
      <bottom style="thin">
        <color indexed="64"/>
      </bottom>
      <diagonal/>
    </border>
    <border>
      <left style="thin">
        <color auto="1"/>
      </left>
      <right style="thin">
        <color auto="1"/>
      </right>
      <top style="medium">
        <color indexed="64"/>
      </top>
      <bottom style="hair">
        <color indexed="64"/>
      </bottom>
      <diagonal/>
    </border>
    <border>
      <left style="thin">
        <color indexed="64"/>
      </left>
      <right style="thin">
        <color auto="1"/>
      </right>
      <top style="thin">
        <color indexed="64"/>
      </top>
      <bottom style="thin">
        <color indexed="64"/>
      </bottom>
      <diagonal/>
    </border>
    <border>
      <left style="thin">
        <color auto="1"/>
      </left>
      <right style="thin">
        <color auto="1"/>
      </right>
      <top style="hair">
        <color indexed="64"/>
      </top>
      <bottom style="hair">
        <color indexed="64"/>
      </bottom>
      <diagonal/>
    </border>
    <border>
      <left style="thin">
        <color auto="1"/>
      </left>
      <right style="thin">
        <color auto="1"/>
      </right>
      <top style="hair">
        <color indexed="64"/>
      </top>
      <bottom style="thick">
        <color indexed="64"/>
      </bottom>
      <diagonal/>
    </border>
    <border>
      <left style="thin">
        <color indexed="64"/>
      </left>
      <right/>
      <top style="thin">
        <color indexed="64"/>
      </top>
      <bottom style="thick">
        <color indexed="64"/>
      </bottom>
      <diagonal/>
    </border>
    <border>
      <left style="thin">
        <color indexed="64"/>
      </left>
      <right style="thin">
        <color indexed="64"/>
      </right>
      <top style="thick">
        <color indexed="64"/>
      </top>
      <bottom style="hair">
        <color rgb="FF000000"/>
      </bottom>
      <diagonal/>
    </border>
    <border>
      <left style="thin">
        <color indexed="64"/>
      </left>
      <right style="thin">
        <color indexed="64"/>
      </right>
      <top style="hair">
        <color rgb="FF000000"/>
      </top>
      <bottom style="hair">
        <color rgb="FF000000"/>
      </bottom>
      <diagonal/>
    </border>
    <border>
      <left style="thin">
        <color indexed="64"/>
      </left>
      <right style="thin">
        <color indexed="64"/>
      </right>
      <top style="hair">
        <color rgb="FF000000"/>
      </top>
      <bottom style="thick">
        <color indexed="64"/>
      </bottom>
      <diagonal/>
    </border>
    <border>
      <left style="thin">
        <color indexed="64"/>
      </left>
      <right/>
      <top style="thick">
        <color indexed="64"/>
      </top>
      <bottom style="thin">
        <color indexed="64"/>
      </bottom>
      <diagonal/>
    </border>
    <border>
      <left style="thick">
        <color indexed="64"/>
      </left>
      <right style="thin">
        <color indexed="64"/>
      </right>
      <top style="thick">
        <color indexed="64"/>
      </top>
      <bottom style="hair">
        <color rgb="FF000000"/>
      </bottom>
      <diagonal/>
    </border>
    <border>
      <left style="thick">
        <color indexed="64"/>
      </left>
      <right style="thin">
        <color indexed="64"/>
      </right>
      <top style="hair">
        <color rgb="FF000000"/>
      </top>
      <bottom style="hair">
        <color rgb="FF000000"/>
      </bottom>
      <diagonal/>
    </border>
    <border>
      <left style="thick">
        <color indexed="64"/>
      </left>
      <right style="thin">
        <color indexed="64"/>
      </right>
      <top style="hair">
        <color rgb="FF000000"/>
      </top>
      <bottom style="thick">
        <color indexed="64"/>
      </bottom>
      <diagonal/>
    </border>
    <border>
      <left style="thin">
        <color indexed="64"/>
      </left>
      <right style="thick">
        <color indexed="64"/>
      </right>
      <top style="thick">
        <color indexed="64"/>
      </top>
      <bottom style="hair">
        <color rgb="FF000000"/>
      </bottom>
      <diagonal/>
    </border>
    <border>
      <left style="thin">
        <color indexed="64"/>
      </left>
      <right style="thick">
        <color indexed="64"/>
      </right>
      <top style="hair">
        <color rgb="FF000000"/>
      </top>
      <bottom style="hair">
        <color rgb="FF000000"/>
      </bottom>
      <diagonal/>
    </border>
    <border>
      <left style="thin">
        <color indexed="64"/>
      </left>
      <right style="thick">
        <color indexed="64"/>
      </right>
      <top style="hair">
        <color rgb="FF000000"/>
      </top>
      <bottom style="thick">
        <color indexed="64"/>
      </bottom>
      <diagonal/>
    </border>
    <border>
      <left/>
      <right style="thick">
        <color indexed="64"/>
      </right>
      <top style="thin">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rgb="FF000000"/>
      </top>
      <bottom style="hair">
        <color rgb="FF000000"/>
      </bottom>
      <diagonal/>
    </border>
    <border>
      <left style="thin">
        <color indexed="64"/>
      </left>
      <right style="thin">
        <color indexed="64"/>
      </right>
      <top style="hair">
        <color rgb="FF000000"/>
      </top>
      <bottom/>
      <diagonal/>
    </border>
    <border>
      <left style="thin">
        <color indexed="64"/>
      </left>
      <right style="thin">
        <color indexed="64"/>
      </right>
      <top style="hair">
        <color rgb="FF787878"/>
      </top>
      <bottom/>
      <diagonal/>
    </border>
    <border>
      <left style="thick">
        <color indexed="64"/>
      </left>
      <right style="thin">
        <color indexed="64"/>
      </right>
      <top style="thin">
        <color rgb="FF000000"/>
      </top>
      <bottom/>
      <diagonal/>
    </border>
    <border>
      <left style="thick">
        <color indexed="64"/>
      </left>
      <right style="thin">
        <color indexed="64"/>
      </right>
      <top style="thin">
        <color rgb="FF000000"/>
      </top>
      <bottom style="hair">
        <color rgb="FF000000"/>
      </bottom>
      <diagonal/>
    </border>
    <border>
      <left style="thick">
        <color indexed="64"/>
      </left>
      <right style="thin">
        <color indexed="64"/>
      </right>
      <top style="hair">
        <color rgb="FF000000"/>
      </top>
      <bottom/>
      <diagonal/>
    </border>
    <border>
      <left style="thin">
        <color indexed="64"/>
      </left>
      <right style="thick">
        <color indexed="64"/>
      </right>
      <top style="thin">
        <color rgb="FF000000"/>
      </top>
      <bottom/>
      <diagonal/>
    </border>
    <border>
      <left style="thin">
        <color indexed="64"/>
      </left>
      <right style="thick">
        <color indexed="64"/>
      </right>
      <top style="thin">
        <color rgb="FF000000"/>
      </top>
      <bottom style="hair">
        <color rgb="FF000000"/>
      </bottom>
      <diagonal/>
    </border>
    <border>
      <left style="thin">
        <color indexed="64"/>
      </left>
      <right style="thick">
        <color indexed="64"/>
      </right>
      <top style="hair">
        <color rgb="FF000000"/>
      </top>
      <bottom/>
      <diagonal/>
    </border>
    <border>
      <left style="thick">
        <color indexed="64"/>
      </left>
      <right style="thin">
        <color indexed="64"/>
      </right>
      <top style="hair">
        <color rgb="FF787878"/>
      </top>
      <bottom/>
      <diagonal/>
    </border>
    <border>
      <left style="thin">
        <color indexed="64"/>
      </left>
      <right style="thick">
        <color indexed="64"/>
      </right>
      <top style="hair">
        <color rgb="FF787878"/>
      </top>
      <bottom/>
      <diagonal/>
    </border>
    <border>
      <left style="thin">
        <color indexed="64"/>
      </left>
      <right/>
      <top style="thin">
        <color indexed="64"/>
      </top>
      <bottom style="thick">
        <color auto="1"/>
      </bottom>
      <diagonal/>
    </border>
    <border>
      <left style="thin">
        <color indexed="64"/>
      </left>
      <right style="thin">
        <color indexed="64"/>
      </right>
      <top style="thin">
        <color rgb="FF000000"/>
      </top>
      <bottom style="thick">
        <color auto="1"/>
      </bottom>
      <diagonal/>
    </border>
    <border>
      <left style="thick">
        <color indexed="64"/>
      </left>
      <right style="thin">
        <color indexed="64"/>
      </right>
      <top style="thin">
        <color rgb="FF000000"/>
      </top>
      <bottom style="thick">
        <color auto="1"/>
      </bottom>
      <diagonal/>
    </border>
    <border>
      <left style="thin">
        <color indexed="64"/>
      </left>
      <right style="thick">
        <color indexed="64"/>
      </right>
      <top style="thin">
        <color rgb="FF000000"/>
      </top>
      <bottom style="thick">
        <color auto="1"/>
      </bottom>
      <diagonal/>
    </border>
  </borders>
  <cellStyleXfs count="5">
    <xf numFmtId="0" fontId="0" fillId="0" borderId="0"/>
    <xf numFmtId="0" fontId="3" fillId="0" borderId="0"/>
    <xf numFmtId="0" fontId="12" fillId="0" borderId="0"/>
    <xf numFmtId="0" fontId="2" fillId="0" borderId="0"/>
    <xf numFmtId="0" fontId="33" fillId="0" borderId="0"/>
  </cellStyleXfs>
  <cellXfs count="465">
    <xf numFmtId="0" fontId="0" fillId="0" borderId="0" xfId="0"/>
    <xf numFmtId="0" fontId="6" fillId="0" borderId="0" xfId="1" applyFont="1" applyBorder="1" applyAlignment="1">
      <alignment horizontal="center" wrapText="1"/>
    </xf>
    <xf numFmtId="0" fontId="7" fillId="0" borderId="0" xfId="1" applyFont="1" applyFill="1"/>
    <xf numFmtId="0" fontId="7" fillId="0" borderId="0" xfId="1" applyFont="1" applyAlignment="1">
      <alignment wrapText="1"/>
    </xf>
    <xf numFmtId="0" fontId="7" fillId="0" borderId="0" xfId="1" applyFont="1" applyAlignment="1">
      <alignment vertical="center" wrapText="1"/>
    </xf>
    <xf numFmtId="0" fontId="7" fillId="0" borderId="0" xfId="1" applyFont="1" applyAlignment="1">
      <alignment textRotation="90"/>
    </xf>
    <xf numFmtId="0" fontId="7" fillId="0" borderId="0" xfId="1" applyFont="1"/>
    <xf numFmtId="0" fontId="7" fillId="5" borderId="9" xfId="1" applyFont="1" applyFill="1" applyBorder="1" applyAlignment="1">
      <alignment horizontal="center"/>
    </xf>
    <xf numFmtId="0" fontId="7" fillId="6" borderId="10" xfId="1" applyFont="1" applyFill="1" applyBorder="1" applyAlignment="1">
      <alignment horizontal="center"/>
    </xf>
    <xf numFmtId="0" fontId="7" fillId="7" borderId="10" xfId="1" applyFont="1" applyFill="1" applyBorder="1" applyAlignment="1">
      <alignment horizontal="center"/>
    </xf>
    <xf numFmtId="0" fontId="7" fillId="8" borderId="10" xfId="1" applyFont="1" applyFill="1" applyBorder="1" applyAlignment="1">
      <alignment horizontal="center"/>
    </xf>
    <xf numFmtId="0" fontId="9" fillId="9" borderId="11" xfId="1" applyFont="1" applyFill="1" applyBorder="1" applyAlignment="1">
      <alignment horizontal="center"/>
    </xf>
    <xf numFmtId="0" fontId="7" fillId="5" borderId="15" xfId="1" applyFont="1" applyFill="1" applyBorder="1" applyAlignment="1">
      <alignment horizontal="center"/>
    </xf>
    <xf numFmtId="0" fontId="7" fillId="6" borderId="16" xfId="1" applyFont="1" applyFill="1" applyBorder="1" applyAlignment="1">
      <alignment horizontal="center"/>
    </xf>
    <xf numFmtId="0" fontId="7" fillId="7" borderId="16" xfId="1" applyFont="1" applyFill="1" applyBorder="1" applyAlignment="1">
      <alignment horizontal="center"/>
    </xf>
    <xf numFmtId="0" fontId="7" fillId="8" borderId="16" xfId="1" applyFont="1" applyFill="1" applyBorder="1" applyAlignment="1">
      <alignment horizontal="center"/>
    </xf>
    <xf numFmtId="0" fontId="9" fillId="9" borderId="17" xfId="1" applyFont="1" applyFill="1" applyBorder="1" applyAlignment="1">
      <alignment horizontal="center"/>
    </xf>
    <xf numFmtId="0" fontId="7" fillId="0" borderId="0" xfId="1" applyFont="1" applyFill="1" applyAlignment="1">
      <alignment horizontal="center"/>
    </xf>
    <xf numFmtId="0" fontId="7" fillId="6" borderId="12" xfId="1" applyFont="1" applyFill="1" applyBorder="1" applyAlignment="1"/>
    <xf numFmtId="0" fontId="7" fillId="6" borderId="18" xfId="1" applyFont="1" applyFill="1" applyBorder="1" applyAlignment="1"/>
    <xf numFmtId="0" fontId="7" fillId="6" borderId="9" xfId="1" applyFont="1" applyFill="1" applyBorder="1" applyAlignment="1">
      <alignment horizontal="center"/>
    </xf>
    <xf numFmtId="0" fontId="7" fillId="6" borderId="11" xfId="1" applyFont="1" applyFill="1" applyBorder="1" applyAlignment="1">
      <alignment horizontal="center"/>
    </xf>
    <xf numFmtId="0" fontId="7" fillId="6" borderId="18" xfId="1" applyFont="1" applyFill="1" applyBorder="1" applyAlignment="1">
      <alignment horizontal="center"/>
    </xf>
    <xf numFmtId="0" fontId="7" fillId="7" borderId="12" xfId="1" applyFont="1" applyFill="1" applyBorder="1" applyAlignment="1"/>
    <xf numFmtId="0" fontId="7" fillId="7" borderId="18" xfId="1" applyFont="1" applyFill="1" applyBorder="1" applyAlignment="1"/>
    <xf numFmtId="0" fontId="7" fillId="7" borderId="9" xfId="1" applyFont="1" applyFill="1" applyBorder="1" applyAlignment="1">
      <alignment horizontal="center"/>
    </xf>
    <xf numFmtId="0" fontId="7" fillId="7" borderId="11" xfId="1" applyFont="1" applyFill="1" applyBorder="1" applyAlignment="1">
      <alignment horizontal="center"/>
    </xf>
    <xf numFmtId="0" fontId="7" fillId="8" borderId="12" xfId="1" applyFont="1" applyFill="1" applyBorder="1" applyAlignment="1"/>
    <xf numFmtId="0" fontId="7" fillId="8" borderId="18" xfId="1" applyFont="1" applyFill="1" applyBorder="1" applyAlignment="1"/>
    <xf numFmtId="0" fontId="7" fillId="8" borderId="9" xfId="1" applyFont="1" applyFill="1" applyBorder="1" applyAlignment="1">
      <alignment horizontal="center"/>
    </xf>
    <xf numFmtId="0" fontId="9" fillId="9" borderId="20" xfId="1" applyFont="1" applyFill="1" applyBorder="1" applyAlignment="1"/>
    <xf numFmtId="0" fontId="9" fillId="9" borderId="21" xfId="1" applyFont="1" applyFill="1" applyBorder="1" applyAlignment="1"/>
    <xf numFmtId="0" fontId="9" fillId="9" borderId="15" xfId="1" applyFont="1" applyFill="1" applyBorder="1" applyAlignment="1">
      <alignment horizontal="center"/>
    </xf>
    <xf numFmtId="0" fontId="9" fillId="9" borderId="16" xfId="1" applyFont="1" applyFill="1" applyBorder="1" applyAlignment="1">
      <alignment horizontal="center"/>
    </xf>
    <xf numFmtId="0" fontId="7" fillId="0" borderId="0" xfId="1" applyFont="1" applyAlignment="1">
      <alignment horizontal="center"/>
    </xf>
    <xf numFmtId="0" fontId="6" fillId="0" borderId="0" xfId="1" applyFont="1" applyAlignment="1">
      <alignment horizontal="right"/>
    </xf>
    <xf numFmtId="0" fontId="7" fillId="0" borderId="23" xfId="1" applyFont="1" applyBorder="1" applyAlignment="1">
      <alignment horizontal="center"/>
    </xf>
    <xf numFmtId="0" fontId="7" fillId="0" borderId="24" xfId="1" applyFont="1" applyBorder="1" applyAlignment="1">
      <alignment horizontal="center"/>
    </xf>
    <xf numFmtId="0" fontId="7" fillId="0" borderId="25" xfId="1" applyFont="1" applyBorder="1" applyAlignment="1">
      <alignment horizontal="center"/>
    </xf>
    <xf numFmtId="0" fontId="7" fillId="0" borderId="26" xfId="1" applyFont="1" applyBorder="1" applyAlignment="1">
      <alignment horizontal="center"/>
    </xf>
    <xf numFmtId="0" fontId="7" fillId="0" borderId="27" xfId="1" applyFont="1" applyBorder="1" applyAlignment="1">
      <alignment horizontal="center"/>
    </xf>
    <xf numFmtId="0" fontId="7" fillId="0" borderId="28" xfId="1" applyFont="1" applyBorder="1" applyAlignment="1">
      <alignment horizontal="center"/>
    </xf>
    <xf numFmtId="0" fontId="6" fillId="0" borderId="0" xfId="1" applyFont="1"/>
    <xf numFmtId="0" fontId="7" fillId="5" borderId="0" xfId="1" applyFont="1" applyFill="1"/>
    <xf numFmtId="0" fontId="7" fillId="11" borderId="0" xfId="1" applyFont="1" applyFill="1"/>
    <xf numFmtId="0" fontId="7" fillId="4" borderId="0" xfId="1" applyFont="1" applyFill="1"/>
    <xf numFmtId="0" fontId="7" fillId="12" borderId="0" xfId="1" applyFont="1" applyFill="1"/>
    <xf numFmtId="0" fontId="7" fillId="13" borderId="0" xfId="1" applyFont="1" applyFill="1"/>
    <xf numFmtId="0" fontId="7" fillId="14" borderId="9" xfId="1" applyFont="1" applyFill="1" applyBorder="1" applyAlignment="1">
      <alignment horizontal="center"/>
    </xf>
    <xf numFmtId="0" fontId="7" fillId="14" borderId="10" xfId="1" applyFont="1" applyFill="1" applyBorder="1" applyAlignment="1">
      <alignment horizontal="center"/>
    </xf>
    <xf numFmtId="0" fontId="7" fillId="14" borderId="11" xfId="1" applyFont="1" applyFill="1" applyBorder="1" applyAlignment="1">
      <alignment horizontal="center"/>
    </xf>
    <xf numFmtId="0" fontId="6" fillId="15" borderId="12" xfId="1" applyFont="1" applyFill="1" applyBorder="1"/>
    <xf numFmtId="0" fontId="6" fillId="15" borderId="12" xfId="1" applyFont="1" applyFill="1" applyBorder="1" applyAlignment="1">
      <alignment wrapText="1"/>
    </xf>
    <xf numFmtId="0" fontId="6" fillId="15" borderId="14" xfId="1" applyFont="1" applyFill="1" applyBorder="1"/>
    <xf numFmtId="0" fontId="7" fillId="5" borderId="29" xfId="1" applyFont="1" applyFill="1" applyBorder="1" applyAlignment="1"/>
    <xf numFmtId="0" fontId="7" fillId="5" borderId="30" xfId="1" applyFont="1" applyFill="1" applyBorder="1" applyAlignment="1"/>
    <xf numFmtId="0" fontId="7" fillId="5" borderId="31" xfId="1" applyFont="1" applyFill="1" applyBorder="1" applyAlignment="1">
      <alignment horizontal="center"/>
    </xf>
    <xf numFmtId="0" fontId="7" fillId="5" borderId="13" xfId="1" applyFont="1" applyFill="1" applyBorder="1" applyAlignment="1">
      <alignment horizontal="center"/>
    </xf>
    <xf numFmtId="0" fontId="6" fillId="15" borderId="35" xfId="1" applyFont="1" applyFill="1" applyBorder="1"/>
    <xf numFmtId="0" fontId="7" fillId="14" borderId="5" xfId="1" applyFont="1" applyFill="1" applyBorder="1" applyAlignment="1">
      <alignment horizontal="center"/>
    </xf>
    <xf numFmtId="0" fontId="7" fillId="14" borderId="6" xfId="1" applyFont="1" applyFill="1" applyBorder="1" applyAlignment="1">
      <alignment horizontal="center"/>
    </xf>
    <xf numFmtId="0" fontId="7" fillId="14" borderId="7" xfId="1" applyFont="1" applyFill="1" applyBorder="1" applyAlignment="1">
      <alignment horizontal="center"/>
    </xf>
    <xf numFmtId="0" fontId="6" fillId="15" borderId="20" xfId="1" applyFont="1" applyFill="1" applyBorder="1"/>
    <xf numFmtId="0" fontId="7" fillId="14" borderId="15" xfId="1" applyFont="1" applyFill="1" applyBorder="1" applyAlignment="1">
      <alignment horizontal="center"/>
    </xf>
    <xf numFmtId="0" fontId="7" fillId="14" borderId="16" xfId="1" applyFont="1" applyFill="1" applyBorder="1" applyAlignment="1">
      <alignment horizontal="center"/>
    </xf>
    <xf numFmtId="0" fontId="7" fillId="14" borderId="17" xfId="1" applyFont="1" applyFill="1" applyBorder="1" applyAlignment="1">
      <alignment horizontal="center"/>
    </xf>
    <xf numFmtId="0" fontId="6" fillId="15" borderId="35" xfId="1" applyFont="1" applyFill="1" applyBorder="1" applyAlignment="1">
      <alignment wrapText="1"/>
    </xf>
    <xf numFmtId="0" fontId="7" fillId="14" borderId="38" xfId="1" applyFont="1" applyFill="1" applyBorder="1" applyAlignment="1">
      <alignment horizontal="center"/>
    </xf>
    <xf numFmtId="0" fontId="7" fillId="14" borderId="19" xfId="1" applyFont="1" applyFill="1" applyBorder="1" applyAlignment="1">
      <alignment horizontal="center"/>
    </xf>
    <xf numFmtId="0" fontId="7" fillId="14" borderId="22" xfId="1" applyFont="1" applyFill="1" applyBorder="1" applyAlignment="1">
      <alignment horizontal="center"/>
    </xf>
    <xf numFmtId="0" fontId="7" fillId="0" borderId="1" xfId="1" applyFont="1" applyFill="1" applyBorder="1" applyAlignment="1">
      <alignment textRotation="90"/>
    </xf>
    <xf numFmtId="0" fontId="7" fillId="0" borderId="39" xfId="1" applyFont="1" applyBorder="1" applyAlignment="1">
      <alignment textRotation="90"/>
    </xf>
    <xf numFmtId="0" fontId="7" fillId="0" borderId="40" xfId="1" applyFont="1" applyBorder="1" applyAlignment="1">
      <alignment textRotation="90"/>
    </xf>
    <xf numFmtId="0" fontId="7" fillId="0" borderId="30" xfId="1" applyFont="1" applyFill="1" applyBorder="1" applyAlignment="1">
      <alignment textRotation="90"/>
    </xf>
    <xf numFmtId="0" fontId="7" fillId="0" borderId="30" xfId="1" applyFont="1" applyBorder="1" applyAlignment="1">
      <alignment textRotation="90"/>
    </xf>
    <xf numFmtId="0" fontId="7" fillId="0" borderId="40" xfId="1" applyFont="1" applyFill="1" applyBorder="1" applyAlignment="1">
      <alignment textRotation="90"/>
    </xf>
    <xf numFmtId="0" fontId="7" fillId="14" borderId="35" xfId="1" applyFont="1" applyFill="1" applyBorder="1" applyAlignment="1">
      <alignment horizontal="center"/>
    </xf>
    <xf numFmtId="0" fontId="7" fillId="14" borderId="12" xfId="1" applyFont="1" applyFill="1" applyBorder="1" applyAlignment="1">
      <alignment horizontal="center"/>
    </xf>
    <xf numFmtId="0" fontId="7" fillId="14" borderId="20" xfId="1" applyFont="1" applyFill="1" applyBorder="1" applyAlignment="1">
      <alignment horizontal="center"/>
    </xf>
    <xf numFmtId="0" fontId="7" fillId="10" borderId="9" xfId="1" applyFont="1" applyFill="1" applyBorder="1" applyAlignment="1">
      <alignment horizontal="center"/>
    </xf>
    <xf numFmtId="0" fontId="7" fillId="10" borderId="15" xfId="1" applyFont="1" applyFill="1" applyBorder="1" applyAlignment="1">
      <alignment horizontal="center"/>
    </xf>
    <xf numFmtId="0" fontId="7" fillId="5" borderId="15" xfId="1" applyFont="1" applyFill="1" applyBorder="1" applyAlignment="1">
      <alignment textRotation="90"/>
    </xf>
    <xf numFmtId="0" fontId="7" fillId="6" borderId="16" xfId="1" applyFont="1" applyFill="1" applyBorder="1" applyAlignment="1">
      <alignment textRotation="90"/>
    </xf>
    <xf numFmtId="0" fontId="8" fillId="7" borderId="16" xfId="1" applyFont="1" applyFill="1" applyBorder="1" applyAlignment="1">
      <alignment textRotation="90"/>
    </xf>
    <xf numFmtId="0" fontId="7" fillId="8" borderId="16" xfId="1" applyFont="1" applyFill="1" applyBorder="1" applyAlignment="1">
      <alignment textRotation="90"/>
    </xf>
    <xf numFmtId="0" fontId="9" fillId="9" borderId="17" xfId="1" applyFont="1" applyFill="1" applyBorder="1" applyAlignment="1">
      <alignment textRotation="90"/>
    </xf>
    <xf numFmtId="0" fontId="7" fillId="10" borderId="15" xfId="1" applyFont="1" applyFill="1" applyBorder="1" applyAlignment="1">
      <alignment textRotation="90"/>
    </xf>
    <xf numFmtId="0" fontId="7" fillId="7" borderId="16" xfId="1" applyFont="1" applyFill="1" applyBorder="1" applyAlignment="1">
      <alignment textRotation="90"/>
    </xf>
    <xf numFmtId="0" fontId="7" fillId="5" borderId="5" xfId="1" applyFont="1" applyFill="1" applyBorder="1" applyAlignment="1">
      <alignment horizontal="center"/>
    </xf>
    <xf numFmtId="0" fontId="7" fillId="6" borderId="6" xfId="1" applyFont="1" applyFill="1" applyBorder="1" applyAlignment="1">
      <alignment horizontal="center"/>
    </xf>
    <xf numFmtId="0" fontId="7" fillId="7" borderId="6" xfId="1" applyFont="1" applyFill="1" applyBorder="1" applyAlignment="1">
      <alignment horizontal="center"/>
    </xf>
    <xf numFmtId="0" fontId="7" fillId="8" borderId="6" xfId="1" applyFont="1" applyFill="1" applyBorder="1" applyAlignment="1">
      <alignment horizontal="center"/>
    </xf>
    <xf numFmtId="0" fontId="9" fillId="9" borderId="7" xfId="1" applyFont="1" applyFill="1" applyBorder="1" applyAlignment="1">
      <alignment horizontal="center"/>
    </xf>
    <xf numFmtId="0" fontId="7" fillId="10" borderId="5" xfId="1" applyFont="1" applyFill="1" applyBorder="1" applyAlignment="1">
      <alignment horizontal="center"/>
    </xf>
    <xf numFmtId="0" fontId="7" fillId="0" borderId="8" xfId="1" applyFont="1" applyBorder="1" applyAlignment="1">
      <alignment horizontal="center" vertical="center" wrapText="1"/>
    </xf>
    <xf numFmtId="0" fontId="7" fillId="0" borderId="0" xfId="1" applyFont="1" applyBorder="1" applyAlignment="1">
      <alignment horizontal="center" vertical="center" wrapText="1"/>
    </xf>
    <xf numFmtId="0" fontId="7" fillId="0" borderId="1" xfId="1" applyFont="1" applyBorder="1" applyAlignment="1">
      <alignment horizontal="center" vertical="center" wrapText="1"/>
    </xf>
    <xf numFmtId="0" fontId="7" fillId="0" borderId="0" xfId="1" applyFont="1" applyAlignment="1">
      <alignment vertical="center" textRotation="90"/>
    </xf>
    <xf numFmtId="0" fontId="7" fillId="0" borderId="41" xfId="1" applyFont="1" applyBorder="1" applyAlignment="1">
      <alignment horizontal="center" vertical="center" wrapText="1"/>
    </xf>
    <xf numFmtId="0" fontId="7" fillId="0" borderId="42" xfId="1" applyFont="1" applyBorder="1" applyAlignment="1">
      <alignment horizontal="center" vertical="center" wrapText="1"/>
    </xf>
    <xf numFmtId="0" fontId="6" fillId="0" borderId="0" xfId="1" applyFont="1" applyAlignment="1">
      <alignment horizontal="right" vertical="center" wrapText="1"/>
    </xf>
    <xf numFmtId="0" fontId="7" fillId="6" borderId="13" xfId="1" applyFont="1" applyFill="1" applyBorder="1" applyAlignment="1">
      <alignment horizontal="center"/>
    </xf>
    <xf numFmtId="0" fontId="7" fillId="7" borderId="13" xfId="1" applyFont="1" applyFill="1" applyBorder="1" applyAlignment="1">
      <alignment horizontal="center"/>
    </xf>
    <xf numFmtId="0" fontId="7" fillId="8" borderId="13" xfId="1" applyFont="1" applyFill="1" applyBorder="1" applyAlignment="1">
      <alignment horizontal="center"/>
    </xf>
    <xf numFmtId="0" fontId="9" fillId="9" borderId="32" xfId="1" applyFont="1" applyFill="1" applyBorder="1" applyAlignment="1">
      <alignment horizontal="center"/>
    </xf>
    <xf numFmtId="0" fontId="7" fillId="10" borderId="31" xfId="1" applyFont="1" applyFill="1" applyBorder="1" applyAlignment="1">
      <alignment horizontal="center"/>
    </xf>
    <xf numFmtId="0" fontId="6" fillId="15" borderId="46" xfId="1" applyFont="1" applyFill="1" applyBorder="1"/>
    <xf numFmtId="0" fontId="6" fillId="15" borderId="47" xfId="1" applyFont="1" applyFill="1" applyBorder="1"/>
    <xf numFmtId="0" fontId="9" fillId="3" borderId="43" xfId="1" applyFont="1" applyFill="1" applyBorder="1"/>
    <xf numFmtId="0" fontId="9" fillId="3" borderId="44" xfId="1" applyFont="1" applyFill="1" applyBorder="1"/>
    <xf numFmtId="0" fontId="9" fillId="3" borderId="45" xfId="1" applyFont="1" applyFill="1" applyBorder="1"/>
    <xf numFmtId="0" fontId="6" fillId="15" borderId="48" xfId="1" applyFont="1" applyFill="1" applyBorder="1"/>
    <xf numFmtId="0" fontId="7" fillId="0" borderId="37" xfId="1" applyFont="1" applyBorder="1" applyAlignment="1">
      <alignment horizontal="center" vertical="center" wrapText="1"/>
    </xf>
    <xf numFmtId="0" fontId="7" fillId="14" borderId="49" xfId="1" applyFont="1" applyFill="1" applyBorder="1" applyAlignment="1">
      <alignment horizontal="center"/>
    </xf>
    <xf numFmtId="0" fontId="7" fillId="14" borderId="18" xfId="1" applyFont="1" applyFill="1" applyBorder="1" applyAlignment="1">
      <alignment horizontal="center"/>
    </xf>
    <xf numFmtId="0" fontId="7" fillId="14" borderId="21" xfId="1" applyFont="1" applyFill="1" applyBorder="1" applyAlignment="1">
      <alignment horizontal="center"/>
    </xf>
    <xf numFmtId="0" fontId="7" fillId="0" borderId="31" xfId="1" applyFont="1" applyBorder="1" applyAlignment="1">
      <alignment textRotation="90"/>
    </xf>
    <xf numFmtId="0" fontId="7" fillId="14" borderId="46" xfId="1" applyFont="1" applyFill="1" applyBorder="1" applyAlignment="1">
      <alignment horizontal="center"/>
    </xf>
    <xf numFmtId="0" fontId="7" fillId="14" borderId="47" xfId="1" applyFont="1" applyFill="1" applyBorder="1" applyAlignment="1">
      <alignment horizontal="center"/>
    </xf>
    <xf numFmtId="0" fontId="7" fillId="14" borderId="48" xfId="1" applyFont="1" applyFill="1" applyBorder="1" applyAlignment="1">
      <alignment horizontal="center"/>
    </xf>
    <xf numFmtId="0" fontId="7" fillId="4" borderId="6" xfId="1" applyFont="1" applyFill="1" applyBorder="1" applyAlignment="1">
      <alignment horizontal="center"/>
    </xf>
    <xf numFmtId="0" fontId="7" fillId="4" borderId="10" xfId="1" applyFont="1" applyFill="1" applyBorder="1" applyAlignment="1">
      <alignment horizontal="center"/>
    </xf>
    <xf numFmtId="0" fontId="0" fillId="0" borderId="0" xfId="0" applyAlignment="1"/>
    <xf numFmtId="0" fontId="15" fillId="15" borderId="20" xfId="1" applyFont="1" applyFill="1" applyBorder="1"/>
    <xf numFmtId="0" fontId="0" fillId="0" borderId="0" xfId="0"/>
    <xf numFmtId="0" fontId="7" fillId="14" borderId="10" xfId="1" applyFont="1" applyFill="1" applyBorder="1" applyAlignment="1">
      <alignment horizontal="center"/>
    </xf>
    <xf numFmtId="0" fontId="7" fillId="14" borderId="11" xfId="1" applyFont="1" applyFill="1" applyBorder="1" applyAlignment="1">
      <alignment horizontal="center"/>
    </xf>
    <xf numFmtId="0" fontId="7" fillId="14" borderId="6" xfId="1" applyFont="1" applyFill="1" applyBorder="1" applyAlignment="1">
      <alignment horizontal="center"/>
    </xf>
    <xf numFmtId="0" fontId="7" fillId="14" borderId="7" xfId="1" applyFont="1" applyFill="1" applyBorder="1" applyAlignment="1">
      <alignment horizontal="center"/>
    </xf>
    <xf numFmtId="0" fontId="7" fillId="14" borderId="16" xfId="1" applyFont="1" applyFill="1" applyBorder="1" applyAlignment="1">
      <alignment horizontal="center"/>
    </xf>
    <xf numFmtId="0" fontId="7" fillId="14" borderId="17" xfId="1" applyFont="1" applyFill="1" applyBorder="1" applyAlignment="1">
      <alignment horizontal="center"/>
    </xf>
    <xf numFmtId="0" fontId="7" fillId="0" borderId="39" xfId="1" applyFont="1" applyFill="1" applyBorder="1" applyAlignment="1">
      <alignment textRotation="90"/>
    </xf>
    <xf numFmtId="0" fontId="13" fillId="0" borderId="30" xfId="1" applyFont="1" applyFill="1" applyBorder="1" applyAlignment="1">
      <alignment textRotation="90"/>
    </xf>
    <xf numFmtId="0" fontId="7" fillId="0" borderId="8" xfId="1" applyFont="1" applyFill="1" applyBorder="1" applyAlignment="1">
      <alignment textRotation="90"/>
    </xf>
    <xf numFmtId="0" fontId="7" fillId="0" borderId="0" xfId="1" applyFont="1" applyFill="1" applyBorder="1" applyAlignment="1">
      <alignment textRotation="90"/>
    </xf>
    <xf numFmtId="0" fontId="7" fillId="0" borderId="36" xfId="1" applyFont="1" applyFill="1" applyBorder="1" applyAlignment="1">
      <alignment textRotation="90"/>
    </xf>
    <xf numFmtId="0" fontId="18" fillId="16" borderId="0" xfId="0" applyFont="1" applyFill="1"/>
    <xf numFmtId="0" fontId="18" fillId="16" borderId="0" xfId="0" applyFont="1" applyFill="1" applyAlignment="1"/>
    <xf numFmtId="0" fontId="0" fillId="0" borderId="10" xfId="0" applyBorder="1"/>
    <xf numFmtId="0" fontId="0" fillId="0" borderId="10" xfId="0" applyBorder="1" applyAlignment="1">
      <alignment vertical="center"/>
    </xf>
    <xf numFmtId="0" fontId="0" fillId="0" borderId="50" xfId="0" applyBorder="1"/>
    <xf numFmtId="0" fontId="0" fillId="0" borderId="51" xfId="0" applyBorder="1"/>
    <xf numFmtId="0" fontId="0" fillId="0" borderId="13" xfId="0" applyBorder="1"/>
    <xf numFmtId="0" fontId="0" fillId="0" borderId="50" xfId="0" applyBorder="1" applyAlignment="1">
      <alignment vertical="center"/>
    </xf>
    <xf numFmtId="0" fontId="14" fillId="0" borderId="51" xfId="0" applyFont="1" applyBorder="1" applyAlignment="1">
      <alignment vertical="center" wrapText="1"/>
    </xf>
    <xf numFmtId="0" fontId="0" fillId="0" borderId="14" xfId="0" applyBorder="1"/>
    <xf numFmtId="0" fontId="0" fillId="0" borderId="52" xfId="0" applyBorder="1" applyAlignment="1">
      <alignment vertical="center"/>
    </xf>
    <xf numFmtId="0" fontId="0" fillId="0" borderId="33" xfId="0" applyBorder="1" applyAlignment="1">
      <alignment vertical="center"/>
    </xf>
    <xf numFmtId="0" fontId="14" fillId="0" borderId="51" xfId="0" applyFont="1" applyBorder="1" applyAlignment="1">
      <alignment vertical="center"/>
    </xf>
    <xf numFmtId="0" fontId="14" fillId="0" borderId="52" xfId="0" applyFont="1" applyBorder="1"/>
    <xf numFmtId="0" fontId="12" fillId="15" borderId="33" xfId="1" applyFont="1" applyFill="1" applyBorder="1"/>
    <xf numFmtId="0" fontId="0" fillId="0" borderId="19" xfId="0" applyBorder="1" applyAlignment="1"/>
    <xf numFmtId="0" fontId="0" fillId="0" borderId="51" xfId="0" applyBorder="1" applyAlignment="1">
      <alignment vertical="center"/>
    </xf>
    <xf numFmtId="0" fontId="16" fillId="0" borderId="51" xfId="0" applyFont="1" applyBorder="1" applyAlignment="1">
      <alignment horizontal="left" vertical="center" indent="5"/>
    </xf>
    <xf numFmtId="0" fontId="16" fillId="0" borderId="13" xfId="0" applyFont="1" applyBorder="1" applyAlignment="1">
      <alignment horizontal="left" vertical="center" indent="5"/>
    </xf>
    <xf numFmtId="0" fontId="19" fillId="0" borderId="0" xfId="0" applyFont="1"/>
    <xf numFmtId="0" fontId="14" fillId="0" borderId="0" xfId="0" applyFont="1" applyAlignment="1">
      <alignment vertical="center"/>
    </xf>
    <xf numFmtId="0" fontId="20" fillId="0" borderId="0" xfId="0" applyFont="1"/>
    <xf numFmtId="0" fontId="0" fillId="0" borderId="53" xfId="0" applyBorder="1"/>
    <xf numFmtId="0" fontId="14" fillId="0" borderId="0" xfId="0" applyFont="1" applyAlignment="1">
      <alignment vertical="top"/>
    </xf>
    <xf numFmtId="0" fontId="0" fillId="0" borderId="0" xfId="0" applyAlignment="1">
      <alignment vertical="center"/>
    </xf>
    <xf numFmtId="0" fontId="14" fillId="0" borderId="52" xfId="0" applyFont="1" applyBorder="1" applyAlignment="1">
      <alignment vertical="center"/>
    </xf>
    <xf numFmtId="0" fontId="14" fillId="0" borderId="33" xfId="0" applyFont="1" applyBorder="1" applyAlignment="1">
      <alignment vertical="center"/>
    </xf>
    <xf numFmtId="0" fontId="14" fillId="0" borderId="50" xfId="0" applyFont="1" applyBorder="1" applyAlignment="1">
      <alignment vertical="center"/>
    </xf>
    <xf numFmtId="0" fontId="7" fillId="14" borderId="32" xfId="1" applyFont="1" applyFill="1" applyBorder="1" applyAlignment="1">
      <alignment horizontal="center"/>
    </xf>
    <xf numFmtId="0" fontId="7" fillId="14" borderId="54" xfId="1" applyFont="1" applyFill="1" applyBorder="1" applyAlignment="1">
      <alignment horizontal="center"/>
    </xf>
    <xf numFmtId="0" fontId="7" fillId="17" borderId="40" xfId="1" applyFont="1" applyFill="1" applyBorder="1" applyAlignment="1">
      <alignment textRotation="90"/>
    </xf>
    <xf numFmtId="0" fontId="7" fillId="17" borderId="0" xfId="1" applyFont="1" applyFill="1" applyBorder="1" applyAlignment="1">
      <alignment textRotation="90"/>
    </xf>
    <xf numFmtId="0" fontId="7" fillId="17" borderId="1" xfId="1" applyFont="1" applyFill="1" applyBorder="1" applyAlignment="1">
      <alignment textRotation="90"/>
    </xf>
    <xf numFmtId="0" fontId="7" fillId="17" borderId="30" xfId="1" applyFont="1" applyFill="1" applyBorder="1" applyAlignment="1">
      <alignment textRotation="90"/>
    </xf>
    <xf numFmtId="0" fontId="7" fillId="17" borderId="39" xfId="1" applyFont="1" applyFill="1" applyBorder="1" applyAlignment="1">
      <alignment textRotation="90"/>
    </xf>
    <xf numFmtId="0" fontId="22" fillId="0" borderId="0" xfId="3" applyFont="1"/>
    <xf numFmtId="0" fontId="2" fillId="0" borderId="0" xfId="3"/>
    <xf numFmtId="0" fontId="2" fillId="18" borderId="50" xfId="3" applyFill="1" applyBorder="1" applyAlignment="1">
      <alignment horizontal="center" vertical="center"/>
    </xf>
    <xf numFmtId="0" fontId="21" fillId="19" borderId="56" xfId="3" applyFont="1" applyFill="1" applyBorder="1" applyAlignment="1">
      <alignment horizontal="center" vertical="center" wrapText="1"/>
    </xf>
    <xf numFmtId="0" fontId="21" fillId="19" borderId="58" xfId="3" applyFont="1" applyFill="1" applyBorder="1" applyAlignment="1">
      <alignment horizontal="center" vertical="center" wrapText="1"/>
    </xf>
    <xf numFmtId="0" fontId="23" fillId="20" borderId="59" xfId="3" applyFont="1" applyFill="1" applyBorder="1" applyAlignment="1">
      <alignment horizontal="left" vertical="top" wrapText="1"/>
    </xf>
    <xf numFmtId="0" fontId="2" fillId="0" borderId="60" xfId="3" applyBorder="1"/>
    <xf numFmtId="0" fontId="2" fillId="0" borderId="61" xfId="3" applyBorder="1"/>
    <xf numFmtId="0" fontId="2" fillId="0" borderId="62" xfId="3" applyBorder="1"/>
    <xf numFmtId="0" fontId="2" fillId="0" borderId="63" xfId="3" applyBorder="1"/>
    <xf numFmtId="0" fontId="2" fillId="0" borderId="64" xfId="3" applyBorder="1"/>
    <xf numFmtId="0" fontId="2" fillId="0" borderId="65" xfId="3" applyBorder="1"/>
    <xf numFmtId="0" fontId="2" fillId="0" borderId="66" xfId="3" applyBorder="1"/>
    <xf numFmtId="0" fontId="2" fillId="0" borderId="67" xfId="3" applyBorder="1"/>
    <xf numFmtId="0" fontId="2" fillId="0" borderId="68" xfId="3" applyBorder="1"/>
    <xf numFmtId="0" fontId="2" fillId="0" borderId="0" xfId="3" applyAlignment="1">
      <alignment horizontal="center"/>
    </xf>
    <xf numFmtId="0" fontId="23" fillId="21" borderId="71" xfId="3" applyFont="1" applyFill="1" applyBorder="1" applyAlignment="1">
      <alignment horizontal="center" textRotation="90" wrapText="1"/>
    </xf>
    <xf numFmtId="0" fontId="23" fillId="21" borderId="72" xfId="3" applyFont="1" applyFill="1" applyBorder="1" applyAlignment="1">
      <alignment horizontal="center" textRotation="90" wrapText="1"/>
    </xf>
    <xf numFmtId="0" fontId="23" fillId="21" borderId="73" xfId="3" applyFont="1" applyFill="1" applyBorder="1" applyAlignment="1">
      <alignment horizontal="center" textRotation="90" wrapText="1"/>
    </xf>
    <xf numFmtId="0" fontId="2" fillId="5" borderId="69" xfId="3" applyFill="1" applyBorder="1"/>
    <xf numFmtId="0" fontId="23" fillId="22" borderId="74" xfId="3" applyFont="1" applyFill="1" applyBorder="1"/>
    <xf numFmtId="0" fontId="2" fillId="5" borderId="0" xfId="3" applyFill="1" applyBorder="1"/>
    <xf numFmtId="0" fontId="23" fillId="22" borderId="76" xfId="3" applyFont="1" applyFill="1" applyBorder="1"/>
    <xf numFmtId="0" fontId="23" fillId="22" borderId="77" xfId="3" applyFont="1" applyFill="1" applyBorder="1"/>
    <xf numFmtId="0" fontId="2" fillId="5" borderId="75" xfId="3" applyFill="1" applyBorder="1"/>
    <xf numFmtId="0" fontId="2" fillId="0" borderId="58" xfId="3" applyBorder="1"/>
    <xf numFmtId="0" fontId="2" fillId="0" borderId="79" xfId="3" applyBorder="1"/>
    <xf numFmtId="0" fontId="2" fillId="0" borderId="80" xfId="3" applyBorder="1"/>
    <xf numFmtId="0" fontId="2" fillId="0" borderId="81" xfId="3" applyBorder="1"/>
    <xf numFmtId="0" fontId="2" fillId="0" borderId="82" xfId="3" applyBorder="1"/>
    <xf numFmtId="0" fontId="2" fillId="0" borderId="83" xfId="3" applyBorder="1"/>
    <xf numFmtId="0" fontId="2" fillId="0" borderId="84" xfId="3" applyBorder="1"/>
    <xf numFmtId="0" fontId="23" fillId="21" borderId="58" xfId="3" applyFont="1" applyFill="1" applyBorder="1" applyAlignment="1">
      <alignment horizontal="center" textRotation="90" wrapText="1"/>
    </xf>
    <xf numFmtId="0" fontId="23" fillId="21" borderId="79" xfId="3" applyFont="1" applyFill="1" applyBorder="1" applyAlignment="1">
      <alignment horizontal="center" textRotation="90" wrapText="1"/>
    </xf>
    <xf numFmtId="0" fontId="23" fillId="21" borderId="80" xfId="3" applyFont="1" applyFill="1" applyBorder="1" applyAlignment="1">
      <alignment horizontal="center" textRotation="90" wrapText="1"/>
    </xf>
    <xf numFmtId="0" fontId="23" fillId="21" borderId="81" xfId="3" applyFont="1" applyFill="1" applyBorder="1" applyAlignment="1">
      <alignment horizontal="center" textRotation="90" wrapText="1"/>
    </xf>
    <xf numFmtId="0" fontId="23" fillId="21" borderId="56" xfId="3" applyFont="1" applyFill="1" applyBorder="1" applyAlignment="1">
      <alignment horizontal="center" textRotation="90" wrapText="1"/>
    </xf>
    <xf numFmtId="0" fontId="23" fillId="22" borderId="58" xfId="3" applyFont="1" applyFill="1" applyBorder="1"/>
    <xf numFmtId="0" fontId="23" fillId="22" borderId="57" xfId="3" applyFont="1" applyFill="1" applyBorder="1"/>
    <xf numFmtId="0" fontId="23" fillId="22" borderId="85" xfId="3" applyFont="1" applyFill="1" applyBorder="1"/>
    <xf numFmtId="0" fontId="23" fillId="22" borderId="86" xfId="3" applyFont="1" applyFill="1" applyBorder="1"/>
    <xf numFmtId="0" fontId="23" fillId="22" borderId="87" xfId="3" applyFont="1" applyFill="1" applyBorder="1"/>
    <xf numFmtId="0" fontId="2" fillId="5" borderId="55" xfId="3" applyFill="1" applyBorder="1"/>
    <xf numFmtId="0" fontId="21" fillId="19" borderId="58" xfId="3" applyFont="1" applyFill="1" applyBorder="1" applyAlignment="1">
      <alignment horizontal="center" vertical="center" textRotation="90" wrapText="1"/>
    </xf>
    <xf numFmtId="0" fontId="21" fillId="19" borderId="57" xfId="3" applyFont="1" applyFill="1" applyBorder="1" applyAlignment="1">
      <alignment horizontal="center" vertical="center" textRotation="90" wrapText="1"/>
    </xf>
    <xf numFmtId="0" fontId="25" fillId="10" borderId="10" xfId="3" applyFont="1" applyFill="1" applyBorder="1" applyAlignment="1">
      <alignment horizontal="center" vertical="center"/>
    </xf>
    <xf numFmtId="0" fontId="25" fillId="6" borderId="10" xfId="3" applyFont="1" applyFill="1" applyBorder="1" applyAlignment="1">
      <alignment horizontal="center" vertical="center"/>
    </xf>
    <xf numFmtId="0" fontId="26" fillId="7" borderId="10" xfId="3" applyFont="1" applyFill="1" applyBorder="1" applyAlignment="1">
      <alignment horizontal="center" vertical="center"/>
    </xf>
    <xf numFmtId="0" fontId="27" fillId="8" borderId="10" xfId="3" applyFont="1" applyFill="1" applyBorder="1" applyAlignment="1">
      <alignment horizontal="center" vertical="center"/>
    </xf>
    <xf numFmtId="0" fontId="27" fillId="9" borderId="10" xfId="3" applyFont="1" applyFill="1" applyBorder="1" applyAlignment="1">
      <alignment horizontal="center" vertical="center"/>
    </xf>
    <xf numFmtId="0" fontId="2" fillId="10" borderId="10" xfId="3" applyFill="1" applyBorder="1" applyAlignment="1">
      <alignment horizontal="center" vertical="center"/>
    </xf>
    <xf numFmtId="0" fontId="2" fillId="6" borderId="10" xfId="3" applyFill="1" applyBorder="1" applyAlignment="1">
      <alignment horizontal="center" vertical="center"/>
    </xf>
    <xf numFmtId="0" fontId="28" fillId="7" borderId="10" xfId="3" applyFont="1" applyFill="1" applyBorder="1" applyAlignment="1">
      <alignment horizontal="center" vertical="center"/>
    </xf>
    <xf numFmtId="0" fontId="29" fillId="8" borderId="10" xfId="3" applyFont="1" applyFill="1" applyBorder="1" applyAlignment="1">
      <alignment horizontal="center" vertical="center"/>
    </xf>
    <xf numFmtId="0" fontId="29" fillId="9" borderId="10" xfId="3" applyFont="1" applyFill="1" applyBorder="1" applyAlignment="1">
      <alignment horizontal="center" vertical="center"/>
    </xf>
    <xf numFmtId="0" fontId="25" fillId="0" borderId="0" xfId="3" applyFont="1"/>
    <xf numFmtId="0" fontId="30" fillId="4" borderId="10" xfId="3" applyFont="1" applyFill="1" applyBorder="1" applyAlignment="1">
      <alignment horizontal="center" vertical="center"/>
    </xf>
    <xf numFmtId="0" fontId="2" fillId="0" borderId="0" xfId="3" applyBorder="1"/>
    <xf numFmtId="0" fontId="2" fillId="16" borderId="10" xfId="3" applyFill="1" applyBorder="1"/>
    <xf numFmtId="0" fontId="23" fillId="0" borderId="0" xfId="3" applyFont="1"/>
    <xf numFmtId="0" fontId="7" fillId="0" borderId="0" xfId="1" applyFont="1" applyAlignment="1">
      <alignment horizontal="center" vertical="center" wrapText="1"/>
    </xf>
    <xf numFmtId="0" fontId="0" fillId="0" borderId="92"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Border="1"/>
    <xf numFmtId="0" fontId="0" fillId="0" borderId="68" xfId="0" applyBorder="1"/>
    <xf numFmtId="0" fontId="0" fillId="0" borderId="95" xfId="0" applyBorder="1"/>
    <xf numFmtId="0" fontId="0" fillId="0" borderId="96" xfId="0" applyBorder="1"/>
    <xf numFmtId="0" fontId="0" fillId="0" borderId="94" xfId="0" applyBorder="1"/>
    <xf numFmtId="0" fontId="0" fillId="0" borderId="79" xfId="0" applyBorder="1"/>
    <xf numFmtId="0" fontId="0" fillId="0" borderId="80" xfId="0" applyBorder="1"/>
    <xf numFmtId="0" fontId="0" fillId="0" borderId="81" xfId="0" applyBorder="1"/>
    <xf numFmtId="0" fontId="0" fillId="5" borderId="55" xfId="0" applyFill="1" applyBorder="1"/>
    <xf numFmtId="0" fontId="0" fillId="5" borderId="69" xfId="0" applyFill="1" applyBorder="1"/>
    <xf numFmtId="0" fontId="0" fillId="0" borderId="97" xfId="0" applyBorder="1"/>
    <xf numFmtId="0" fontId="14" fillId="0" borderId="74" xfId="0" applyFont="1" applyFill="1" applyBorder="1"/>
    <xf numFmtId="0" fontId="14" fillId="0" borderId="76" xfId="0" applyFont="1" applyFill="1" applyBorder="1"/>
    <xf numFmtId="0" fontId="14" fillId="0" borderId="77" xfId="0" applyFont="1" applyFill="1" applyBorder="1"/>
    <xf numFmtId="0" fontId="14" fillId="0" borderId="58" xfId="0" applyFont="1" applyFill="1" applyBorder="1"/>
    <xf numFmtId="0" fontId="31" fillId="28" borderId="79" xfId="0" quotePrefix="1" applyFont="1" applyFill="1" applyBorder="1" applyAlignment="1">
      <alignment horizontal="center" textRotation="90" wrapText="1"/>
    </xf>
    <xf numFmtId="0" fontId="31" fillId="25" borderId="80" xfId="0" quotePrefix="1" applyFont="1" applyFill="1" applyBorder="1" applyAlignment="1">
      <alignment horizontal="center" textRotation="90" wrapText="1"/>
    </xf>
    <xf numFmtId="0" fontId="31" fillId="24" borderId="80" xfId="0" quotePrefix="1" applyFont="1" applyFill="1" applyBorder="1" applyAlignment="1">
      <alignment horizontal="center" textRotation="90" wrapText="1"/>
    </xf>
    <xf numFmtId="0" fontId="31" fillId="26" borderId="80" xfId="0" quotePrefix="1" applyFont="1" applyFill="1" applyBorder="1" applyAlignment="1">
      <alignment horizontal="center" textRotation="90" wrapText="1"/>
    </xf>
    <xf numFmtId="0" fontId="32" fillId="27" borderId="81" xfId="0" quotePrefix="1" applyFont="1" applyFill="1" applyBorder="1" applyAlignment="1">
      <alignment horizontal="center" textRotation="90" wrapText="1"/>
    </xf>
    <xf numFmtId="0" fontId="31" fillId="28" borderId="71" xfId="0" quotePrefix="1" applyFont="1" applyFill="1" applyBorder="1" applyAlignment="1">
      <alignment horizontal="center" textRotation="90" wrapText="1"/>
    </xf>
    <xf numFmtId="0" fontId="31" fillId="25" borderId="72" xfId="0" quotePrefix="1" applyFont="1" applyFill="1" applyBorder="1" applyAlignment="1">
      <alignment horizontal="center" textRotation="90" wrapText="1"/>
    </xf>
    <xf numFmtId="0" fontId="31" fillId="24" borderId="72" xfId="0" quotePrefix="1" applyFont="1" applyFill="1" applyBorder="1" applyAlignment="1">
      <alignment horizontal="center" textRotation="90" wrapText="1"/>
    </xf>
    <xf numFmtId="0" fontId="31" fillId="26" borderId="72" xfId="0" quotePrefix="1" applyFont="1" applyFill="1" applyBorder="1" applyAlignment="1">
      <alignment horizontal="center" textRotation="90" wrapText="1"/>
    </xf>
    <xf numFmtId="0" fontId="32" fillId="27" borderId="93" xfId="0" quotePrefix="1" applyFont="1" applyFill="1" applyBorder="1" applyAlignment="1">
      <alignment horizontal="center" textRotation="90" wrapText="1"/>
    </xf>
    <xf numFmtId="0" fontId="32" fillId="27" borderId="73" xfId="0" quotePrefix="1" applyFont="1" applyFill="1" applyBorder="1" applyAlignment="1">
      <alignment horizontal="center" textRotation="90" wrapText="1"/>
    </xf>
    <xf numFmtId="0" fontId="7" fillId="0" borderId="101" xfId="1" applyFont="1" applyBorder="1" applyAlignment="1">
      <alignment horizontal="center" vertical="center" wrapText="1"/>
    </xf>
    <xf numFmtId="0" fontId="7" fillId="0" borderId="100" xfId="1" applyFont="1" applyBorder="1" applyAlignment="1">
      <alignment horizontal="center" vertical="center" wrapText="1"/>
    </xf>
    <xf numFmtId="49" fontId="33" fillId="0" borderId="0" xfId="4" applyNumberFormat="1" applyFill="1" applyAlignment="1">
      <alignment horizontal="center"/>
    </xf>
    <xf numFmtId="0" fontId="33" fillId="0" borderId="0" xfId="4"/>
    <xf numFmtId="0" fontId="34" fillId="0" borderId="0" xfId="4" applyFont="1" applyFill="1"/>
    <xf numFmtId="0" fontId="35" fillId="20" borderId="102" xfId="4" applyFont="1" applyFill="1" applyBorder="1" applyAlignment="1">
      <alignment vertical="center"/>
    </xf>
    <xf numFmtId="0" fontId="35" fillId="20" borderId="103" xfId="4" applyFont="1" applyFill="1" applyBorder="1" applyAlignment="1">
      <alignment vertical="center"/>
    </xf>
    <xf numFmtId="0" fontId="35" fillId="20" borderId="104" xfId="4" applyFont="1" applyFill="1" applyBorder="1" applyAlignment="1">
      <alignment vertical="center"/>
    </xf>
    <xf numFmtId="0" fontId="35" fillId="20" borderId="105" xfId="4" applyFont="1" applyFill="1" applyBorder="1" applyAlignment="1">
      <alignment vertical="center"/>
    </xf>
    <xf numFmtId="0" fontId="36" fillId="29" borderId="106" xfId="4" applyFont="1" applyFill="1" applyBorder="1" applyAlignment="1" applyProtection="1">
      <alignment horizontal="left" vertical="center"/>
      <protection locked="0"/>
    </xf>
    <xf numFmtId="0" fontId="36" fillId="29" borderId="107" xfId="4" applyFont="1" applyFill="1" applyBorder="1" applyAlignment="1" applyProtection="1">
      <alignment horizontal="left" vertical="center" shrinkToFit="1"/>
      <protection locked="0"/>
    </xf>
    <xf numFmtId="0" fontId="36" fillId="29" borderId="108" xfId="4" applyFont="1" applyFill="1" applyBorder="1" applyAlignment="1" applyProtection="1">
      <alignment horizontal="left" vertical="center"/>
      <protection locked="0"/>
    </xf>
    <xf numFmtId="164" fontId="36" fillId="29" borderId="107" xfId="4" applyNumberFormat="1" applyFont="1" applyFill="1" applyBorder="1" applyAlignment="1" applyProtection="1">
      <alignment horizontal="left" vertical="center"/>
      <protection locked="0"/>
    </xf>
    <xf numFmtId="0" fontId="37" fillId="29" borderId="108" xfId="4" applyFont="1" applyFill="1" applyBorder="1" applyAlignment="1" applyProtection="1">
      <alignment horizontal="left" vertical="center"/>
      <protection locked="0"/>
    </xf>
    <xf numFmtId="164" fontId="36" fillId="29" borderId="107" xfId="4" applyNumberFormat="1" applyFont="1" applyFill="1" applyBorder="1" applyAlignment="1" applyProtection="1">
      <alignment horizontal="left" vertical="center" shrinkToFit="1"/>
      <protection locked="0"/>
    </xf>
    <xf numFmtId="0" fontId="36" fillId="29" borderId="109" xfId="4" applyFont="1" applyFill="1" applyBorder="1" applyAlignment="1" applyProtection="1">
      <alignment horizontal="left" vertical="center"/>
      <protection locked="0"/>
    </xf>
    <xf numFmtId="0" fontId="33" fillId="30" borderId="0" xfId="4" applyFill="1"/>
    <xf numFmtId="0" fontId="33" fillId="0" borderId="0" xfId="4" applyFill="1"/>
    <xf numFmtId="0" fontId="2" fillId="31" borderId="0" xfId="3" applyFill="1"/>
    <xf numFmtId="0" fontId="21" fillId="23" borderId="110" xfId="3" applyFont="1" applyFill="1" applyBorder="1" applyAlignment="1">
      <alignment horizontal="center" vertical="center" wrapText="1"/>
    </xf>
    <xf numFmtId="0" fontId="21" fillId="22" borderId="85" xfId="3" applyFont="1" applyFill="1" applyBorder="1" applyAlignment="1">
      <alignment horizontal="center" vertical="center" wrapText="1"/>
    </xf>
    <xf numFmtId="0" fontId="40" fillId="32" borderId="79" xfId="0" applyFont="1" applyFill="1" applyBorder="1" applyAlignment="1">
      <alignment horizontal="center" textRotation="90" wrapText="1"/>
    </xf>
    <xf numFmtId="0" fontId="40" fillId="32" borderId="80" xfId="0" applyFont="1" applyFill="1" applyBorder="1" applyAlignment="1">
      <alignment horizontal="center" textRotation="90" wrapText="1"/>
    </xf>
    <xf numFmtId="0" fontId="40" fillId="32" borderId="81" xfId="0" applyFont="1" applyFill="1" applyBorder="1" applyAlignment="1">
      <alignment horizontal="center" textRotation="90" wrapText="1"/>
    </xf>
    <xf numFmtId="0" fontId="14" fillId="32" borderId="74" xfId="0" applyFont="1" applyFill="1" applyBorder="1"/>
    <xf numFmtId="0" fontId="14" fillId="32" borderId="76" xfId="0" applyFont="1" applyFill="1" applyBorder="1"/>
    <xf numFmtId="0" fontId="14" fillId="32" borderId="77" xfId="0" applyFont="1" applyFill="1" applyBorder="1"/>
    <xf numFmtId="0" fontId="40" fillId="32" borderId="94" xfId="0" applyFont="1" applyFill="1" applyBorder="1" applyAlignment="1">
      <alignment horizontal="center" textRotation="90" wrapText="1"/>
    </xf>
    <xf numFmtId="0" fontId="0" fillId="0" borderId="111" xfId="0" applyBorder="1"/>
    <xf numFmtId="0" fontId="0" fillId="0" borderId="112" xfId="0" applyBorder="1"/>
    <xf numFmtId="0" fontId="0" fillId="0" borderId="113" xfId="0" applyBorder="1"/>
    <xf numFmtId="0" fontId="14" fillId="32" borderId="58" xfId="0" applyFont="1" applyFill="1" applyBorder="1"/>
    <xf numFmtId="0" fontId="41" fillId="28" borderId="85" xfId="0" quotePrefix="1" applyFont="1" applyFill="1" applyBorder="1"/>
    <xf numFmtId="0" fontId="41" fillId="25" borderId="86" xfId="0" quotePrefix="1" applyFont="1" applyFill="1" applyBorder="1"/>
    <xf numFmtId="0" fontId="41" fillId="24" borderId="86" xfId="0" quotePrefix="1" applyFont="1" applyFill="1" applyBorder="1"/>
    <xf numFmtId="0" fontId="41" fillId="26" borderId="86" xfId="0" quotePrefix="1" applyFont="1" applyFill="1" applyBorder="1"/>
    <xf numFmtId="0" fontId="38" fillId="27" borderId="87" xfId="0" quotePrefix="1" applyFont="1" applyFill="1" applyBorder="1"/>
    <xf numFmtId="0" fontId="0" fillId="5" borderId="88" xfId="0" applyFill="1" applyBorder="1"/>
    <xf numFmtId="0" fontId="42" fillId="28" borderId="79" xfId="0" quotePrefix="1" applyFont="1" applyFill="1" applyBorder="1" applyAlignment="1">
      <alignment horizontal="center" textRotation="90" wrapText="1"/>
    </xf>
    <xf numFmtId="0" fontId="42" fillId="25" borderId="80" xfId="0" quotePrefix="1" applyFont="1" applyFill="1" applyBorder="1" applyAlignment="1">
      <alignment horizontal="center" textRotation="90" wrapText="1"/>
    </xf>
    <xf numFmtId="0" fontId="42" fillId="24" borderId="80" xfId="0" quotePrefix="1" applyFont="1" applyFill="1" applyBorder="1" applyAlignment="1">
      <alignment horizontal="center" textRotation="90" wrapText="1"/>
    </xf>
    <xf numFmtId="0" fontId="42" fillId="26" borderId="80" xfId="0" quotePrefix="1" applyFont="1" applyFill="1" applyBorder="1" applyAlignment="1">
      <alignment horizontal="center" textRotation="90" wrapText="1"/>
    </xf>
    <xf numFmtId="0" fontId="43" fillId="27" borderId="81" xfId="0" quotePrefix="1" applyFont="1" applyFill="1" applyBorder="1" applyAlignment="1">
      <alignment horizontal="center" textRotation="90" wrapText="1"/>
    </xf>
    <xf numFmtId="0" fontId="0" fillId="0" borderId="80"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0" borderId="95" xfId="0"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96"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67" xfId="0" applyBorder="1" applyAlignment="1">
      <alignment horizontal="center" vertical="center"/>
    </xf>
    <xf numFmtId="0" fontId="0" fillId="0" borderId="97" xfId="0" applyBorder="1" applyAlignment="1">
      <alignment horizontal="center" vertical="center"/>
    </xf>
    <xf numFmtId="0" fontId="0" fillId="0" borderId="68" xfId="0" applyBorder="1" applyAlignment="1">
      <alignment horizontal="center" vertical="center"/>
    </xf>
    <xf numFmtId="0" fontId="0" fillId="5" borderId="69" xfId="0" applyFill="1" applyBorder="1" applyAlignment="1">
      <alignment horizontal="center" vertical="center"/>
    </xf>
    <xf numFmtId="0" fontId="42" fillId="28" borderId="71" xfId="0" quotePrefix="1" applyFont="1" applyFill="1" applyBorder="1" applyAlignment="1">
      <alignment horizontal="center" textRotation="90" wrapText="1"/>
    </xf>
    <xf numFmtId="0" fontId="42" fillId="25" borderId="72" xfId="0" quotePrefix="1" applyFont="1" applyFill="1" applyBorder="1" applyAlignment="1">
      <alignment horizontal="center" textRotation="90" wrapText="1"/>
    </xf>
    <xf numFmtId="0" fontId="42" fillId="24" borderId="72" xfId="0" quotePrefix="1" applyFont="1" applyFill="1" applyBorder="1" applyAlignment="1">
      <alignment horizontal="center" textRotation="90" wrapText="1"/>
    </xf>
    <xf numFmtId="0" fontId="42" fillId="26" borderId="72" xfId="0" quotePrefix="1" applyFont="1" applyFill="1" applyBorder="1" applyAlignment="1">
      <alignment horizontal="center" textRotation="90" wrapText="1"/>
    </xf>
    <xf numFmtId="0" fontId="43" fillId="27" borderId="73" xfId="0" quotePrefix="1" applyFont="1" applyFill="1" applyBorder="1" applyAlignment="1">
      <alignment horizontal="center" textRotation="90" wrapText="1"/>
    </xf>
    <xf numFmtId="0" fontId="43" fillId="27" borderId="93" xfId="0" quotePrefix="1" applyFont="1" applyFill="1" applyBorder="1" applyAlignment="1">
      <alignment horizontal="center" textRotation="90" wrapText="1"/>
    </xf>
    <xf numFmtId="0" fontId="0" fillId="0" borderId="114" xfId="0" applyBorder="1"/>
    <xf numFmtId="0" fontId="0" fillId="0" borderId="115" xfId="0" applyBorder="1"/>
    <xf numFmtId="0" fontId="0" fillId="0" borderId="116" xfId="0" applyBorder="1"/>
    <xf numFmtId="0" fontId="0" fillId="0" borderId="60" xfId="0" applyBorder="1" applyAlignment="1">
      <alignment vertical="center"/>
    </xf>
    <xf numFmtId="0" fontId="0" fillId="0" borderId="61" xfId="0" applyBorder="1" applyAlignment="1">
      <alignment vertical="center"/>
    </xf>
    <xf numFmtId="0" fontId="0" fillId="0" borderId="95" xfId="0" applyBorder="1" applyAlignment="1">
      <alignment vertical="center"/>
    </xf>
    <xf numFmtId="0" fontId="0" fillId="0" borderId="62" xfId="0" applyBorder="1" applyAlignment="1">
      <alignment vertical="center"/>
    </xf>
    <xf numFmtId="0" fontId="0" fillId="0" borderId="63" xfId="0" applyBorder="1" applyAlignment="1">
      <alignment vertical="center"/>
    </xf>
    <xf numFmtId="0" fontId="0" fillId="0" borderId="64" xfId="0" applyBorder="1" applyAlignment="1">
      <alignment vertical="center"/>
    </xf>
    <xf numFmtId="0" fontId="0" fillId="0" borderId="96"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0" fillId="0" borderId="67" xfId="0" applyBorder="1" applyAlignment="1">
      <alignment vertical="center"/>
    </xf>
    <xf numFmtId="0" fontId="0" fillId="0" borderId="97" xfId="0" applyBorder="1" applyAlignment="1">
      <alignment vertical="center"/>
    </xf>
    <xf numFmtId="0" fontId="0" fillId="0" borderId="68" xfId="0" applyBorder="1" applyAlignment="1">
      <alignment vertical="center"/>
    </xf>
    <xf numFmtId="0" fontId="0" fillId="5" borderId="69" xfId="0" applyFill="1" applyBorder="1" applyAlignment="1">
      <alignment vertical="center"/>
    </xf>
    <xf numFmtId="0" fontId="39" fillId="3" borderId="58" xfId="3" applyFont="1" applyFill="1" applyBorder="1" applyAlignment="1">
      <alignment horizontal="center" vertical="center" wrapText="1"/>
    </xf>
    <xf numFmtId="0" fontId="39" fillId="3" borderId="57" xfId="3" applyFont="1" applyFill="1" applyBorder="1" applyAlignment="1">
      <alignment horizontal="center" vertical="center" wrapText="1"/>
    </xf>
    <xf numFmtId="0" fontId="39" fillId="3" borderId="55" xfId="3" applyFont="1" applyFill="1" applyBorder="1" applyAlignment="1">
      <alignment horizontal="center" vertical="center" wrapText="1"/>
    </xf>
    <xf numFmtId="0" fontId="39" fillId="3" borderId="56" xfId="3" applyFont="1" applyFill="1" applyBorder="1" applyAlignment="1">
      <alignment horizontal="center" vertical="center" wrapText="1"/>
    </xf>
    <xf numFmtId="0" fontId="2" fillId="29" borderId="117" xfId="3" applyFill="1" applyBorder="1" applyAlignment="1">
      <alignment horizontal="center" vertical="top" wrapText="1"/>
    </xf>
    <xf numFmtId="165" fontId="2" fillId="29" borderId="119" xfId="3" applyNumberFormat="1" applyFill="1" applyBorder="1" applyAlignment="1">
      <alignment horizontal="center" vertical="top" wrapText="1"/>
    </xf>
    <xf numFmtId="0" fontId="2" fillId="0" borderId="120" xfId="3" applyBorder="1" applyAlignment="1">
      <alignment vertical="top" wrapText="1"/>
    </xf>
    <xf numFmtId="0" fontId="2" fillId="0" borderId="120" xfId="3" applyBorder="1" applyAlignment="1">
      <alignment horizontal="center" vertical="top" wrapText="1"/>
    </xf>
    <xf numFmtId="165" fontId="2" fillId="29" borderId="121" xfId="3" applyNumberFormat="1" applyFill="1" applyBorder="1" applyAlignment="1">
      <alignment horizontal="center" vertical="top" wrapText="1"/>
    </xf>
    <xf numFmtId="0" fontId="2" fillId="0" borderId="122" xfId="3" applyBorder="1" applyAlignment="1">
      <alignment vertical="top" wrapText="1"/>
    </xf>
    <xf numFmtId="0" fontId="2" fillId="0" borderId="122" xfId="3" applyBorder="1" applyAlignment="1">
      <alignment horizontal="center" vertical="top" wrapText="1"/>
    </xf>
    <xf numFmtId="165" fontId="2" fillId="29" borderId="118" xfId="3" applyNumberFormat="1" applyFill="1" applyBorder="1" applyAlignment="1">
      <alignment horizontal="center" vertical="top" wrapText="1"/>
    </xf>
    <xf numFmtId="0" fontId="2" fillId="0" borderId="123" xfId="3" applyBorder="1" applyAlignment="1">
      <alignment vertical="top" wrapText="1"/>
    </xf>
    <xf numFmtId="0" fontId="2" fillId="0" borderId="123" xfId="3" applyBorder="1" applyAlignment="1">
      <alignment horizontal="center" vertical="top" wrapText="1"/>
    </xf>
    <xf numFmtId="0" fontId="36" fillId="29" borderId="107" xfId="4" quotePrefix="1" applyFont="1" applyFill="1" applyBorder="1" applyAlignment="1" applyProtection="1">
      <alignment horizontal="left" vertical="center" shrinkToFit="1"/>
      <protection locked="0"/>
    </xf>
    <xf numFmtId="0" fontId="0" fillId="33" borderId="0" xfId="0" applyFill="1" applyAlignment="1">
      <alignment horizontal="left" vertical="center"/>
    </xf>
    <xf numFmtId="0" fontId="0" fillId="33" borderId="40" xfId="0" applyFill="1" applyBorder="1" applyAlignment="1">
      <alignment horizontal="left" vertical="center"/>
    </xf>
    <xf numFmtId="0" fontId="0" fillId="0" borderId="0" xfId="0" applyNumberFormat="1" applyAlignment="1">
      <alignment horizontal="left" vertical="center"/>
    </xf>
    <xf numFmtId="0" fontId="14" fillId="29" borderId="118" xfId="0" applyFont="1" applyFill="1" applyBorder="1" applyAlignment="1">
      <alignment horizontal="center" vertical="top" wrapText="1"/>
    </xf>
    <xf numFmtId="49" fontId="0" fillId="34" borderId="125" xfId="0" applyNumberFormat="1" applyFill="1" applyBorder="1" applyAlignment="1">
      <alignment vertical="top" wrapText="1"/>
    </xf>
    <xf numFmtId="49" fontId="0" fillId="35" borderId="126" xfId="0" applyNumberFormat="1" applyFill="1" applyBorder="1" applyAlignment="1">
      <alignment vertical="top" wrapText="1"/>
    </xf>
    <xf numFmtId="49" fontId="0" fillId="34" borderId="126" xfId="0" applyNumberFormat="1" applyFill="1" applyBorder="1" applyAlignment="1">
      <alignment vertical="top" wrapText="1"/>
    </xf>
    <xf numFmtId="49" fontId="0" fillId="35" borderId="127" xfId="0" applyNumberFormat="1" applyFill="1" applyBorder="1" applyAlignment="1">
      <alignment vertical="top" wrapText="1"/>
    </xf>
    <xf numFmtId="49" fontId="0" fillId="29" borderId="128" xfId="0" applyNumberFormat="1" applyFill="1" applyBorder="1" applyAlignment="1">
      <alignment horizontal="center" vertical="top" wrapText="1"/>
    </xf>
    <xf numFmtId="49" fontId="0" fillId="29" borderId="12" xfId="0" applyNumberFormat="1" applyFill="1" applyBorder="1" applyAlignment="1">
      <alignment horizontal="center" vertical="top" wrapText="1"/>
    </xf>
    <xf numFmtId="49" fontId="0" fillId="29" borderId="124" xfId="0" applyNumberFormat="1" applyFill="1" applyBorder="1" applyAlignment="1">
      <alignment horizontal="center" vertical="top" wrapText="1"/>
    </xf>
    <xf numFmtId="49" fontId="0" fillId="34" borderId="129" xfId="0" applyNumberFormat="1" applyFill="1" applyBorder="1" applyAlignment="1">
      <alignment vertical="top" wrapText="1"/>
    </xf>
    <xf numFmtId="49" fontId="0" fillId="35" borderId="130" xfId="0" applyNumberFormat="1" applyFill="1" applyBorder="1" applyAlignment="1">
      <alignment vertical="top" wrapText="1"/>
    </xf>
    <xf numFmtId="49" fontId="0" fillId="34" borderId="130" xfId="0" applyNumberFormat="1" applyFill="1" applyBorder="1" applyAlignment="1">
      <alignment vertical="top" wrapText="1"/>
    </xf>
    <xf numFmtId="49" fontId="0" fillId="35" borderId="131" xfId="0" applyNumberFormat="1" applyFill="1" applyBorder="1" applyAlignment="1">
      <alignment vertical="top" wrapText="1"/>
    </xf>
    <xf numFmtId="49" fontId="0" fillId="34" borderId="132" xfId="0" applyNumberFormat="1" applyFill="1" applyBorder="1" applyAlignment="1">
      <alignment vertical="top" wrapText="1"/>
    </xf>
    <xf numFmtId="49" fontId="0" fillId="35" borderId="133" xfId="0" applyNumberFormat="1" applyFill="1" applyBorder="1" applyAlignment="1">
      <alignment vertical="top" wrapText="1"/>
    </xf>
    <xf numFmtId="49" fontId="0" fillId="34" borderId="133" xfId="0" applyNumberFormat="1" applyFill="1" applyBorder="1" applyAlignment="1">
      <alignment vertical="top" wrapText="1"/>
    </xf>
    <xf numFmtId="49" fontId="0" fillId="35" borderId="134" xfId="0" applyNumberFormat="1" applyFill="1" applyBorder="1" applyAlignment="1">
      <alignment vertical="top" wrapText="1"/>
    </xf>
    <xf numFmtId="0" fontId="0" fillId="0" borderId="0" xfId="0" quotePrefix="1" applyNumberFormat="1" applyAlignment="1">
      <alignment horizontal="left" vertical="center"/>
    </xf>
    <xf numFmtId="0" fontId="20" fillId="33" borderId="0" xfId="0" applyFont="1" applyFill="1" applyAlignment="1">
      <alignment horizontal="left" vertical="center"/>
    </xf>
    <xf numFmtId="0" fontId="20" fillId="0" borderId="0" xfId="0" applyNumberFormat="1" applyFont="1" applyAlignment="1">
      <alignment horizontal="left" vertical="center"/>
    </xf>
    <xf numFmtId="0" fontId="14" fillId="20" borderId="50" xfId="0" applyFont="1" applyFill="1" applyBorder="1" applyAlignment="1">
      <alignment horizontal="left" vertical="top" wrapText="1"/>
    </xf>
    <xf numFmtId="166" fontId="0" fillId="34" borderId="125" xfId="0" applyNumberFormat="1" applyFill="1" applyBorder="1" applyAlignment="1">
      <alignment vertical="top" wrapText="1"/>
    </xf>
    <xf numFmtId="166" fontId="0" fillId="35" borderId="126" xfId="0" applyNumberFormat="1" applyFill="1" applyBorder="1" applyAlignment="1">
      <alignment vertical="top" wrapText="1"/>
    </xf>
    <xf numFmtId="166" fontId="0" fillId="34" borderId="126" xfId="0" applyNumberFormat="1" applyFill="1" applyBorder="1" applyAlignment="1">
      <alignment vertical="top" wrapText="1"/>
    </xf>
    <xf numFmtId="166" fontId="0" fillId="35" borderId="127" xfId="0" applyNumberFormat="1" applyFill="1" applyBorder="1" applyAlignment="1">
      <alignment vertical="top" wrapText="1"/>
    </xf>
    <xf numFmtId="49" fontId="0" fillId="34" borderId="72" xfId="0" applyNumberFormat="1" applyFill="1" applyBorder="1" applyAlignment="1">
      <alignment vertical="top" wrapText="1"/>
    </xf>
    <xf numFmtId="49" fontId="0" fillId="35" borderId="72" xfId="0" applyNumberFormat="1" applyFill="1" applyBorder="1" applyAlignment="1">
      <alignment vertical="top" wrapText="1"/>
    </xf>
    <xf numFmtId="166" fontId="0" fillId="35" borderId="72" xfId="0" applyNumberFormat="1" applyFill="1" applyBorder="1" applyAlignment="1">
      <alignment vertical="top" wrapText="1"/>
    </xf>
    <xf numFmtId="49" fontId="0" fillId="35" borderId="136" xfId="0" applyNumberFormat="1" applyFill="1" applyBorder="1" applyAlignment="1">
      <alignment vertical="top" wrapText="1"/>
    </xf>
    <xf numFmtId="49" fontId="0" fillId="34" borderId="136" xfId="0" applyNumberFormat="1" applyFill="1" applyBorder="1" applyAlignment="1">
      <alignment vertical="top" wrapText="1"/>
    </xf>
    <xf numFmtId="166" fontId="0" fillId="34" borderId="136" xfId="0" applyNumberFormat="1" applyFill="1" applyBorder="1" applyAlignment="1">
      <alignment vertical="top" wrapText="1"/>
    </xf>
    <xf numFmtId="0" fontId="0" fillId="30" borderId="136" xfId="0" applyFill="1" applyBorder="1" applyAlignment="1">
      <alignment vertical="top" wrapText="1"/>
    </xf>
    <xf numFmtId="166" fontId="0" fillId="35" borderId="136" xfId="0" applyNumberFormat="1" applyFill="1" applyBorder="1" applyAlignment="1">
      <alignment vertical="top" wrapText="1"/>
    </xf>
    <xf numFmtId="49" fontId="0" fillId="35" borderId="137" xfId="0" applyNumberFormat="1" applyFill="1" applyBorder="1" applyAlignment="1">
      <alignment vertical="top" wrapText="1"/>
    </xf>
    <xf numFmtId="49" fontId="0" fillId="35" borderId="138" xfId="0" applyNumberFormat="1" applyFill="1" applyBorder="1" applyAlignment="1">
      <alignment vertical="top" wrapText="1"/>
    </xf>
    <xf numFmtId="49" fontId="0" fillId="34" borderId="71" xfId="0" applyNumberFormat="1" applyFill="1" applyBorder="1" applyAlignment="1">
      <alignment vertical="top" wrapText="1"/>
    </xf>
    <xf numFmtId="49" fontId="0" fillId="35" borderId="140" xfId="0" applyNumberFormat="1" applyFill="1" applyBorder="1" applyAlignment="1">
      <alignment vertical="top" wrapText="1"/>
    </xf>
    <xf numFmtId="49" fontId="0" fillId="34" borderId="140" xfId="0" applyNumberFormat="1" applyFill="1" applyBorder="1" applyAlignment="1">
      <alignment vertical="top" wrapText="1"/>
    </xf>
    <xf numFmtId="49" fontId="0" fillId="35" borderId="141" xfId="0" applyNumberFormat="1" applyFill="1" applyBorder="1" applyAlignment="1">
      <alignment vertical="top" wrapText="1"/>
    </xf>
    <xf numFmtId="49" fontId="0" fillId="35" borderId="142" xfId="0" applyNumberFormat="1" applyFill="1" applyBorder="1" applyAlignment="1">
      <alignment vertical="top" wrapText="1"/>
    </xf>
    <xf numFmtId="49" fontId="0" fillId="34" borderId="73" xfId="0" applyNumberFormat="1" applyFill="1" applyBorder="1" applyAlignment="1">
      <alignment vertical="top" wrapText="1"/>
    </xf>
    <xf numFmtId="49" fontId="0" fillId="35" borderId="143" xfId="0" applyNumberFormat="1" applyFill="1" applyBorder="1" applyAlignment="1">
      <alignment vertical="top" wrapText="1"/>
    </xf>
    <xf numFmtId="49" fontId="0" fillId="34" borderId="143" xfId="0" applyNumberFormat="1" applyFill="1" applyBorder="1" applyAlignment="1">
      <alignment vertical="top" wrapText="1"/>
    </xf>
    <xf numFmtId="49" fontId="0" fillId="35" borderId="144" xfId="0" applyNumberFormat="1" applyFill="1" applyBorder="1" applyAlignment="1">
      <alignment vertical="top" wrapText="1"/>
    </xf>
    <xf numFmtId="49" fontId="0" fillId="35" borderId="145" xfId="0" applyNumberFormat="1" applyFill="1" applyBorder="1" applyAlignment="1">
      <alignment vertical="top" wrapText="1"/>
    </xf>
    <xf numFmtId="49" fontId="0" fillId="35" borderId="71" xfId="0" applyNumberFormat="1" applyFill="1" applyBorder="1" applyAlignment="1">
      <alignment vertical="top" wrapText="1"/>
    </xf>
    <xf numFmtId="0" fontId="0" fillId="30" borderId="140" xfId="0" applyFill="1" applyBorder="1" applyAlignment="1">
      <alignment vertical="top" wrapText="1"/>
    </xf>
    <xf numFmtId="49" fontId="0" fillId="35" borderId="73" xfId="0" applyNumberFormat="1" applyFill="1" applyBorder="1" applyAlignment="1">
      <alignment vertical="top" wrapText="1"/>
    </xf>
    <xf numFmtId="0" fontId="0" fillId="30" borderId="143" xfId="0" applyFill="1" applyBorder="1" applyAlignment="1">
      <alignment vertical="top" wrapText="1"/>
    </xf>
    <xf numFmtId="0" fontId="1" fillId="0" borderId="122" xfId="3" applyFont="1" applyBorder="1" applyAlignment="1">
      <alignment vertical="top" wrapText="1"/>
    </xf>
    <xf numFmtId="49" fontId="37" fillId="29" borderId="108" xfId="4" applyNumberFormat="1" applyFont="1" applyFill="1" applyBorder="1" applyAlignment="1" applyProtection="1">
      <alignment horizontal="left" vertical="center" wrapText="1"/>
      <protection locked="0"/>
    </xf>
    <xf numFmtId="0" fontId="36" fillId="0" borderId="108" xfId="4" applyFont="1" applyBorder="1" applyAlignment="1">
      <alignment horizontal="left" vertical="center" wrapText="1"/>
    </xf>
    <xf numFmtId="0" fontId="36" fillId="0" borderId="107" xfId="4" applyFont="1" applyBorder="1" applyAlignment="1">
      <alignment horizontal="left" vertical="center" wrapText="1"/>
    </xf>
    <xf numFmtId="49" fontId="19" fillId="33" borderId="76" xfId="0" quotePrefix="1" applyNumberFormat="1" applyFont="1" applyFill="1" applyBorder="1" applyAlignment="1">
      <alignment horizontal="center" vertical="center" wrapText="1"/>
    </xf>
    <xf numFmtId="49" fontId="19" fillId="33" borderId="47" xfId="0" applyNumberFormat="1" applyFont="1" applyFill="1" applyBorder="1" applyAlignment="1">
      <alignment horizontal="center" vertical="center" wrapText="1"/>
    </xf>
    <xf numFmtId="49" fontId="19" fillId="33" borderId="135" xfId="0" applyNumberFormat="1" applyFont="1" applyFill="1" applyBorder="1" applyAlignment="1">
      <alignment horizontal="center" vertical="center" wrapText="1"/>
    </xf>
    <xf numFmtId="0" fontId="5" fillId="3" borderId="2" xfId="1" applyFont="1" applyFill="1" applyBorder="1" applyAlignment="1">
      <alignment horizontal="center" wrapText="1"/>
    </xf>
    <xf numFmtId="0" fontId="5" fillId="3" borderId="3" xfId="1" applyFont="1" applyFill="1" applyBorder="1" applyAlignment="1">
      <alignment horizontal="center" wrapText="1"/>
    </xf>
    <xf numFmtId="0" fontId="5" fillId="3" borderId="4" xfId="1" applyFont="1" applyFill="1" applyBorder="1" applyAlignment="1">
      <alignment horizontal="center" wrapText="1"/>
    </xf>
    <xf numFmtId="0" fontId="5" fillId="3" borderId="5" xfId="1" applyFont="1" applyFill="1" applyBorder="1" applyAlignment="1">
      <alignment horizontal="center" wrapText="1"/>
    </xf>
    <xf numFmtId="0" fontId="5" fillId="3" borderId="6" xfId="1" applyFont="1" applyFill="1" applyBorder="1" applyAlignment="1">
      <alignment horizontal="center" wrapText="1"/>
    </xf>
    <xf numFmtId="0" fontId="5" fillId="3" borderId="7" xfId="1" applyFont="1" applyFill="1" applyBorder="1" applyAlignment="1">
      <alignment horizontal="center" wrapText="1"/>
    </xf>
    <xf numFmtId="0" fontId="4" fillId="2" borderId="0" xfId="1" applyFont="1" applyFill="1" applyAlignment="1">
      <alignment horizontal="left" vertical="center" wrapText="1"/>
    </xf>
    <xf numFmtId="0" fontId="4" fillId="2" borderId="0" xfId="1" applyFont="1" applyFill="1" applyBorder="1" applyAlignment="1">
      <alignment horizontal="left" vertical="center" wrapText="1"/>
    </xf>
    <xf numFmtId="0" fontId="5" fillId="3" borderId="34" xfId="1" applyFont="1" applyFill="1" applyBorder="1" applyAlignment="1">
      <alignment horizontal="center" vertical="center" textRotation="90" wrapText="1"/>
    </xf>
    <xf numFmtId="0" fontId="5" fillId="3" borderId="36" xfId="1" applyFont="1" applyFill="1" applyBorder="1" applyAlignment="1">
      <alignment horizontal="center" vertical="center" textRotation="90" wrapText="1"/>
    </xf>
    <xf numFmtId="0" fontId="5" fillId="3" borderId="37" xfId="1" applyFont="1" applyFill="1" applyBorder="1" applyAlignment="1">
      <alignment horizontal="center" vertical="center" textRotation="90" wrapText="1"/>
    </xf>
    <xf numFmtId="0" fontId="5" fillId="3" borderId="98" xfId="1" applyFont="1" applyFill="1" applyBorder="1" applyAlignment="1">
      <alignment horizontal="center" vertical="center" textRotation="90" wrapText="1"/>
    </xf>
    <xf numFmtId="0" fontId="5" fillId="3" borderId="99" xfId="1" applyFont="1" applyFill="1" applyBorder="1" applyAlignment="1">
      <alignment horizontal="center" vertical="center" textRotation="90" wrapText="1"/>
    </xf>
    <xf numFmtId="0" fontId="39" fillId="3" borderId="55" xfId="0" applyFont="1" applyFill="1" applyBorder="1" applyAlignment="1">
      <alignment horizontal="center" vertical="center" wrapText="1"/>
    </xf>
    <xf numFmtId="0" fontId="39" fillId="3" borderId="69" xfId="0" applyFont="1" applyFill="1" applyBorder="1" applyAlignment="1">
      <alignment horizontal="center" vertical="center" wrapText="1"/>
    </xf>
    <xf numFmtId="0" fontId="39" fillId="3" borderId="89" xfId="0" applyFont="1" applyFill="1" applyBorder="1" applyAlignment="1">
      <alignment horizontal="center" vertical="center" wrapText="1"/>
    </xf>
    <xf numFmtId="0" fontId="39" fillId="3" borderId="55" xfId="0" applyFont="1" applyFill="1" applyBorder="1" applyAlignment="1">
      <alignment horizontal="center" vertical="center" textRotation="90" wrapText="1"/>
    </xf>
    <xf numFmtId="0" fontId="39" fillId="3" borderId="75" xfId="0" applyFont="1" applyFill="1" applyBorder="1" applyAlignment="1">
      <alignment horizontal="center" vertical="center" textRotation="90" wrapText="1"/>
    </xf>
    <xf numFmtId="0" fontId="39" fillId="3" borderId="90" xfId="0" applyFont="1" applyFill="1" applyBorder="1" applyAlignment="1">
      <alignment horizontal="center" vertical="center" textRotation="90" wrapText="1"/>
    </xf>
    <xf numFmtId="0" fontId="39" fillId="3" borderId="78" xfId="0" applyFont="1" applyFill="1" applyBorder="1" applyAlignment="1">
      <alignment horizontal="center" vertical="center" textRotation="90" wrapText="1"/>
    </xf>
    <xf numFmtId="0" fontId="21" fillId="19" borderId="55" xfId="3" applyFont="1" applyFill="1" applyBorder="1" applyAlignment="1">
      <alignment horizontal="center" vertical="center" textRotation="90" wrapText="1"/>
    </xf>
    <xf numFmtId="0" fontId="21" fillId="19" borderId="78" xfId="3" applyFont="1" applyFill="1" applyBorder="1" applyAlignment="1">
      <alignment horizontal="center" vertical="center" textRotation="90" wrapText="1"/>
    </xf>
    <xf numFmtId="0" fontId="21" fillId="19" borderId="75" xfId="3" applyFont="1" applyFill="1" applyBorder="1" applyAlignment="1">
      <alignment horizontal="center" vertical="center" textRotation="90" wrapText="1"/>
    </xf>
    <xf numFmtId="0" fontId="21" fillId="19" borderId="56" xfId="3" applyFont="1" applyFill="1" applyBorder="1" applyAlignment="1">
      <alignment horizontal="center" vertical="center" textRotation="90" wrapText="1"/>
    </xf>
    <xf numFmtId="0" fontId="21" fillId="19" borderId="55" xfId="3" applyFont="1" applyFill="1" applyBorder="1" applyAlignment="1">
      <alignment horizontal="center" vertical="center" wrapText="1"/>
    </xf>
    <xf numFmtId="0" fontId="21" fillId="19" borderId="69" xfId="3" applyFont="1" applyFill="1" applyBorder="1" applyAlignment="1">
      <alignment horizontal="center" vertical="center" wrapText="1"/>
    </xf>
    <xf numFmtId="0" fontId="21" fillId="19" borderId="70" xfId="3" applyFont="1" applyFill="1" applyBorder="1" applyAlignment="1">
      <alignment horizontal="center" vertical="center" wrapText="1"/>
    </xf>
    <xf numFmtId="0" fontId="21" fillId="19" borderId="57" xfId="3" applyFont="1" applyFill="1" applyBorder="1" applyAlignment="1">
      <alignment horizontal="center" vertical="center" wrapText="1"/>
    </xf>
    <xf numFmtId="0" fontId="21" fillId="19" borderId="89" xfId="3" applyFont="1" applyFill="1" applyBorder="1" applyAlignment="1">
      <alignment horizontal="center" vertical="center" wrapText="1"/>
    </xf>
    <xf numFmtId="0" fontId="21" fillId="19" borderId="91" xfId="3" applyFont="1" applyFill="1" applyBorder="1" applyAlignment="1">
      <alignment horizontal="center" vertical="center" textRotation="90" wrapText="1"/>
    </xf>
    <xf numFmtId="0" fontId="21" fillId="19" borderId="88" xfId="3" applyFont="1" applyFill="1" applyBorder="1" applyAlignment="1">
      <alignment horizontal="center" vertical="center" wrapText="1"/>
    </xf>
    <xf numFmtId="0" fontId="21" fillId="19" borderId="90" xfId="3" applyFont="1" applyFill="1" applyBorder="1" applyAlignment="1">
      <alignment horizontal="center" vertical="center" textRotation="90" wrapText="1"/>
    </xf>
    <xf numFmtId="0" fontId="24" fillId="19" borderId="55" xfId="3" applyFont="1" applyFill="1" applyBorder="1" applyAlignment="1">
      <alignment horizontal="center" vertical="center" wrapText="1"/>
    </xf>
    <xf numFmtId="0" fontId="24" fillId="19" borderId="69" xfId="3" applyFont="1" applyFill="1" applyBorder="1" applyAlignment="1">
      <alignment horizontal="center" vertical="center" wrapText="1"/>
    </xf>
    <xf numFmtId="0" fontId="24" fillId="19" borderId="70" xfId="3" applyFont="1" applyFill="1" applyBorder="1" applyAlignment="1">
      <alignment horizontal="center" vertical="center" wrapText="1"/>
    </xf>
    <xf numFmtId="0" fontId="24" fillId="19" borderId="55" xfId="3" applyFont="1" applyFill="1" applyBorder="1" applyAlignment="1">
      <alignment horizontal="center" vertical="center" textRotation="90" wrapText="1"/>
    </xf>
    <xf numFmtId="0" fontId="24" fillId="19" borderId="75" xfId="3" applyFont="1" applyFill="1" applyBorder="1" applyAlignment="1">
      <alignment horizontal="center" vertical="center" textRotation="90" wrapText="1"/>
    </xf>
    <xf numFmtId="0" fontId="24" fillId="19" borderId="78" xfId="3" applyFont="1" applyFill="1" applyBorder="1" applyAlignment="1">
      <alignment horizontal="center" vertical="center" textRotation="90" wrapText="1"/>
    </xf>
    <xf numFmtId="49" fontId="0" fillId="34" borderId="139" xfId="0" applyNumberFormat="1" applyFill="1" applyBorder="1" applyAlignment="1">
      <alignment vertical="top" wrapText="1"/>
    </xf>
    <xf numFmtId="166" fontId="0" fillId="34" borderId="139" xfId="0" applyNumberFormat="1" applyFill="1" applyBorder="1" applyAlignment="1">
      <alignment vertical="top" wrapText="1"/>
    </xf>
    <xf numFmtId="49" fontId="0" fillId="35" borderId="149" xfId="0" applyNumberFormat="1" applyFill="1" applyBorder="1" applyAlignment="1">
      <alignment vertical="top" wrapText="1"/>
    </xf>
    <xf numFmtId="166" fontId="0" fillId="35" borderId="149" xfId="0" applyNumberFormat="1" applyFill="1" applyBorder="1" applyAlignment="1">
      <alignment vertical="top" wrapText="1"/>
    </xf>
    <xf numFmtId="49" fontId="0" fillId="29" borderId="148" xfId="0" applyNumberFormat="1" applyFill="1" applyBorder="1" applyAlignment="1">
      <alignment horizontal="center" vertical="top" wrapText="1"/>
    </xf>
    <xf numFmtId="49" fontId="0" fillId="35" borderId="150" xfId="0" applyNumberFormat="1" applyFill="1" applyBorder="1" applyAlignment="1">
      <alignment vertical="top" wrapText="1"/>
    </xf>
    <xf numFmtId="49" fontId="0" fillId="35" borderId="151" xfId="0" applyNumberFormat="1" applyFill="1" applyBorder="1" applyAlignment="1">
      <alignment vertical="top" wrapText="1"/>
    </xf>
    <xf numFmtId="49" fontId="0" fillId="34" borderId="146" xfId="0" applyNumberFormat="1" applyFill="1" applyBorder="1" applyAlignment="1">
      <alignment vertical="top" wrapText="1"/>
    </xf>
    <xf numFmtId="49" fontId="0" fillId="34" borderId="147" xfId="0" applyNumberFormat="1" applyFill="1" applyBorder="1" applyAlignment="1">
      <alignment vertical="top" wrapText="1"/>
    </xf>
  </cellXfs>
  <cellStyles count="5">
    <cellStyle name="Normal" xfId="0" builtinId="0"/>
    <cellStyle name="Normal 2" xfId="3"/>
    <cellStyle name="Normal 3" xfId="4"/>
    <cellStyle name="Standaard 2" xfId="1"/>
    <cellStyle name="Standaard 3" xfId="2"/>
  </cellStyles>
  <dxfs count="6793">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ont>
        <color auto="1"/>
      </font>
    </dxf>
    <dxf>
      <font>
        <color theme="5" tint="-0.24994659260841701"/>
      </font>
      <fill>
        <patternFill>
          <fgColor indexed="64"/>
          <bgColor theme="5" tint="0.79995117038483843"/>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ont>
        <color auto="1"/>
      </font>
    </dxf>
    <dxf>
      <font>
        <color theme="5" tint="-0.24994659260841701"/>
      </font>
      <fill>
        <patternFill>
          <fgColor indexed="64"/>
          <bgColor theme="5" tint="0.79995117038483843"/>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ont>
        <color auto="1"/>
      </font>
    </dxf>
    <dxf>
      <font>
        <color theme="5" tint="-0.24994659260841701"/>
      </font>
      <fill>
        <patternFill>
          <fgColor indexed="64"/>
          <bgColor theme="5" tint="0.79995117038483843"/>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ont>
        <color auto="1"/>
      </font>
    </dxf>
    <dxf>
      <font>
        <color theme="5" tint="-0.24994659260841701"/>
      </font>
      <fill>
        <patternFill>
          <fgColor indexed="64"/>
          <bgColor theme="5" tint="0.79995117038483843"/>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ont>
        <color auto="1"/>
      </font>
    </dxf>
    <dxf>
      <font>
        <color theme="5" tint="-0.24994659260841701"/>
      </font>
      <fill>
        <patternFill>
          <fgColor indexed="64"/>
          <bgColor theme="5" tint="0.79995117038483843"/>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ill>
        <patternFill>
          <fgColor indexed="64"/>
          <bgColor rgb="FF646464"/>
        </patternFill>
      </fill>
    </dxf>
    <dxf>
      <font>
        <color auto="1"/>
      </font>
    </dxf>
    <dxf>
      <font>
        <color theme="5" tint="-0.24994659260841701"/>
      </font>
      <fill>
        <patternFill>
          <fgColor indexed="64"/>
          <bgColor theme="5" tint="0.79995117038483843"/>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fgColor indexed="64"/>
          <bgColor rgb="FFFFFF66"/>
        </patternFill>
      </fill>
    </dxf>
    <dxf>
      <font>
        <color rgb="FF000000"/>
      </font>
      <fill>
        <patternFill>
          <fgColor indexed="64"/>
          <bgColor rgb="FFA6A6A6"/>
        </patternFill>
      </fill>
    </dxf>
    <dxf>
      <font>
        <color rgb="FF000000"/>
      </font>
      <fill>
        <patternFill>
          <fgColor indexed="64"/>
          <bgColor rgb="FFC5D9F1"/>
        </patternFill>
      </fill>
    </dxf>
    <dxf>
      <font>
        <color rgb="FF000000"/>
      </font>
      <fill>
        <patternFill>
          <fgColor indexed="64"/>
          <bgColor rgb="FF8DB4E2"/>
        </patternFill>
      </fill>
    </dxf>
    <dxf>
      <font>
        <color rgb="FF000000"/>
      </font>
      <fill>
        <patternFill>
          <fgColor indexed="64"/>
          <bgColor rgb="FF538DD5"/>
        </patternFill>
      </fill>
    </dxf>
    <dxf>
      <font>
        <color rgb="FFFFFFFF"/>
      </font>
      <fill>
        <patternFill>
          <fgColor indexed="64"/>
          <bgColor rgb="FF16365C"/>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ont>
        <color rgb="FF9C0006"/>
      </font>
      <fill>
        <patternFill>
          <bgColor rgb="FFFFC7CE"/>
        </patternFill>
      </fill>
    </dxf>
    <dxf>
      <font>
        <color rgb="FF9C0006"/>
      </font>
      <fill>
        <patternFill>
          <bgColor rgb="FFFFC7CE"/>
        </patternFill>
      </fill>
    </dxf>
    <dxf>
      <font>
        <color auto="1"/>
      </font>
      <fill>
        <patternFill>
          <bgColor theme="4" tint="0.79998168889431442"/>
        </patternFill>
      </fill>
    </dxf>
    <dxf>
      <font>
        <color rgb="FF9C0006"/>
      </font>
      <fill>
        <patternFill>
          <bgColor rgb="FFFFC7CE"/>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
      <font>
        <color theme="5" tint="-0.24994659260841701"/>
      </font>
      <fill>
        <patternFill>
          <bgColor theme="5" tint="0.79998168889431442"/>
        </patternFill>
      </fill>
    </dxf>
    <dxf>
      <fill>
        <patternFill>
          <bgColor theme="0" tint="-0.34998626667073579"/>
        </patternFill>
      </fill>
    </dxf>
    <dxf>
      <fill>
        <patternFill>
          <bgColor theme="3" tint="0.79998168889431442"/>
        </patternFill>
      </fill>
    </dxf>
    <dxf>
      <fill>
        <patternFill>
          <bgColor theme="3" tint="0.59996337778862885"/>
        </patternFill>
      </fill>
    </dxf>
    <dxf>
      <fill>
        <patternFill>
          <bgColor theme="3" tint="0.39994506668294322"/>
        </patternFill>
      </fill>
    </dxf>
    <dxf>
      <font>
        <color theme="0"/>
      </font>
      <fill>
        <patternFill>
          <bgColor theme="3" tint="-0.24994659260841701"/>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xs4all.nl/~richha/ER5"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26.emf"/><Relationship Id="rId18" Type="http://schemas.openxmlformats.org/officeDocument/2006/relationships/image" Target="../media/image31.emf"/><Relationship Id="rId3" Type="http://schemas.openxmlformats.org/officeDocument/2006/relationships/image" Target="../media/image16.emf"/><Relationship Id="rId21" Type="http://schemas.openxmlformats.org/officeDocument/2006/relationships/image" Target="../media/image34.emf"/><Relationship Id="rId7" Type="http://schemas.openxmlformats.org/officeDocument/2006/relationships/image" Target="../media/image20.emf"/><Relationship Id="rId12" Type="http://schemas.openxmlformats.org/officeDocument/2006/relationships/image" Target="../media/image25.emf"/><Relationship Id="rId17" Type="http://schemas.openxmlformats.org/officeDocument/2006/relationships/image" Target="../media/image30.emf"/><Relationship Id="rId2" Type="http://schemas.openxmlformats.org/officeDocument/2006/relationships/image" Target="../media/image15.emf"/><Relationship Id="rId16" Type="http://schemas.openxmlformats.org/officeDocument/2006/relationships/image" Target="../media/image29.emf"/><Relationship Id="rId20" Type="http://schemas.openxmlformats.org/officeDocument/2006/relationships/image" Target="../media/image33.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5" Type="http://schemas.openxmlformats.org/officeDocument/2006/relationships/image" Target="../media/image28.emf"/><Relationship Id="rId23" Type="http://schemas.openxmlformats.org/officeDocument/2006/relationships/image" Target="../media/image36.emf"/><Relationship Id="rId10" Type="http://schemas.openxmlformats.org/officeDocument/2006/relationships/image" Target="../media/image23.emf"/><Relationship Id="rId19" Type="http://schemas.openxmlformats.org/officeDocument/2006/relationships/image" Target="../media/image32.emf"/><Relationship Id="rId4" Type="http://schemas.openxmlformats.org/officeDocument/2006/relationships/image" Target="../media/image17.emf"/><Relationship Id="rId9" Type="http://schemas.openxmlformats.org/officeDocument/2006/relationships/image" Target="../media/image22.emf"/><Relationship Id="rId14" Type="http://schemas.openxmlformats.org/officeDocument/2006/relationships/image" Target="../media/image27.emf"/><Relationship Id="rId22" Type="http://schemas.openxmlformats.org/officeDocument/2006/relationships/image" Target="../media/image3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16</xdr:col>
      <xdr:colOff>619125</xdr:colOff>
      <xdr:row>0</xdr:row>
      <xdr:rowOff>228600</xdr:rowOff>
    </xdr:from>
    <xdr:to>
      <xdr:col>17</xdr:col>
      <xdr:colOff>9525</xdr:colOff>
      <xdr:row>2</xdr:row>
      <xdr:rowOff>85725</xdr:rowOff>
    </xdr:to>
    <xdr:pic>
      <xdr:nvPicPr>
        <xdr:cNvPr id="2" name="Picture 195" descr="ER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01475" y="228600"/>
          <a:ext cx="51435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51367" y="915045"/>
          <a:ext cx="1080000" cy="392912"/>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7470" y="448235"/>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xdr:twoCellAnchor editAs="oneCell">
    <xdr:from>
      <xdr:col>0</xdr:col>
      <xdr:colOff>762000</xdr:colOff>
      <xdr:row>93</xdr:row>
      <xdr:rowOff>44827</xdr:rowOff>
    </xdr:from>
    <xdr:to>
      <xdr:col>55</xdr:col>
      <xdr:colOff>64529</xdr:colOff>
      <xdr:row>122</xdr:row>
      <xdr:rowOff>67239</xdr:rowOff>
    </xdr:to>
    <xdr:pic>
      <xdr:nvPicPr>
        <xdr:cNvPr id="7" name="Afbeelding 6"/>
        <xdr:cNvPicPr>
          <a:picLocks noChangeAspect="1"/>
        </xdr:cNvPicPr>
      </xdr:nvPicPr>
      <xdr:blipFill>
        <a:blip xmlns:r="http://schemas.openxmlformats.org/officeDocument/2006/relationships" r:embed="rId1"/>
        <a:stretch>
          <a:fillRect/>
        </a:stretch>
      </xdr:blipFill>
      <xdr:spPr>
        <a:xfrm>
          <a:off x="762000" y="17626856"/>
          <a:ext cx="14710617" cy="4572002"/>
        </a:xfrm>
        <a:prstGeom prst="rect">
          <a:avLst/>
        </a:prstGeom>
      </xdr:spPr>
    </xdr:pic>
    <xdr:clientData/>
  </xdr:twoCellAnchor>
  <xdr:twoCellAnchor>
    <xdr:from>
      <xdr:col>1</xdr:col>
      <xdr:colOff>21705</xdr:colOff>
      <xdr:row>84</xdr:row>
      <xdr:rowOff>1</xdr:rowOff>
    </xdr:from>
    <xdr:to>
      <xdr:col>2</xdr:col>
      <xdr:colOff>-1</xdr:colOff>
      <xdr:row>84</xdr:row>
      <xdr:rowOff>1080001</xdr:rowOff>
    </xdr:to>
    <xdr:sp macro="" textlink="">
      <xdr:nvSpPr>
        <xdr:cNvPr id="22" name="Gelijkbenige driehoek 21"/>
        <xdr:cNvSpPr/>
      </xdr:nvSpPr>
      <xdr:spPr>
        <a:xfrm rot="5400000">
          <a:off x="451367" y="915045"/>
          <a:ext cx="1080000" cy="392912"/>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84</xdr:row>
      <xdr:rowOff>100853</xdr:rowOff>
    </xdr:from>
    <xdr:to>
      <xdr:col>2</xdr:col>
      <xdr:colOff>1725705</xdr:colOff>
      <xdr:row>84</xdr:row>
      <xdr:rowOff>986118</xdr:rowOff>
    </xdr:to>
    <xdr:sp macro="" textlink="">
      <xdr:nvSpPr>
        <xdr:cNvPr id="23" name="Rechthoek 22"/>
        <xdr:cNvSpPr/>
      </xdr:nvSpPr>
      <xdr:spPr>
        <a:xfrm>
          <a:off x="1277470"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A, B, C of E in voor </a:t>
          </a:r>
          <a:r>
            <a:rPr lang="nl-NL" sz="1000">
              <a:solidFill>
                <a:schemeClr val="tx2"/>
              </a:solidFill>
            </a:rPr>
            <a:t>aanwezige talenkennis</a:t>
          </a:r>
        </a:p>
      </xdr:txBody>
    </xdr:sp>
    <xdr:clientData/>
  </xdr:twoCellAnchor>
  <xdr:twoCellAnchor>
    <xdr:from>
      <xdr:col>0</xdr:col>
      <xdr:colOff>134467</xdr:colOff>
      <xdr:row>85</xdr:row>
      <xdr:rowOff>67239</xdr:rowOff>
    </xdr:from>
    <xdr:to>
      <xdr:col>0</xdr:col>
      <xdr:colOff>739587</xdr:colOff>
      <xdr:row>92</xdr:row>
      <xdr:rowOff>100858</xdr:rowOff>
    </xdr:to>
    <xdr:sp macro="" textlink="">
      <xdr:nvSpPr>
        <xdr:cNvPr id="24" name="Gebogen PIJL-OMHOOG 23"/>
        <xdr:cNvSpPr/>
      </xdr:nvSpPr>
      <xdr:spPr>
        <a:xfrm rot="5400000">
          <a:off x="-162489" y="16623930"/>
          <a:ext cx="1199031" cy="605120"/>
        </a:xfrm>
        <a:prstGeom prst="bentUpArrow">
          <a:avLst>
            <a:gd name="adj1" fmla="val 17593"/>
            <a:gd name="adj2" fmla="val 25000"/>
            <a:gd name="adj3" fmla="val 23473"/>
          </a:avLst>
        </a:prstGeom>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mc:AlternateContent xmlns:mc="http://schemas.openxmlformats.org/markup-compatibility/2006">
    <mc:Choice xmlns:a14="http://schemas.microsoft.com/office/drawing/2010/main" Requires="a14">
      <xdr:twoCellAnchor editAs="oneCell">
        <xdr:from>
          <xdr:col>2</xdr:col>
          <xdr:colOff>828675</xdr:colOff>
          <xdr:row>0</xdr:row>
          <xdr:rowOff>114300</xdr:rowOff>
        </xdr:from>
        <xdr:to>
          <xdr:col>2</xdr:col>
          <xdr:colOff>1828800</xdr:colOff>
          <xdr:row>0</xdr:row>
          <xdr:rowOff>476250</xdr:rowOff>
        </xdr:to>
        <xdr:sp macro="" textlink="">
          <xdr:nvSpPr>
            <xdr:cNvPr id="1032" name="butEdi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47165" y="917566"/>
          <a:ext cx="1080000" cy="387869"/>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0746"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xdr:row>
          <xdr:rowOff>1143000</xdr:rowOff>
        </xdr:from>
        <xdr:to>
          <xdr:col>2</xdr:col>
          <xdr:colOff>1714500</xdr:colOff>
          <xdr:row>1</xdr:row>
          <xdr:rowOff>1600200</xdr:rowOff>
        </xdr:to>
        <xdr:sp macro="" textlink="">
          <xdr:nvSpPr>
            <xdr:cNvPr id="45057" name="butEdit"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47165" y="917566"/>
          <a:ext cx="1080000" cy="387869"/>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0746"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xdr:row>
          <xdr:rowOff>1143000</xdr:rowOff>
        </xdr:from>
        <xdr:to>
          <xdr:col>2</xdr:col>
          <xdr:colOff>1714500</xdr:colOff>
          <xdr:row>1</xdr:row>
          <xdr:rowOff>1600200</xdr:rowOff>
        </xdr:to>
        <xdr:sp macro="" textlink="">
          <xdr:nvSpPr>
            <xdr:cNvPr id="41985" name="butEdit"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47165" y="917566"/>
          <a:ext cx="1080000" cy="387869"/>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0746"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xdr:row>
          <xdr:rowOff>1143000</xdr:rowOff>
        </xdr:from>
        <xdr:to>
          <xdr:col>2</xdr:col>
          <xdr:colOff>1714500</xdr:colOff>
          <xdr:row>1</xdr:row>
          <xdr:rowOff>1600200</xdr:rowOff>
        </xdr:to>
        <xdr:sp macro="" textlink="">
          <xdr:nvSpPr>
            <xdr:cNvPr id="40961" name="butEdit" hidden="1">
              <a:extLst>
                <a:ext uri="{63B3BB69-23CF-44E3-9099-C40C66FF867C}">
                  <a14:compatExt spid="_x0000_s409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47165" y="917566"/>
          <a:ext cx="1080000" cy="387869"/>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0746"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xdr:row>
          <xdr:rowOff>1143000</xdr:rowOff>
        </xdr:from>
        <xdr:to>
          <xdr:col>2</xdr:col>
          <xdr:colOff>1714500</xdr:colOff>
          <xdr:row>1</xdr:row>
          <xdr:rowOff>1600200</xdr:rowOff>
        </xdr:to>
        <xdr:sp macro="" textlink="">
          <xdr:nvSpPr>
            <xdr:cNvPr id="38913" name="butEdit"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47165" y="917566"/>
          <a:ext cx="1080000" cy="387869"/>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0746"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xdr:row>
          <xdr:rowOff>1143000</xdr:rowOff>
        </xdr:from>
        <xdr:to>
          <xdr:col>2</xdr:col>
          <xdr:colOff>1714500</xdr:colOff>
          <xdr:row>1</xdr:row>
          <xdr:rowOff>1600200</xdr:rowOff>
        </xdr:to>
        <xdr:sp macro="" textlink="">
          <xdr:nvSpPr>
            <xdr:cNvPr id="36865" name="butEdit" hidden="1">
              <a:extLst>
                <a:ext uri="{63B3BB69-23CF-44E3-9099-C40C66FF867C}">
                  <a14:compatExt spid="_x0000_s368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21705</xdr:colOff>
      <xdr:row>1</xdr:row>
      <xdr:rowOff>1</xdr:rowOff>
    </xdr:from>
    <xdr:to>
      <xdr:col>2</xdr:col>
      <xdr:colOff>-1</xdr:colOff>
      <xdr:row>1</xdr:row>
      <xdr:rowOff>1080001</xdr:rowOff>
    </xdr:to>
    <xdr:sp macro="" textlink="">
      <xdr:nvSpPr>
        <xdr:cNvPr id="2" name="Gelijkbenige driehoek 1"/>
        <xdr:cNvSpPr/>
      </xdr:nvSpPr>
      <xdr:spPr>
        <a:xfrm rot="5400000">
          <a:off x="447165" y="917566"/>
          <a:ext cx="1080000" cy="387869"/>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89646</xdr:colOff>
      <xdr:row>1</xdr:row>
      <xdr:rowOff>100853</xdr:rowOff>
    </xdr:from>
    <xdr:to>
      <xdr:col>2</xdr:col>
      <xdr:colOff>1725705</xdr:colOff>
      <xdr:row>1</xdr:row>
      <xdr:rowOff>986118</xdr:rowOff>
    </xdr:to>
    <xdr:sp macro="" textlink="">
      <xdr:nvSpPr>
        <xdr:cNvPr id="3" name="Rechthoek 2"/>
        <xdr:cNvSpPr/>
      </xdr:nvSpPr>
      <xdr:spPr>
        <a:xfrm>
          <a:off x="1270746" y="672353"/>
          <a:ext cx="1636059" cy="88526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Vul in de gele cellen de</a:t>
          </a:r>
          <a:r>
            <a:rPr lang="nl-NL" sz="1000" baseline="0">
              <a:solidFill>
                <a:schemeClr val="tx2"/>
              </a:solidFill>
            </a:rPr>
            <a:t> letters  O, J, M, S of E in voor </a:t>
          </a:r>
          <a:r>
            <a:rPr lang="nl-NL" sz="1000">
              <a:solidFill>
                <a:schemeClr val="tx2"/>
              </a:solidFill>
            </a:rPr>
            <a:t>alle aanwezige kennis , competenties  &amp; vaardigeheden</a:t>
          </a:r>
        </a:p>
      </xdr:txBody>
    </xdr:sp>
    <xdr:clientData/>
  </xdr:twoCellAnchor>
  <mc:AlternateContent xmlns:mc="http://schemas.openxmlformats.org/markup-compatibility/2006">
    <mc:Choice xmlns:a14="http://schemas.microsoft.com/office/drawing/2010/main" Requires="a14">
      <xdr:twoCellAnchor editAs="oneCell">
        <xdr:from>
          <xdr:col>2</xdr:col>
          <xdr:colOff>66675</xdr:colOff>
          <xdr:row>1</xdr:row>
          <xdr:rowOff>1143000</xdr:rowOff>
        </xdr:from>
        <xdr:to>
          <xdr:col>2</xdr:col>
          <xdr:colOff>1714500</xdr:colOff>
          <xdr:row>1</xdr:row>
          <xdr:rowOff>1600200</xdr:rowOff>
        </xdr:to>
        <xdr:sp macro="" textlink="">
          <xdr:nvSpPr>
            <xdr:cNvPr id="34817" name="butEdit" hidden="1">
              <a:extLst>
                <a:ext uri="{63B3BB69-23CF-44E3-9099-C40C66FF867C}">
                  <a14:compatExt spid="_x0000_s34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xdr:col>
      <xdr:colOff>12180</xdr:colOff>
      <xdr:row>1</xdr:row>
      <xdr:rowOff>238126</xdr:rowOff>
    </xdr:from>
    <xdr:to>
      <xdr:col>1</xdr:col>
      <xdr:colOff>428624</xdr:colOff>
      <xdr:row>1</xdr:row>
      <xdr:rowOff>1318126</xdr:rowOff>
    </xdr:to>
    <xdr:sp macro="" textlink="">
      <xdr:nvSpPr>
        <xdr:cNvPr id="2" name="Gelijkbenige driehoek 1"/>
        <xdr:cNvSpPr/>
      </xdr:nvSpPr>
      <xdr:spPr>
        <a:xfrm rot="5400000">
          <a:off x="290002" y="1046154"/>
          <a:ext cx="1080000" cy="416444"/>
        </a:xfrm>
        <a:prstGeom prs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32496</xdr:colOff>
      <xdr:row>1</xdr:row>
      <xdr:rowOff>28575</xdr:rowOff>
    </xdr:from>
    <xdr:to>
      <xdr:col>2</xdr:col>
      <xdr:colOff>1162050</xdr:colOff>
      <xdr:row>1</xdr:row>
      <xdr:rowOff>1581150</xdr:rowOff>
    </xdr:to>
    <xdr:sp macro="" textlink="">
      <xdr:nvSpPr>
        <xdr:cNvPr id="3" name="Rechthoek 2"/>
        <xdr:cNvSpPr/>
      </xdr:nvSpPr>
      <xdr:spPr>
        <a:xfrm>
          <a:off x="1080246" y="504825"/>
          <a:ext cx="1129554" cy="1552575"/>
        </a:xfrm>
        <a:prstGeom prst="rect">
          <a:avLst/>
        </a:prstGeom>
        <a:solidFill>
          <a:srgbClr val="FFFF66"/>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nchorCtr="0"/>
        <a:lstStyle/>
        <a:p>
          <a:pPr algn="ctr"/>
          <a:r>
            <a:rPr lang="nl-NL" sz="1000">
              <a:solidFill>
                <a:schemeClr val="tx2"/>
              </a:solidFill>
            </a:rPr>
            <a:t>fill in onder each column the number</a:t>
          </a:r>
          <a:r>
            <a:rPr lang="nl-NL" sz="1000" baseline="0">
              <a:solidFill>
                <a:schemeClr val="tx2"/>
              </a:solidFill>
            </a:rPr>
            <a:t> of employees required at each skill-level, setting all values to 0 means skill is not required for that department</a:t>
          </a:r>
          <a:endParaRPr lang="nl-NL" sz="1000">
            <a:solidFill>
              <a:schemeClr val="tx2"/>
            </a:solidFill>
          </a:endParaRP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1800225</xdr:colOff>
          <xdr:row>0</xdr:row>
          <xdr:rowOff>114300</xdr:rowOff>
        </xdr:from>
        <xdr:to>
          <xdr:col>3</xdr:col>
          <xdr:colOff>19050</xdr:colOff>
          <xdr:row>2</xdr:row>
          <xdr:rowOff>38100</xdr:rowOff>
        </xdr:to>
        <xdr:sp macro="" textlink="">
          <xdr:nvSpPr>
            <xdr:cNvPr id="3073" name="butEditCats"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1524000</xdr:colOff>
          <xdr:row>0</xdr:row>
          <xdr:rowOff>104775</xdr:rowOff>
        </xdr:from>
        <xdr:to>
          <xdr:col>3</xdr:col>
          <xdr:colOff>9525</xdr:colOff>
          <xdr:row>2</xdr:row>
          <xdr:rowOff>28575</xdr:rowOff>
        </xdr:to>
        <xdr:sp macro="" textlink="">
          <xdr:nvSpPr>
            <xdr:cNvPr id="4097" name="butEditDepts"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304800</xdr:colOff>
          <xdr:row>8</xdr:row>
          <xdr:rowOff>0</xdr:rowOff>
        </xdr:from>
        <xdr:to>
          <xdr:col>6</xdr:col>
          <xdr:colOff>495300</xdr:colOff>
          <xdr:row>9</xdr:row>
          <xdr:rowOff>0</xdr:rowOff>
        </xdr:to>
        <xdr:sp macro="" textlink="">
          <xdr:nvSpPr>
            <xdr:cNvPr id="5121" name="opt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8</xdr:row>
          <xdr:rowOff>0</xdr:rowOff>
        </xdr:from>
        <xdr:to>
          <xdr:col>5</xdr:col>
          <xdr:colOff>504825</xdr:colOff>
          <xdr:row>8</xdr:row>
          <xdr:rowOff>161925</xdr:rowOff>
        </xdr:to>
        <xdr:sp macro="" textlink="">
          <xdr:nvSpPr>
            <xdr:cNvPr id="5122" name="OptionButton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8</xdr:row>
          <xdr:rowOff>0</xdr:rowOff>
        </xdr:from>
        <xdr:to>
          <xdr:col>4</xdr:col>
          <xdr:colOff>504825</xdr:colOff>
          <xdr:row>8</xdr:row>
          <xdr:rowOff>161925</xdr:rowOff>
        </xdr:to>
        <xdr:sp macro="" textlink="">
          <xdr:nvSpPr>
            <xdr:cNvPr id="5123" name="OptionButton2"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8</xdr:row>
          <xdr:rowOff>0</xdr:rowOff>
        </xdr:from>
        <xdr:to>
          <xdr:col>3</xdr:col>
          <xdr:colOff>495300</xdr:colOff>
          <xdr:row>8</xdr:row>
          <xdr:rowOff>161925</xdr:rowOff>
        </xdr:to>
        <xdr:sp macro="" textlink="">
          <xdr:nvSpPr>
            <xdr:cNvPr id="5124" name="OptionButton3"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8</xdr:row>
          <xdr:rowOff>0</xdr:rowOff>
        </xdr:from>
        <xdr:to>
          <xdr:col>2</xdr:col>
          <xdr:colOff>495300</xdr:colOff>
          <xdr:row>8</xdr:row>
          <xdr:rowOff>161925</xdr:rowOff>
        </xdr:to>
        <xdr:sp macro="" textlink="">
          <xdr:nvSpPr>
            <xdr:cNvPr id="5125" name="OptionButton4"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2</xdr:row>
      <xdr:rowOff>0</xdr:rowOff>
    </xdr:from>
    <xdr:to>
      <xdr:col>13</xdr:col>
      <xdr:colOff>295275</xdr:colOff>
      <xdr:row>3</xdr:row>
      <xdr:rowOff>9525</xdr:rowOff>
    </xdr:to>
    <xdr:pic>
      <xdr:nvPicPr>
        <xdr:cNvPr id="7"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95975" y="323850"/>
          <a:ext cx="33432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4</xdr:row>
      <xdr:rowOff>0</xdr:rowOff>
    </xdr:from>
    <xdr:to>
      <xdr:col>13</xdr:col>
      <xdr:colOff>295275</xdr:colOff>
      <xdr:row>5</xdr:row>
      <xdr:rowOff>9525</xdr:rowOff>
    </xdr:to>
    <xdr:pic>
      <xdr:nvPicPr>
        <xdr:cNvPr id="8" name="Picture 3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95975" y="647700"/>
          <a:ext cx="33432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6</xdr:row>
      <xdr:rowOff>0</xdr:rowOff>
    </xdr:from>
    <xdr:to>
      <xdr:col>13</xdr:col>
      <xdr:colOff>295275</xdr:colOff>
      <xdr:row>6</xdr:row>
      <xdr:rowOff>160421</xdr:rowOff>
    </xdr:to>
    <xdr:pic>
      <xdr:nvPicPr>
        <xdr:cNvPr id="9" name="Picture 3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95975" y="971550"/>
          <a:ext cx="33432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8</xdr:row>
      <xdr:rowOff>0</xdr:rowOff>
    </xdr:from>
    <xdr:to>
      <xdr:col>13</xdr:col>
      <xdr:colOff>295275</xdr:colOff>
      <xdr:row>9</xdr:row>
      <xdr:rowOff>153</xdr:rowOff>
    </xdr:to>
    <xdr:pic>
      <xdr:nvPicPr>
        <xdr:cNvPr id="10" name="Picture 3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95975" y="1133475"/>
          <a:ext cx="33432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10</xdr:row>
      <xdr:rowOff>0</xdr:rowOff>
    </xdr:from>
    <xdr:to>
      <xdr:col>13</xdr:col>
      <xdr:colOff>295275</xdr:colOff>
      <xdr:row>11</xdr:row>
      <xdr:rowOff>9526</xdr:rowOff>
    </xdr:to>
    <xdr:pic>
      <xdr:nvPicPr>
        <xdr:cNvPr id="11" name="Picture 3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95975" y="1457325"/>
          <a:ext cx="33432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304800</xdr:colOff>
          <xdr:row>8</xdr:row>
          <xdr:rowOff>0</xdr:rowOff>
        </xdr:from>
        <xdr:to>
          <xdr:col>1</xdr:col>
          <xdr:colOff>495300</xdr:colOff>
          <xdr:row>8</xdr:row>
          <xdr:rowOff>161925</xdr:rowOff>
        </xdr:to>
        <xdr:sp macro="" textlink="">
          <xdr:nvSpPr>
            <xdr:cNvPr id="5126" name="OptionButton5" hidden="1">
              <a:extLst>
                <a:ext uri="{63B3BB69-23CF-44E3-9099-C40C66FF867C}">
                  <a14:compatExt spid="_x0000_s5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10</xdr:row>
      <xdr:rowOff>0</xdr:rowOff>
    </xdr:from>
    <xdr:to>
      <xdr:col>7</xdr:col>
      <xdr:colOff>9525</xdr:colOff>
      <xdr:row>12</xdr:row>
      <xdr:rowOff>9526</xdr:rowOff>
    </xdr:to>
    <xdr:pic>
      <xdr:nvPicPr>
        <xdr:cNvPr id="13" name="Picture 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600" y="1457325"/>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7</xdr:col>
      <xdr:colOff>9525</xdr:colOff>
      <xdr:row>15</xdr:row>
      <xdr:rowOff>9525</xdr:rowOff>
    </xdr:to>
    <xdr:pic>
      <xdr:nvPicPr>
        <xdr:cNvPr id="14" name="Picture 2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09600" y="1943100"/>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16</xdr:row>
      <xdr:rowOff>0</xdr:rowOff>
    </xdr:from>
    <xdr:to>
      <xdr:col>7</xdr:col>
      <xdr:colOff>9525</xdr:colOff>
      <xdr:row>18</xdr:row>
      <xdr:rowOff>9524</xdr:rowOff>
    </xdr:to>
    <xdr:pic>
      <xdr:nvPicPr>
        <xdr:cNvPr id="15" name="Picture 2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09600" y="2428875"/>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7</xdr:col>
      <xdr:colOff>9525</xdr:colOff>
      <xdr:row>21</xdr:row>
      <xdr:rowOff>9525</xdr:rowOff>
    </xdr:to>
    <xdr:pic>
      <xdr:nvPicPr>
        <xdr:cNvPr id="16" name="Picture 3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09600" y="2914650"/>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22</xdr:row>
      <xdr:rowOff>0</xdr:rowOff>
    </xdr:from>
    <xdr:to>
      <xdr:col>7</xdr:col>
      <xdr:colOff>9525</xdr:colOff>
      <xdr:row>24</xdr:row>
      <xdr:rowOff>9525</xdr:rowOff>
    </xdr:to>
    <xdr:pic>
      <xdr:nvPicPr>
        <xdr:cNvPr id="17" name="Picture 31"/>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9600" y="3400425"/>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25</xdr:row>
      <xdr:rowOff>0</xdr:rowOff>
    </xdr:from>
    <xdr:to>
      <xdr:col>7</xdr:col>
      <xdr:colOff>9525</xdr:colOff>
      <xdr:row>27</xdr:row>
      <xdr:rowOff>9525</xdr:rowOff>
    </xdr:to>
    <xdr:pic>
      <xdr:nvPicPr>
        <xdr:cNvPr id="18" name="Picture 3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9600" y="3886200"/>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29</xdr:row>
      <xdr:rowOff>0</xdr:rowOff>
    </xdr:from>
    <xdr:to>
      <xdr:col>7</xdr:col>
      <xdr:colOff>9525</xdr:colOff>
      <xdr:row>31</xdr:row>
      <xdr:rowOff>9526</xdr:rowOff>
    </xdr:to>
    <xdr:pic>
      <xdr:nvPicPr>
        <xdr:cNvPr id="19" name="Picture 3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9600" y="4533900"/>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0</xdr:rowOff>
    </xdr:from>
    <xdr:to>
      <xdr:col>7</xdr:col>
      <xdr:colOff>9525</xdr:colOff>
      <xdr:row>34</xdr:row>
      <xdr:rowOff>9525</xdr:rowOff>
    </xdr:to>
    <xdr:pic>
      <xdr:nvPicPr>
        <xdr:cNvPr id="20" name="Picture 3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5019675"/>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7</xdr:col>
      <xdr:colOff>9525</xdr:colOff>
      <xdr:row>37</xdr:row>
      <xdr:rowOff>9524</xdr:rowOff>
    </xdr:to>
    <xdr:pic>
      <xdr:nvPicPr>
        <xdr:cNvPr id="21" name="Picture 3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5505450"/>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38</xdr:row>
      <xdr:rowOff>0</xdr:rowOff>
    </xdr:from>
    <xdr:to>
      <xdr:col>7</xdr:col>
      <xdr:colOff>9525</xdr:colOff>
      <xdr:row>40</xdr:row>
      <xdr:rowOff>9525</xdr:rowOff>
    </xdr:to>
    <xdr:pic>
      <xdr:nvPicPr>
        <xdr:cNvPr id="22" name="Picture 42"/>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0" y="5991225"/>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7</xdr:col>
      <xdr:colOff>9525</xdr:colOff>
      <xdr:row>43</xdr:row>
      <xdr:rowOff>9525</xdr:rowOff>
    </xdr:to>
    <xdr:pic>
      <xdr:nvPicPr>
        <xdr:cNvPr id="23" name="Picture 4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0" y="6477000"/>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0</xdr:rowOff>
    </xdr:from>
    <xdr:to>
      <xdr:col>7</xdr:col>
      <xdr:colOff>9525</xdr:colOff>
      <xdr:row>46</xdr:row>
      <xdr:rowOff>9525</xdr:rowOff>
    </xdr:to>
    <xdr:pic>
      <xdr:nvPicPr>
        <xdr:cNvPr id="24" name="Picture 46"/>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09600" y="6962775"/>
          <a:ext cx="44672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0</xdr:colOff>
      <xdr:row>12</xdr:row>
      <xdr:rowOff>0</xdr:rowOff>
    </xdr:from>
    <xdr:to>
      <xdr:col>15</xdr:col>
      <xdr:colOff>200025</xdr:colOff>
      <xdr:row>14</xdr:row>
      <xdr:rowOff>28575</xdr:rowOff>
    </xdr:to>
    <xdr:pic>
      <xdr:nvPicPr>
        <xdr:cNvPr id="41" name="Picture 4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895975" y="1800225"/>
          <a:ext cx="44672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15</xdr:row>
      <xdr:rowOff>0</xdr:rowOff>
    </xdr:from>
    <xdr:to>
      <xdr:col>15</xdr:col>
      <xdr:colOff>200025</xdr:colOff>
      <xdr:row>17</xdr:row>
      <xdr:rowOff>28575</xdr:rowOff>
    </xdr:to>
    <xdr:pic>
      <xdr:nvPicPr>
        <xdr:cNvPr id="43" name="Picture 4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895975" y="2286000"/>
          <a:ext cx="44672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18</xdr:row>
      <xdr:rowOff>0</xdr:rowOff>
    </xdr:from>
    <xdr:to>
      <xdr:col>15</xdr:col>
      <xdr:colOff>200025</xdr:colOff>
      <xdr:row>20</xdr:row>
      <xdr:rowOff>28575</xdr:rowOff>
    </xdr:to>
    <xdr:pic>
      <xdr:nvPicPr>
        <xdr:cNvPr id="46" name="Picture 4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895975" y="2771775"/>
          <a:ext cx="44672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21</xdr:row>
      <xdr:rowOff>0</xdr:rowOff>
    </xdr:from>
    <xdr:to>
      <xdr:col>15</xdr:col>
      <xdr:colOff>200025</xdr:colOff>
      <xdr:row>23</xdr:row>
      <xdr:rowOff>28575</xdr:rowOff>
    </xdr:to>
    <xdr:pic>
      <xdr:nvPicPr>
        <xdr:cNvPr id="48" name="Picture 47"/>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5895975" y="3257550"/>
          <a:ext cx="44672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24</xdr:row>
      <xdr:rowOff>0</xdr:rowOff>
    </xdr:from>
    <xdr:to>
      <xdr:col>15</xdr:col>
      <xdr:colOff>200025</xdr:colOff>
      <xdr:row>26</xdr:row>
      <xdr:rowOff>28575</xdr:rowOff>
    </xdr:to>
    <xdr:pic>
      <xdr:nvPicPr>
        <xdr:cNvPr id="50" name="Picture 49"/>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5895975" y="3743325"/>
          <a:ext cx="44672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27</xdr:row>
      <xdr:rowOff>0</xdr:rowOff>
    </xdr:from>
    <xdr:to>
      <xdr:col>15</xdr:col>
      <xdr:colOff>200025</xdr:colOff>
      <xdr:row>29</xdr:row>
      <xdr:rowOff>28575</xdr:rowOff>
    </xdr:to>
    <xdr:pic>
      <xdr:nvPicPr>
        <xdr:cNvPr id="52" name="Picture 51"/>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5895975" y="4229100"/>
          <a:ext cx="44672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TSA%20Entity%20Reporter%208.31.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ichtRJ/AppData/Local/Microsoft/Windows/Temporary%20Internet%20Files/Content.Outlook/INF6MWCY/CTSA%20Entity%20Reporter%208.31.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ERY"/>
      <sheetName val="WORKBOOKS"/>
      <sheetName val="OPTIONS"/>
      <sheetName val="COUNTER"/>
      <sheetName val="EU-COUNT"/>
      <sheetName val="CONNECTION"/>
      <sheetName val="DEFINITIONS"/>
      <sheetName val="DEFINITIONS 2"/>
      <sheetName val="SQL"/>
      <sheetName val="COLUMNS"/>
      <sheetName val="KEYWORDS"/>
      <sheetName val="TODO LIST"/>
      <sheetName val="QUERIES"/>
      <sheetName val="COMMANDS"/>
    </sheetNames>
    <sheetDataSet>
      <sheetData sheetId="0">
        <row r="16">
          <cell r="AC16" t="str">
            <v>NEW</v>
          </cell>
        </row>
      </sheetData>
      <sheetData sheetId="1"/>
      <sheetData sheetId="2"/>
      <sheetData sheetId="3"/>
      <sheetData sheetId="4"/>
      <sheetData sheetId="5">
        <row r="24">
          <cell r="M24" t="str">
            <v>rss_name;rss_type;"res"=table_name;???</v>
          </cell>
          <cell r="AN24" t="str">
            <v>res_id;rss_name;rss_type;????</v>
          </cell>
        </row>
        <row r="26">
          <cell r="M26" t="str">
            <v>"rss"=table_name;"rss_name=%rss_name% rss_type=%rss_type%"=entity_key</v>
          </cell>
          <cell r="AN26" t="str">
            <v>rss_name;rss_type</v>
          </cell>
        </row>
        <row r="27">
          <cell r="M27" t="str">
            <v>rss_name;rss_type;"rss_admin"=table_name;"user_id=%user_id%"=entity_key</v>
          </cell>
        </row>
        <row r="28">
          <cell r="AM28" t="str">
            <v>rss_type</v>
          </cell>
        </row>
        <row r="30">
          <cell r="M30" t="str">
            <v>rss_name;rss_type;"rss_user"=table_name;"rss_user_name=%rss_user_name%"=entity_key</v>
          </cell>
        </row>
        <row r="38">
          <cell r="M38" t="str">
            <v>rss_name;rss_type;"template"=table_name;"template_name=%template_name% entity=%entity%"=entity_key</v>
          </cell>
          <cell r="AC38" t="str">
            <v>rss_type</v>
          </cell>
        </row>
        <row r="39">
          <cell r="F39" t="str">
            <v>ace_id;res_id;rss_name;rss_type;rss_user_name;???</v>
          </cell>
          <cell r="Y39" t="str">
            <v>res_id;rss_name;rss_type;????</v>
          </cell>
        </row>
      </sheetData>
      <sheetData sheetId="6">
        <row r="3">
          <cell r="I3" t="str">
            <v>ru_ug</v>
          </cell>
          <cell r="J3" t="str">
            <v>Account to Group Connections</v>
          </cell>
          <cell r="O3" t="str">
            <v>ACL_LOAD</v>
          </cell>
        </row>
        <row r="4">
          <cell r="I4" t="str">
            <v>ace</v>
          </cell>
          <cell r="J4" t="str">
            <v>ACE</v>
          </cell>
          <cell r="O4" t="str">
            <v>CANCEL_DOWNLOAD</v>
          </cell>
        </row>
        <row r="5">
          <cell r="I5" t="str">
            <v>keyword_all</v>
          </cell>
          <cell r="J5" t="str">
            <v>Active Keywords</v>
          </cell>
          <cell r="O5" t="str">
            <v>CANCEL_TRANS</v>
          </cell>
          <cell r="P5" t="str">
            <v>trans WITH serial="…" , short_name="--"</v>
          </cell>
        </row>
        <row r="6">
          <cell r="I6" t="str">
            <v>rss_type_active_key</v>
          </cell>
          <cell r="J6" t="str">
            <v>Active Managed System Types</v>
          </cell>
          <cell r="O6" t="str">
            <v>CHANGE_ESS_PWD</v>
          </cell>
        </row>
        <row r="7">
          <cell r="I7" t="str">
            <v>sec_group_admin_rule</v>
          </cell>
          <cell r="J7" t="str">
            <v>Admin Group to Access Rule Connections</v>
          </cell>
          <cell r="O7" t="str">
            <v>CHANGE_PASSWORD</v>
          </cell>
          <cell r="P7" t="str">
            <v>pw_entity WITH key_fields USE_PASSWORD= new_password</v>
          </cell>
        </row>
        <row r="8">
          <cell r="I8" t="str">
            <v>alarm_archive</v>
          </cell>
          <cell r="J8" t="str">
            <v>Alerts (Archived)</v>
          </cell>
          <cell r="O8" t="str">
            <v>CONNECT</v>
          </cell>
          <cell r="P8" t="str">
            <v>entity_conn TO entity_conn WITH key_fields [SET data_fields] [TEMPLATE= name] [RU_ID="ru,rss,type[,user_id"] [SIMULATE=1]</v>
          </cell>
        </row>
        <row r="9">
          <cell r="I9" t="str">
            <v>audit_trail_archive</v>
          </cell>
          <cell r="J9" t="str">
            <v>Audit (Archived)</v>
          </cell>
          <cell r="O9" t="str">
            <v>DELETE</v>
          </cell>
          <cell r="P9" t="str">
            <v>entity WITH retrieval_fields [SET data_fields] [SIMULATE=1]</v>
          </cell>
        </row>
        <row r="10">
          <cell r="I10" t="str">
            <v>audit_info</v>
          </cell>
          <cell r="J10" t="str">
            <v>Audit Details</v>
          </cell>
          <cell r="O10" t="str">
            <v>DELETE_ALL</v>
          </cell>
          <cell r="P10" t="str">
            <v>entity WITH retrieval_fields [SET data_fields]</v>
          </cell>
        </row>
        <row r="11">
          <cell r="I11" t="str">
            <v>audit_info_archive</v>
          </cell>
          <cell r="J11" t="str">
            <v>Audit Details (Archived)</v>
          </cell>
          <cell r="O11" t="str">
            <v>DISCONNECT</v>
          </cell>
          <cell r="P11" t="str">
            <v>entity_conn FROM entity_conn WITH key_fields [SIMULATE=1]</v>
          </cell>
        </row>
        <row r="12">
          <cell r="I12" t="str">
            <v>audit_trans</v>
          </cell>
          <cell r="J12" t="str">
            <v>Audit &amp; Transaction</v>
          </cell>
          <cell r="O12" t="str">
            <v>DISCONNECT_ALL</v>
          </cell>
          <cell r="P12" t="str">
            <v>entity_conn FROM entity_conn WITH retrieval_fields</v>
          </cell>
        </row>
        <row r="13">
          <cell r="I13" t="str">
            <v>admin_admin_rule</v>
          </cell>
          <cell r="J13" t="str">
            <v>ESS Administrator to Access Rules Connections</v>
          </cell>
          <cell r="O13" t="str">
            <v>DOWNLOAD</v>
          </cell>
        </row>
        <row r="14">
          <cell r="I14" t="str">
            <v>global_parm</v>
          </cell>
          <cell r="J14" t="str">
            <v>Global Parameters</v>
          </cell>
          <cell r="O14" t="str">
            <v>DUPLICATE_REC</v>
          </cell>
        </row>
        <row r="15">
          <cell r="I15" t="str">
            <v>global_parm</v>
          </cell>
          <cell r="J15" t="str">
            <v>Global Parameters</v>
          </cell>
          <cell r="O15" t="str">
            <v>EXECUTE</v>
          </cell>
        </row>
        <row r="16">
          <cell r="I16" t="str">
            <v>ug_jc</v>
          </cell>
          <cell r="J16" t="str">
            <v>Group to Profile Connections</v>
          </cell>
          <cell r="O16" t="str">
            <v>ESS_CONFIG</v>
          </cell>
        </row>
        <row r="17">
          <cell r="I17" t="str">
            <v>rsstype_keyword</v>
          </cell>
          <cell r="J17" t="str">
            <v>Keyword to Managed System Type Connections</v>
          </cell>
          <cell r="O17" t="str">
            <v>GET_FIELDS_VALUE</v>
          </cell>
        </row>
        <row r="18">
          <cell r="I18" t="str">
            <v>all_ent_user</v>
          </cell>
          <cell r="J18" t="str">
            <v>Person (Normalized)</v>
          </cell>
          <cell r="O18" t="str">
            <v>HANDLE_ACTION</v>
          </cell>
        </row>
        <row r="19">
          <cell r="I19" t="str">
            <v>user_jc</v>
          </cell>
          <cell r="J19" t="str">
            <v>Person to Profile Connections</v>
          </cell>
          <cell r="O19" t="str">
            <v>INSERT</v>
          </cell>
          <cell r="P19" t="str">
            <v>entity [WITH key_fields] [SET data_fields] [TEMPLATE= name]</v>
          </cell>
        </row>
        <row r="20">
          <cell r="I20" t="str">
            <v>user_jc_rss</v>
          </cell>
          <cell r="J20" t="str">
            <v>Person to Profile to Account Details</v>
          </cell>
          <cell r="O20" t="str">
            <v>MARK</v>
          </cell>
        </row>
        <row r="21">
          <cell r="I21" t="str">
            <v>user_jc_analysis</v>
          </cell>
          <cell r="J21" t="str">
            <v>Person Profile Analysis</v>
          </cell>
          <cell r="O21" t="str">
            <v>PARTIAL_SYNC</v>
          </cell>
        </row>
        <row r="22">
          <cell r="I22" t="str">
            <v>short_code</v>
          </cell>
          <cell r="J22" t="str">
            <v>Platform Short-codes</v>
          </cell>
          <cell r="O22" t="str">
            <v>PWD_CHANGE</v>
          </cell>
        </row>
        <row r="23">
          <cell r="I23" t="str">
            <v>jc_jc</v>
          </cell>
          <cell r="J23" t="str">
            <v>Profile to Profile Connections</v>
          </cell>
          <cell r="O23" t="str">
            <v>READ</v>
          </cell>
          <cell r="P23" t="str">
            <v>read_fields FROM entity/connection WITH key_fields</v>
          </cell>
        </row>
        <row r="24">
          <cell r="I24" t="str">
            <v>jc_template</v>
          </cell>
          <cell r="J24" t="str">
            <v>Profile to Template Connections</v>
          </cell>
          <cell r="O24" t="str">
            <v>READ_ALL</v>
          </cell>
          <cell r="P24" t="str">
            <v>[top(#)] read_fields FROM entity/connection [WITH retrieval_fields] [order by sort_field, sort_field [DESC]]  JOIN  READ_ALL ..</v>
          </cell>
        </row>
        <row r="25">
          <cell r="I25" t="str">
            <v>jc_groups</v>
          </cell>
          <cell r="J25" t="str">
            <v>Profile Groups</v>
          </cell>
          <cell r="O25" t="str">
            <v>REFRESH</v>
          </cell>
          <cell r="P25" t="str">
            <v>entity WITH key_fields [SET data_fields]</v>
          </cell>
        </row>
        <row r="26">
          <cell r="I26" t="str">
            <v>serials</v>
          </cell>
          <cell r="J26" t="str">
            <v>Serials</v>
          </cell>
          <cell r="O26" t="str">
            <v>REFRESH_ALL</v>
          </cell>
          <cell r="P26" t="str">
            <v>entity WITH key_fields [SET data_fields]</v>
          </cell>
        </row>
        <row r="27">
          <cell r="I27" t="str">
            <v>trans_archive</v>
          </cell>
          <cell r="J27" t="str">
            <v>Transaction (Archived)</v>
          </cell>
          <cell r="O27" t="str">
            <v>RESET_TRANS</v>
          </cell>
          <cell r="P27" t="str">
            <v>trans WITH serial="…" , short_name="--"</v>
          </cell>
        </row>
        <row r="28">
          <cell r="I28" t="str">
            <v>failed_trans</v>
          </cell>
          <cell r="J28" t="str">
            <v>Transactions &amp; Audit Trail</v>
          </cell>
          <cell r="O28" t="str">
            <v>RESOURCE_LOAD</v>
          </cell>
          <cell r="P28" t="str">
            <v>res WITH res_id = "-1" , user_name = "-" , res_name = "..." , res_type = "..." , rss_name = "..." , rss_type = "..." [RES_LOAD_MODE = "INCREMENTAL" ACL_LOAD = "1"]</v>
          </cell>
        </row>
        <row r="29">
          <cell r="I29" t="str">
            <v>user_def_keyw</v>
          </cell>
          <cell r="J29" t="str">
            <v>User Defined Keywords</v>
          </cell>
          <cell r="O29" t="str">
            <v>RESTART_DOWNLOAD</v>
          </cell>
        </row>
        <row r="30">
          <cell r="I30" t="str">
            <v>user_pref</v>
          </cell>
          <cell r="J30" t="str">
            <v>User Preferences</v>
          </cell>
          <cell r="O30" t="str">
            <v>RESTORE</v>
          </cell>
          <cell r="P30" t="str">
            <v>entity WITH key_fields [USE_PASSWORD= new_password]</v>
          </cell>
        </row>
        <row r="31">
          <cell r="O31" t="str">
            <v>RESTORE_ALL</v>
          </cell>
          <cell r="P31" t="str">
            <v>entity WITH retrieval_fields [USE_PASSWORD= new_password]</v>
          </cell>
        </row>
        <row r="32">
          <cell r="O32" t="str">
            <v>RETRY_TRANS</v>
          </cell>
          <cell r="P32" t="str">
            <v>trans WITH serial = "12345"  ,  short_name = "RU"</v>
          </cell>
        </row>
        <row r="33">
          <cell r="C33" t="str">
            <v>admin_rule</v>
          </cell>
          <cell r="D33" t="str">
            <v>Access Rules</v>
          </cell>
          <cell r="F33" t="str">
            <v>Access Rules</v>
          </cell>
          <cell r="G33" t="str">
            <v>AR</v>
          </cell>
          <cell r="I33" t="str">
            <v>admin_rule</v>
          </cell>
          <cell r="J33" t="str">
            <v>Access Rules</v>
          </cell>
          <cell r="L33" t="str">
            <v>Access Rules</v>
          </cell>
          <cell r="M33" t="str">
            <v>AR</v>
          </cell>
          <cell r="O33" t="str">
            <v>REVOKE</v>
          </cell>
          <cell r="P33" t="str">
            <v>entity WITH key_fields</v>
          </cell>
        </row>
        <row r="34">
          <cell r="C34" t="str">
            <v>ace</v>
          </cell>
          <cell r="D34" t="str">
            <v>ACE</v>
          </cell>
          <cell r="F34" t="str">
            <v>ACE</v>
          </cell>
          <cell r="G34" t="str">
            <v>ACE</v>
          </cell>
          <cell r="I34" t="str">
            <v>rss_user</v>
          </cell>
          <cell r="J34" t="str">
            <v>Account</v>
          </cell>
          <cell r="L34" t="str">
            <v>Account</v>
          </cell>
          <cell r="M34" t="str">
            <v>A</v>
          </cell>
          <cell r="O34" t="str">
            <v>REVOKE_ALL</v>
          </cell>
          <cell r="P34" t="str">
            <v>entity WITH retrieval_fields</v>
          </cell>
        </row>
        <row r="35">
          <cell r="C35" t="str">
            <v>keyword_all</v>
          </cell>
          <cell r="D35" t="str">
            <v>Active Keywords</v>
          </cell>
          <cell r="F35" t="str">
            <v>All Keywords</v>
          </cell>
          <cell r="G35" t="str">
            <v>AKW</v>
          </cell>
          <cell r="I35" t="str">
            <v>ru_ug</v>
          </cell>
          <cell r="J35" t="str">
            <v>Account to Group Connections</v>
          </cell>
          <cell r="L35" t="str">
            <v>Account-Group</v>
          </cell>
          <cell r="M35" t="str">
            <v>AGC</v>
          </cell>
          <cell r="O35" t="str">
            <v>SAVE_DEFINITION</v>
          </cell>
          <cell r="P35" t="str">
            <v>rules | keyword WITH entity=entity</v>
          </cell>
        </row>
        <row r="36">
          <cell r="C36" t="str">
            <v>rss_type_active_key</v>
          </cell>
          <cell r="D36" t="str">
            <v>Active RSS Types</v>
          </cell>
          <cell r="F36" t="str">
            <v>RSS Type</v>
          </cell>
          <cell r="G36" t="str">
            <v>ART</v>
          </cell>
          <cell r="I36" t="str">
            <v>ace</v>
          </cell>
          <cell r="J36" t="str">
            <v>ACE</v>
          </cell>
          <cell r="L36" t="str">
            <v>ACE</v>
          </cell>
          <cell r="M36" t="str">
            <v>ACE</v>
          </cell>
          <cell r="O36" t="str">
            <v>SET_ENCRYPT</v>
          </cell>
        </row>
        <row r="37">
          <cell r="C37" t="str">
            <v>alarm</v>
          </cell>
          <cell r="D37" t="str">
            <v>Alerts</v>
          </cell>
          <cell r="F37" t="str">
            <v>Alerts</v>
          </cell>
          <cell r="G37" t="str">
            <v>ALT</v>
          </cell>
          <cell r="I37" t="str">
            <v>keyword_all</v>
          </cell>
          <cell r="J37" t="str">
            <v>Active Keywords</v>
          </cell>
          <cell r="L37" t="str">
            <v>All Keywords</v>
          </cell>
          <cell r="M37" t="str">
            <v>AKW</v>
          </cell>
          <cell r="O37" t="str">
            <v>SETTRACE</v>
          </cell>
        </row>
        <row r="38">
          <cell r="C38" t="str">
            <v>alarm_archive</v>
          </cell>
          <cell r="D38" t="str">
            <v>Alerts (Archived)</v>
          </cell>
          <cell r="F38" t="str">
            <v>Archived Alerts</v>
          </cell>
          <cell r="G38" t="str">
            <v>ALT+</v>
          </cell>
          <cell r="I38" t="str">
            <v>rss_type_active_key</v>
          </cell>
          <cell r="J38" t="str">
            <v>Active Managed System Types</v>
          </cell>
          <cell r="L38" t="str">
            <v>Managed System Type</v>
          </cell>
          <cell r="M38" t="str">
            <v>AST</v>
          </cell>
          <cell r="O38" t="str">
            <v>SIMULATE</v>
          </cell>
        </row>
        <row r="39">
          <cell r="C39" t="str">
            <v>audit_trail</v>
          </cell>
          <cell r="D39" t="str">
            <v>Audit</v>
          </cell>
          <cell r="F39" t="str">
            <v>Audit</v>
          </cell>
          <cell r="G39" t="str">
            <v>AUD</v>
          </cell>
          <cell r="I39" t="str">
            <v>sec_group</v>
          </cell>
          <cell r="J39" t="str">
            <v>Admin Group</v>
          </cell>
          <cell r="L39" t="str">
            <v>Admin Group</v>
          </cell>
          <cell r="M39" t="str">
            <v>AG</v>
          </cell>
          <cell r="O39" t="str">
            <v>START</v>
          </cell>
        </row>
        <row r="40">
          <cell r="C40" t="str">
            <v>audit_trail_archive</v>
          </cell>
          <cell r="D40" t="str">
            <v>Audit (Archived)</v>
          </cell>
          <cell r="F40" t="str">
            <v>Archived Audit</v>
          </cell>
          <cell r="G40" t="str">
            <v>AUD+</v>
          </cell>
          <cell r="I40" t="str">
            <v>sec_group_admin_rule</v>
          </cell>
          <cell r="J40" t="str">
            <v>Admin Group to Access Rule Connections</v>
          </cell>
          <cell r="L40" t="str">
            <v>Admin Group-Access Rule</v>
          </cell>
          <cell r="M40" t="str">
            <v>AGA</v>
          </cell>
          <cell r="O40" t="str">
            <v>STOP</v>
          </cell>
        </row>
        <row r="41">
          <cell r="C41" t="str">
            <v>audit_info</v>
          </cell>
          <cell r="D41" t="str">
            <v>Audit Details</v>
          </cell>
          <cell r="F41" t="str">
            <v>Audit Key</v>
          </cell>
          <cell r="G41" t="str">
            <v>ADD</v>
          </cell>
          <cell r="I41" t="str">
            <v>alarm</v>
          </cell>
          <cell r="J41" t="str">
            <v>Alerts</v>
          </cell>
          <cell r="L41" t="str">
            <v>Alerts</v>
          </cell>
          <cell r="M41" t="str">
            <v>ALT</v>
          </cell>
          <cell r="O41" t="str">
            <v>SYNC</v>
          </cell>
          <cell r="P41" t="str">
            <v>entity WITH key_fields</v>
          </cell>
        </row>
        <row r="42">
          <cell r="C42" t="str">
            <v>audit_info_archive</v>
          </cell>
          <cell r="D42" t="str">
            <v>Audit Details (Archived)</v>
          </cell>
          <cell r="F42" t="str">
            <v>Archived Audit Key</v>
          </cell>
          <cell r="G42" t="str">
            <v>ADD+</v>
          </cell>
          <cell r="I42" t="str">
            <v>alarm_archive</v>
          </cell>
          <cell r="J42" t="str">
            <v>Alerts (Archived)</v>
          </cell>
          <cell r="L42" t="str">
            <v>Archived Alerts</v>
          </cell>
          <cell r="M42" t="str">
            <v>ALT+</v>
          </cell>
          <cell r="O42" t="str">
            <v>SYNC_ALL</v>
          </cell>
          <cell r="P42" t="str">
            <v>entity WITH retrieval_fields</v>
          </cell>
        </row>
        <row r="43">
          <cell r="C43" t="str">
            <v>audit_trans</v>
          </cell>
          <cell r="D43" t="str">
            <v>Audit &amp; Transaction</v>
          </cell>
          <cell r="F43" t="str">
            <v>Audit-Trans</v>
          </cell>
          <cell r="G43" t="str">
            <v>AUT</v>
          </cell>
          <cell r="I43" t="str">
            <v>audit_trail</v>
          </cell>
          <cell r="J43" t="str">
            <v>Audit</v>
          </cell>
          <cell r="L43" t="str">
            <v>Audit</v>
          </cell>
          <cell r="M43" t="str">
            <v>AUD</v>
          </cell>
          <cell r="O43" t="str">
            <v>UNLOCK</v>
          </cell>
          <cell r="P43" t="str">
            <v>rss_user WITH key_fields [USE_PASSWORD=new_password]</v>
          </cell>
        </row>
        <row r="44">
          <cell r="C44" t="str">
            <v>oe</v>
          </cell>
          <cell r="D44" t="str">
            <v>Container</v>
          </cell>
          <cell r="F44" t="str">
            <v>Container</v>
          </cell>
          <cell r="G44" t="str">
            <v>OE</v>
          </cell>
          <cell r="I44" t="str">
            <v>audit_trail_archive</v>
          </cell>
          <cell r="J44" t="str">
            <v>Audit (Archived)</v>
          </cell>
          <cell r="L44" t="str">
            <v>Archived Audit</v>
          </cell>
          <cell r="M44" t="str">
            <v>AUD+</v>
          </cell>
          <cell r="O44" t="str">
            <v>UPDATE</v>
          </cell>
          <cell r="P44" t="str">
            <v>entity WITH key_fields SET data_fields</v>
          </cell>
        </row>
        <row r="45">
          <cell r="C45" t="str">
            <v>ent_user</v>
          </cell>
          <cell r="D45" t="str">
            <v>Enterprise User</v>
          </cell>
          <cell r="F45" t="str">
            <v>Enterprise User</v>
          </cell>
          <cell r="G45" t="str">
            <v>EU</v>
          </cell>
          <cell r="I45" t="str">
            <v>audit_info</v>
          </cell>
          <cell r="J45" t="str">
            <v>Audit Details</v>
          </cell>
          <cell r="L45" t="str">
            <v>Audit Key</v>
          </cell>
          <cell r="M45" t="str">
            <v>ADD</v>
          </cell>
          <cell r="O45" t="str">
            <v>UPDATE_ALL</v>
          </cell>
          <cell r="P45" t="str">
            <v>entity WITH retrieval_fields SET data_fields</v>
          </cell>
        </row>
        <row r="46">
          <cell r="C46" t="str">
            <v>all_ent_user</v>
          </cell>
          <cell r="D46" t="str">
            <v>Enterprise User (Normalized)</v>
          </cell>
          <cell r="F46" t="str">
            <v>Normalized Enterprise User</v>
          </cell>
          <cell r="G46" t="str">
            <v>EU+</v>
          </cell>
          <cell r="I46" t="str">
            <v>audit_info_archive</v>
          </cell>
          <cell r="J46" t="str">
            <v>Audit Details (Archived)</v>
          </cell>
          <cell r="L46" t="str">
            <v>Archived Audit Key</v>
          </cell>
          <cell r="M46" t="str">
            <v>ADD+</v>
          </cell>
        </row>
        <row r="47">
          <cell r="C47" t="str">
            <v>user_jc</v>
          </cell>
          <cell r="D47" t="str">
            <v>Enterprise User to Job Code Connections</v>
          </cell>
          <cell r="F47" t="str">
            <v>Enterprise User-Profile</v>
          </cell>
          <cell r="G47" t="str">
            <v>EJC</v>
          </cell>
          <cell r="I47" t="str">
            <v>audit_trans</v>
          </cell>
          <cell r="J47" t="str">
            <v>Audit &amp; Transaction</v>
          </cell>
          <cell r="L47" t="str">
            <v>Audit-Trans</v>
          </cell>
          <cell r="M47" t="str">
            <v>AUT</v>
          </cell>
        </row>
        <row r="48">
          <cell r="C48" t="str">
            <v>user_jc_rss</v>
          </cell>
          <cell r="D48" t="str">
            <v>Enterprise User to Job Code to RSS User Details</v>
          </cell>
          <cell r="F48" t="str">
            <v>User-Profile-RSS</v>
          </cell>
          <cell r="G48" t="str">
            <v>EJR</v>
          </cell>
          <cell r="I48" t="str">
            <v>oe</v>
          </cell>
          <cell r="J48" t="str">
            <v>Container</v>
          </cell>
          <cell r="L48" t="str">
            <v>Container</v>
          </cell>
          <cell r="M48" t="str">
            <v>C</v>
          </cell>
        </row>
        <row r="49">
          <cell r="C49" t="str">
            <v>admin</v>
          </cell>
          <cell r="D49" t="str">
            <v>ESS Administrator</v>
          </cell>
          <cell r="F49" t="str">
            <v>ESS Administrator</v>
          </cell>
          <cell r="G49" t="str">
            <v>ADM</v>
          </cell>
          <cell r="I49" t="str">
            <v>admin</v>
          </cell>
          <cell r="J49" t="str">
            <v>ESS Administrator</v>
          </cell>
          <cell r="L49" t="str">
            <v>ESS Administrator</v>
          </cell>
          <cell r="M49" t="str">
            <v>ADM</v>
          </cell>
        </row>
        <row r="50">
          <cell r="C50" t="str">
            <v>admin_admin_rule</v>
          </cell>
          <cell r="D50" t="str">
            <v>ESS Administrator to Access Rules Connections</v>
          </cell>
          <cell r="F50" t="str">
            <v>Admin-Access Rule</v>
          </cell>
          <cell r="G50" t="str">
            <v>AAR</v>
          </cell>
          <cell r="I50" t="str">
            <v>admin_admin_rule</v>
          </cell>
          <cell r="J50" t="str">
            <v>ESS Administrator to Access Rules Connections</v>
          </cell>
          <cell r="L50" t="str">
            <v>Admin-Access Rule</v>
          </cell>
          <cell r="M50" t="str">
            <v>AAR</v>
          </cell>
        </row>
        <row r="51">
          <cell r="C51" t="str">
            <v>admin_sec_group</v>
          </cell>
          <cell r="D51" t="str">
            <v>ESS Administrator to Security Group Connections</v>
          </cell>
          <cell r="F51" t="str">
            <v>Admin-Security Group</v>
          </cell>
          <cell r="G51" t="str">
            <v>ASG</v>
          </cell>
          <cell r="I51" t="str">
            <v>admin_sec_group</v>
          </cell>
          <cell r="J51" t="str">
            <v>ESS Administrator to Admin Group Connections</v>
          </cell>
          <cell r="L51" t="str">
            <v>Admin-Security Group</v>
          </cell>
          <cell r="M51" t="str">
            <v>AAG</v>
          </cell>
        </row>
        <row r="52">
          <cell r="C52" t="str">
            <v>gtw</v>
          </cell>
          <cell r="D52" t="str">
            <v>Gateway</v>
          </cell>
          <cell r="F52" t="str">
            <v>Gateway</v>
          </cell>
          <cell r="G52" t="str">
            <v>GTW</v>
          </cell>
          <cell r="I52" t="str">
            <v>gtw</v>
          </cell>
          <cell r="J52" t="str">
            <v>Gateway</v>
          </cell>
          <cell r="L52" t="str">
            <v>Gateway</v>
          </cell>
          <cell r="M52" t="str">
            <v>GTW</v>
          </cell>
        </row>
        <row r="53">
          <cell r="C53" t="str">
            <v>global_parm</v>
          </cell>
          <cell r="D53" t="str">
            <v>Global Parameters</v>
          </cell>
          <cell r="F53" t="str">
            <v>Global Parameters</v>
          </cell>
          <cell r="G53" t="str">
            <v>GLB</v>
          </cell>
          <cell r="I53" t="str">
            <v>global_parm</v>
          </cell>
          <cell r="J53" t="str">
            <v>Global Parameters</v>
          </cell>
          <cell r="L53" t="str">
            <v>Global Parameters</v>
          </cell>
          <cell r="M53" t="str">
            <v>GLB</v>
          </cell>
        </row>
        <row r="54">
          <cell r="C54" t="str">
            <v>job_code</v>
          </cell>
          <cell r="D54" t="str">
            <v>Job Code</v>
          </cell>
          <cell r="F54" t="str">
            <v>Profile</v>
          </cell>
          <cell r="G54" t="str">
            <v>JC</v>
          </cell>
          <cell r="I54" t="str">
            <v>user_group</v>
          </cell>
          <cell r="J54" t="str">
            <v>Group</v>
          </cell>
          <cell r="L54" t="str">
            <v>Group</v>
          </cell>
          <cell r="M54" t="str">
            <v>G</v>
          </cell>
        </row>
        <row r="55">
          <cell r="C55" t="str">
            <v>jc_jc</v>
          </cell>
          <cell r="D55" t="str">
            <v>Job Code to Job Code Connections</v>
          </cell>
          <cell r="F55" t="str">
            <v>Profile-Profile</v>
          </cell>
          <cell r="G55" t="str">
            <v>JJC</v>
          </cell>
          <cell r="I55" t="str">
            <v>ug_jc</v>
          </cell>
          <cell r="J55" t="str">
            <v>Group to Profile Connections</v>
          </cell>
          <cell r="L55" t="str">
            <v>Profile-Group</v>
          </cell>
          <cell r="M55" t="str">
            <v>GPR</v>
          </cell>
        </row>
        <row r="56">
          <cell r="C56" t="str">
            <v>jc_template</v>
          </cell>
          <cell r="D56" t="str">
            <v>Job Code to Template Connections</v>
          </cell>
          <cell r="F56" t="str">
            <v>Profile-Template</v>
          </cell>
          <cell r="G56" t="str">
            <v>JT</v>
          </cell>
          <cell r="I56" t="str">
            <v>keyword</v>
          </cell>
          <cell r="J56" t="str">
            <v>Keyword</v>
          </cell>
          <cell r="L56" t="str">
            <v>Keyword</v>
          </cell>
          <cell r="M56" t="str">
            <v>KW</v>
          </cell>
        </row>
        <row r="57">
          <cell r="C57" t="str">
            <v>jc_groups</v>
          </cell>
          <cell r="D57" t="str">
            <v>Job Code User Groups</v>
          </cell>
          <cell r="F57" t="str">
            <v>Job Code User Groups</v>
          </cell>
          <cell r="G57" t="str">
            <v>PG</v>
          </cell>
          <cell r="I57" t="str">
            <v>rules</v>
          </cell>
          <cell r="J57" t="str">
            <v>Keyword Rules</v>
          </cell>
          <cell r="L57" t="str">
            <v>Keyword Rules</v>
          </cell>
          <cell r="M57" t="str">
            <v>RUL</v>
          </cell>
        </row>
        <row r="58">
          <cell r="C58" t="str">
            <v>keyword</v>
          </cell>
          <cell r="D58" t="str">
            <v>Keyword</v>
          </cell>
          <cell r="F58" t="str">
            <v>Keyword</v>
          </cell>
          <cell r="G58" t="str">
            <v>KW</v>
          </cell>
          <cell r="I58" t="str">
            <v>rsstype_keyword</v>
          </cell>
          <cell r="J58" t="str">
            <v>Keyword to Managed System Type Connections</v>
          </cell>
          <cell r="L58" t="str">
            <v>Managed System Type-Keyword</v>
          </cell>
          <cell r="M58" t="str">
            <v>KST</v>
          </cell>
        </row>
        <row r="59">
          <cell r="C59" t="str">
            <v>rules</v>
          </cell>
          <cell r="D59" t="str">
            <v>Keyword Rules</v>
          </cell>
          <cell r="F59" t="str">
            <v>Keyword Rules</v>
          </cell>
          <cell r="G59" t="str">
            <v>RUL</v>
          </cell>
          <cell r="I59" t="str">
            <v>rss</v>
          </cell>
          <cell r="J59" t="str">
            <v>Managed System</v>
          </cell>
          <cell r="L59" t="str">
            <v>Managed System</v>
          </cell>
          <cell r="M59" t="str">
            <v>S</v>
          </cell>
        </row>
        <row r="60">
          <cell r="C60" t="str">
            <v>rsstype_keyword</v>
          </cell>
          <cell r="D60" t="str">
            <v>Keyword to RSS Type Connections</v>
          </cell>
          <cell r="F60" t="str">
            <v>RSS Type-Keyword</v>
          </cell>
          <cell r="G60" t="str">
            <v>KRT</v>
          </cell>
          <cell r="I60" t="str">
            <v>rss_admin</v>
          </cell>
          <cell r="J60" t="str">
            <v>Managed System Administrator</v>
          </cell>
          <cell r="L60" t="str">
            <v>Managed System Administrator</v>
          </cell>
          <cell r="M60" t="str">
            <v>SA</v>
          </cell>
        </row>
        <row r="61">
          <cell r="C61" t="str">
            <v>org</v>
          </cell>
          <cell r="D61" t="str">
            <v>Organization</v>
          </cell>
          <cell r="F61" t="str">
            <v>Organization</v>
          </cell>
          <cell r="G61" t="str">
            <v>ORG</v>
          </cell>
          <cell r="I61" t="str">
            <v>rss_type</v>
          </cell>
          <cell r="J61" t="str">
            <v>Managed System Type</v>
          </cell>
          <cell r="L61" t="str">
            <v>Managed System Type</v>
          </cell>
          <cell r="M61" t="str">
            <v>ST</v>
          </cell>
        </row>
        <row r="62">
          <cell r="C62" t="str">
            <v>platform</v>
          </cell>
          <cell r="D62" t="str">
            <v>Platform</v>
          </cell>
          <cell r="F62" t="str">
            <v>Platform</v>
          </cell>
          <cell r="G62" t="str">
            <v>PLF</v>
          </cell>
          <cell r="I62" t="str">
            <v>org</v>
          </cell>
          <cell r="J62" t="str">
            <v>Organization</v>
          </cell>
          <cell r="L62" t="str">
            <v>Organization</v>
          </cell>
          <cell r="M62" t="str">
            <v>ORG</v>
          </cell>
        </row>
        <row r="63">
          <cell r="C63" t="str">
            <v>short_code</v>
          </cell>
          <cell r="D63" t="str">
            <v>Platform Short-codes</v>
          </cell>
          <cell r="F63" t="str">
            <v>Platform Short-codes</v>
          </cell>
          <cell r="G63" t="str">
            <v>SC</v>
          </cell>
          <cell r="I63" t="str">
            <v>ent_user</v>
          </cell>
          <cell r="J63" t="str">
            <v>Person</v>
          </cell>
          <cell r="L63" t="str">
            <v>Person</v>
          </cell>
          <cell r="M63" t="str">
            <v>P</v>
          </cell>
        </row>
        <row r="64">
          <cell r="C64" t="str">
            <v>res</v>
          </cell>
          <cell r="D64" t="str">
            <v>Resource</v>
          </cell>
          <cell r="F64" t="str">
            <v>Resource</v>
          </cell>
          <cell r="G64" t="str">
            <v>RES</v>
          </cell>
          <cell r="I64" t="str">
            <v>all_ent_user</v>
          </cell>
          <cell r="J64" t="str">
            <v>Person (Normalized)</v>
          </cell>
          <cell r="L64" t="str">
            <v>Normalized Person</v>
          </cell>
          <cell r="M64" t="str">
            <v>P+</v>
          </cell>
        </row>
        <row r="65">
          <cell r="C65" t="str">
            <v>res_type</v>
          </cell>
          <cell r="D65" t="str">
            <v>Resource Type</v>
          </cell>
          <cell r="F65" t="str">
            <v>Resource Type</v>
          </cell>
          <cell r="G65" t="str">
            <v>RT</v>
          </cell>
          <cell r="I65" t="str">
            <v>user_jc</v>
          </cell>
          <cell r="J65" t="str">
            <v>Person to Profile Connections</v>
          </cell>
          <cell r="L65" t="str">
            <v>Person-Profile</v>
          </cell>
          <cell r="M65" t="str">
            <v>PPR</v>
          </cell>
        </row>
        <row r="66">
          <cell r="C66" t="str">
            <v>rss</v>
          </cell>
          <cell r="D66" t="str">
            <v>RSS</v>
          </cell>
          <cell r="F66" t="str">
            <v>RSS</v>
          </cell>
          <cell r="G66" t="str">
            <v>RSS</v>
          </cell>
          <cell r="I66" t="str">
            <v>user_jc_rss</v>
          </cell>
          <cell r="J66" t="str">
            <v>Person to Profile to Account Details</v>
          </cell>
          <cell r="L66" t="str">
            <v>Person-Profile-Managed System</v>
          </cell>
          <cell r="M66" t="str">
            <v>PA</v>
          </cell>
        </row>
        <row r="67">
          <cell r="C67" t="str">
            <v>rss_admin</v>
          </cell>
          <cell r="D67" t="str">
            <v>RSS Administrator</v>
          </cell>
          <cell r="F67" t="str">
            <v>RSS Administrator</v>
          </cell>
          <cell r="G67" t="str">
            <v>RA</v>
          </cell>
          <cell r="I67" t="str">
            <v>user_jc_analysis</v>
          </cell>
          <cell r="J67" t="str">
            <v>Person Profile Analysis</v>
          </cell>
          <cell r="L67" t="str">
            <v>Person Prof Analysis</v>
          </cell>
          <cell r="M67" t="str">
            <v>PPA</v>
          </cell>
        </row>
        <row r="68">
          <cell r="C68" t="str">
            <v>rss_type</v>
          </cell>
          <cell r="D68" t="str">
            <v>RSS Type</v>
          </cell>
          <cell r="F68" t="str">
            <v>RSS Type</v>
          </cell>
          <cell r="G68" t="str">
            <v>RTP</v>
          </cell>
          <cell r="I68" t="str">
            <v>platform</v>
          </cell>
          <cell r="J68" t="str">
            <v>Platform</v>
          </cell>
          <cell r="L68" t="str">
            <v>Platform</v>
          </cell>
          <cell r="M68" t="str">
            <v>PLF</v>
          </cell>
        </row>
        <row r="69">
          <cell r="C69" t="str">
            <v>rss_user</v>
          </cell>
          <cell r="D69" t="str">
            <v>RSS User</v>
          </cell>
          <cell r="F69" t="str">
            <v>RSS User</v>
          </cell>
          <cell r="G69" t="str">
            <v>RU</v>
          </cell>
          <cell r="I69" t="str">
            <v>short_code</v>
          </cell>
          <cell r="J69" t="str">
            <v>Platform Short-codes</v>
          </cell>
          <cell r="L69" t="str">
            <v>Platform Short-codes</v>
          </cell>
          <cell r="M69" t="str">
            <v>SC</v>
          </cell>
        </row>
        <row r="70">
          <cell r="C70" t="str">
            <v>ru_ug</v>
          </cell>
          <cell r="D70" t="str">
            <v>RSS User to User Group Connections</v>
          </cell>
          <cell r="F70" t="str">
            <v>RSS User-User Group</v>
          </cell>
          <cell r="G70" t="str">
            <v>RUG</v>
          </cell>
          <cell r="I70" t="str">
            <v>job_code</v>
          </cell>
          <cell r="J70" t="str">
            <v>Profile</v>
          </cell>
          <cell r="L70" t="str">
            <v>Profile</v>
          </cell>
          <cell r="M70" t="str">
            <v>PR</v>
          </cell>
        </row>
        <row r="71">
          <cell r="C71" t="str">
            <v>sec_group</v>
          </cell>
          <cell r="D71" t="str">
            <v>Security Group</v>
          </cell>
          <cell r="F71" t="str">
            <v>Security Group</v>
          </cell>
          <cell r="G71" t="str">
            <v>SG</v>
          </cell>
          <cell r="I71" t="str">
            <v>jc_jc</v>
          </cell>
          <cell r="J71" t="str">
            <v>Profile to Profile Connections</v>
          </cell>
          <cell r="L71" t="str">
            <v>Profile-Profile</v>
          </cell>
          <cell r="M71" t="str">
            <v>PPC</v>
          </cell>
        </row>
        <row r="72">
          <cell r="C72" t="str">
            <v>sec_group_admin_rule</v>
          </cell>
          <cell r="D72" t="str">
            <v>Security Group to Access Rule Connections</v>
          </cell>
          <cell r="F72" t="str">
            <v>Security Group-Access Rule</v>
          </cell>
          <cell r="G72" t="str">
            <v>SGA</v>
          </cell>
          <cell r="I72" t="str">
            <v>jc_template</v>
          </cell>
          <cell r="J72" t="str">
            <v>Profile to Template Connections</v>
          </cell>
          <cell r="L72" t="str">
            <v>Profile-Template</v>
          </cell>
          <cell r="M72" t="str">
            <v>PTC</v>
          </cell>
        </row>
        <row r="73">
          <cell r="C73" t="str">
            <v>serials</v>
          </cell>
          <cell r="D73" t="str">
            <v>Serials</v>
          </cell>
          <cell r="F73" t="str">
            <v>Serials</v>
          </cell>
          <cell r="G73" t="str">
            <v>SER</v>
          </cell>
          <cell r="I73" t="str">
            <v>jc_groups</v>
          </cell>
          <cell r="J73" t="str">
            <v>Profile Groups</v>
          </cell>
          <cell r="L73" t="str">
            <v>Profile Groups</v>
          </cell>
          <cell r="M73" t="str">
            <v>PG</v>
          </cell>
        </row>
        <row r="74">
          <cell r="C74" t="str">
            <v>site_table</v>
          </cell>
          <cell r="D74" t="str">
            <v>Site Table</v>
          </cell>
          <cell r="F74" t="str">
            <v>Site Table</v>
          </cell>
          <cell r="G74" t="str">
            <v>ST</v>
          </cell>
          <cell r="I74" t="str">
            <v>res</v>
          </cell>
          <cell r="J74" t="str">
            <v>Resource</v>
          </cell>
          <cell r="L74" t="str">
            <v>Resource</v>
          </cell>
          <cell r="M74" t="str">
            <v>RES</v>
          </cell>
        </row>
        <row r="75">
          <cell r="C75" t="str">
            <v>template</v>
          </cell>
          <cell r="D75" t="str">
            <v>Template</v>
          </cell>
          <cell r="F75" t="str">
            <v>Template</v>
          </cell>
          <cell r="G75" t="str">
            <v>T</v>
          </cell>
          <cell r="I75" t="str">
            <v>res_type</v>
          </cell>
          <cell r="J75" t="str">
            <v>Resource Type</v>
          </cell>
          <cell r="L75" t="str">
            <v>Resource Type</v>
          </cell>
          <cell r="M75" t="str">
            <v>RT</v>
          </cell>
        </row>
        <row r="76">
          <cell r="C76" t="str">
            <v>trans</v>
          </cell>
          <cell r="D76" t="str">
            <v>Transaction</v>
          </cell>
          <cell r="F76" t="str">
            <v>Transaction</v>
          </cell>
          <cell r="G76" t="str">
            <v>X</v>
          </cell>
          <cell r="I76" t="str">
            <v>serials</v>
          </cell>
          <cell r="J76" t="str">
            <v>Serials</v>
          </cell>
          <cell r="L76" t="str">
            <v>Serials</v>
          </cell>
          <cell r="M76" t="str">
            <v>SER</v>
          </cell>
        </row>
        <row r="77">
          <cell r="C77" t="str">
            <v>trans_archive</v>
          </cell>
          <cell r="D77" t="str">
            <v>Transaction (Archived)</v>
          </cell>
          <cell r="F77" t="str">
            <v>Archived Transaction</v>
          </cell>
          <cell r="G77" t="str">
            <v>X+</v>
          </cell>
          <cell r="I77" t="str">
            <v>site_table</v>
          </cell>
          <cell r="J77" t="str">
            <v>Site Table</v>
          </cell>
          <cell r="L77" t="str">
            <v>Site Table</v>
          </cell>
          <cell r="M77" t="str">
            <v>STB</v>
          </cell>
        </row>
        <row r="78">
          <cell r="C78" t="str">
            <v>failed_trans</v>
          </cell>
          <cell r="D78" t="str">
            <v>Transactions &amp; Audit Trail</v>
          </cell>
          <cell r="F78" t="str">
            <v>Trans-Audit</v>
          </cell>
          <cell r="G78" t="str">
            <v>TRA</v>
          </cell>
          <cell r="I78" t="str">
            <v>template</v>
          </cell>
          <cell r="J78" t="str">
            <v>Template</v>
          </cell>
          <cell r="L78" t="str">
            <v>Template</v>
          </cell>
          <cell r="M78" t="str">
            <v>T</v>
          </cell>
        </row>
        <row r="79">
          <cell r="C79" t="str">
            <v>user_def_keyw</v>
          </cell>
          <cell r="D79" t="str">
            <v>User Defined Keywords</v>
          </cell>
          <cell r="F79" t="str">
            <v>User Defined Keywords</v>
          </cell>
          <cell r="G79" t="str">
            <v>UKW</v>
          </cell>
          <cell r="I79" t="str">
            <v>trans</v>
          </cell>
          <cell r="J79" t="str">
            <v>Transaction</v>
          </cell>
          <cell r="L79" t="str">
            <v>Transaction</v>
          </cell>
          <cell r="M79" t="str">
            <v>X</v>
          </cell>
        </row>
        <row r="80">
          <cell r="C80" t="str">
            <v>user_group</v>
          </cell>
          <cell r="D80" t="str">
            <v>User Group</v>
          </cell>
          <cell r="F80" t="str">
            <v>User Group</v>
          </cell>
          <cell r="G80" t="str">
            <v>UG</v>
          </cell>
          <cell r="I80" t="str">
            <v>trans_archive</v>
          </cell>
          <cell r="J80" t="str">
            <v>Transaction (Archived)</v>
          </cell>
          <cell r="L80" t="str">
            <v>Archived Transaction</v>
          </cell>
          <cell r="M80" t="str">
            <v>X+</v>
          </cell>
        </row>
        <row r="81">
          <cell r="C81" t="str">
            <v>user_jc_analysis</v>
          </cell>
          <cell r="D81" t="str">
            <v>User Job Code Analysis</v>
          </cell>
          <cell r="F81" t="str">
            <v>User JC Analysis</v>
          </cell>
          <cell r="G81" t="str">
            <v>PPA</v>
          </cell>
          <cell r="I81" t="str">
            <v>failed_trans</v>
          </cell>
          <cell r="J81" t="str">
            <v>Transactions &amp; Audit Trail</v>
          </cell>
          <cell r="L81" t="str">
            <v>Trans-Audit</v>
          </cell>
          <cell r="M81" t="str">
            <v>TRA</v>
          </cell>
        </row>
        <row r="82">
          <cell r="C82" t="str">
            <v>ug_jc</v>
          </cell>
          <cell r="D82" t="str">
            <v>User Group to Job Code Connections</v>
          </cell>
          <cell r="F82" t="str">
            <v>Profile-User Group</v>
          </cell>
          <cell r="G82" t="str">
            <v>UGJ</v>
          </cell>
          <cell r="I82" t="str">
            <v>user_def_keyw</v>
          </cell>
          <cell r="J82" t="str">
            <v>User Defined Keywords</v>
          </cell>
          <cell r="L82" t="str">
            <v>User Defined Keywords</v>
          </cell>
          <cell r="M82" t="str">
            <v>UKW</v>
          </cell>
        </row>
        <row r="83">
          <cell r="C83" t="str">
            <v>user_pref</v>
          </cell>
          <cell r="D83" t="str">
            <v>User Preferences</v>
          </cell>
          <cell r="F83" t="str">
            <v>User Preferences</v>
          </cell>
          <cell r="G83" t="str">
            <v>UP</v>
          </cell>
          <cell r="I83" t="str">
            <v>user_pref</v>
          </cell>
          <cell r="J83" t="str">
            <v>User Preferences</v>
          </cell>
          <cell r="L83" t="str">
            <v>User Preferences</v>
          </cell>
          <cell r="M83" t="str">
            <v>UP</v>
          </cell>
        </row>
      </sheetData>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ERY"/>
      <sheetName val="WORKBOOKS"/>
      <sheetName val="OPTIONS"/>
      <sheetName val="COUNTER"/>
      <sheetName val="EU-COUNT"/>
      <sheetName val="CONNECTION"/>
      <sheetName val="DEFINITIONS"/>
      <sheetName val="DEFINITIONS 2"/>
      <sheetName val="SQL"/>
      <sheetName val="COLUMNS"/>
      <sheetName val="KEYWORDS"/>
      <sheetName val="TODO LIST"/>
      <sheetName val="QUERIES"/>
      <sheetName val="COMMANDS"/>
    </sheetNames>
    <sheetDataSet>
      <sheetData sheetId="0">
        <row r="16">
          <cell r="AC16" t="str">
            <v>NEW</v>
          </cell>
        </row>
      </sheetData>
      <sheetData sheetId="1"/>
      <sheetData sheetId="2"/>
      <sheetData sheetId="3"/>
      <sheetData sheetId="4"/>
      <sheetData sheetId="5">
        <row r="24">
          <cell r="M24" t="str">
            <v>rss_name;rss_type;"res"=table_name;???</v>
          </cell>
          <cell r="AN24" t="str">
            <v>res_id;rss_name;rss_type;????</v>
          </cell>
        </row>
        <row r="26">
          <cell r="M26" t="str">
            <v>"rss"=table_name;"rss_name=%rss_name% rss_type=%rss_type%"=entity_key</v>
          </cell>
          <cell r="AN26" t="str">
            <v>rss_name;rss_type</v>
          </cell>
        </row>
        <row r="27">
          <cell r="M27" t="str">
            <v>rss_name;rss_type;"rss_admin"=table_name;"user_id=%user_id%"=entity_key</v>
          </cell>
        </row>
        <row r="28">
          <cell r="AM28" t="str">
            <v>rss_type</v>
          </cell>
        </row>
        <row r="30">
          <cell r="M30" t="str">
            <v>rss_name;rss_type;"rss_user"=table_name;"rss_user_name=%rss_user_name%"=entity_key</v>
          </cell>
        </row>
        <row r="38">
          <cell r="M38" t="str">
            <v>rss_name;rss_type;"template"=table_name;"template_name=%template_name% entity=%entity%"=entity_key</v>
          </cell>
          <cell r="AC38" t="str">
            <v>rss_type</v>
          </cell>
        </row>
        <row r="39">
          <cell r="F39" t="str">
            <v>ace_id;res_id;rss_name;rss_type;rss_user_name;???</v>
          </cell>
          <cell r="Y39" t="str">
            <v>res_id;rss_name;rss_type;????</v>
          </cell>
        </row>
      </sheetData>
      <sheetData sheetId="6">
        <row r="3">
          <cell r="I3" t="str">
            <v>ru_ug</v>
          </cell>
          <cell r="J3" t="str">
            <v>Account to Group Connections</v>
          </cell>
          <cell r="O3" t="str">
            <v>ACL_LOAD</v>
          </cell>
        </row>
        <row r="4">
          <cell r="I4" t="str">
            <v>ace</v>
          </cell>
          <cell r="J4" t="str">
            <v>ACE</v>
          </cell>
          <cell r="O4" t="str">
            <v>CANCEL_DOWNLOAD</v>
          </cell>
        </row>
        <row r="5">
          <cell r="I5" t="str">
            <v>keyword_all</v>
          </cell>
          <cell r="J5" t="str">
            <v>Active Keywords</v>
          </cell>
          <cell r="O5" t="str">
            <v>CANCEL_TRANS</v>
          </cell>
          <cell r="P5" t="str">
            <v>trans WITH serial="…" , short_name="--"</v>
          </cell>
        </row>
        <row r="6">
          <cell r="I6" t="str">
            <v>rss_type_active_key</v>
          </cell>
          <cell r="J6" t="str">
            <v>Active Managed System Types</v>
          </cell>
          <cell r="O6" t="str">
            <v>CHANGE_ESS_PWD</v>
          </cell>
        </row>
        <row r="7">
          <cell r="I7" t="str">
            <v>sec_group_admin_rule</v>
          </cell>
          <cell r="J7" t="str">
            <v>Admin Group to Access Rule Connections</v>
          </cell>
          <cell r="O7" t="str">
            <v>CHANGE_PASSWORD</v>
          </cell>
          <cell r="P7" t="str">
            <v>pw_entity WITH key_fields USE_PASSWORD= new_password</v>
          </cell>
        </row>
        <row r="8">
          <cell r="I8" t="str">
            <v>alarm_archive</v>
          </cell>
          <cell r="J8" t="str">
            <v>Alerts (Archived)</v>
          </cell>
          <cell r="O8" t="str">
            <v>CONNECT</v>
          </cell>
          <cell r="P8" t="str">
            <v>entity_conn TO entity_conn WITH key_fields [SET data_fields] [TEMPLATE= name] [RU_ID="ru,rss,type[,user_id"] [SIMULATE=1]</v>
          </cell>
        </row>
        <row r="9">
          <cell r="I9" t="str">
            <v>audit_trail_archive</v>
          </cell>
          <cell r="J9" t="str">
            <v>Audit (Archived)</v>
          </cell>
          <cell r="O9" t="str">
            <v>DELETE</v>
          </cell>
          <cell r="P9" t="str">
            <v>entity WITH retrieval_fields [SET data_fields] [SIMULATE=1]</v>
          </cell>
        </row>
        <row r="10">
          <cell r="I10" t="str">
            <v>audit_info</v>
          </cell>
          <cell r="J10" t="str">
            <v>Audit Details</v>
          </cell>
          <cell r="O10" t="str">
            <v>DELETE_ALL</v>
          </cell>
          <cell r="P10" t="str">
            <v>entity WITH retrieval_fields [SET data_fields]</v>
          </cell>
        </row>
        <row r="11">
          <cell r="I11" t="str">
            <v>audit_info_archive</v>
          </cell>
          <cell r="J11" t="str">
            <v>Audit Details (Archived)</v>
          </cell>
          <cell r="O11" t="str">
            <v>DISCONNECT</v>
          </cell>
          <cell r="P11" t="str">
            <v>entity_conn FROM entity_conn WITH key_fields [SIMULATE=1]</v>
          </cell>
        </row>
        <row r="12">
          <cell r="I12" t="str">
            <v>audit_trans</v>
          </cell>
          <cell r="J12" t="str">
            <v>Audit &amp; Transaction</v>
          </cell>
          <cell r="O12" t="str">
            <v>DISCONNECT_ALL</v>
          </cell>
          <cell r="P12" t="str">
            <v>entity_conn FROM entity_conn WITH retrieval_fields</v>
          </cell>
        </row>
        <row r="13">
          <cell r="I13" t="str">
            <v>admin_admin_rule</v>
          </cell>
          <cell r="J13" t="str">
            <v>ESS Administrator to Access Rules Connections</v>
          </cell>
          <cell r="O13" t="str">
            <v>DOWNLOAD</v>
          </cell>
        </row>
        <row r="14">
          <cell r="I14" t="str">
            <v>global_parm</v>
          </cell>
          <cell r="J14" t="str">
            <v>Global Parameters</v>
          </cell>
          <cell r="O14" t="str">
            <v>DUPLICATE_REC</v>
          </cell>
        </row>
        <row r="15">
          <cell r="I15" t="str">
            <v>global_parm</v>
          </cell>
          <cell r="J15" t="str">
            <v>Global Parameters</v>
          </cell>
          <cell r="O15" t="str">
            <v>EXECUTE</v>
          </cell>
        </row>
        <row r="16">
          <cell r="I16" t="str">
            <v>ug_jc</v>
          </cell>
          <cell r="J16" t="str">
            <v>Group to Profile Connections</v>
          </cell>
          <cell r="O16" t="str">
            <v>ESS_CONFIG</v>
          </cell>
        </row>
        <row r="17">
          <cell r="I17" t="str">
            <v>rsstype_keyword</v>
          </cell>
          <cell r="J17" t="str">
            <v>Keyword to Managed System Type Connections</v>
          </cell>
          <cell r="O17" t="str">
            <v>GET_FIELDS_VALUE</v>
          </cell>
        </row>
        <row r="18">
          <cell r="I18" t="str">
            <v>all_ent_user</v>
          </cell>
          <cell r="J18" t="str">
            <v>Person (Normalized)</v>
          </cell>
          <cell r="O18" t="str">
            <v>HANDLE_ACTION</v>
          </cell>
        </row>
        <row r="19">
          <cell r="I19" t="str">
            <v>user_jc</v>
          </cell>
          <cell r="J19" t="str">
            <v>Person to Profile Connections</v>
          </cell>
          <cell r="O19" t="str">
            <v>INSERT</v>
          </cell>
          <cell r="P19" t="str">
            <v>entity [WITH key_fields] [SET data_fields] [TEMPLATE= name]</v>
          </cell>
        </row>
        <row r="20">
          <cell r="I20" t="str">
            <v>user_jc_rss</v>
          </cell>
          <cell r="J20" t="str">
            <v>Person to Profile to Account Details</v>
          </cell>
          <cell r="O20" t="str">
            <v>MARK</v>
          </cell>
        </row>
        <row r="21">
          <cell r="I21" t="str">
            <v>user_jc_analysis</v>
          </cell>
          <cell r="J21" t="str">
            <v>Person Profile Analysis</v>
          </cell>
          <cell r="O21" t="str">
            <v>PARTIAL_SYNC</v>
          </cell>
        </row>
        <row r="22">
          <cell r="I22" t="str">
            <v>short_code</v>
          </cell>
          <cell r="J22" t="str">
            <v>Platform Short-codes</v>
          </cell>
          <cell r="O22" t="str">
            <v>PWD_CHANGE</v>
          </cell>
        </row>
        <row r="23">
          <cell r="I23" t="str">
            <v>jc_jc</v>
          </cell>
          <cell r="J23" t="str">
            <v>Profile to Profile Connections</v>
          </cell>
          <cell r="O23" t="str">
            <v>READ</v>
          </cell>
          <cell r="P23" t="str">
            <v>read_fields FROM entity/connection WITH key_fields</v>
          </cell>
        </row>
        <row r="24">
          <cell r="I24" t="str">
            <v>jc_template</v>
          </cell>
          <cell r="J24" t="str">
            <v>Profile to Template Connections</v>
          </cell>
          <cell r="O24" t="str">
            <v>READ_ALL</v>
          </cell>
          <cell r="P24" t="str">
            <v>[top(#)] read_fields FROM entity/connection [WITH retrieval_fields] [order by sort_field, sort_field [DESC]]  JOIN  READ_ALL ..</v>
          </cell>
        </row>
        <row r="25">
          <cell r="I25" t="str">
            <v>jc_groups</v>
          </cell>
          <cell r="J25" t="str">
            <v>Profile Groups</v>
          </cell>
          <cell r="O25" t="str">
            <v>REFRESH</v>
          </cell>
          <cell r="P25" t="str">
            <v>entity WITH key_fields [SET data_fields]</v>
          </cell>
        </row>
        <row r="26">
          <cell r="I26" t="str">
            <v>serials</v>
          </cell>
          <cell r="J26" t="str">
            <v>Serials</v>
          </cell>
          <cell r="O26" t="str">
            <v>REFRESH_ALL</v>
          </cell>
          <cell r="P26" t="str">
            <v>entity WITH key_fields [SET data_fields]</v>
          </cell>
        </row>
        <row r="27">
          <cell r="I27" t="str">
            <v>trans_archive</v>
          </cell>
          <cell r="J27" t="str">
            <v>Transaction (Archived)</v>
          </cell>
          <cell r="O27" t="str">
            <v>RESET_TRANS</v>
          </cell>
          <cell r="P27" t="str">
            <v>trans WITH serial="…" , short_name="--"</v>
          </cell>
        </row>
        <row r="28">
          <cell r="I28" t="str">
            <v>failed_trans</v>
          </cell>
          <cell r="J28" t="str">
            <v>Transactions &amp; Audit Trail</v>
          </cell>
          <cell r="O28" t="str">
            <v>RESOURCE_LOAD</v>
          </cell>
          <cell r="P28" t="str">
            <v>res WITH res_id = "-1" , user_name = "-" , res_name = "..." , res_type = "..." , rss_name = "..." , rss_type = "..." [RES_LOAD_MODE = "INCREMENTAL" ACL_LOAD = "1"]</v>
          </cell>
        </row>
        <row r="29">
          <cell r="I29" t="str">
            <v>user_def_keyw</v>
          </cell>
          <cell r="J29" t="str">
            <v>User Defined Keywords</v>
          </cell>
          <cell r="O29" t="str">
            <v>RESTART_DOWNLOAD</v>
          </cell>
        </row>
        <row r="30">
          <cell r="I30" t="str">
            <v>user_pref</v>
          </cell>
          <cell r="J30" t="str">
            <v>User Preferences</v>
          </cell>
          <cell r="O30" t="str">
            <v>RESTORE</v>
          </cell>
          <cell r="P30" t="str">
            <v>entity WITH key_fields [USE_PASSWORD= new_password]</v>
          </cell>
        </row>
        <row r="31">
          <cell r="O31" t="str">
            <v>RESTORE_ALL</v>
          </cell>
          <cell r="P31" t="str">
            <v>entity WITH retrieval_fields [USE_PASSWORD= new_password]</v>
          </cell>
        </row>
        <row r="32">
          <cell r="O32" t="str">
            <v>RETRY_TRANS</v>
          </cell>
          <cell r="P32" t="str">
            <v>trans WITH serial = "12345"  ,  short_name = "RU"</v>
          </cell>
        </row>
        <row r="33">
          <cell r="C33" t="str">
            <v>admin_rule</v>
          </cell>
          <cell r="D33" t="str">
            <v>Access Rules</v>
          </cell>
          <cell r="F33" t="str">
            <v>Access Rules</v>
          </cell>
          <cell r="G33" t="str">
            <v>AR</v>
          </cell>
          <cell r="I33" t="str">
            <v>admin_rule</v>
          </cell>
          <cell r="J33" t="str">
            <v>Access Rules</v>
          </cell>
          <cell r="L33" t="str">
            <v>Access Rules</v>
          </cell>
          <cell r="M33" t="str">
            <v>AR</v>
          </cell>
          <cell r="O33" t="str">
            <v>REVOKE</v>
          </cell>
          <cell r="P33" t="str">
            <v>entity WITH key_fields</v>
          </cell>
        </row>
        <row r="34">
          <cell r="C34" t="str">
            <v>ace</v>
          </cell>
          <cell r="D34" t="str">
            <v>ACE</v>
          </cell>
          <cell r="F34" t="str">
            <v>ACE</v>
          </cell>
          <cell r="G34" t="str">
            <v>ACE</v>
          </cell>
          <cell r="I34" t="str">
            <v>rss_user</v>
          </cell>
          <cell r="J34" t="str">
            <v>Account</v>
          </cell>
          <cell r="L34" t="str">
            <v>Account</v>
          </cell>
          <cell r="M34" t="str">
            <v>A</v>
          </cell>
          <cell r="O34" t="str">
            <v>REVOKE_ALL</v>
          </cell>
          <cell r="P34" t="str">
            <v>entity WITH retrieval_fields</v>
          </cell>
        </row>
        <row r="35">
          <cell r="C35" t="str">
            <v>keyword_all</v>
          </cell>
          <cell r="D35" t="str">
            <v>Active Keywords</v>
          </cell>
          <cell r="F35" t="str">
            <v>All Keywords</v>
          </cell>
          <cell r="G35" t="str">
            <v>AKW</v>
          </cell>
          <cell r="I35" t="str">
            <v>ru_ug</v>
          </cell>
          <cell r="J35" t="str">
            <v>Account to Group Connections</v>
          </cell>
          <cell r="L35" t="str">
            <v>Account-Group</v>
          </cell>
          <cell r="M35" t="str">
            <v>AGC</v>
          </cell>
          <cell r="O35" t="str">
            <v>SAVE_DEFINITION</v>
          </cell>
          <cell r="P35" t="str">
            <v>rules | keyword WITH entity=entity</v>
          </cell>
        </row>
        <row r="36">
          <cell r="C36" t="str">
            <v>rss_type_active_key</v>
          </cell>
          <cell r="D36" t="str">
            <v>Active RSS Types</v>
          </cell>
          <cell r="F36" t="str">
            <v>RSS Type</v>
          </cell>
          <cell r="G36" t="str">
            <v>ART</v>
          </cell>
          <cell r="I36" t="str">
            <v>ace</v>
          </cell>
          <cell r="J36" t="str">
            <v>ACE</v>
          </cell>
          <cell r="L36" t="str">
            <v>ACE</v>
          </cell>
          <cell r="M36" t="str">
            <v>ACE</v>
          </cell>
          <cell r="O36" t="str">
            <v>SET_ENCRYPT</v>
          </cell>
        </row>
        <row r="37">
          <cell r="C37" t="str">
            <v>alarm</v>
          </cell>
          <cell r="D37" t="str">
            <v>Alerts</v>
          </cell>
          <cell r="F37" t="str">
            <v>Alerts</v>
          </cell>
          <cell r="G37" t="str">
            <v>ALT</v>
          </cell>
          <cell r="I37" t="str">
            <v>keyword_all</v>
          </cell>
          <cell r="J37" t="str">
            <v>Active Keywords</v>
          </cell>
          <cell r="L37" t="str">
            <v>All Keywords</v>
          </cell>
          <cell r="M37" t="str">
            <v>AKW</v>
          </cell>
          <cell r="O37" t="str">
            <v>SETTRACE</v>
          </cell>
        </row>
        <row r="38">
          <cell r="C38" t="str">
            <v>alarm_archive</v>
          </cell>
          <cell r="D38" t="str">
            <v>Alerts (Archived)</v>
          </cell>
          <cell r="F38" t="str">
            <v>Archived Alerts</v>
          </cell>
          <cell r="G38" t="str">
            <v>ALT+</v>
          </cell>
          <cell r="I38" t="str">
            <v>rss_type_active_key</v>
          </cell>
          <cell r="J38" t="str">
            <v>Active Managed System Types</v>
          </cell>
          <cell r="L38" t="str">
            <v>Managed System Type</v>
          </cell>
          <cell r="M38" t="str">
            <v>AST</v>
          </cell>
          <cell r="O38" t="str">
            <v>SIMULATE</v>
          </cell>
        </row>
        <row r="39">
          <cell r="C39" t="str">
            <v>audit_trail</v>
          </cell>
          <cell r="D39" t="str">
            <v>Audit</v>
          </cell>
          <cell r="F39" t="str">
            <v>Audit</v>
          </cell>
          <cell r="G39" t="str">
            <v>AUD</v>
          </cell>
          <cell r="I39" t="str">
            <v>sec_group</v>
          </cell>
          <cell r="J39" t="str">
            <v>Admin Group</v>
          </cell>
          <cell r="L39" t="str">
            <v>Admin Group</v>
          </cell>
          <cell r="M39" t="str">
            <v>AG</v>
          </cell>
          <cell r="O39" t="str">
            <v>START</v>
          </cell>
        </row>
        <row r="40">
          <cell r="C40" t="str">
            <v>audit_trail_archive</v>
          </cell>
          <cell r="D40" t="str">
            <v>Audit (Archived)</v>
          </cell>
          <cell r="F40" t="str">
            <v>Archived Audit</v>
          </cell>
          <cell r="G40" t="str">
            <v>AUD+</v>
          </cell>
          <cell r="I40" t="str">
            <v>sec_group_admin_rule</v>
          </cell>
          <cell r="J40" t="str">
            <v>Admin Group to Access Rule Connections</v>
          </cell>
          <cell r="L40" t="str">
            <v>Admin Group-Access Rule</v>
          </cell>
          <cell r="M40" t="str">
            <v>AGA</v>
          </cell>
          <cell r="O40" t="str">
            <v>STOP</v>
          </cell>
        </row>
        <row r="41">
          <cell r="C41" t="str">
            <v>audit_info</v>
          </cell>
          <cell r="D41" t="str">
            <v>Audit Details</v>
          </cell>
          <cell r="F41" t="str">
            <v>Audit Key</v>
          </cell>
          <cell r="G41" t="str">
            <v>ADD</v>
          </cell>
          <cell r="I41" t="str">
            <v>alarm</v>
          </cell>
          <cell r="J41" t="str">
            <v>Alerts</v>
          </cell>
          <cell r="L41" t="str">
            <v>Alerts</v>
          </cell>
          <cell r="M41" t="str">
            <v>ALT</v>
          </cell>
          <cell r="O41" t="str">
            <v>SYNC</v>
          </cell>
          <cell r="P41" t="str">
            <v>entity WITH key_fields</v>
          </cell>
        </row>
        <row r="42">
          <cell r="C42" t="str">
            <v>audit_info_archive</v>
          </cell>
          <cell r="D42" t="str">
            <v>Audit Details (Archived)</v>
          </cell>
          <cell r="F42" t="str">
            <v>Archived Audit Key</v>
          </cell>
          <cell r="G42" t="str">
            <v>ADD+</v>
          </cell>
          <cell r="I42" t="str">
            <v>alarm_archive</v>
          </cell>
          <cell r="J42" t="str">
            <v>Alerts (Archived)</v>
          </cell>
          <cell r="L42" t="str">
            <v>Archived Alerts</v>
          </cell>
          <cell r="M42" t="str">
            <v>ALT+</v>
          </cell>
          <cell r="O42" t="str">
            <v>SYNC_ALL</v>
          </cell>
          <cell r="P42" t="str">
            <v>entity WITH retrieval_fields</v>
          </cell>
        </row>
        <row r="43">
          <cell r="C43" t="str">
            <v>audit_trans</v>
          </cell>
          <cell r="D43" t="str">
            <v>Audit &amp; Transaction</v>
          </cell>
          <cell r="F43" t="str">
            <v>Audit-Trans</v>
          </cell>
          <cell r="G43" t="str">
            <v>AUT</v>
          </cell>
          <cell r="I43" t="str">
            <v>audit_trail</v>
          </cell>
          <cell r="J43" t="str">
            <v>Audit</v>
          </cell>
          <cell r="L43" t="str">
            <v>Audit</v>
          </cell>
          <cell r="M43" t="str">
            <v>AUD</v>
          </cell>
          <cell r="O43" t="str">
            <v>UNLOCK</v>
          </cell>
          <cell r="P43" t="str">
            <v>rss_user WITH key_fields [USE_PASSWORD=new_password]</v>
          </cell>
        </row>
        <row r="44">
          <cell r="C44" t="str">
            <v>oe</v>
          </cell>
          <cell r="D44" t="str">
            <v>Container</v>
          </cell>
          <cell r="F44" t="str">
            <v>Container</v>
          </cell>
          <cell r="G44" t="str">
            <v>OE</v>
          </cell>
          <cell r="I44" t="str">
            <v>audit_trail_archive</v>
          </cell>
          <cell r="J44" t="str">
            <v>Audit (Archived)</v>
          </cell>
          <cell r="L44" t="str">
            <v>Archived Audit</v>
          </cell>
          <cell r="M44" t="str">
            <v>AUD+</v>
          </cell>
          <cell r="O44" t="str">
            <v>UPDATE</v>
          </cell>
          <cell r="P44" t="str">
            <v>entity WITH key_fields SET data_fields</v>
          </cell>
        </row>
        <row r="45">
          <cell r="C45" t="str">
            <v>ent_user</v>
          </cell>
          <cell r="D45" t="str">
            <v>Enterprise User</v>
          </cell>
          <cell r="F45" t="str">
            <v>Enterprise User</v>
          </cell>
          <cell r="G45" t="str">
            <v>EU</v>
          </cell>
          <cell r="I45" t="str">
            <v>audit_info</v>
          </cell>
          <cell r="J45" t="str">
            <v>Audit Details</v>
          </cell>
          <cell r="L45" t="str">
            <v>Audit Key</v>
          </cell>
          <cell r="M45" t="str">
            <v>ADD</v>
          </cell>
          <cell r="O45" t="str">
            <v>UPDATE_ALL</v>
          </cell>
          <cell r="P45" t="str">
            <v>entity WITH retrieval_fields SET data_fields</v>
          </cell>
        </row>
        <row r="46">
          <cell r="C46" t="str">
            <v>all_ent_user</v>
          </cell>
          <cell r="D46" t="str">
            <v>Enterprise User (Normalized)</v>
          </cell>
          <cell r="F46" t="str">
            <v>Normalized Enterprise User</v>
          </cell>
          <cell r="G46" t="str">
            <v>EU+</v>
          </cell>
          <cell r="I46" t="str">
            <v>audit_info_archive</v>
          </cell>
          <cell r="J46" t="str">
            <v>Audit Details (Archived)</v>
          </cell>
          <cell r="L46" t="str">
            <v>Archived Audit Key</v>
          </cell>
          <cell r="M46" t="str">
            <v>ADD+</v>
          </cell>
        </row>
        <row r="47">
          <cell r="C47" t="str">
            <v>user_jc</v>
          </cell>
          <cell r="D47" t="str">
            <v>Enterprise User to Job Code Connections</v>
          </cell>
          <cell r="F47" t="str">
            <v>Enterprise User-Profile</v>
          </cell>
          <cell r="G47" t="str">
            <v>EJC</v>
          </cell>
          <cell r="I47" t="str">
            <v>audit_trans</v>
          </cell>
          <cell r="J47" t="str">
            <v>Audit &amp; Transaction</v>
          </cell>
          <cell r="L47" t="str">
            <v>Audit-Trans</v>
          </cell>
          <cell r="M47" t="str">
            <v>AUT</v>
          </cell>
        </row>
        <row r="48">
          <cell r="C48" t="str">
            <v>user_jc_rss</v>
          </cell>
          <cell r="D48" t="str">
            <v>Enterprise User to Job Code to RSS User Details</v>
          </cell>
          <cell r="F48" t="str">
            <v>User-Profile-RSS</v>
          </cell>
          <cell r="G48" t="str">
            <v>EJR</v>
          </cell>
          <cell r="I48" t="str">
            <v>oe</v>
          </cell>
          <cell r="J48" t="str">
            <v>Container</v>
          </cell>
          <cell r="L48" t="str">
            <v>Container</v>
          </cell>
          <cell r="M48" t="str">
            <v>C</v>
          </cell>
        </row>
        <row r="49">
          <cell r="C49" t="str">
            <v>admin</v>
          </cell>
          <cell r="D49" t="str">
            <v>ESS Administrator</v>
          </cell>
          <cell r="F49" t="str">
            <v>ESS Administrator</v>
          </cell>
          <cell r="G49" t="str">
            <v>ADM</v>
          </cell>
          <cell r="I49" t="str">
            <v>admin</v>
          </cell>
          <cell r="J49" t="str">
            <v>ESS Administrator</v>
          </cell>
          <cell r="L49" t="str">
            <v>ESS Administrator</v>
          </cell>
          <cell r="M49" t="str">
            <v>ADM</v>
          </cell>
        </row>
        <row r="50">
          <cell r="C50" t="str">
            <v>admin_admin_rule</v>
          </cell>
          <cell r="D50" t="str">
            <v>ESS Administrator to Access Rules Connections</v>
          </cell>
          <cell r="F50" t="str">
            <v>Admin-Access Rule</v>
          </cell>
          <cell r="G50" t="str">
            <v>AAR</v>
          </cell>
          <cell r="I50" t="str">
            <v>admin_admin_rule</v>
          </cell>
          <cell r="J50" t="str">
            <v>ESS Administrator to Access Rules Connections</v>
          </cell>
          <cell r="L50" t="str">
            <v>Admin-Access Rule</v>
          </cell>
          <cell r="M50" t="str">
            <v>AAR</v>
          </cell>
        </row>
        <row r="51">
          <cell r="C51" t="str">
            <v>admin_sec_group</v>
          </cell>
          <cell r="D51" t="str">
            <v>ESS Administrator to Security Group Connections</v>
          </cell>
          <cell r="F51" t="str">
            <v>Admin-Security Group</v>
          </cell>
          <cell r="G51" t="str">
            <v>ASG</v>
          </cell>
          <cell r="I51" t="str">
            <v>admin_sec_group</v>
          </cell>
          <cell r="J51" t="str">
            <v>ESS Administrator to Admin Group Connections</v>
          </cell>
          <cell r="L51" t="str">
            <v>Admin-Security Group</v>
          </cell>
          <cell r="M51" t="str">
            <v>AAG</v>
          </cell>
        </row>
        <row r="52">
          <cell r="C52" t="str">
            <v>gtw</v>
          </cell>
          <cell r="D52" t="str">
            <v>Gateway</v>
          </cell>
          <cell r="F52" t="str">
            <v>Gateway</v>
          </cell>
          <cell r="G52" t="str">
            <v>GTW</v>
          </cell>
          <cell r="I52" t="str">
            <v>gtw</v>
          </cell>
          <cell r="J52" t="str">
            <v>Gateway</v>
          </cell>
          <cell r="L52" t="str">
            <v>Gateway</v>
          </cell>
          <cell r="M52" t="str">
            <v>GTW</v>
          </cell>
        </row>
        <row r="53">
          <cell r="C53" t="str">
            <v>global_parm</v>
          </cell>
          <cell r="D53" t="str">
            <v>Global Parameters</v>
          </cell>
          <cell r="F53" t="str">
            <v>Global Parameters</v>
          </cell>
          <cell r="G53" t="str">
            <v>GLB</v>
          </cell>
          <cell r="I53" t="str">
            <v>global_parm</v>
          </cell>
          <cell r="J53" t="str">
            <v>Global Parameters</v>
          </cell>
          <cell r="L53" t="str">
            <v>Global Parameters</v>
          </cell>
          <cell r="M53" t="str">
            <v>GLB</v>
          </cell>
        </row>
        <row r="54">
          <cell r="C54" t="str">
            <v>job_code</v>
          </cell>
          <cell r="D54" t="str">
            <v>Job Code</v>
          </cell>
          <cell r="F54" t="str">
            <v>Profile</v>
          </cell>
          <cell r="G54" t="str">
            <v>JC</v>
          </cell>
          <cell r="I54" t="str">
            <v>user_group</v>
          </cell>
          <cell r="J54" t="str">
            <v>Group</v>
          </cell>
          <cell r="L54" t="str">
            <v>Group</v>
          </cell>
          <cell r="M54" t="str">
            <v>G</v>
          </cell>
        </row>
        <row r="55">
          <cell r="C55" t="str">
            <v>jc_jc</v>
          </cell>
          <cell r="D55" t="str">
            <v>Job Code to Job Code Connections</v>
          </cell>
          <cell r="F55" t="str">
            <v>Profile-Profile</v>
          </cell>
          <cell r="G55" t="str">
            <v>JJC</v>
          </cell>
          <cell r="I55" t="str">
            <v>ug_jc</v>
          </cell>
          <cell r="J55" t="str">
            <v>Group to Profile Connections</v>
          </cell>
          <cell r="L55" t="str">
            <v>Profile-Group</v>
          </cell>
          <cell r="M55" t="str">
            <v>GPR</v>
          </cell>
        </row>
        <row r="56">
          <cell r="C56" t="str">
            <v>jc_template</v>
          </cell>
          <cell r="D56" t="str">
            <v>Job Code to Template Connections</v>
          </cell>
          <cell r="F56" t="str">
            <v>Profile-Template</v>
          </cell>
          <cell r="G56" t="str">
            <v>JT</v>
          </cell>
          <cell r="I56" t="str">
            <v>keyword</v>
          </cell>
          <cell r="J56" t="str">
            <v>Keyword</v>
          </cell>
          <cell r="L56" t="str">
            <v>Keyword</v>
          </cell>
          <cell r="M56" t="str">
            <v>KW</v>
          </cell>
        </row>
        <row r="57">
          <cell r="C57" t="str">
            <v>jc_groups</v>
          </cell>
          <cell r="D57" t="str">
            <v>Job Code User Groups</v>
          </cell>
          <cell r="F57" t="str">
            <v>Job Code User Groups</v>
          </cell>
          <cell r="G57" t="str">
            <v>PG</v>
          </cell>
          <cell r="I57" t="str">
            <v>rules</v>
          </cell>
          <cell r="J57" t="str">
            <v>Keyword Rules</v>
          </cell>
          <cell r="L57" t="str">
            <v>Keyword Rules</v>
          </cell>
          <cell r="M57" t="str">
            <v>RUL</v>
          </cell>
        </row>
        <row r="58">
          <cell r="C58" t="str">
            <v>keyword</v>
          </cell>
          <cell r="D58" t="str">
            <v>Keyword</v>
          </cell>
          <cell r="F58" t="str">
            <v>Keyword</v>
          </cell>
          <cell r="G58" t="str">
            <v>KW</v>
          </cell>
          <cell r="I58" t="str">
            <v>rsstype_keyword</v>
          </cell>
          <cell r="J58" t="str">
            <v>Keyword to Managed System Type Connections</v>
          </cell>
          <cell r="L58" t="str">
            <v>Managed System Type-Keyword</v>
          </cell>
          <cell r="M58" t="str">
            <v>KST</v>
          </cell>
        </row>
        <row r="59">
          <cell r="C59" t="str">
            <v>rules</v>
          </cell>
          <cell r="D59" t="str">
            <v>Keyword Rules</v>
          </cell>
          <cell r="F59" t="str">
            <v>Keyword Rules</v>
          </cell>
          <cell r="G59" t="str">
            <v>RUL</v>
          </cell>
          <cell r="I59" t="str">
            <v>rss</v>
          </cell>
          <cell r="J59" t="str">
            <v>Managed System</v>
          </cell>
          <cell r="L59" t="str">
            <v>Managed System</v>
          </cell>
          <cell r="M59" t="str">
            <v>S</v>
          </cell>
        </row>
        <row r="60">
          <cell r="C60" t="str">
            <v>rsstype_keyword</v>
          </cell>
          <cell r="D60" t="str">
            <v>Keyword to RSS Type Connections</v>
          </cell>
          <cell r="F60" t="str">
            <v>RSS Type-Keyword</v>
          </cell>
          <cell r="G60" t="str">
            <v>KRT</v>
          </cell>
          <cell r="I60" t="str">
            <v>rss_admin</v>
          </cell>
          <cell r="J60" t="str">
            <v>Managed System Administrator</v>
          </cell>
          <cell r="L60" t="str">
            <v>Managed System Administrator</v>
          </cell>
          <cell r="M60" t="str">
            <v>SA</v>
          </cell>
        </row>
        <row r="61">
          <cell r="C61" t="str">
            <v>org</v>
          </cell>
          <cell r="D61" t="str">
            <v>Organization</v>
          </cell>
          <cell r="F61" t="str">
            <v>Organization</v>
          </cell>
          <cell r="G61" t="str">
            <v>ORG</v>
          </cell>
          <cell r="I61" t="str">
            <v>rss_type</v>
          </cell>
          <cell r="J61" t="str">
            <v>Managed System Type</v>
          </cell>
          <cell r="L61" t="str">
            <v>Managed System Type</v>
          </cell>
          <cell r="M61" t="str">
            <v>ST</v>
          </cell>
        </row>
        <row r="62">
          <cell r="C62" t="str">
            <v>platform</v>
          </cell>
          <cell r="D62" t="str">
            <v>Platform</v>
          </cell>
          <cell r="F62" t="str">
            <v>Platform</v>
          </cell>
          <cell r="G62" t="str">
            <v>PLF</v>
          </cell>
          <cell r="I62" t="str">
            <v>org</v>
          </cell>
          <cell r="J62" t="str">
            <v>Organization</v>
          </cell>
          <cell r="L62" t="str">
            <v>Organization</v>
          </cell>
          <cell r="M62" t="str">
            <v>ORG</v>
          </cell>
        </row>
        <row r="63">
          <cell r="C63" t="str">
            <v>short_code</v>
          </cell>
          <cell r="D63" t="str">
            <v>Platform Short-codes</v>
          </cell>
          <cell r="F63" t="str">
            <v>Platform Short-codes</v>
          </cell>
          <cell r="G63" t="str">
            <v>SC</v>
          </cell>
          <cell r="I63" t="str">
            <v>ent_user</v>
          </cell>
          <cell r="J63" t="str">
            <v>Person</v>
          </cell>
          <cell r="L63" t="str">
            <v>Person</v>
          </cell>
          <cell r="M63" t="str">
            <v>P</v>
          </cell>
        </row>
        <row r="64">
          <cell r="C64" t="str">
            <v>res</v>
          </cell>
          <cell r="D64" t="str">
            <v>Resource</v>
          </cell>
          <cell r="F64" t="str">
            <v>Resource</v>
          </cell>
          <cell r="G64" t="str">
            <v>RES</v>
          </cell>
          <cell r="I64" t="str">
            <v>all_ent_user</v>
          </cell>
          <cell r="J64" t="str">
            <v>Person (Normalized)</v>
          </cell>
          <cell r="L64" t="str">
            <v>Normalized Person</v>
          </cell>
          <cell r="M64" t="str">
            <v>P+</v>
          </cell>
        </row>
        <row r="65">
          <cell r="C65" t="str">
            <v>res_type</v>
          </cell>
          <cell r="D65" t="str">
            <v>Resource Type</v>
          </cell>
          <cell r="F65" t="str">
            <v>Resource Type</v>
          </cell>
          <cell r="G65" t="str">
            <v>RT</v>
          </cell>
          <cell r="I65" t="str">
            <v>user_jc</v>
          </cell>
          <cell r="J65" t="str">
            <v>Person to Profile Connections</v>
          </cell>
          <cell r="L65" t="str">
            <v>Person-Profile</v>
          </cell>
          <cell r="M65" t="str">
            <v>PPR</v>
          </cell>
        </row>
        <row r="66">
          <cell r="C66" t="str">
            <v>rss</v>
          </cell>
          <cell r="D66" t="str">
            <v>RSS</v>
          </cell>
          <cell r="F66" t="str">
            <v>RSS</v>
          </cell>
          <cell r="G66" t="str">
            <v>RSS</v>
          </cell>
          <cell r="I66" t="str">
            <v>user_jc_rss</v>
          </cell>
          <cell r="J66" t="str">
            <v>Person to Profile to Account Details</v>
          </cell>
          <cell r="L66" t="str">
            <v>Person-Profile-Managed System</v>
          </cell>
          <cell r="M66" t="str">
            <v>PA</v>
          </cell>
        </row>
        <row r="67">
          <cell r="C67" t="str">
            <v>rss_admin</v>
          </cell>
          <cell r="D67" t="str">
            <v>RSS Administrator</v>
          </cell>
          <cell r="F67" t="str">
            <v>RSS Administrator</v>
          </cell>
          <cell r="G67" t="str">
            <v>RA</v>
          </cell>
          <cell r="I67" t="str">
            <v>user_jc_analysis</v>
          </cell>
          <cell r="J67" t="str">
            <v>Person Profile Analysis</v>
          </cell>
          <cell r="L67" t="str">
            <v>Person Prof Analysis</v>
          </cell>
          <cell r="M67" t="str">
            <v>PPA</v>
          </cell>
        </row>
        <row r="68">
          <cell r="C68" t="str">
            <v>rss_type</v>
          </cell>
          <cell r="D68" t="str">
            <v>RSS Type</v>
          </cell>
          <cell r="F68" t="str">
            <v>RSS Type</v>
          </cell>
          <cell r="G68" t="str">
            <v>RTP</v>
          </cell>
          <cell r="I68" t="str">
            <v>platform</v>
          </cell>
          <cell r="J68" t="str">
            <v>Platform</v>
          </cell>
          <cell r="L68" t="str">
            <v>Platform</v>
          </cell>
          <cell r="M68" t="str">
            <v>PLF</v>
          </cell>
        </row>
        <row r="69">
          <cell r="C69" t="str">
            <v>rss_user</v>
          </cell>
          <cell r="D69" t="str">
            <v>RSS User</v>
          </cell>
          <cell r="F69" t="str">
            <v>RSS User</v>
          </cell>
          <cell r="G69" t="str">
            <v>RU</v>
          </cell>
          <cell r="I69" t="str">
            <v>short_code</v>
          </cell>
          <cell r="J69" t="str">
            <v>Platform Short-codes</v>
          </cell>
          <cell r="L69" t="str">
            <v>Platform Short-codes</v>
          </cell>
          <cell r="M69" t="str">
            <v>SC</v>
          </cell>
        </row>
        <row r="70">
          <cell r="C70" t="str">
            <v>ru_ug</v>
          </cell>
          <cell r="D70" t="str">
            <v>RSS User to User Group Connections</v>
          </cell>
          <cell r="F70" t="str">
            <v>RSS User-User Group</v>
          </cell>
          <cell r="G70" t="str">
            <v>RUG</v>
          </cell>
          <cell r="I70" t="str">
            <v>job_code</v>
          </cell>
          <cell r="J70" t="str">
            <v>Profile</v>
          </cell>
          <cell r="L70" t="str">
            <v>Profile</v>
          </cell>
          <cell r="M70" t="str">
            <v>PR</v>
          </cell>
        </row>
        <row r="71">
          <cell r="C71" t="str">
            <v>sec_group</v>
          </cell>
          <cell r="D71" t="str">
            <v>Security Group</v>
          </cell>
          <cell r="F71" t="str">
            <v>Security Group</v>
          </cell>
          <cell r="G71" t="str">
            <v>SG</v>
          </cell>
          <cell r="I71" t="str">
            <v>jc_jc</v>
          </cell>
          <cell r="J71" t="str">
            <v>Profile to Profile Connections</v>
          </cell>
          <cell r="L71" t="str">
            <v>Profile-Profile</v>
          </cell>
          <cell r="M71" t="str">
            <v>PPC</v>
          </cell>
        </row>
        <row r="72">
          <cell r="C72" t="str">
            <v>sec_group_admin_rule</v>
          </cell>
          <cell r="D72" t="str">
            <v>Security Group to Access Rule Connections</v>
          </cell>
          <cell r="F72" t="str">
            <v>Security Group-Access Rule</v>
          </cell>
          <cell r="G72" t="str">
            <v>SGA</v>
          </cell>
          <cell r="I72" t="str">
            <v>jc_template</v>
          </cell>
          <cell r="J72" t="str">
            <v>Profile to Template Connections</v>
          </cell>
          <cell r="L72" t="str">
            <v>Profile-Template</v>
          </cell>
          <cell r="M72" t="str">
            <v>PTC</v>
          </cell>
        </row>
        <row r="73">
          <cell r="C73" t="str">
            <v>serials</v>
          </cell>
          <cell r="D73" t="str">
            <v>Serials</v>
          </cell>
          <cell r="F73" t="str">
            <v>Serials</v>
          </cell>
          <cell r="G73" t="str">
            <v>SER</v>
          </cell>
          <cell r="I73" t="str">
            <v>jc_groups</v>
          </cell>
          <cell r="J73" t="str">
            <v>Profile Groups</v>
          </cell>
          <cell r="L73" t="str">
            <v>Profile Groups</v>
          </cell>
          <cell r="M73" t="str">
            <v>PG</v>
          </cell>
        </row>
        <row r="74">
          <cell r="C74" t="str">
            <v>site_table</v>
          </cell>
          <cell r="D74" t="str">
            <v>Site Table</v>
          </cell>
          <cell r="F74" t="str">
            <v>Site Table</v>
          </cell>
          <cell r="G74" t="str">
            <v>ST</v>
          </cell>
          <cell r="I74" t="str">
            <v>res</v>
          </cell>
          <cell r="J74" t="str">
            <v>Resource</v>
          </cell>
          <cell r="L74" t="str">
            <v>Resource</v>
          </cell>
          <cell r="M74" t="str">
            <v>RES</v>
          </cell>
        </row>
        <row r="75">
          <cell r="C75" t="str">
            <v>template</v>
          </cell>
          <cell r="D75" t="str">
            <v>Template</v>
          </cell>
          <cell r="F75" t="str">
            <v>Template</v>
          </cell>
          <cell r="G75" t="str">
            <v>T</v>
          </cell>
          <cell r="I75" t="str">
            <v>res_type</v>
          </cell>
          <cell r="J75" t="str">
            <v>Resource Type</v>
          </cell>
          <cell r="L75" t="str">
            <v>Resource Type</v>
          </cell>
          <cell r="M75" t="str">
            <v>RT</v>
          </cell>
        </row>
        <row r="76">
          <cell r="C76" t="str">
            <v>trans</v>
          </cell>
          <cell r="D76" t="str">
            <v>Transaction</v>
          </cell>
          <cell r="F76" t="str">
            <v>Transaction</v>
          </cell>
          <cell r="G76" t="str">
            <v>X</v>
          </cell>
          <cell r="I76" t="str">
            <v>serials</v>
          </cell>
          <cell r="J76" t="str">
            <v>Serials</v>
          </cell>
          <cell r="L76" t="str">
            <v>Serials</v>
          </cell>
          <cell r="M76" t="str">
            <v>SER</v>
          </cell>
        </row>
        <row r="77">
          <cell r="C77" t="str">
            <v>trans_archive</v>
          </cell>
          <cell r="D77" t="str">
            <v>Transaction (Archived)</v>
          </cell>
          <cell r="F77" t="str">
            <v>Archived Transaction</v>
          </cell>
          <cell r="G77" t="str">
            <v>X+</v>
          </cell>
          <cell r="I77" t="str">
            <v>site_table</v>
          </cell>
          <cell r="J77" t="str">
            <v>Site Table</v>
          </cell>
          <cell r="L77" t="str">
            <v>Site Table</v>
          </cell>
          <cell r="M77" t="str">
            <v>STB</v>
          </cell>
        </row>
        <row r="78">
          <cell r="C78" t="str">
            <v>failed_trans</v>
          </cell>
          <cell r="D78" t="str">
            <v>Transactions &amp; Audit Trail</v>
          </cell>
          <cell r="F78" t="str">
            <v>Trans-Audit</v>
          </cell>
          <cell r="G78" t="str">
            <v>TRA</v>
          </cell>
          <cell r="I78" t="str">
            <v>template</v>
          </cell>
          <cell r="J78" t="str">
            <v>Template</v>
          </cell>
          <cell r="L78" t="str">
            <v>Template</v>
          </cell>
          <cell r="M78" t="str">
            <v>T</v>
          </cell>
        </row>
        <row r="79">
          <cell r="C79" t="str">
            <v>user_def_keyw</v>
          </cell>
          <cell r="D79" t="str">
            <v>User Defined Keywords</v>
          </cell>
          <cell r="F79" t="str">
            <v>User Defined Keywords</v>
          </cell>
          <cell r="G79" t="str">
            <v>UKW</v>
          </cell>
          <cell r="I79" t="str">
            <v>trans</v>
          </cell>
          <cell r="J79" t="str">
            <v>Transaction</v>
          </cell>
          <cell r="L79" t="str">
            <v>Transaction</v>
          </cell>
          <cell r="M79" t="str">
            <v>X</v>
          </cell>
        </row>
        <row r="80">
          <cell r="C80" t="str">
            <v>user_group</v>
          </cell>
          <cell r="D80" t="str">
            <v>User Group</v>
          </cell>
          <cell r="F80" t="str">
            <v>User Group</v>
          </cell>
          <cell r="G80" t="str">
            <v>UG</v>
          </cell>
          <cell r="I80" t="str">
            <v>trans_archive</v>
          </cell>
          <cell r="J80" t="str">
            <v>Transaction (Archived)</v>
          </cell>
          <cell r="L80" t="str">
            <v>Archived Transaction</v>
          </cell>
          <cell r="M80" t="str">
            <v>X+</v>
          </cell>
        </row>
        <row r="81">
          <cell r="C81" t="str">
            <v>user_jc_analysis</v>
          </cell>
          <cell r="D81" t="str">
            <v>User Job Code Analysis</v>
          </cell>
          <cell r="F81" t="str">
            <v>User JC Analysis</v>
          </cell>
          <cell r="G81" t="str">
            <v>PPA</v>
          </cell>
          <cell r="I81" t="str">
            <v>failed_trans</v>
          </cell>
          <cell r="J81" t="str">
            <v>Transactions &amp; Audit Trail</v>
          </cell>
          <cell r="L81" t="str">
            <v>Trans-Audit</v>
          </cell>
          <cell r="M81" t="str">
            <v>TRA</v>
          </cell>
        </row>
        <row r="82">
          <cell r="C82" t="str">
            <v>ug_jc</v>
          </cell>
          <cell r="D82" t="str">
            <v>User Group to Job Code Connections</v>
          </cell>
          <cell r="F82" t="str">
            <v>Profile-User Group</v>
          </cell>
          <cell r="G82" t="str">
            <v>UGJ</v>
          </cell>
          <cell r="I82" t="str">
            <v>user_def_keyw</v>
          </cell>
          <cell r="J82" t="str">
            <v>User Defined Keywords</v>
          </cell>
          <cell r="L82" t="str">
            <v>User Defined Keywords</v>
          </cell>
          <cell r="M82" t="str">
            <v>UKW</v>
          </cell>
        </row>
        <row r="83">
          <cell r="C83" t="str">
            <v>user_pref</v>
          </cell>
          <cell r="D83" t="str">
            <v>User Preferences</v>
          </cell>
          <cell r="F83" t="str">
            <v>User Preferences</v>
          </cell>
          <cell r="G83" t="str">
            <v>UP</v>
          </cell>
          <cell r="I83" t="str">
            <v>user_pref</v>
          </cell>
          <cell r="J83" t="str">
            <v>User Preferences</v>
          </cell>
          <cell r="L83" t="str">
            <v>User Preferences</v>
          </cell>
          <cell r="M83" t="str">
            <v>UP</v>
          </cell>
        </row>
      </sheetData>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vml"/><Relationship Id="rId1" Type="http://schemas.openxmlformats.org/officeDocument/2006/relationships/drawing" Target="../drawings/drawing2.xml"/><Relationship Id="rId5" Type="http://schemas.openxmlformats.org/officeDocument/2006/relationships/comments" Target="../comments4.xml"/><Relationship Id="rId4" Type="http://schemas.openxmlformats.org/officeDocument/2006/relationships/image" Target="../media/image2.emf"/></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image" Target="../media/image4.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5.emf"/></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image" Target="../media/image6.emf"/></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8.vml"/><Relationship Id="rId1" Type="http://schemas.openxmlformats.org/officeDocument/2006/relationships/drawing" Target="../drawings/drawing10.xml"/><Relationship Id="rId4" Type="http://schemas.openxmlformats.org/officeDocument/2006/relationships/image" Target="../media/image7.emf"/></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9.vml"/><Relationship Id="rId1" Type="http://schemas.openxmlformats.org/officeDocument/2006/relationships/drawing" Target="../drawings/drawing12.xml"/><Relationship Id="rId4" Type="http://schemas.openxmlformats.org/officeDocument/2006/relationships/image" Target="../media/image8.emf"/></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10.vml"/><Relationship Id="rId1" Type="http://schemas.openxmlformats.org/officeDocument/2006/relationships/drawing" Target="../drawings/drawing14.xml"/><Relationship Id="rId4" Type="http://schemas.openxmlformats.org/officeDocument/2006/relationships/image" Target="../media/image9.emf"/></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4.bin"/><Relationship Id="rId5" Type="http://schemas.openxmlformats.org/officeDocument/2006/relationships/image" Target="../media/image10.emf"/><Relationship Id="rId4" Type="http://schemas.openxmlformats.org/officeDocument/2006/relationships/control" Target="../activeX/activeX8.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12.vml"/><Relationship Id="rId1" Type="http://schemas.openxmlformats.org/officeDocument/2006/relationships/drawing" Target="../drawings/drawing17.xml"/><Relationship Id="rId4" Type="http://schemas.openxmlformats.org/officeDocument/2006/relationships/image" Target="../media/image11.emf"/></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18.xml"/><Relationship Id="rId1" Type="http://schemas.openxmlformats.org/officeDocument/2006/relationships/printerSettings" Target="../printerSettings/printerSettings6.bin"/><Relationship Id="rId6" Type="http://schemas.openxmlformats.org/officeDocument/2006/relationships/control" Target="../activeX/activeX11.xml"/><Relationship Id="rId11" Type="http://schemas.openxmlformats.org/officeDocument/2006/relationships/control" Target="../activeX/activeX15.xml"/><Relationship Id="rId5" Type="http://schemas.openxmlformats.org/officeDocument/2006/relationships/image" Target="../media/image12.emf"/><Relationship Id="rId10" Type="http://schemas.openxmlformats.org/officeDocument/2006/relationships/control" Target="../activeX/activeX14.xml"/><Relationship Id="rId4" Type="http://schemas.openxmlformats.org/officeDocument/2006/relationships/control" Target="../activeX/activeX10.xml"/><Relationship Id="rId9" Type="http://schemas.openxmlformats.org/officeDocument/2006/relationships/control" Target="../activeX/activeX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QUERIES">
    <tabColor indexed="10"/>
    <pageSetUpPr fitToPage="1"/>
  </sheetPr>
  <dimension ref="B1:IV65536"/>
  <sheetViews>
    <sheetView showGridLines="0" showRowColHeaders="0" zoomScale="75" workbookViewId="0">
      <pane ySplit="4" topLeftCell="A5" activePane="bottomLeft" state="frozenSplit"/>
      <selection pane="bottomLeft" activeCell="B5" sqref="B5:Q5"/>
    </sheetView>
  </sheetViews>
  <sheetFormatPr defaultRowHeight="24.95" customHeight="1" x14ac:dyDescent="0.2"/>
  <cols>
    <col min="1" max="1" width="2.7109375" style="269" customWidth="1"/>
    <col min="2" max="2" width="2.85546875" style="283" customWidth="1"/>
    <col min="3" max="3" width="32.140625" style="269" customWidth="1"/>
    <col min="4" max="4" width="2.7109375" style="269" customWidth="1"/>
    <col min="5" max="5" width="16" style="269" customWidth="1"/>
    <col min="6" max="6" width="2.7109375" style="269" customWidth="1"/>
    <col min="7" max="7" width="17.7109375" style="269" customWidth="1"/>
    <col min="8" max="8" width="2.85546875" style="269" customWidth="1"/>
    <col min="9" max="13" width="12.5703125" style="269" customWidth="1"/>
    <col min="14" max="14" width="2.85546875" style="269" customWidth="1"/>
    <col min="15" max="15" width="19.42578125" style="269" customWidth="1"/>
    <col min="16" max="16" width="2.85546875" style="269" customWidth="1"/>
    <col min="17" max="17" width="16.85546875" style="269" customWidth="1"/>
    <col min="18" max="18" width="2.7109375" style="269" customWidth="1"/>
    <col min="19" max="256" width="9.140625" style="269"/>
    <col min="257" max="257" width="2.7109375" style="269" customWidth="1"/>
    <col min="258" max="258" width="2.85546875" style="269" customWidth="1"/>
    <col min="259" max="259" width="32.140625" style="269" customWidth="1"/>
    <col min="260" max="260" width="2.7109375" style="269" customWidth="1"/>
    <col min="261" max="261" width="16" style="269" customWidth="1"/>
    <col min="262" max="262" width="2.7109375" style="269" customWidth="1"/>
    <col min="263" max="263" width="17.7109375" style="269" customWidth="1"/>
    <col min="264" max="264" width="2.85546875" style="269" customWidth="1"/>
    <col min="265" max="269" width="12.5703125" style="269" customWidth="1"/>
    <col min="270" max="270" width="2.85546875" style="269" customWidth="1"/>
    <col min="271" max="271" width="19.42578125" style="269" customWidth="1"/>
    <col min="272" max="272" width="2.85546875" style="269" customWidth="1"/>
    <col min="273" max="273" width="16.85546875" style="269" customWidth="1"/>
    <col min="274" max="274" width="2.7109375" style="269" customWidth="1"/>
    <col min="275" max="512" width="9.140625" style="269"/>
    <col min="513" max="513" width="2.7109375" style="269" customWidth="1"/>
    <col min="514" max="514" width="2.85546875" style="269" customWidth="1"/>
    <col min="515" max="515" width="32.140625" style="269" customWidth="1"/>
    <col min="516" max="516" width="2.7109375" style="269" customWidth="1"/>
    <col min="517" max="517" width="16" style="269" customWidth="1"/>
    <col min="518" max="518" width="2.7109375" style="269" customWidth="1"/>
    <col min="519" max="519" width="17.7109375" style="269" customWidth="1"/>
    <col min="520" max="520" width="2.85546875" style="269" customWidth="1"/>
    <col min="521" max="525" width="12.5703125" style="269" customWidth="1"/>
    <col min="526" max="526" width="2.85546875" style="269" customWidth="1"/>
    <col min="527" max="527" width="19.42578125" style="269" customWidth="1"/>
    <col min="528" max="528" width="2.85546875" style="269" customWidth="1"/>
    <col min="529" max="529" width="16.85546875" style="269" customWidth="1"/>
    <col min="530" max="530" width="2.7109375" style="269" customWidth="1"/>
    <col min="531" max="768" width="9.140625" style="269"/>
    <col min="769" max="769" width="2.7109375" style="269" customWidth="1"/>
    <col min="770" max="770" width="2.85546875" style="269" customWidth="1"/>
    <col min="771" max="771" width="32.140625" style="269" customWidth="1"/>
    <col min="772" max="772" width="2.7109375" style="269" customWidth="1"/>
    <col min="773" max="773" width="16" style="269" customWidth="1"/>
    <col min="774" max="774" width="2.7109375" style="269" customWidth="1"/>
    <col min="775" max="775" width="17.7109375" style="269" customWidth="1"/>
    <col min="776" max="776" width="2.85546875" style="269" customWidth="1"/>
    <col min="777" max="781" width="12.5703125" style="269" customWidth="1"/>
    <col min="782" max="782" width="2.85546875" style="269" customWidth="1"/>
    <col min="783" max="783" width="19.42578125" style="269" customWidth="1"/>
    <col min="784" max="784" width="2.85546875" style="269" customWidth="1"/>
    <col min="785" max="785" width="16.85546875" style="269" customWidth="1"/>
    <col min="786" max="786" width="2.7109375" style="269" customWidth="1"/>
    <col min="787" max="1024" width="9.140625" style="269"/>
    <col min="1025" max="1025" width="2.7109375" style="269" customWidth="1"/>
    <col min="1026" max="1026" width="2.85546875" style="269" customWidth="1"/>
    <col min="1027" max="1027" width="32.140625" style="269" customWidth="1"/>
    <col min="1028" max="1028" width="2.7109375" style="269" customWidth="1"/>
    <col min="1029" max="1029" width="16" style="269" customWidth="1"/>
    <col min="1030" max="1030" width="2.7109375" style="269" customWidth="1"/>
    <col min="1031" max="1031" width="17.7109375" style="269" customWidth="1"/>
    <col min="1032" max="1032" width="2.85546875" style="269" customWidth="1"/>
    <col min="1033" max="1037" width="12.5703125" style="269" customWidth="1"/>
    <col min="1038" max="1038" width="2.85546875" style="269" customWidth="1"/>
    <col min="1039" max="1039" width="19.42578125" style="269" customWidth="1"/>
    <col min="1040" max="1040" width="2.85546875" style="269" customWidth="1"/>
    <col min="1041" max="1041" width="16.85546875" style="269" customWidth="1"/>
    <col min="1042" max="1042" width="2.7109375" style="269" customWidth="1"/>
    <col min="1043" max="1280" width="9.140625" style="269"/>
    <col min="1281" max="1281" width="2.7109375" style="269" customWidth="1"/>
    <col min="1282" max="1282" width="2.85546875" style="269" customWidth="1"/>
    <col min="1283" max="1283" width="32.140625" style="269" customWidth="1"/>
    <col min="1284" max="1284" width="2.7109375" style="269" customWidth="1"/>
    <col min="1285" max="1285" width="16" style="269" customWidth="1"/>
    <col min="1286" max="1286" width="2.7109375" style="269" customWidth="1"/>
    <col min="1287" max="1287" width="17.7109375" style="269" customWidth="1"/>
    <col min="1288" max="1288" width="2.85546875" style="269" customWidth="1"/>
    <col min="1289" max="1293" width="12.5703125" style="269" customWidth="1"/>
    <col min="1294" max="1294" width="2.85546875" style="269" customWidth="1"/>
    <col min="1295" max="1295" width="19.42578125" style="269" customWidth="1"/>
    <col min="1296" max="1296" width="2.85546875" style="269" customWidth="1"/>
    <col min="1297" max="1297" width="16.85546875" style="269" customWidth="1"/>
    <col min="1298" max="1298" width="2.7109375" style="269" customWidth="1"/>
    <col min="1299" max="1536" width="9.140625" style="269"/>
    <col min="1537" max="1537" width="2.7109375" style="269" customWidth="1"/>
    <col min="1538" max="1538" width="2.85546875" style="269" customWidth="1"/>
    <col min="1539" max="1539" width="32.140625" style="269" customWidth="1"/>
    <col min="1540" max="1540" width="2.7109375" style="269" customWidth="1"/>
    <col min="1541" max="1541" width="16" style="269" customWidth="1"/>
    <col min="1542" max="1542" width="2.7109375" style="269" customWidth="1"/>
    <col min="1543" max="1543" width="17.7109375" style="269" customWidth="1"/>
    <col min="1544" max="1544" width="2.85546875" style="269" customWidth="1"/>
    <col min="1545" max="1549" width="12.5703125" style="269" customWidth="1"/>
    <col min="1550" max="1550" width="2.85546875" style="269" customWidth="1"/>
    <col min="1551" max="1551" width="19.42578125" style="269" customWidth="1"/>
    <col min="1552" max="1552" width="2.85546875" style="269" customWidth="1"/>
    <col min="1553" max="1553" width="16.85546875" style="269" customWidth="1"/>
    <col min="1554" max="1554" width="2.7109375" style="269" customWidth="1"/>
    <col min="1555" max="1792" width="9.140625" style="269"/>
    <col min="1793" max="1793" width="2.7109375" style="269" customWidth="1"/>
    <col min="1794" max="1794" width="2.85546875" style="269" customWidth="1"/>
    <col min="1795" max="1795" width="32.140625" style="269" customWidth="1"/>
    <col min="1796" max="1796" width="2.7109375" style="269" customWidth="1"/>
    <col min="1797" max="1797" width="16" style="269" customWidth="1"/>
    <col min="1798" max="1798" width="2.7109375" style="269" customWidth="1"/>
    <col min="1799" max="1799" width="17.7109375" style="269" customWidth="1"/>
    <col min="1800" max="1800" width="2.85546875" style="269" customWidth="1"/>
    <col min="1801" max="1805" width="12.5703125" style="269" customWidth="1"/>
    <col min="1806" max="1806" width="2.85546875" style="269" customWidth="1"/>
    <col min="1807" max="1807" width="19.42578125" style="269" customWidth="1"/>
    <col min="1808" max="1808" width="2.85546875" style="269" customWidth="1"/>
    <col min="1809" max="1809" width="16.85546875" style="269" customWidth="1"/>
    <col min="1810" max="1810" width="2.7109375" style="269" customWidth="1"/>
    <col min="1811" max="2048" width="9.140625" style="269"/>
    <col min="2049" max="2049" width="2.7109375" style="269" customWidth="1"/>
    <col min="2050" max="2050" width="2.85546875" style="269" customWidth="1"/>
    <col min="2051" max="2051" width="32.140625" style="269" customWidth="1"/>
    <col min="2052" max="2052" width="2.7109375" style="269" customWidth="1"/>
    <col min="2053" max="2053" width="16" style="269" customWidth="1"/>
    <col min="2054" max="2054" width="2.7109375" style="269" customWidth="1"/>
    <col min="2055" max="2055" width="17.7109375" style="269" customWidth="1"/>
    <col min="2056" max="2056" width="2.85546875" style="269" customWidth="1"/>
    <col min="2057" max="2061" width="12.5703125" style="269" customWidth="1"/>
    <col min="2062" max="2062" width="2.85546875" style="269" customWidth="1"/>
    <col min="2063" max="2063" width="19.42578125" style="269" customWidth="1"/>
    <col min="2064" max="2064" width="2.85546875" style="269" customWidth="1"/>
    <col min="2065" max="2065" width="16.85546875" style="269" customWidth="1"/>
    <col min="2066" max="2066" width="2.7109375" style="269" customWidth="1"/>
    <col min="2067" max="2304" width="9.140625" style="269"/>
    <col min="2305" max="2305" width="2.7109375" style="269" customWidth="1"/>
    <col min="2306" max="2306" width="2.85546875" style="269" customWidth="1"/>
    <col min="2307" max="2307" width="32.140625" style="269" customWidth="1"/>
    <col min="2308" max="2308" width="2.7109375" style="269" customWidth="1"/>
    <col min="2309" max="2309" width="16" style="269" customWidth="1"/>
    <col min="2310" max="2310" width="2.7109375" style="269" customWidth="1"/>
    <col min="2311" max="2311" width="17.7109375" style="269" customWidth="1"/>
    <col min="2312" max="2312" width="2.85546875" style="269" customWidth="1"/>
    <col min="2313" max="2317" width="12.5703125" style="269" customWidth="1"/>
    <col min="2318" max="2318" width="2.85546875" style="269" customWidth="1"/>
    <col min="2319" max="2319" width="19.42578125" style="269" customWidth="1"/>
    <col min="2320" max="2320" width="2.85546875" style="269" customWidth="1"/>
    <col min="2321" max="2321" width="16.85546875" style="269" customWidth="1"/>
    <col min="2322" max="2322" width="2.7109375" style="269" customWidth="1"/>
    <col min="2323" max="2560" width="9.140625" style="269"/>
    <col min="2561" max="2561" width="2.7109375" style="269" customWidth="1"/>
    <col min="2562" max="2562" width="2.85546875" style="269" customWidth="1"/>
    <col min="2563" max="2563" width="32.140625" style="269" customWidth="1"/>
    <col min="2564" max="2564" width="2.7109375" style="269" customWidth="1"/>
    <col min="2565" max="2565" width="16" style="269" customWidth="1"/>
    <col min="2566" max="2566" width="2.7109375" style="269" customWidth="1"/>
    <col min="2567" max="2567" width="17.7109375" style="269" customWidth="1"/>
    <col min="2568" max="2568" width="2.85546875" style="269" customWidth="1"/>
    <col min="2569" max="2573" width="12.5703125" style="269" customWidth="1"/>
    <col min="2574" max="2574" width="2.85546875" style="269" customWidth="1"/>
    <col min="2575" max="2575" width="19.42578125" style="269" customWidth="1"/>
    <col min="2576" max="2576" width="2.85546875" style="269" customWidth="1"/>
    <col min="2577" max="2577" width="16.85546875" style="269" customWidth="1"/>
    <col min="2578" max="2578" width="2.7109375" style="269" customWidth="1"/>
    <col min="2579" max="2816" width="9.140625" style="269"/>
    <col min="2817" max="2817" width="2.7109375" style="269" customWidth="1"/>
    <col min="2818" max="2818" width="2.85546875" style="269" customWidth="1"/>
    <col min="2819" max="2819" width="32.140625" style="269" customWidth="1"/>
    <col min="2820" max="2820" width="2.7109375" style="269" customWidth="1"/>
    <col min="2821" max="2821" width="16" style="269" customWidth="1"/>
    <col min="2822" max="2822" width="2.7109375" style="269" customWidth="1"/>
    <col min="2823" max="2823" width="17.7109375" style="269" customWidth="1"/>
    <col min="2824" max="2824" width="2.85546875" style="269" customWidth="1"/>
    <col min="2825" max="2829" width="12.5703125" style="269" customWidth="1"/>
    <col min="2830" max="2830" width="2.85546875" style="269" customWidth="1"/>
    <col min="2831" max="2831" width="19.42578125" style="269" customWidth="1"/>
    <col min="2832" max="2832" width="2.85546875" style="269" customWidth="1"/>
    <col min="2833" max="2833" width="16.85546875" style="269" customWidth="1"/>
    <col min="2834" max="2834" width="2.7109375" style="269" customWidth="1"/>
    <col min="2835" max="3072" width="9.140625" style="269"/>
    <col min="3073" max="3073" width="2.7109375" style="269" customWidth="1"/>
    <col min="3074" max="3074" width="2.85546875" style="269" customWidth="1"/>
    <col min="3075" max="3075" width="32.140625" style="269" customWidth="1"/>
    <col min="3076" max="3076" width="2.7109375" style="269" customWidth="1"/>
    <col min="3077" max="3077" width="16" style="269" customWidth="1"/>
    <col min="3078" max="3078" width="2.7109375" style="269" customWidth="1"/>
    <col min="3079" max="3079" width="17.7109375" style="269" customWidth="1"/>
    <col min="3080" max="3080" width="2.85546875" style="269" customWidth="1"/>
    <col min="3081" max="3085" width="12.5703125" style="269" customWidth="1"/>
    <col min="3086" max="3086" width="2.85546875" style="269" customWidth="1"/>
    <col min="3087" max="3087" width="19.42578125" style="269" customWidth="1"/>
    <col min="3088" max="3088" width="2.85546875" style="269" customWidth="1"/>
    <col min="3089" max="3089" width="16.85546875" style="269" customWidth="1"/>
    <col min="3090" max="3090" width="2.7109375" style="269" customWidth="1"/>
    <col min="3091" max="3328" width="9.140625" style="269"/>
    <col min="3329" max="3329" width="2.7109375" style="269" customWidth="1"/>
    <col min="3330" max="3330" width="2.85546875" style="269" customWidth="1"/>
    <col min="3331" max="3331" width="32.140625" style="269" customWidth="1"/>
    <col min="3332" max="3332" width="2.7109375" style="269" customWidth="1"/>
    <col min="3333" max="3333" width="16" style="269" customWidth="1"/>
    <col min="3334" max="3334" width="2.7109375" style="269" customWidth="1"/>
    <col min="3335" max="3335" width="17.7109375" style="269" customWidth="1"/>
    <col min="3336" max="3336" width="2.85546875" style="269" customWidth="1"/>
    <col min="3337" max="3341" width="12.5703125" style="269" customWidth="1"/>
    <col min="3342" max="3342" width="2.85546875" style="269" customWidth="1"/>
    <col min="3343" max="3343" width="19.42578125" style="269" customWidth="1"/>
    <col min="3344" max="3344" width="2.85546875" style="269" customWidth="1"/>
    <col min="3345" max="3345" width="16.85546875" style="269" customWidth="1"/>
    <col min="3346" max="3346" width="2.7109375" style="269" customWidth="1"/>
    <col min="3347" max="3584" width="9.140625" style="269"/>
    <col min="3585" max="3585" width="2.7109375" style="269" customWidth="1"/>
    <col min="3586" max="3586" width="2.85546875" style="269" customWidth="1"/>
    <col min="3587" max="3587" width="32.140625" style="269" customWidth="1"/>
    <col min="3588" max="3588" width="2.7109375" style="269" customWidth="1"/>
    <col min="3589" max="3589" width="16" style="269" customWidth="1"/>
    <col min="3590" max="3590" width="2.7109375" style="269" customWidth="1"/>
    <col min="3591" max="3591" width="17.7109375" style="269" customWidth="1"/>
    <col min="3592" max="3592" width="2.85546875" style="269" customWidth="1"/>
    <col min="3593" max="3597" width="12.5703125" style="269" customWidth="1"/>
    <col min="3598" max="3598" width="2.85546875" style="269" customWidth="1"/>
    <col min="3599" max="3599" width="19.42578125" style="269" customWidth="1"/>
    <col min="3600" max="3600" width="2.85546875" style="269" customWidth="1"/>
    <col min="3601" max="3601" width="16.85546875" style="269" customWidth="1"/>
    <col min="3602" max="3602" width="2.7109375" style="269" customWidth="1"/>
    <col min="3603" max="3840" width="9.140625" style="269"/>
    <col min="3841" max="3841" width="2.7109375" style="269" customWidth="1"/>
    <col min="3842" max="3842" width="2.85546875" style="269" customWidth="1"/>
    <col min="3843" max="3843" width="32.140625" style="269" customWidth="1"/>
    <col min="3844" max="3844" width="2.7109375" style="269" customWidth="1"/>
    <col min="3845" max="3845" width="16" style="269" customWidth="1"/>
    <col min="3846" max="3846" width="2.7109375" style="269" customWidth="1"/>
    <col min="3847" max="3847" width="17.7109375" style="269" customWidth="1"/>
    <col min="3848" max="3848" width="2.85546875" style="269" customWidth="1"/>
    <col min="3849" max="3853" width="12.5703125" style="269" customWidth="1"/>
    <col min="3854" max="3854" width="2.85546875" style="269" customWidth="1"/>
    <col min="3855" max="3855" width="19.42578125" style="269" customWidth="1"/>
    <col min="3856" max="3856" width="2.85546875" style="269" customWidth="1"/>
    <col min="3857" max="3857" width="16.85546875" style="269" customWidth="1"/>
    <col min="3858" max="3858" width="2.7109375" style="269" customWidth="1"/>
    <col min="3859" max="4096" width="9.140625" style="269"/>
    <col min="4097" max="4097" width="2.7109375" style="269" customWidth="1"/>
    <col min="4098" max="4098" width="2.85546875" style="269" customWidth="1"/>
    <col min="4099" max="4099" width="32.140625" style="269" customWidth="1"/>
    <col min="4100" max="4100" width="2.7109375" style="269" customWidth="1"/>
    <col min="4101" max="4101" width="16" style="269" customWidth="1"/>
    <col min="4102" max="4102" width="2.7109375" style="269" customWidth="1"/>
    <col min="4103" max="4103" width="17.7109375" style="269" customWidth="1"/>
    <col min="4104" max="4104" width="2.85546875" style="269" customWidth="1"/>
    <col min="4105" max="4109" width="12.5703125" style="269" customWidth="1"/>
    <col min="4110" max="4110" width="2.85546875" style="269" customWidth="1"/>
    <col min="4111" max="4111" width="19.42578125" style="269" customWidth="1"/>
    <col min="4112" max="4112" width="2.85546875" style="269" customWidth="1"/>
    <col min="4113" max="4113" width="16.85546875" style="269" customWidth="1"/>
    <col min="4114" max="4114" width="2.7109375" style="269" customWidth="1"/>
    <col min="4115" max="4352" width="9.140625" style="269"/>
    <col min="4353" max="4353" width="2.7109375" style="269" customWidth="1"/>
    <col min="4354" max="4354" width="2.85546875" style="269" customWidth="1"/>
    <col min="4355" max="4355" width="32.140625" style="269" customWidth="1"/>
    <col min="4356" max="4356" width="2.7109375" style="269" customWidth="1"/>
    <col min="4357" max="4357" width="16" style="269" customWidth="1"/>
    <col min="4358" max="4358" width="2.7109375" style="269" customWidth="1"/>
    <col min="4359" max="4359" width="17.7109375" style="269" customWidth="1"/>
    <col min="4360" max="4360" width="2.85546875" style="269" customWidth="1"/>
    <col min="4361" max="4365" width="12.5703125" style="269" customWidth="1"/>
    <col min="4366" max="4366" width="2.85546875" style="269" customWidth="1"/>
    <col min="4367" max="4367" width="19.42578125" style="269" customWidth="1"/>
    <col min="4368" max="4368" width="2.85546875" style="269" customWidth="1"/>
    <col min="4369" max="4369" width="16.85546875" style="269" customWidth="1"/>
    <col min="4370" max="4370" width="2.7109375" style="269" customWidth="1"/>
    <col min="4371" max="4608" width="9.140625" style="269"/>
    <col min="4609" max="4609" width="2.7109375" style="269" customWidth="1"/>
    <col min="4610" max="4610" width="2.85546875" style="269" customWidth="1"/>
    <col min="4611" max="4611" width="32.140625" style="269" customWidth="1"/>
    <col min="4612" max="4612" width="2.7109375" style="269" customWidth="1"/>
    <col min="4613" max="4613" width="16" style="269" customWidth="1"/>
    <col min="4614" max="4614" width="2.7109375" style="269" customWidth="1"/>
    <col min="4615" max="4615" width="17.7109375" style="269" customWidth="1"/>
    <col min="4616" max="4616" width="2.85546875" style="269" customWidth="1"/>
    <col min="4617" max="4621" width="12.5703125" style="269" customWidth="1"/>
    <col min="4622" max="4622" width="2.85546875" style="269" customWidth="1"/>
    <col min="4623" max="4623" width="19.42578125" style="269" customWidth="1"/>
    <col min="4624" max="4624" width="2.85546875" style="269" customWidth="1"/>
    <col min="4625" max="4625" width="16.85546875" style="269" customWidth="1"/>
    <col min="4626" max="4626" width="2.7109375" style="269" customWidth="1"/>
    <col min="4627" max="4864" width="9.140625" style="269"/>
    <col min="4865" max="4865" width="2.7109375" style="269" customWidth="1"/>
    <col min="4866" max="4866" width="2.85546875" style="269" customWidth="1"/>
    <col min="4867" max="4867" width="32.140625" style="269" customWidth="1"/>
    <col min="4868" max="4868" width="2.7109375" style="269" customWidth="1"/>
    <col min="4869" max="4869" width="16" style="269" customWidth="1"/>
    <col min="4870" max="4870" width="2.7109375" style="269" customWidth="1"/>
    <col min="4871" max="4871" width="17.7109375" style="269" customWidth="1"/>
    <col min="4872" max="4872" width="2.85546875" style="269" customWidth="1"/>
    <col min="4873" max="4877" width="12.5703125" style="269" customWidth="1"/>
    <col min="4878" max="4878" width="2.85546875" style="269" customWidth="1"/>
    <col min="4879" max="4879" width="19.42578125" style="269" customWidth="1"/>
    <col min="4880" max="4880" width="2.85546875" style="269" customWidth="1"/>
    <col min="4881" max="4881" width="16.85546875" style="269" customWidth="1"/>
    <col min="4882" max="4882" width="2.7109375" style="269" customWidth="1"/>
    <col min="4883" max="5120" width="9.140625" style="269"/>
    <col min="5121" max="5121" width="2.7109375" style="269" customWidth="1"/>
    <col min="5122" max="5122" width="2.85546875" style="269" customWidth="1"/>
    <col min="5123" max="5123" width="32.140625" style="269" customWidth="1"/>
    <col min="5124" max="5124" width="2.7109375" style="269" customWidth="1"/>
    <col min="5125" max="5125" width="16" style="269" customWidth="1"/>
    <col min="5126" max="5126" width="2.7109375" style="269" customWidth="1"/>
    <col min="5127" max="5127" width="17.7109375" style="269" customWidth="1"/>
    <col min="5128" max="5128" width="2.85546875" style="269" customWidth="1"/>
    <col min="5129" max="5133" width="12.5703125" style="269" customWidth="1"/>
    <col min="5134" max="5134" width="2.85546875" style="269" customWidth="1"/>
    <col min="5135" max="5135" width="19.42578125" style="269" customWidth="1"/>
    <col min="5136" max="5136" width="2.85546875" style="269" customWidth="1"/>
    <col min="5137" max="5137" width="16.85546875" style="269" customWidth="1"/>
    <col min="5138" max="5138" width="2.7109375" style="269" customWidth="1"/>
    <col min="5139" max="5376" width="9.140625" style="269"/>
    <col min="5377" max="5377" width="2.7109375" style="269" customWidth="1"/>
    <col min="5378" max="5378" width="2.85546875" style="269" customWidth="1"/>
    <col min="5379" max="5379" width="32.140625" style="269" customWidth="1"/>
    <col min="5380" max="5380" width="2.7109375" style="269" customWidth="1"/>
    <col min="5381" max="5381" width="16" style="269" customWidth="1"/>
    <col min="5382" max="5382" width="2.7109375" style="269" customWidth="1"/>
    <col min="5383" max="5383" width="17.7109375" style="269" customWidth="1"/>
    <col min="5384" max="5384" width="2.85546875" style="269" customWidth="1"/>
    <col min="5385" max="5389" width="12.5703125" style="269" customWidth="1"/>
    <col min="5390" max="5390" width="2.85546875" style="269" customWidth="1"/>
    <col min="5391" max="5391" width="19.42578125" style="269" customWidth="1"/>
    <col min="5392" max="5392" width="2.85546875" style="269" customWidth="1"/>
    <col min="5393" max="5393" width="16.85546875" style="269" customWidth="1"/>
    <col min="5394" max="5394" width="2.7109375" style="269" customWidth="1"/>
    <col min="5395" max="5632" width="9.140625" style="269"/>
    <col min="5633" max="5633" width="2.7109375" style="269" customWidth="1"/>
    <col min="5634" max="5634" width="2.85546875" style="269" customWidth="1"/>
    <col min="5635" max="5635" width="32.140625" style="269" customWidth="1"/>
    <col min="5636" max="5636" width="2.7109375" style="269" customWidth="1"/>
    <col min="5637" max="5637" width="16" style="269" customWidth="1"/>
    <col min="5638" max="5638" width="2.7109375" style="269" customWidth="1"/>
    <col min="5639" max="5639" width="17.7109375" style="269" customWidth="1"/>
    <col min="5640" max="5640" width="2.85546875" style="269" customWidth="1"/>
    <col min="5641" max="5645" width="12.5703125" style="269" customWidth="1"/>
    <col min="5646" max="5646" width="2.85546875" style="269" customWidth="1"/>
    <col min="5647" max="5647" width="19.42578125" style="269" customWidth="1"/>
    <col min="5648" max="5648" width="2.85546875" style="269" customWidth="1"/>
    <col min="5649" max="5649" width="16.85546875" style="269" customWidth="1"/>
    <col min="5650" max="5650" width="2.7109375" style="269" customWidth="1"/>
    <col min="5651" max="5888" width="9.140625" style="269"/>
    <col min="5889" max="5889" width="2.7109375" style="269" customWidth="1"/>
    <col min="5890" max="5890" width="2.85546875" style="269" customWidth="1"/>
    <col min="5891" max="5891" width="32.140625" style="269" customWidth="1"/>
    <col min="5892" max="5892" width="2.7109375" style="269" customWidth="1"/>
    <col min="5893" max="5893" width="16" style="269" customWidth="1"/>
    <col min="5894" max="5894" width="2.7109375" style="269" customWidth="1"/>
    <col min="5895" max="5895" width="17.7109375" style="269" customWidth="1"/>
    <col min="5896" max="5896" width="2.85546875" style="269" customWidth="1"/>
    <col min="5897" max="5901" width="12.5703125" style="269" customWidth="1"/>
    <col min="5902" max="5902" width="2.85546875" style="269" customWidth="1"/>
    <col min="5903" max="5903" width="19.42578125" style="269" customWidth="1"/>
    <col min="5904" max="5904" width="2.85546875" style="269" customWidth="1"/>
    <col min="5905" max="5905" width="16.85546875" style="269" customWidth="1"/>
    <col min="5906" max="5906" width="2.7109375" style="269" customWidth="1"/>
    <col min="5907" max="6144" width="9.140625" style="269"/>
    <col min="6145" max="6145" width="2.7109375" style="269" customWidth="1"/>
    <col min="6146" max="6146" width="2.85546875" style="269" customWidth="1"/>
    <col min="6147" max="6147" width="32.140625" style="269" customWidth="1"/>
    <col min="6148" max="6148" width="2.7109375" style="269" customWidth="1"/>
    <col min="6149" max="6149" width="16" style="269" customWidth="1"/>
    <col min="6150" max="6150" width="2.7109375" style="269" customWidth="1"/>
    <col min="6151" max="6151" width="17.7109375" style="269" customWidth="1"/>
    <col min="6152" max="6152" width="2.85546875" style="269" customWidth="1"/>
    <col min="6153" max="6157" width="12.5703125" style="269" customWidth="1"/>
    <col min="6158" max="6158" width="2.85546875" style="269" customWidth="1"/>
    <col min="6159" max="6159" width="19.42578125" style="269" customWidth="1"/>
    <col min="6160" max="6160" width="2.85546875" style="269" customWidth="1"/>
    <col min="6161" max="6161" width="16.85546875" style="269" customWidth="1"/>
    <col min="6162" max="6162" width="2.7109375" style="269" customWidth="1"/>
    <col min="6163" max="6400" width="9.140625" style="269"/>
    <col min="6401" max="6401" width="2.7109375" style="269" customWidth="1"/>
    <col min="6402" max="6402" width="2.85546875" style="269" customWidth="1"/>
    <col min="6403" max="6403" width="32.140625" style="269" customWidth="1"/>
    <col min="6404" max="6404" width="2.7109375" style="269" customWidth="1"/>
    <col min="6405" max="6405" width="16" style="269" customWidth="1"/>
    <col min="6406" max="6406" width="2.7109375" style="269" customWidth="1"/>
    <col min="6407" max="6407" width="17.7109375" style="269" customWidth="1"/>
    <col min="6408" max="6408" width="2.85546875" style="269" customWidth="1"/>
    <col min="6409" max="6413" width="12.5703125" style="269" customWidth="1"/>
    <col min="6414" max="6414" width="2.85546875" style="269" customWidth="1"/>
    <col min="6415" max="6415" width="19.42578125" style="269" customWidth="1"/>
    <col min="6416" max="6416" width="2.85546875" style="269" customWidth="1"/>
    <col min="6417" max="6417" width="16.85546875" style="269" customWidth="1"/>
    <col min="6418" max="6418" width="2.7109375" style="269" customWidth="1"/>
    <col min="6419" max="6656" width="9.140625" style="269"/>
    <col min="6657" max="6657" width="2.7109375" style="269" customWidth="1"/>
    <col min="6658" max="6658" width="2.85546875" style="269" customWidth="1"/>
    <col min="6659" max="6659" width="32.140625" style="269" customWidth="1"/>
    <col min="6660" max="6660" width="2.7109375" style="269" customWidth="1"/>
    <col min="6661" max="6661" width="16" style="269" customWidth="1"/>
    <col min="6662" max="6662" width="2.7109375" style="269" customWidth="1"/>
    <col min="6663" max="6663" width="17.7109375" style="269" customWidth="1"/>
    <col min="6664" max="6664" width="2.85546875" style="269" customWidth="1"/>
    <col min="6665" max="6669" width="12.5703125" style="269" customWidth="1"/>
    <col min="6670" max="6670" width="2.85546875" style="269" customWidth="1"/>
    <col min="6671" max="6671" width="19.42578125" style="269" customWidth="1"/>
    <col min="6672" max="6672" width="2.85546875" style="269" customWidth="1"/>
    <col min="6673" max="6673" width="16.85546875" style="269" customWidth="1"/>
    <col min="6674" max="6674" width="2.7109375" style="269" customWidth="1"/>
    <col min="6675" max="6912" width="9.140625" style="269"/>
    <col min="6913" max="6913" width="2.7109375" style="269" customWidth="1"/>
    <col min="6914" max="6914" width="2.85546875" style="269" customWidth="1"/>
    <col min="6915" max="6915" width="32.140625" style="269" customWidth="1"/>
    <col min="6916" max="6916" width="2.7109375" style="269" customWidth="1"/>
    <col min="6917" max="6917" width="16" style="269" customWidth="1"/>
    <col min="6918" max="6918" width="2.7109375" style="269" customWidth="1"/>
    <col min="6919" max="6919" width="17.7109375" style="269" customWidth="1"/>
    <col min="6920" max="6920" width="2.85546875" style="269" customWidth="1"/>
    <col min="6921" max="6925" width="12.5703125" style="269" customWidth="1"/>
    <col min="6926" max="6926" width="2.85546875" style="269" customWidth="1"/>
    <col min="6927" max="6927" width="19.42578125" style="269" customWidth="1"/>
    <col min="6928" max="6928" width="2.85546875" style="269" customWidth="1"/>
    <col min="6929" max="6929" width="16.85546875" style="269" customWidth="1"/>
    <col min="6930" max="6930" width="2.7109375" style="269" customWidth="1"/>
    <col min="6931" max="7168" width="9.140625" style="269"/>
    <col min="7169" max="7169" width="2.7109375" style="269" customWidth="1"/>
    <col min="7170" max="7170" width="2.85546875" style="269" customWidth="1"/>
    <col min="7171" max="7171" width="32.140625" style="269" customWidth="1"/>
    <col min="7172" max="7172" width="2.7109375" style="269" customWidth="1"/>
    <col min="7173" max="7173" width="16" style="269" customWidth="1"/>
    <col min="7174" max="7174" width="2.7109375" style="269" customWidth="1"/>
    <col min="7175" max="7175" width="17.7109375" style="269" customWidth="1"/>
    <col min="7176" max="7176" width="2.85546875" style="269" customWidth="1"/>
    <col min="7177" max="7181" width="12.5703125" style="269" customWidth="1"/>
    <col min="7182" max="7182" width="2.85546875" style="269" customWidth="1"/>
    <col min="7183" max="7183" width="19.42578125" style="269" customWidth="1"/>
    <col min="7184" max="7184" width="2.85546875" style="269" customWidth="1"/>
    <col min="7185" max="7185" width="16.85546875" style="269" customWidth="1"/>
    <col min="7186" max="7186" width="2.7109375" style="269" customWidth="1"/>
    <col min="7187" max="7424" width="9.140625" style="269"/>
    <col min="7425" max="7425" width="2.7109375" style="269" customWidth="1"/>
    <col min="7426" max="7426" width="2.85546875" style="269" customWidth="1"/>
    <col min="7427" max="7427" width="32.140625" style="269" customWidth="1"/>
    <col min="7428" max="7428" width="2.7109375" style="269" customWidth="1"/>
    <col min="7429" max="7429" width="16" style="269" customWidth="1"/>
    <col min="7430" max="7430" width="2.7109375" style="269" customWidth="1"/>
    <col min="7431" max="7431" width="17.7109375" style="269" customWidth="1"/>
    <col min="7432" max="7432" width="2.85546875" style="269" customWidth="1"/>
    <col min="7433" max="7437" width="12.5703125" style="269" customWidth="1"/>
    <col min="7438" max="7438" width="2.85546875" style="269" customWidth="1"/>
    <col min="7439" max="7439" width="19.42578125" style="269" customWidth="1"/>
    <col min="7440" max="7440" width="2.85546875" style="269" customWidth="1"/>
    <col min="7441" max="7441" width="16.85546875" style="269" customWidth="1"/>
    <col min="7442" max="7442" width="2.7109375" style="269" customWidth="1"/>
    <col min="7443" max="7680" width="9.140625" style="269"/>
    <col min="7681" max="7681" width="2.7109375" style="269" customWidth="1"/>
    <col min="7682" max="7682" width="2.85546875" style="269" customWidth="1"/>
    <col min="7683" max="7683" width="32.140625" style="269" customWidth="1"/>
    <col min="7684" max="7684" width="2.7109375" style="269" customWidth="1"/>
    <col min="7685" max="7685" width="16" style="269" customWidth="1"/>
    <col min="7686" max="7686" width="2.7109375" style="269" customWidth="1"/>
    <col min="7687" max="7687" width="17.7109375" style="269" customWidth="1"/>
    <col min="7688" max="7688" width="2.85546875" style="269" customWidth="1"/>
    <col min="7689" max="7693" width="12.5703125" style="269" customWidth="1"/>
    <col min="7694" max="7694" width="2.85546875" style="269" customWidth="1"/>
    <col min="7695" max="7695" width="19.42578125" style="269" customWidth="1"/>
    <col min="7696" max="7696" width="2.85546875" style="269" customWidth="1"/>
    <col min="7697" max="7697" width="16.85546875" style="269" customWidth="1"/>
    <col min="7698" max="7698" width="2.7109375" style="269" customWidth="1"/>
    <col min="7699" max="7936" width="9.140625" style="269"/>
    <col min="7937" max="7937" width="2.7109375" style="269" customWidth="1"/>
    <col min="7938" max="7938" width="2.85546875" style="269" customWidth="1"/>
    <col min="7939" max="7939" width="32.140625" style="269" customWidth="1"/>
    <col min="7940" max="7940" width="2.7109375" style="269" customWidth="1"/>
    <col min="7941" max="7941" width="16" style="269" customWidth="1"/>
    <col min="7942" max="7942" width="2.7109375" style="269" customWidth="1"/>
    <col min="7943" max="7943" width="17.7109375" style="269" customWidth="1"/>
    <col min="7944" max="7944" width="2.85546875" style="269" customWidth="1"/>
    <col min="7945" max="7949" width="12.5703125" style="269" customWidth="1"/>
    <col min="7950" max="7950" width="2.85546875" style="269" customWidth="1"/>
    <col min="7951" max="7951" width="19.42578125" style="269" customWidth="1"/>
    <col min="7952" max="7952" width="2.85546875" style="269" customWidth="1"/>
    <col min="7953" max="7953" width="16.85546875" style="269" customWidth="1"/>
    <col min="7954" max="7954" width="2.7109375" style="269" customWidth="1"/>
    <col min="7955" max="8192" width="9.140625" style="269"/>
    <col min="8193" max="8193" width="2.7109375" style="269" customWidth="1"/>
    <col min="8194" max="8194" width="2.85546875" style="269" customWidth="1"/>
    <col min="8195" max="8195" width="32.140625" style="269" customWidth="1"/>
    <col min="8196" max="8196" width="2.7109375" style="269" customWidth="1"/>
    <col min="8197" max="8197" width="16" style="269" customWidth="1"/>
    <col min="8198" max="8198" width="2.7109375" style="269" customWidth="1"/>
    <col min="8199" max="8199" width="17.7109375" style="269" customWidth="1"/>
    <col min="8200" max="8200" width="2.85546875" style="269" customWidth="1"/>
    <col min="8201" max="8205" width="12.5703125" style="269" customWidth="1"/>
    <col min="8206" max="8206" width="2.85546875" style="269" customWidth="1"/>
    <col min="8207" max="8207" width="19.42578125" style="269" customWidth="1"/>
    <col min="8208" max="8208" width="2.85546875" style="269" customWidth="1"/>
    <col min="8209" max="8209" width="16.85546875" style="269" customWidth="1"/>
    <col min="8210" max="8210" width="2.7109375" style="269" customWidth="1"/>
    <col min="8211" max="8448" width="9.140625" style="269"/>
    <col min="8449" max="8449" width="2.7109375" style="269" customWidth="1"/>
    <col min="8450" max="8450" width="2.85546875" style="269" customWidth="1"/>
    <col min="8451" max="8451" width="32.140625" style="269" customWidth="1"/>
    <col min="8452" max="8452" width="2.7109375" style="269" customWidth="1"/>
    <col min="8453" max="8453" width="16" style="269" customWidth="1"/>
    <col min="8454" max="8454" width="2.7109375" style="269" customWidth="1"/>
    <col min="8455" max="8455" width="17.7109375" style="269" customWidth="1"/>
    <col min="8456" max="8456" width="2.85546875" style="269" customWidth="1"/>
    <col min="8457" max="8461" width="12.5703125" style="269" customWidth="1"/>
    <col min="8462" max="8462" width="2.85546875" style="269" customWidth="1"/>
    <col min="8463" max="8463" width="19.42578125" style="269" customWidth="1"/>
    <col min="8464" max="8464" width="2.85546875" style="269" customWidth="1"/>
    <col min="8465" max="8465" width="16.85546875" style="269" customWidth="1"/>
    <col min="8466" max="8466" width="2.7109375" style="269" customWidth="1"/>
    <col min="8467" max="8704" width="9.140625" style="269"/>
    <col min="8705" max="8705" width="2.7109375" style="269" customWidth="1"/>
    <col min="8706" max="8706" width="2.85546875" style="269" customWidth="1"/>
    <col min="8707" max="8707" width="32.140625" style="269" customWidth="1"/>
    <col min="8708" max="8708" width="2.7109375" style="269" customWidth="1"/>
    <col min="8709" max="8709" width="16" style="269" customWidth="1"/>
    <col min="8710" max="8710" width="2.7109375" style="269" customWidth="1"/>
    <col min="8711" max="8711" width="17.7109375" style="269" customWidth="1"/>
    <col min="8712" max="8712" width="2.85546875" style="269" customWidth="1"/>
    <col min="8713" max="8717" width="12.5703125" style="269" customWidth="1"/>
    <col min="8718" max="8718" width="2.85546875" style="269" customWidth="1"/>
    <col min="8719" max="8719" width="19.42578125" style="269" customWidth="1"/>
    <col min="8720" max="8720" width="2.85546875" style="269" customWidth="1"/>
    <col min="8721" max="8721" width="16.85546875" style="269" customWidth="1"/>
    <col min="8722" max="8722" width="2.7109375" style="269" customWidth="1"/>
    <col min="8723" max="8960" width="9.140625" style="269"/>
    <col min="8961" max="8961" width="2.7109375" style="269" customWidth="1"/>
    <col min="8962" max="8962" width="2.85546875" style="269" customWidth="1"/>
    <col min="8963" max="8963" width="32.140625" style="269" customWidth="1"/>
    <col min="8964" max="8964" width="2.7109375" style="269" customWidth="1"/>
    <col min="8965" max="8965" width="16" style="269" customWidth="1"/>
    <col min="8966" max="8966" width="2.7109375" style="269" customWidth="1"/>
    <col min="8967" max="8967" width="17.7109375" style="269" customWidth="1"/>
    <col min="8968" max="8968" width="2.85546875" style="269" customWidth="1"/>
    <col min="8969" max="8973" width="12.5703125" style="269" customWidth="1"/>
    <col min="8974" max="8974" width="2.85546875" style="269" customWidth="1"/>
    <col min="8975" max="8975" width="19.42578125" style="269" customWidth="1"/>
    <col min="8976" max="8976" width="2.85546875" style="269" customWidth="1"/>
    <col min="8977" max="8977" width="16.85546875" style="269" customWidth="1"/>
    <col min="8978" max="8978" width="2.7109375" style="269" customWidth="1"/>
    <col min="8979" max="9216" width="9.140625" style="269"/>
    <col min="9217" max="9217" width="2.7109375" style="269" customWidth="1"/>
    <col min="9218" max="9218" width="2.85546875" style="269" customWidth="1"/>
    <col min="9219" max="9219" width="32.140625" style="269" customWidth="1"/>
    <col min="9220" max="9220" width="2.7109375" style="269" customWidth="1"/>
    <col min="9221" max="9221" width="16" style="269" customWidth="1"/>
    <col min="9222" max="9222" width="2.7109375" style="269" customWidth="1"/>
    <col min="9223" max="9223" width="17.7109375" style="269" customWidth="1"/>
    <col min="9224" max="9224" width="2.85546875" style="269" customWidth="1"/>
    <col min="9225" max="9229" width="12.5703125" style="269" customWidth="1"/>
    <col min="9230" max="9230" width="2.85546875" style="269" customWidth="1"/>
    <col min="9231" max="9231" width="19.42578125" style="269" customWidth="1"/>
    <col min="9232" max="9232" width="2.85546875" style="269" customWidth="1"/>
    <col min="9233" max="9233" width="16.85546875" style="269" customWidth="1"/>
    <col min="9234" max="9234" width="2.7109375" style="269" customWidth="1"/>
    <col min="9235" max="9472" width="9.140625" style="269"/>
    <col min="9473" max="9473" width="2.7109375" style="269" customWidth="1"/>
    <col min="9474" max="9474" width="2.85546875" style="269" customWidth="1"/>
    <col min="9475" max="9475" width="32.140625" style="269" customWidth="1"/>
    <col min="9476" max="9476" width="2.7109375" style="269" customWidth="1"/>
    <col min="9477" max="9477" width="16" style="269" customWidth="1"/>
    <col min="9478" max="9478" width="2.7109375" style="269" customWidth="1"/>
    <col min="9479" max="9479" width="17.7109375" style="269" customWidth="1"/>
    <col min="9480" max="9480" width="2.85546875" style="269" customWidth="1"/>
    <col min="9481" max="9485" width="12.5703125" style="269" customWidth="1"/>
    <col min="9486" max="9486" width="2.85546875" style="269" customWidth="1"/>
    <col min="9487" max="9487" width="19.42578125" style="269" customWidth="1"/>
    <col min="9488" max="9488" width="2.85546875" style="269" customWidth="1"/>
    <col min="9489" max="9489" width="16.85546875" style="269" customWidth="1"/>
    <col min="9490" max="9490" width="2.7109375" style="269" customWidth="1"/>
    <col min="9491" max="9728" width="9.140625" style="269"/>
    <col min="9729" max="9729" width="2.7109375" style="269" customWidth="1"/>
    <col min="9730" max="9730" width="2.85546875" style="269" customWidth="1"/>
    <col min="9731" max="9731" width="32.140625" style="269" customWidth="1"/>
    <col min="9732" max="9732" width="2.7109375" style="269" customWidth="1"/>
    <col min="9733" max="9733" width="16" style="269" customWidth="1"/>
    <col min="9734" max="9734" width="2.7109375" style="269" customWidth="1"/>
    <col min="9735" max="9735" width="17.7109375" style="269" customWidth="1"/>
    <col min="9736" max="9736" width="2.85546875" style="269" customWidth="1"/>
    <col min="9737" max="9741" width="12.5703125" style="269" customWidth="1"/>
    <col min="9742" max="9742" width="2.85546875" style="269" customWidth="1"/>
    <col min="9743" max="9743" width="19.42578125" style="269" customWidth="1"/>
    <col min="9744" max="9744" width="2.85546875" style="269" customWidth="1"/>
    <col min="9745" max="9745" width="16.85546875" style="269" customWidth="1"/>
    <col min="9746" max="9746" width="2.7109375" style="269" customWidth="1"/>
    <col min="9747" max="9984" width="9.140625" style="269"/>
    <col min="9985" max="9985" width="2.7109375" style="269" customWidth="1"/>
    <col min="9986" max="9986" width="2.85546875" style="269" customWidth="1"/>
    <col min="9987" max="9987" width="32.140625" style="269" customWidth="1"/>
    <col min="9988" max="9988" width="2.7109375" style="269" customWidth="1"/>
    <col min="9989" max="9989" width="16" style="269" customWidth="1"/>
    <col min="9990" max="9990" width="2.7109375" style="269" customWidth="1"/>
    <col min="9991" max="9991" width="17.7109375" style="269" customWidth="1"/>
    <col min="9992" max="9992" width="2.85546875" style="269" customWidth="1"/>
    <col min="9993" max="9997" width="12.5703125" style="269" customWidth="1"/>
    <col min="9998" max="9998" width="2.85546875" style="269" customWidth="1"/>
    <col min="9999" max="9999" width="19.42578125" style="269" customWidth="1"/>
    <col min="10000" max="10000" width="2.85546875" style="269" customWidth="1"/>
    <col min="10001" max="10001" width="16.85546875" style="269" customWidth="1"/>
    <col min="10002" max="10002" width="2.7109375" style="269" customWidth="1"/>
    <col min="10003" max="10240" width="9.140625" style="269"/>
    <col min="10241" max="10241" width="2.7109375" style="269" customWidth="1"/>
    <col min="10242" max="10242" width="2.85546875" style="269" customWidth="1"/>
    <col min="10243" max="10243" width="32.140625" style="269" customWidth="1"/>
    <col min="10244" max="10244" width="2.7109375" style="269" customWidth="1"/>
    <col min="10245" max="10245" width="16" style="269" customWidth="1"/>
    <col min="10246" max="10246" width="2.7109375" style="269" customWidth="1"/>
    <col min="10247" max="10247" width="17.7109375" style="269" customWidth="1"/>
    <col min="10248" max="10248" width="2.85546875" style="269" customWidth="1"/>
    <col min="10249" max="10253" width="12.5703125" style="269" customWidth="1"/>
    <col min="10254" max="10254" width="2.85546875" style="269" customWidth="1"/>
    <col min="10255" max="10255" width="19.42578125" style="269" customWidth="1"/>
    <col min="10256" max="10256" width="2.85546875" style="269" customWidth="1"/>
    <col min="10257" max="10257" width="16.85546875" style="269" customWidth="1"/>
    <col min="10258" max="10258" width="2.7109375" style="269" customWidth="1"/>
    <col min="10259" max="10496" width="9.140625" style="269"/>
    <col min="10497" max="10497" width="2.7109375" style="269" customWidth="1"/>
    <col min="10498" max="10498" width="2.85546875" style="269" customWidth="1"/>
    <col min="10499" max="10499" width="32.140625" style="269" customWidth="1"/>
    <col min="10500" max="10500" width="2.7109375" style="269" customWidth="1"/>
    <col min="10501" max="10501" width="16" style="269" customWidth="1"/>
    <col min="10502" max="10502" width="2.7109375" style="269" customWidth="1"/>
    <col min="10503" max="10503" width="17.7109375" style="269" customWidth="1"/>
    <col min="10504" max="10504" width="2.85546875" style="269" customWidth="1"/>
    <col min="10505" max="10509" width="12.5703125" style="269" customWidth="1"/>
    <col min="10510" max="10510" width="2.85546875" style="269" customWidth="1"/>
    <col min="10511" max="10511" width="19.42578125" style="269" customWidth="1"/>
    <col min="10512" max="10512" width="2.85546875" style="269" customWidth="1"/>
    <col min="10513" max="10513" width="16.85546875" style="269" customWidth="1"/>
    <col min="10514" max="10514" width="2.7109375" style="269" customWidth="1"/>
    <col min="10515" max="10752" width="9.140625" style="269"/>
    <col min="10753" max="10753" width="2.7109375" style="269" customWidth="1"/>
    <col min="10754" max="10754" width="2.85546875" style="269" customWidth="1"/>
    <col min="10755" max="10755" width="32.140625" style="269" customWidth="1"/>
    <col min="10756" max="10756" width="2.7109375" style="269" customWidth="1"/>
    <col min="10757" max="10757" width="16" style="269" customWidth="1"/>
    <col min="10758" max="10758" width="2.7109375" style="269" customWidth="1"/>
    <col min="10759" max="10759" width="17.7109375" style="269" customWidth="1"/>
    <col min="10760" max="10760" width="2.85546875" style="269" customWidth="1"/>
    <col min="10761" max="10765" width="12.5703125" style="269" customWidth="1"/>
    <col min="10766" max="10766" width="2.85546875" style="269" customWidth="1"/>
    <col min="10767" max="10767" width="19.42578125" style="269" customWidth="1"/>
    <col min="10768" max="10768" width="2.85546875" style="269" customWidth="1"/>
    <col min="10769" max="10769" width="16.85546875" style="269" customWidth="1"/>
    <col min="10770" max="10770" width="2.7109375" style="269" customWidth="1"/>
    <col min="10771" max="11008" width="9.140625" style="269"/>
    <col min="11009" max="11009" width="2.7109375" style="269" customWidth="1"/>
    <col min="11010" max="11010" width="2.85546875" style="269" customWidth="1"/>
    <col min="11011" max="11011" width="32.140625" style="269" customWidth="1"/>
    <col min="11012" max="11012" width="2.7109375" style="269" customWidth="1"/>
    <col min="11013" max="11013" width="16" style="269" customWidth="1"/>
    <col min="11014" max="11014" width="2.7109375" style="269" customWidth="1"/>
    <col min="11015" max="11015" width="17.7109375" style="269" customWidth="1"/>
    <col min="11016" max="11016" width="2.85546875" style="269" customWidth="1"/>
    <col min="11017" max="11021" width="12.5703125" style="269" customWidth="1"/>
    <col min="11022" max="11022" width="2.85546875" style="269" customWidth="1"/>
    <col min="11023" max="11023" width="19.42578125" style="269" customWidth="1"/>
    <col min="11024" max="11024" width="2.85546875" style="269" customWidth="1"/>
    <col min="11025" max="11025" width="16.85546875" style="269" customWidth="1"/>
    <col min="11026" max="11026" width="2.7109375" style="269" customWidth="1"/>
    <col min="11027" max="11264" width="9.140625" style="269"/>
    <col min="11265" max="11265" width="2.7109375" style="269" customWidth="1"/>
    <col min="11266" max="11266" width="2.85546875" style="269" customWidth="1"/>
    <col min="11267" max="11267" width="32.140625" style="269" customWidth="1"/>
    <col min="11268" max="11268" width="2.7109375" style="269" customWidth="1"/>
    <col min="11269" max="11269" width="16" style="269" customWidth="1"/>
    <col min="11270" max="11270" width="2.7109375" style="269" customWidth="1"/>
    <col min="11271" max="11271" width="17.7109375" style="269" customWidth="1"/>
    <col min="11272" max="11272" width="2.85546875" style="269" customWidth="1"/>
    <col min="11273" max="11277" width="12.5703125" style="269" customWidth="1"/>
    <col min="11278" max="11278" width="2.85546875" style="269" customWidth="1"/>
    <col min="11279" max="11279" width="19.42578125" style="269" customWidth="1"/>
    <col min="11280" max="11280" width="2.85546875" style="269" customWidth="1"/>
    <col min="11281" max="11281" width="16.85546875" style="269" customWidth="1"/>
    <col min="11282" max="11282" width="2.7109375" style="269" customWidth="1"/>
    <col min="11283" max="11520" width="9.140625" style="269"/>
    <col min="11521" max="11521" width="2.7109375" style="269" customWidth="1"/>
    <col min="11522" max="11522" width="2.85546875" style="269" customWidth="1"/>
    <col min="11523" max="11523" width="32.140625" style="269" customWidth="1"/>
    <col min="11524" max="11524" width="2.7109375" style="269" customWidth="1"/>
    <col min="11525" max="11525" width="16" style="269" customWidth="1"/>
    <col min="11526" max="11526" width="2.7109375" style="269" customWidth="1"/>
    <col min="11527" max="11527" width="17.7109375" style="269" customWidth="1"/>
    <col min="11528" max="11528" width="2.85546875" style="269" customWidth="1"/>
    <col min="11529" max="11533" width="12.5703125" style="269" customWidth="1"/>
    <col min="11534" max="11534" width="2.85546875" style="269" customWidth="1"/>
    <col min="11535" max="11535" width="19.42578125" style="269" customWidth="1"/>
    <col min="11536" max="11536" width="2.85546875" style="269" customWidth="1"/>
    <col min="11537" max="11537" width="16.85546875" style="269" customWidth="1"/>
    <col min="11538" max="11538" width="2.7109375" style="269" customWidth="1"/>
    <col min="11539" max="11776" width="9.140625" style="269"/>
    <col min="11777" max="11777" width="2.7109375" style="269" customWidth="1"/>
    <col min="11778" max="11778" width="2.85546875" style="269" customWidth="1"/>
    <col min="11779" max="11779" width="32.140625" style="269" customWidth="1"/>
    <col min="11780" max="11780" width="2.7109375" style="269" customWidth="1"/>
    <col min="11781" max="11781" width="16" style="269" customWidth="1"/>
    <col min="11782" max="11782" width="2.7109375" style="269" customWidth="1"/>
    <col min="11783" max="11783" width="17.7109375" style="269" customWidth="1"/>
    <col min="11784" max="11784" width="2.85546875" style="269" customWidth="1"/>
    <col min="11785" max="11789" width="12.5703125" style="269" customWidth="1"/>
    <col min="11790" max="11790" width="2.85546875" style="269" customWidth="1"/>
    <col min="11791" max="11791" width="19.42578125" style="269" customWidth="1"/>
    <col min="11792" max="11792" width="2.85546875" style="269" customWidth="1"/>
    <col min="11793" max="11793" width="16.85546875" style="269" customWidth="1"/>
    <col min="11794" max="11794" width="2.7109375" style="269" customWidth="1"/>
    <col min="11795" max="12032" width="9.140625" style="269"/>
    <col min="12033" max="12033" width="2.7109375" style="269" customWidth="1"/>
    <col min="12034" max="12034" width="2.85546875" style="269" customWidth="1"/>
    <col min="12035" max="12035" width="32.140625" style="269" customWidth="1"/>
    <col min="12036" max="12036" width="2.7109375" style="269" customWidth="1"/>
    <col min="12037" max="12037" width="16" style="269" customWidth="1"/>
    <col min="12038" max="12038" width="2.7109375" style="269" customWidth="1"/>
    <col min="12039" max="12039" width="17.7109375" style="269" customWidth="1"/>
    <col min="12040" max="12040" width="2.85546875" style="269" customWidth="1"/>
    <col min="12041" max="12045" width="12.5703125" style="269" customWidth="1"/>
    <col min="12046" max="12046" width="2.85546875" style="269" customWidth="1"/>
    <col min="12047" max="12047" width="19.42578125" style="269" customWidth="1"/>
    <col min="12048" max="12048" width="2.85546875" style="269" customWidth="1"/>
    <col min="12049" max="12049" width="16.85546875" style="269" customWidth="1"/>
    <col min="12050" max="12050" width="2.7109375" style="269" customWidth="1"/>
    <col min="12051" max="12288" width="9.140625" style="269"/>
    <col min="12289" max="12289" width="2.7109375" style="269" customWidth="1"/>
    <col min="12290" max="12290" width="2.85546875" style="269" customWidth="1"/>
    <col min="12291" max="12291" width="32.140625" style="269" customWidth="1"/>
    <col min="12292" max="12292" width="2.7109375" style="269" customWidth="1"/>
    <col min="12293" max="12293" width="16" style="269" customWidth="1"/>
    <col min="12294" max="12294" width="2.7109375" style="269" customWidth="1"/>
    <col min="12295" max="12295" width="17.7109375" style="269" customWidth="1"/>
    <col min="12296" max="12296" width="2.85546875" style="269" customWidth="1"/>
    <col min="12297" max="12301" width="12.5703125" style="269" customWidth="1"/>
    <col min="12302" max="12302" width="2.85546875" style="269" customWidth="1"/>
    <col min="12303" max="12303" width="19.42578125" style="269" customWidth="1"/>
    <col min="12304" max="12304" width="2.85546875" style="269" customWidth="1"/>
    <col min="12305" max="12305" width="16.85546875" style="269" customWidth="1"/>
    <col min="12306" max="12306" width="2.7109375" style="269" customWidth="1"/>
    <col min="12307" max="12544" width="9.140625" style="269"/>
    <col min="12545" max="12545" width="2.7109375" style="269" customWidth="1"/>
    <col min="12546" max="12546" width="2.85546875" style="269" customWidth="1"/>
    <col min="12547" max="12547" width="32.140625" style="269" customWidth="1"/>
    <col min="12548" max="12548" width="2.7109375" style="269" customWidth="1"/>
    <col min="12549" max="12549" width="16" style="269" customWidth="1"/>
    <col min="12550" max="12550" width="2.7109375" style="269" customWidth="1"/>
    <col min="12551" max="12551" width="17.7109375" style="269" customWidth="1"/>
    <col min="12552" max="12552" width="2.85546875" style="269" customWidth="1"/>
    <col min="12553" max="12557" width="12.5703125" style="269" customWidth="1"/>
    <col min="12558" max="12558" width="2.85546875" style="269" customWidth="1"/>
    <col min="12559" max="12559" width="19.42578125" style="269" customWidth="1"/>
    <col min="12560" max="12560" width="2.85546875" style="269" customWidth="1"/>
    <col min="12561" max="12561" width="16.85546875" style="269" customWidth="1"/>
    <col min="12562" max="12562" width="2.7109375" style="269" customWidth="1"/>
    <col min="12563" max="12800" width="9.140625" style="269"/>
    <col min="12801" max="12801" width="2.7109375" style="269" customWidth="1"/>
    <col min="12802" max="12802" width="2.85546875" style="269" customWidth="1"/>
    <col min="12803" max="12803" width="32.140625" style="269" customWidth="1"/>
    <col min="12804" max="12804" width="2.7109375" style="269" customWidth="1"/>
    <col min="12805" max="12805" width="16" style="269" customWidth="1"/>
    <col min="12806" max="12806" width="2.7109375" style="269" customWidth="1"/>
    <col min="12807" max="12807" width="17.7109375" style="269" customWidth="1"/>
    <col min="12808" max="12808" width="2.85546875" style="269" customWidth="1"/>
    <col min="12809" max="12813" width="12.5703125" style="269" customWidth="1"/>
    <col min="12814" max="12814" width="2.85546875" style="269" customWidth="1"/>
    <col min="12815" max="12815" width="19.42578125" style="269" customWidth="1"/>
    <col min="12816" max="12816" width="2.85546875" style="269" customWidth="1"/>
    <col min="12817" max="12817" width="16.85546875" style="269" customWidth="1"/>
    <col min="12818" max="12818" width="2.7109375" style="269" customWidth="1"/>
    <col min="12819" max="13056" width="9.140625" style="269"/>
    <col min="13057" max="13057" width="2.7109375" style="269" customWidth="1"/>
    <col min="13058" max="13058" width="2.85546875" style="269" customWidth="1"/>
    <col min="13059" max="13059" width="32.140625" style="269" customWidth="1"/>
    <col min="13060" max="13060" width="2.7109375" style="269" customWidth="1"/>
    <col min="13061" max="13061" width="16" style="269" customWidth="1"/>
    <col min="13062" max="13062" width="2.7109375" style="269" customWidth="1"/>
    <col min="13063" max="13063" width="17.7109375" style="269" customWidth="1"/>
    <col min="13064" max="13064" width="2.85546875" style="269" customWidth="1"/>
    <col min="13065" max="13069" width="12.5703125" style="269" customWidth="1"/>
    <col min="13070" max="13070" width="2.85546875" style="269" customWidth="1"/>
    <col min="13071" max="13071" width="19.42578125" style="269" customWidth="1"/>
    <col min="13072" max="13072" width="2.85546875" style="269" customWidth="1"/>
    <col min="13073" max="13073" width="16.85546875" style="269" customWidth="1"/>
    <col min="13074" max="13074" width="2.7109375" style="269" customWidth="1"/>
    <col min="13075" max="13312" width="9.140625" style="269"/>
    <col min="13313" max="13313" width="2.7109375" style="269" customWidth="1"/>
    <col min="13314" max="13314" width="2.85546875" style="269" customWidth="1"/>
    <col min="13315" max="13315" width="32.140625" style="269" customWidth="1"/>
    <col min="13316" max="13316" width="2.7109375" style="269" customWidth="1"/>
    <col min="13317" max="13317" width="16" style="269" customWidth="1"/>
    <col min="13318" max="13318" width="2.7109375" style="269" customWidth="1"/>
    <col min="13319" max="13319" width="17.7109375" style="269" customWidth="1"/>
    <col min="13320" max="13320" width="2.85546875" style="269" customWidth="1"/>
    <col min="13321" max="13325" width="12.5703125" style="269" customWidth="1"/>
    <col min="13326" max="13326" width="2.85546875" style="269" customWidth="1"/>
    <col min="13327" max="13327" width="19.42578125" style="269" customWidth="1"/>
    <col min="13328" max="13328" width="2.85546875" style="269" customWidth="1"/>
    <col min="13329" max="13329" width="16.85546875" style="269" customWidth="1"/>
    <col min="13330" max="13330" width="2.7109375" style="269" customWidth="1"/>
    <col min="13331" max="13568" width="9.140625" style="269"/>
    <col min="13569" max="13569" width="2.7109375" style="269" customWidth="1"/>
    <col min="13570" max="13570" width="2.85546875" style="269" customWidth="1"/>
    <col min="13571" max="13571" width="32.140625" style="269" customWidth="1"/>
    <col min="13572" max="13572" width="2.7109375" style="269" customWidth="1"/>
    <col min="13573" max="13573" width="16" style="269" customWidth="1"/>
    <col min="13574" max="13574" width="2.7109375" style="269" customWidth="1"/>
    <col min="13575" max="13575" width="17.7109375" style="269" customWidth="1"/>
    <col min="13576" max="13576" width="2.85546875" style="269" customWidth="1"/>
    <col min="13577" max="13581" width="12.5703125" style="269" customWidth="1"/>
    <col min="13582" max="13582" width="2.85546875" style="269" customWidth="1"/>
    <col min="13583" max="13583" width="19.42578125" style="269" customWidth="1"/>
    <col min="13584" max="13584" width="2.85546875" style="269" customWidth="1"/>
    <col min="13585" max="13585" width="16.85546875" style="269" customWidth="1"/>
    <col min="13586" max="13586" width="2.7109375" style="269" customWidth="1"/>
    <col min="13587" max="13824" width="9.140625" style="269"/>
    <col min="13825" max="13825" width="2.7109375" style="269" customWidth="1"/>
    <col min="13826" max="13826" width="2.85546875" style="269" customWidth="1"/>
    <col min="13827" max="13827" width="32.140625" style="269" customWidth="1"/>
    <col min="13828" max="13828" width="2.7109375" style="269" customWidth="1"/>
    <col min="13829" max="13829" width="16" style="269" customWidth="1"/>
    <col min="13830" max="13830" width="2.7109375" style="269" customWidth="1"/>
    <col min="13831" max="13831" width="17.7109375" style="269" customWidth="1"/>
    <col min="13832" max="13832" width="2.85546875" style="269" customWidth="1"/>
    <col min="13833" max="13837" width="12.5703125" style="269" customWidth="1"/>
    <col min="13838" max="13838" width="2.85546875" style="269" customWidth="1"/>
    <col min="13839" max="13839" width="19.42578125" style="269" customWidth="1"/>
    <col min="13840" max="13840" width="2.85546875" style="269" customWidth="1"/>
    <col min="13841" max="13841" width="16.85546875" style="269" customWidth="1"/>
    <col min="13842" max="13842" width="2.7109375" style="269" customWidth="1"/>
    <col min="13843" max="14080" width="9.140625" style="269"/>
    <col min="14081" max="14081" width="2.7109375" style="269" customWidth="1"/>
    <col min="14082" max="14082" width="2.85546875" style="269" customWidth="1"/>
    <col min="14083" max="14083" width="32.140625" style="269" customWidth="1"/>
    <col min="14084" max="14084" width="2.7109375" style="269" customWidth="1"/>
    <col min="14085" max="14085" width="16" style="269" customWidth="1"/>
    <col min="14086" max="14086" width="2.7109375" style="269" customWidth="1"/>
    <col min="14087" max="14087" width="17.7109375" style="269" customWidth="1"/>
    <col min="14088" max="14088" width="2.85546875" style="269" customWidth="1"/>
    <col min="14089" max="14093" width="12.5703125" style="269" customWidth="1"/>
    <col min="14094" max="14094" width="2.85546875" style="269" customWidth="1"/>
    <col min="14095" max="14095" width="19.42578125" style="269" customWidth="1"/>
    <col min="14096" max="14096" width="2.85546875" style="269" customWidth="1"/>
    <col min="14097" max="14097" width="16.85546875" style="269" customWidth="1"/>
    <col min="14098" max="14098" width="2.7109375" style="269" customWidth="1"/>
    <col min="14099" max="14336" width="9.140625" style="269"/>
    <col min="14337" max="14337" width="2.7109375" style="269" customWidth="1"/>
    <col min="14338" max="14338" width="2.85546875" style="269" customWidth="1"/>
    <col min="14339" max="14339" width="32.140625" style="269" customWidth="1"/>
    <col min="14340" max="14340" width="2.7109375" style="269" customWidth="1"/>
    <col min="14341" max="14341" width="16" style="269" customWidth="1"/>
    <col min="14342" max="14342" width="2.7109375" style="269" customWidth="1"/>
    <col min="14343" max="14343" width="17.7109375" style="269" customWidth="1"/>
    <col min="14344" max="14344" width="2.85546875" style="269" customWidth="1"/>
    <col min="14345" max="14349" width="12.5703125" style="269" customWidth="1"/>
    <col min="14350" max="14350" width="2.85546875" style="269" customWidth="1"/>
    <col min="14351" max="14351" width="19.42578125" style="269" customWidth="1"/>
    <col min="14352" max="14352" width="2.85546875" style="269" customWidth="1"/>
    <col min="14353" max="14353" width="16.85546875" style="269" customWidth="1"/>
    <col min="14354" max="14354" width="2.7109375" style="269" customWidth="1"/>
    <col min="14355" max="14592" width="9.140625" style="269"/>
    <col min="14593" max="14593" width="2.7109375" style="269" customWidth="1"/>
    <col min="14594" max="14594" width="2.85546875" style="269" customWidth="1"/>
    <col min="14595" max="14595" width="32.140625" style="269" customWidth="1"/>
    <col min="14596" max="14596" width="2.7109375" style="269" customWidth="1"/>
    <col min="14597" max="14597" width="16" style="269" customWidth="1"/>
    <col min="14598" max="14598" width="2.7109375" style="269" customWidth="1"/>
    <col min="14599" max="14599" width="17.7109375" style="269" customWidth="1"/>
    <col min="14600" max="14600" width="2.85546875" style="269" customWidth="1"/>
    <col min="14601" max="14605" width="12.5703125" style="269" customWidth="1"/>
    <col min="14606" max="14606" width="2.85546875" style="269" customWidth="1"/>
    <col min="14607" max="14607" width="19.42578125" style="269" customWidth="1"/>
    <col min="14608" max="14608" width="2.85546875" style="269" customWidth="1"/>
    <col min="14609" max="14609" width="16.85546875" style="269" customWidth="1"/>
    <col min="14610" max="14610" width="2.7109375" style="269" customWidth="1"/>
    <col min="14611" max="14848" width="9.140625" style="269"/>
    <col min="14849" max="14849" width="2.7109375" style="269" customWidth="1"/>
    <col min="14850" max="14850" width="2.85546875" style="269" customWidth="1"/>
    <col min="14851" max="14851" width="32.140625" style="269" customWidth="1"/>
    <col min="14852" max="14852" width="2.7109375" style="269" customWidth="1"/>
    <col min="14853" max="14853" width="16" style="269" customWidth="1"/>
    <col min="14854" max="14854" width="2.7109375" style="269" customWidth="1"/>
    <col min="14855" max="14855" width="17.7109375" style="269" customWidth="1"/>
    <col min="14856" max="14856" width="2.85546875" style="269" customWidth="1"/>
    <col min="14857" max="14861" width="12.5703125" style="269" customWidth="1"/>
    <col min="14862" max="14862" width="2.85546875" style="269" customWidth="1"/>
    <col min="14863" max="14863" width="19.42578125" style="269" customWidth="1"/>
    <col min="14864" max="14864" width="2.85546875" style="269" customWidth="1"/>
    <col min="14865" max="14865" width="16.85546875" style="269" customWidth="1"/>
    <col min="14866" max="14866" width="2.7109375" style="269" customWidth="1"/>
    <col min="14867" max="15104" width="9.140625" style="269"/>
    <col min="15105" max="15105" width="2.7109375" style="269" customWidth="1"/>
    <col min="15106" max="15106" width="2.85546875" style="269" customWidth="1"/>
    <col min="15107" max="15107" width="32.140625" style="269" customWidth="1"/>
    <col min="15108" max="15108" width="2.7109375" style="269" customWidth="1"/>
    <col min="15109" max="15109" width="16" style="269" customWidth="1"/>
    <col min="15110" max="15110" width="2.7109375" style="269" customWidth="1"/>
    <col min="15111" max="15111" width="17.7109375" style="269" customWidth="1"/>
    <col min="15112" max="15112" width="2.85546875" style="269" customWidth="1"/>
    <col min="15113" max="15117" width="12.5703125" style="269" customWidth="1"/>
    <col min="15118" max="15118" width="2.85546875" style="269" customWidth="1"/>
    <col min="15119" max="15119" width="19.42578125" style="269" customWidth="1"/>
    <col min="15120" max="15120" width="2.85546875" style="269" customWidth="1"/>
    <col min="15121" max="15121" width="16.85546875" style="269" customWidth="1"/>
    <col min="15122" max="15122" width="2.7109375" style="269" customWidth="1"/>
    <col min="15123" max="15360" width="9.140625" style="269"/>
    <col min="15361" max="15361" width="2.7109375" style="269" customWidth="1"/>
    <col min="15362" max="15362" width="2.85546875" style="269" customWidth="1"/>
    <col min="15363" max="15363" width="32.140625" style="269" customWidth="1"/>
    <col min="15364" max="15364" width="2.7109375" style="269" customWidth="1"/>
    <col min="15365" max="15365" width="16" style="269" customWidth="1"/>
    <col min="15366" max="15366" width="2.7109375" style="269" customWidth="1"/>
    <col min="15367" max="15367" width="17.7109375" style="269" customWidth="1"/>
    <col min="15368" max="15368" width="2.85546875" style="269" customWidth="1"/>
    <col min="15369" max="15373" width="12.5703125" style="269" customWidth="1"/>
    <col min="15374" max="15374" width="2.85546875" style="269" customWidth="1"/>
    <col min="15375" max="15375" width="19.42578125" style="269" customWidth="1"/>
    <col min="15376" max="15376" width="2.85546875" style="269" customWidth="1"/>
    <col min="15377" max="15377" width="16.85546875" style="269" customWidth="1"/>
    <col min="15378" max="15378" width="2.7109375" style="269" customWidth="1"/>
    <col min="15379" max="15616" width="9.140625" style="269"/>
    <col min="15617" max="15617" width="2.7109375" style="269" customWidth="1"/>
    <col min="15618" max="15618" width="2.85546875" style="269" customWidth="1"/>
    <col min="15619" max="15619" width="32.140625" style="269" customWidth="1"/>
    <col min="15620" max="15620" width="2.7109375" style="269" customWidth="1"/>
    <col min="15621" max="15621" width="16" style="269" customWidth="1"/>
    <col min="15622" max="15622" width="2.7109375" style="269" customWidth="1"/>
    <col min="15623" max="15623" width="17.7109375" style="269" customWidth="1"/>
    <col min="15624" max="15624" width="2.85546875" style="269" customWidth="1"/>
    <col min="15625" max="15629" width="12.5703125" style="269" customWidth="1"/>
    <col min="15630" max="15630" width="2.85546875" style="269" customWidth="1"/>
    <col min="15631" max="15631" width="19.42578125" style="269" customWidth="1"/>
    <col min="15632" max="15632" width="2.85546875" style="269" customWidth="1"/>
    <col min="15633" max="15633" width="16.85546875" style="269" customWidth="1"/>
    <col min="15634" max="15634" width="2.7109375" style="269" customWidth="1"/>
    <col min="15635" max="15872" width="9.140625" style="269"/>
    <col min="15873" max="15873" width="2.7109375" style="269" customWidth="1"/>
    <col min="15874" max="15874" width="2.85546875" style="269" customWidth="1"/>
    <col min="15875" max="15875" width="32.140625" style="269" customWidth="1"/>
    <col min="15876" max="15876" width="2.7109375" style="269" customWidth="1"/>
    <col min="15877" max="15877" width="16" style="269" customWidth="1"/>
    <col min="15878" max="15878" width="2.7109375" style="269" customWidth="1"/>
    <col min="15879" max="15879" width="17.7109375" style="269" customWidth="1"/>
    <col min="15880" max="15880" width="2.85546875" style="269" customWidth="1"/>
    <col min="15881" max="15885" width="12.5703125" style="269" customWidth="1"/>
    <col min="15886" max="15886" width="2.85546875" style="269" customWidth="1"/>
    <col min="15887" max="15887" width="19.42578125" style="269" customWidth="1"/>
    <col min="15888" max="15888" width="2.85546875" style="269" customWidth="1"/>
    <col min="15889" max="15889" width="16.85546875" style="269" customWidth="1"/>
    <col min="15890" max="15890" width="2.7109375" style="269" customWidth="1"/>
    <col min="15891" max="16128" width="9.140625" style="269"/>
    <col min="16129" max="16129" width="2.7109375" style="269" customWidth="1"/>
    <col min="16130" max="16130" width="2.85546875" style="269" customWidth="1"/>
    <col min="16131" max="16131" width="32.140625" style="269" customWidth="1"/>
    <col min="16132" max="16132" width="2.7109375" style="269" customWidth="1"/>
    <col min="16133" max="16133" width="16" style="269" customWidth="1"/>
    <col min="16134" max="16134" width="2.7109375" style="269" customWidth="1"/>
    <col min="16135" max="16135" width="17.7109375" style="269" customWidth="1"/>
    <col min="16136" max="16136" width="2.85546875" style="269" customWidth="1"/>
    <col min="16137" max="16141" width="12.5703125" style="269" customWidth="1"/>
    <col min="16142" max="16142" width="2.85546875" style="269" customWidth="1"/>
    <col min="16143" max="16143" width="19.42578125" style="269" customWidth="1"/>
    <col min="16144" max="16144" width="2.85546875" style="269" customWidth="1"/>
    <col min="16145" max="16145" width="16.85546875" style="269" customWidth="1"/>
    <col min="16146" max="16146" width="2.7109375" style="269" customWidth="1"/>
    <col min="16147" max="16384" width="9.140625" style="269"/>
  </cols>
  <sheetData>
    <row r="1" spans="2:17" ht="24.95" customHeight="1" x14ac:dyDescent="0.2">
      <c r="B1" s="268"/>
    </row>
    <row r="2" spans="2:17" ht="24.95" customHeight="1" x14ac:dyDescent="0.4">
      <c r="B2" s="270" t="s">
        <v>294</v>
      </c>
    </row>
    <row r="3" spans="2:17" ht="24.95" customHeight="1" thickBot="1" x14ac:dyDescent="0.25">
      <c r="B3" s="268"/>
    </row>
    <row r="4" spans="2:17" ht="24.95" customHeight="1" x14ac:dyDescent="0.2">
      <c r="B4" s="271"/>
      <c r="C4" s="272" t="s">
        <v>295</v>
      </c>
      <c r="D4" s="273"/>
      <c r="E4" s="272" t="s">
        <v>296</v>
      </c>
      <c r="F4" s="273"/>
      <c r="G4" s="272" t="s">
        <v>297</v>
      </c>
      <c r="H4" s="273"/>
      <c r="I4" s="273" t="s">
        <v>298</v>
      </c>
      <c r="J4" s="273"/>
      <c r="K4" s="273"/>
      <c r="L4" s="273"/>
      <c r="M4" s="272"/>
      <c r="N4" s="273"/>
      <c r="O4" s="272" t="s">
        <v>299</v>
      </c>
      <c r="P4" s="273"/>
      <c r="Q4" s="274" t="s">
        <v>300</v>
      </c>
    </row>
    <row r="5" spans="2:17" ht="24.95" customHeight="1" x14ac:dyDescent="0.2">
      <c r="B5" s="275"/>
      <c r="C5" s="359" t="s">
        <v>307</v>
      </c>
      <c r="D5" s="277"/>
      <c r="E5" s="278">
        <v>43015.825486111113</v>
      </c>
      <c r="F5" s="277"/>
      <c r="G5" s="276" t="s">
        <v>410</v>
      </c>
      <c r="H5" s="279"/>
      <c r="I5" s="412" t="s">
        <v>1392</v>
      </c>
      <c r="J5" s="413"/>
      <c r="K5" s="413"/>
      <c r="L5" s="413"/>
      <c r="M5" s="414"/>
      <c r="N5" s="277"/>
      <c r="O5" s="280" t="s">
        <v>308</v>
      </c>
      <c r="P5" s="277"/>
      <c r="Q5" s="281" t="s">
        <v>309</v>
      </c>
    </row>
    <row r="6" spans="2:17" ht="24.95" customHeight="1" x14ac:dyDescent="0.2">
      <c r="B6" s="275"/>
      <c r="C6" s="359" t="s">
        <v>411</v>
      </c>
      <c r="D6" s="277"/>
      <c r="E6" s="278">
        <v>43015.799409722225</v>
      </c>
      <c r="F6" s="277"/>
      <c r="G6" s="276" t="s">
        <v>405</v>
      </c>
      <c r="H6" s="279"/>
      <c r="I6" s="412" t="s">
        <v>1137</v>
      </c>
      <c r="J6" s="413"/>
      <c r="K6" s="413"/>
      <c r="L6" s="413"/>
      <c r="M6" s="414"/>
      <c r="N6" s="277"/>
      <c r="O6" s="280" t="s">
        <v>308</v>
      </c>
      <c r="P6" s="277"/>
      <c r="Q6" s="281" t="s">
        <v>309</v>
      </c>
    </row>
    <row r="7" spans="2:17" ht="24.95" customHeight="1" x14ac:dyDescent="0.2">
      <c r="B7" s="268"/>
    </row>
    <row r="8" spans="2:17" ht="24.95" customHeight="1" x14ac:dyDescent="0.2">
      <c r="B8" s="268"/>
    </row>
    <row r="9" spans="2:17" ht="24.95" customHeight="1" x14ac:dyDescent="0.2">
      <c r="B9" s="268"/>
    </row>
    <row r="10" spans="2:17" ht="24.95" customHeight="1" x14ac:dyDescent="0.2">
      <c r="B10" s="268"/>
    </row>
    <row r="11" spans="2:17" ht="24.95" customHeight="1" x14ac:dyDescent="0.2">
      <c r="B11" s="268"/>
    </row>
    <row r="12" spans="2:17" ht="24.95" customHeight="1" x14ac:dyDescent="0.2">
      <c r="B12" s="268"/>
    </row>
    <row r="13" spans="2:17" ht="24.95" customHeight="1" x14ac:dyDescent="0.2">
      <c r="B13" s="268"/>
    </row>
    <row r="14" spans="2:17" ht="24.95" customHeight="1" x14ac:dyDescent="0.2">
      <c r="B14" s="268"/>
    </row>
    <row r="15" spans="2:17" ht="24.95" customHeight="1" x14ac:dyDescent="0.2">
      <c r="B15" s="268"/>
    </row>
    <row r="16" spans="2:17" ht="24.95" customHeight="1" x14ac:dyDescent="0.2">
      <c r="B16" s="268"/>
    </row>
    <row r="17" spans="2:2" ht="24.95" customHeight="1" x14ac:dyDescent="0.2">
      <c r="B17" s="268"/>
    </row>
    <row r="18" spans="2:2" ht="24.95" customHeight="1" x14ac:dyDescent="0.2">
      <c r="B18" s="268"/>
    </row>
    <row r="19" spans="2:2" ht="24.95" customHeight="1" x14ac:dyDescent="0.2">
      <c r="B19" s="268"/>
    </row>
    <row r="20" spans="2:2" ht="24.95" customHeight="1" x14ac:dyDescent="0.2">
      <c r="B20" s="268"/>
    </row>
    <row r="21" spans="2:2" ht="24.95" customHeight="1" x14ac:dyDescent="0.2">
      <c r="B21" s="268"/>
    </row>
    <row r="22" spans="2:2" ht="24.95" customHeight="1" x14ac:dyDescent="0.2">
      <c r="B22" s="268"/>
    </row>
    <row r="23" spans="2:2" ht="24.95" customHeight="1" x14ac:dyDescent="0.2">
      <c r="B23" s="268"/>
    </row>
    <row r="24" spans="2:2" ht="24.95" customHeight="1" x14ac:dyDescent="0.2">
      <c r="B24" s="268"/>
    </row>
    <row r="25" spans="2:2" ht="24.95" customHeight="1" x14ac:dyDescent="0.2">
      <c r="B25" s="268"/>
    </row>
    <row r="26" spans="2:2" ht="24.95" customHeight="1" x14ac:dyDescent="0.2">
      <c r="B26" s="268"/>
    </row>
    <row r="27" spans="2:2" ht="24.95" customHeight="1" x14ac:dyDescent="0.2">
      <c r="B27" s="268"/>
    </row>
    <row r="28" spans="2:2" ht="24.95" customHeight="1" x14ac:dyDescent="0.2">
      <c r="B28" s="268"/>
    </row>
    <row r="29" spans="2:2" ht="24.95" customHeight="1" x14ac:dyDescent="0.2">
      <c r="B29" s="268"/>
    </row>
    <row r="30" spans="2:2" ht="24.95" customHeight="1" x14ac:dyDescent="0.2">
      <c r="B30" s="268"/>
    </row>
    <row r="31" spans="2:2" ht="24.95" customHeight="1" x14ac:dyDescent="0.2">
      <c r="B31" s="268"/>
    </row>
    <row r="32" spans="2:2" ht="24.95" customHeight="1" x14ac:dyDescent="0.2">
      <c r="B32" s="268"/>
    </row>
    <row r="33" spans="2:2" ht="24.95" customHeight="1" x14ac:dyDescent="0.2">
      <c r="B33" s="268"/>
    </row>
    <row r="34" spans="2:2" ht="24.95" customHeight="1" x14ac:dyDescent="0.2">
      <c r="B34" s="268"/>
    </row>
    <row r="35" spans="2:2" ht="24.95" customHeight="1" x14ac:dyDescent="0.2">
      <c r="B35" s="268"/>
    </row>
    <row r="36" spans="2:2" ht="24.95" customHeight="1" x14ac:dyDescent="0.2">
      <c r="B36" s="268"/>
    </row>
    <row r="37" spans="2:2" ht="24.95" customHeight="1" x14ac:dyDescent="0.2">
      <c r="B37" s="268"/>
    </row>
    <row r="38" spans="2:2" ht="24.95" customHeight="1" x14ac:dyDescent="0.2">
      <c r="B38" s="268"/>
    </row>
    <row r="39" spans="2:2" ht="24.95" customHeight="1" x14ac:dyDescent="0.2">
      <c r="B39" s="268"/>
    </row>
    <row r="40" spans="2:2" ht="24.95" customHeight="1" x14ac:dyDescent="0.2">
      <c r="B40" s="268"/>
    </row>
    <row r="41" spans="2:2" ht="24.95" customHeight="1" x14ac:dyDescent="0.2">
      <c r="B41" s="268"/>
    </row>
    <row r="42" spans="2:2" ht="24.95" customHeight="1" x14ac:dyDescent="0.2">
      <c r="B42" s="268"/>
    </row>
    <row r="43" spans="2:2" ht="24.95" customHeight="1" x14ac:dyDescent="0.2">
      <c r="B43" s="268"/>
    </row>
    <row r="44" spans="2:2" ht="24.95" customHeight="1" x14ac:dyDescent="0.2">
      <c r="B44" s="268"/>
    </row>
    <row r="45" spans="2:2" ht="24.95" customHeight="1" x14ac:dyDescent="0.2">
      <c r="B45" s="268"/>
    </row>
    <row r="46" spans="2:2" ht="24.95" customHeight="1" x14ac:dyDescent="0.2">
      <c r="B46" s="268"/>
    </row>
    <row r="47" spans="2:2" ht="24.95" customHeight="1" x14ac:dyDescent="0.2">
      <c r="B47" s="268"/>
    </row>
    <row r="48" spans="2:2" ht="24.95" customHeight="1" x14ac:dyDescent="0.2">
      <c r="B48" s="268"/>
    </row>
    <row r="49" spans="2:2" ht="24.95" customHeight="1" x14ac:dyDescent="0.2">
      <c r="B49" s="268"/>
    </row>
    <row r="50" spans="2:2" ht="24.95" customHeight="1" x14ac:dyDescent="0.2">
      <c r="B50" s="268"/>
    </row>
    <row r="51" spans="2:2" ht="24.95" customHeight="1" x14ac:dyDescent="0.2">
      <c r="B51" s="268"/>
    </row>
    <row r="52" spans="2:2" ht="24.95" customHeight="1" x14ac:dyDescent="0.2">
      <c r="B52" s="268"/>
    </row>
    <row r="53" spans="2:2" ht="24.95" customHeight="1" x14ac:dyDescent="0.2">
      <c r="B53" s="268"/>
    </row>
    <row r="54" spans="2:2" ht="24.95" customHeight="1" x14ac:dyDescent="0.2">
      <c r="B54" s="268"/>
    </row>
    <row r="55" spans="2:2" ht="24.95" customHeight="1" x14ac:dyDescent="0.2">
      <c r="B55" s="268"/>
    </row>
    <row r="56" spans="2:2" ht="24.95" customHeight="1" x14ac:dyDescent="0.2">
      <c r="B56" s="268"/>
    </row>
    <row r="57" spans="2:2" ht="24.95" customHeight="1" x14ac:dyDescent="0.2">
      <c r="B57" s="268"/>
    </row>
    <row r="58" spans="2:2" ht="24.95" customHeight="1" x14ac:dyDescent="0.2">
      <c r="B58" s="268"/>
    </row>
    <row r="59" spans="2:2" ht="24.95" customHeight="1" x14ac:dyDescent="0.2">
      <c r="B59" s="268"/>
    </row>
    <row r="60" spans="2:2" ht="24.95" customHeight="1" x14ac:dyDescent="0.2">
      <c r="B60" s="268"/>
    </row>
    <row r="61" spans="2:2" ht="24.95" customHeight="1" x14ac:dyDescent="0.2">
      <c r="B61" s="268"/>
    </row>
    <row r="62" spans="2:2" ht="24.95" customHeight="1" x14ac:dyDescent="0.2">
      <c r="B62" s="268"/>
    </row>
    <row r="63" spans="2:2" ht="24.95" customHeight="1" x14ac:dyDescent="0.2">
      <c r="B63" s="268"/>
    </row>
    <row r="64" spans="2:2" ht="24.95" customHeight="1" x14ac:dyDescent="0.2">
      <c r="B64" s="268"/>
    </row>
    <row r="65" spans="2:2" ht="24.95" customHeight="1" x14ac:dyDescent="0.2">
      <c r="B65" s="268"/>
    </row>
    <row r="66" spans="2:2" ht="24.95" customHeight="1" x14ac:dyDescent="0.2">
      <c r="B66" s="268"/>
    </row>
    <row r="67" spans="2:2" ht="24.95" customHeight="1" x14ac:dyDescent="0.2">
      <c r="B67" s="268"/>
    </row>
    <row r="68" spans="2:2" ht="24.95" customHeight="1" x14ac:dyDescent="0.2">
      <c r="B68" s="268"/>
    </row>
    <row r="69" spans="2:2" ht="24.95" customHeight="1" x14ac:dyDescent="0.2">
      <c r="B69" s="268"/>
    </row>
    <row r="70" spans="2:2" ht="24.95" customHeight="1" x14ac:dyDescent="0.2">
      <c r="B70" s="268"/>
    </row>
    <row r="71" spans="2:2" ht="24.95" customHeight="1" x14ac:dyDescent="0.2">
      <c r="B71" s="268"/>
    </row>
    <row r="72" spans="2:2" ht="24.95" customHeight="1" x14ac:dyDescent="0.2">
      <c r="B72" s="268"/>
    </row>
    <row r="73" spans="2:2" ht="24.95" customHeight="1" x14ac:dyDescent="0.2">
      <c r="B73" s="268"/>
    </row>
    <row r="74" spans="2:2" ht="24.95" customHeight="1" x14ac:dyDescent="0.2">
      <c r="B74" s="268"/>
    </row>
    <row r="75" spans="2:2" ht="24.95" customHeight="1" x14ac:dyDescent="0.2">
      <c r="B75" s="268"/>
    </row>
    <row r="76" spans="2:2" ht="24.95" customHeight="1" x14ac:dyDescent="0.2">
      <c r="B76" s="268"/>
    </row>
    <row r="77" spans="2:2" ht="24.95" customHeight="1" x14ac:dyDescent="0.2">
      <c r="B77" s="268"/>
    </row>
    <row r="78" spans="2:2" ht="24.95" customHeight="1" x14ac:dyDescent="0.2">
      <c r="B78" s="268"/>
    </row>
    <row r="79" spans="2:2" ht="24.95" customHeight="1" x14ac:dyDescent="0.2">
      <c r="B79" s="268"/>
    </row>
    <row r="80" spans="2:2" ht="24.95" customHeight="1" x14ac:dyDescent="0.2">
      <c r="B80" s="268"/>
    </row>
    <row r="81" spans="2:2" ht="24.95" customHeight="1" x14ac:dyDescent="0.2">
      <c r="B81" s="268"/>
    </row>
    <row r="82" spans="2:2" ht="24.95" customHeight="1" x14ac:dyDescent="0.2">
      <c r="B82" s="268"/>
    </row>
    <row r="83" spans="2:2" ht="24.95" customHeight="1" x14ac:dyDescent="0.2">
      <c r="B83" s="268"/>
    </row>
    <row r="84" spans="2:2" ht="24.95" customHeight="1" x14ac:dyDescent="0.2">
      <c r="B84" s="268"/>
    </row>
    <row r="85" spans="2:2" ht="24.95" customHeight="1" x14ac:dyDescent="0.2">
      <c r="B85" s="268"/>
    </row>
    <row r="86" spans="2:2" ht="24.95" customHeight="1" x14ac:dyDescent="0.2">
      <c r="B86" s="268"/>
    </row>
    <row r="87" spans="2:2" ht="24.95" customHeight="1" x14ac:dyDescent="0.2">
      <c r="B87" s="268"/>
    </row>
    <row r="88" spans="2:2" ht="24.95" customHeight="1" x14ac:dyDescent="0.2">
      <c r="B88" s="268"/>
    </row>
    <row r="89" spans="2:2" ht="24.95" customHeight="1" x14ac:dyDescent="0.2">
      <c r="B89" s="268"/>
    </row>
    <row r="90" spans="2:2" ht="24.95" customHeight="1" x14ac:dyDescent="0.2">
      <c r="B90" s="268"/>
    </row>
    <row r="91" spans="2:2" ht="24.95" customHeight="1" x14ac:dyDescent="0.2">
      <c r="B91" s="268"/>
    </row>
    <row r="92" spans="2:2" ht="24.95" customHeight="1" x14ac:dyDescent="0.2">
      <c r="B92" s="268"/>
    </row>
    <row r="93" spans="2:2" ht="24.95" customHeight="1" x14ac:dyDescent="0.2">
      <c r="B93" s="268"/>
    </row>
    <row r="94" spans="2:2" ht="24.95" customHeight="1" x14ac:dyDescent="0.2">
      <c r="B94" s="268"/>
    </row>
    <row r="95" spans="2:2" ht="24.95" customHeight="1" x14ac:dyDescent="0.2">
      <c r="B95" s="268"/>
    </row>
    <row r="96" spans="2:2" ht="24.95" customHeight="1" x14ac:dyDescent="0.2">
      <c r="B96" s="268"/>
    </row>
    <row r="97" spans="2:2" ht="24.95" customHeight="1" x14ac:dyDescent="0.2">
      <c r="B97" s="268"/>
    </row>
    <row r="98" spans="2:2" ht="24.95" customHeight="1" x14ac:dyDescent="0.2">
      <c r="B98" s="268"/>
    </row>
    <row r="99" spans="2:2" ht="24.95" customHeight="1" x14ac:dyDescent="0.2">
      <c r="B99" s="268"/>
    </row>
    <row r="100" spans="2:2" ht="24.95" customHeight="1" x14ac:dyDescent="0.2">
      <c r="B100" s="268"/>
    </row>
    <row r="101" spans="2:2" ht="24.95" customHeight="1" x14ac:dyDescent="0.2">
      <c r="B101" s="268"/>
    </row>
    <row r="102" spans="2:2" ht="24.95" customHeight="1" x14ac:dyDescent="0.2">
      <c r="B102" s="268"/>
    </row>
    <row r="103" spans="2:2" ht="24.95" customHeight="1" x14ac:dyDescent="0.2">
      <c r="B103" s="268"/>
    </row>
    <row r="104" spans="2:2" ht="24.95" customHeight="1" x14ac:dyDescent="0.2">
      <c r="B104" s="268"/>
    </row>
    <row r="105" spans="2:2" ht="24.95" customHeight="1" x14ac:dyDescent="0.2">
      <c r="B105" s="268"/>
    </row>
    <row r="106" spans="2:2" ht="24.95" customHeight="1" x14ac:dyDescent="0.2">
      <c r="B106" s="268"/>
    </row>
    <row r="107" spans="2:2" ht="24.95" customHeight="1" x14ac:dyDescent="0.2">
      <c r="B107" s="268"/>
    </row>
    <row r="108" spans="2:2" ht="24.95" customHeight="1" x14ac:dyDescent="0.2">
      <c r="B108" s="268"/>
    </row>
    <row r="109" spans="2:2" ht="24.95" customHeight="1" x14ac:dyDescent="0.2">
      <c r="B109" s="268"/>
    </row>
    <row r="110" spans="2:2" ht="24.95" customHeight="1" x14ac:dyDescent="0.2">
      <c r="B110" s="268"/>
    </row>
    <row r="111" spans="2:2" ht="24.95" customHeight="1" x14ac:dyDescent="0.2">
      <c r="B111" s="268"/>
    </row>
    <row r="112" spans="2:2" ht="24.95" customHeight="1" x14ac:dyDescent="0.2">
      <c r="B112" s="268"/>
    </row>
    <row r="113" spans="2:2" ht="24.95" customHeight="1" x14ac:dyDescent="0.2">
      <c r="B113" s="268"/>
    </row>
    <row r="114" spans="2:2" ht="24.95" customHeight="1" x14ac:dyDescent="0.2">
      <c r="B114" s="268"/>
    </row>
    <row r="115" spans="2:2" ht="24.95" customHeight="1" x14ac:dyDescent="0.2">
      <c r="B115" s="268"/>
    </row>
    <row r="116" spans="2:2" ht="24.95" customHeight="1" x14ac:dyDescent="0.2">
      <c r="B116" s="268"/>
    </row>
    <row r="117" spans="2:2" ht="24.95" customHeight="1" x14ac:dyDescent="0.2">
      <c r="B117" s="268"/>
    </row>
    <row r="118" spans="2:2" ht="24.95" customHeight="1" x14ac:dyDescent="0.2">
      <c r="B118" s="268"/>
    </row>
    <row r="119" spans="2:2" ht="24.95" customHeight="1" x14ac:dyDescent="0.2">
      <c r="B119" s="268"/>
    </row>
    <row r="120" spans="2:2" ht="24.95" customHeight="1" x14ac:dyDescent="0.2">
      <c r="B120" s="268"/>
    </row>
    <row r="121" spans="2:2" ht="24.95" customHeight="1" x14ac:dyDescent="0.2">
      <c r="B121" s="268"/>
    </row>
    <row r="122" spans="2:2" ht="24.95" customHeight="1" x14ac:dyDescent="0.2">
      <c r="B122" s="268"/>
    </row>
    <row r="123" spans="2:2" ht="24.95" customHeight="1" x14ac:dyDescent="0.2">
      <c r="B123" s="268"/>
    </row>
    <row r="124" spans="2:2" ht="24.95" customHeight="1" x14ac:dyDescent="0.2">
      <c r="B124" s="268"/>
    </row>
    <row r="125" spans="2:2" ht="24.95" customHeight="1" x14ac:dyDescent="0.2">
      <c r="B125" s="268"/>
    </row>
    <row r="126" spans="2:2" ht="24.95" customHeight="1" x14ac:dyDescent="0.2">
      <c r="B126" s="268"/>
    </row>
    <row r="127" spans="2:2" ht="24.95" customHeight="1" x14ac:dyDescent="0.2">
      <c r="B127" s="268"/>
    </row>
    <row r="128" spans="2:2" ht="24.95" customHeight="1" x14ac:dyDescent="0.2">
      <c r="B128" s="268"/>
    </row>
    <row r="129" spans="2:2" ht="24.95" customHeight="1" x14ac:dyDescent="0.2">
      <c r="B129" s="268"/>
    </row>
    <row r="130" spans="2:2" ht="24.95" customHeight="1" x14ac:dyDescent="0.2">
      <c r="B130" s="268"/>
    </row>
    <row r="131" spans="2:2" ht="24.95" customHeight="1" x14ac:dyDescent="0.2">
      <c r="B131" s="268"/>
    </row>
    <row r="132" spans="2:2" ht="24.95" customHeight="1" x14ac:dyDescent="0.2">
      <c r="B132" s="268"/>
    </row>
    <row r="133" spans="2:2" ht="24.95" customHeight="1" x14ac:dyDescent="0.2">
      <c r="B133" s="268"/>
    </row>
    <row r="134" spans="2:2" ht="24.95" customHeight="1" x14ac:dyDescent="0.2">
      <c r="B134" s="268"/>
    </row>
    <row r="135" spans="2:2" ht="24.95" customHeight="1" x14ac:dyDescent="0.2">
      <c r="B135" s="268"/>
    </row>
    <row r="136" spans="2:2" ht="24.95" customHeight="1" x14ac:dyDescent="0.2">
      <c r="B136" s="268"/>
    </row>
    <row r="137" spans="2:2" ht="24.95" customHeight="1" x14ac:dyDescent="0.2">
      <c r="B137" s="268"/>
    </row>
    <row r="138" spans="2:2" ht="24.95" customHeight="1" x14ac:dyDescent="0.2">
      <c r="B138" s="268"/>
    </row>
    <row r="139" spans="2:2" ht="24.95" customHeight="1" x14ac:dyDescent="0.2">
      <c r="B139" s="268"/>
    </row>
    <row r="140" spans="2:2" ht="24.95" customHeight="1" x14ac:dyDescent="0.2">
      <c r="B140" s="268"/>
    </row>
    <row r="141" spans="2:2" ht="24.95" customHeight="1" x14ac:dyDescent="0.2">
      <c r="B141" s="268"/>
    </row>
    <row r="142" spans="2:2" ht="24.95" customHeight="1" x14ac:dyDescent="0.2">
      <c r="B142" s="268"/>
    </row>
    <row r="143" spans="2:2" ht="24.95" customHeight="1" x14ac:dyDescent="0.2">
      <c r="B143" s="268"/>
    </row>
    <row r="144" spans="2:2" ht="24.95" customHeight="1" x14ac:dyDescent="0.2">
      <c r="B144" s="268"/>
    </row>
    <row r="145" spans="2:2" ht="24.95" customHeight="1" x14ac:dyDescent="0.2">
      <c r="B145" s="268"/>
    </row>
    <row r="146" spans="2:2" ht="24.95" customHeight="1" x14ac:dyDescent="0.2">
      <c r="B146" s="268"/>
    </row>
    <row r="147" spans="2:2" ht="24.95" customHeight="1" x14ac:dyDescent="0.2">
      <c r="B147" s="268"/>
    </row>
    <row r="148" spans="2:2" ht="24.95" customHeight="1" x14ac:dyDescent="0.2">
      <c r="B148" s="268"/>
    </row>
    <row r="149" spans="2:2" ht="24.95" customHeight="1" x14ac:dyDescent="0.2">
      <c r="B149" s="268"/>
    </row>
    <row r="150" spans="2:2" ht="24.95" customHeight="1" x14ac:dyDescent="0.2">
      <c r="B150" s="268"/>
    </row>
    <row r="151" spans="2:2" ht="24.95" customHeight="1" x14ac:dyDescent="0.2">
      <c r="B151" s="268"/>
    </row>
    <row r="152" spans="2:2" ht="24.95" customHeight="1" x14ac:dyDescent="0.2">
      <c r="B152" s="268"/>
    </row>
    <row r="153" spans="2:2" ht="24.95" customHeight="1" x14ac:dyDescent="0.2">
      <c r="B153" s="268"/>
    </row>
    <row r="154" spans="2:2" ht="24.95" customHeight="1" x14ac:dyDescent="0.2">
      <c r="B154" s="268"/>
    </row>
    <row r="155" spans="2:2" ht="24.95" customHeight="1" x14ac:dyDescent="0.2">
      <c r="B155" s="268"/>
    </row>
    <row r="156" spans="2:2" ht="24.95" customHeight="1" x14ac:dyDescent="0.2">
      <c r="B156" s="268"/>
    </row>
    <row r="157" spans="2:2" ht="24.95" customHeight="1" x14ac:dyDescent="0.2">
      <c r="B157" s="268"/>
    </row>
    <row r="158" spans="2:2" ht="24.95" customHeight="1" x14ac:dyDescent="0.2">
      <c r="B158" s="268"/>
    </row>
    <row r="159" spans="2:2" ht="24.95" customHeight="1" x14ac:dyDescent="0.2">
      <c r="B159" s="268"/>
    </row>
    <row r="160" spans="2:2" ht="24.95" customHeight="1" x14ac:dyDescent="0.2">
      <c r="B160" s="268"/>
    </row>
    <row r="161" spans="2:2" ht="24.95" customHeight="1" x14ac:dyDescent="0.2">
      <c r="B161" s="268"/>
    </row>
    <row r="162" spans="2:2" ht="24.95" customHeight="1" x14ac:dyDescent="0.2">
      <c r="B162" s="268"/>
    </row>
    <row r="163" spans="2:2" ht="24.95" customHeight="1" x14ac:dyDescent="0.2">
      <c r="B163" s="268"/>
    </row>
    <row r="164" spans="2:2" ht="24.95" customHeight="1" x14ac:dyDescent="0.2">
      <c r="B164" s="268"/>
    </row>
    <row r="165" spans="2:2" ht="24.95" customHeight="1" x14ac:dyDescent="0.2">
      <c r="B165" s="268"/>
    </row>
    <row r="166" spans="2:2" ht="24.95" customHeight="1" x14ac:dyDescent="0.2">
      <c r="B166" s="268"/>
    </row>
    <row r="167" spans="2:2" ht="24.95" customHeight="1" x14ac:dyDescent="0.2">
      <c r="B167" s="268"/>
    </row>
    <row r="168" spans="2:2" ht="24.95" customHeight="1" x14ac:dyDescent="0.2">
      <c r="B168" s="268"/>
    </row>
    <row r="169" spans="2:2" ht="24.95" customHeight="1" x14ac:dyDescent="0.2">
      <c r="B169" s="268"/>
    </row>
    <row r="170" spans="2:2" ht="24.95" customHeight="1" x14ac:dyDescent="0.2">
      <c r="B170" s="268"/>
    </row>
    <row r="171" spans="2:2" ht="24.95" customHeight="1" x14ac:dyDescent="0.2">
      <c r="B171" s="268"/>
    </row>
    <row r="172" spans="2:2" ht="24.95" customHeight="1" x14ac:dyDescent="0.2">
      <c r="B172" s="268"/>
    </row>
    <row r="173" spans="2:2" ht="24.95" customHeight="1" x14ac:dyDescent="0.2">
      <c r="B173" s="268"/>
    </row>
    <row r="174" spans="2:2" ht="24.95" customHeight="1" x14ac:dyDescent="0.2">
      <c r="B174" s="268"/>
    </row>
    <row r="175" spans="2:2" ht="24.95" customHeight="1" x14ac:dyDescent="0.2">
      <c r="B175" s="268"/>
    </row>
    <row r="176" spans="2:2" ht="24.95" customHeight="1" x14ac:dyDescent="0.2">
      <c r="B176" s="268"/>
    </row>
    <row r="177" spans="2:2" ht="24.95" customHeight="1" x14ac:dyDescent="0.2">
      <c r="B177" s="268"/>
    </row>
    <row r="178" spans="2:2" ht="24.95" customHeight="1" x14ac:dyDescent="0.2">
      <c r="B178" s="268"/>
    </row>
    <row r="179" spans="2:2" ht="24.95" customHeight="1" x14ac:dyDescent="0.2">
      <c r="B179" s="268"/>
    </row>
    <row r="180" spans="2:2" ht="24.95" customHeight="1" x14ac:dyDescent="0.2">
      <c r="B180" s="268"/>
    </row>
    <row r="181" spans="2:2" ht="24.95" customHeight="1" x14ac:dyDescent="0.2">
      <c r="B181" s="268"/>
    </row>
    <row r="182" spans="2:2" ht="24.95" customHeight="1" x14ac:dyDescent="0.2">
      <c r="B182" s="268"/>
    </row>
    <row r="183" spans="2:2" ht="24.95" customHeight="1" x14ac:dyDescent="0.2">
      <c r="B183" s="268"/>
    </row>
    <row r="184" spans="2:2" ht="24.95" customHeight="1" x14ac:dyDescent="0.2">
      <c r="B184" s="268"/>
    </row>
    <row r="185" spans="2:2" ht="24.95" customHeight="1" x14ac:dyDescent="0.2">
      <c r="B185" s="268"/>
    </row>
    <row r="186" spans="2:2" ht="24.95" customHeight="1" x14ac:dyDescent="0.2">
      <c r="B186" s="268"/>
    </row>
    <row r="187" spans="2:2" ht="24.95" customHeight="1" x14ac:dyDescent="0.2">
      <c r="B187" s="268"/>
    </row>
    <row r="188" spans="2:2" ht="24.95" customHeight="1" x14ac:dyDescent="0.2">
      <c r="B188" s="268"/>
    </row>
    <row r="189" spans="2:2" ht="24.95" customHeight="1" x14ac:dyDescent="0.2">
      <c r="B189" s="268"/>
    </row>
    <row r="190" spans="2:2" ht="24.95" customHeight="1" x14ac:dyDescent="0.2">
      <c r="B190" s="268"/>
    </row>
    <row r="191" spans="2:2" ht="24.95" customHeight="1" x14ac:dyDescent="0.2">
      <c r="B191" s="268"/>
    </row>
    <row r="192" spans="2:2" ht="24.95" customHeight="1" x14ac:dyDescent="0.2">
      <c r="B192" s="268"/>
    </row>
    <row r="193" spans="2:2" ht="24.95" customHeight="1" x14ac:dyDescent="0.2">
      <c r="B193" s="268"/>
    </row>
    <row r="194" spans="2:2" ht="24.95" customHeight="1" x14ac:dyDescent="0.2">
      <c r="B194" s="268"/>
    </row>
    <row r="195" spans="2:2" ht="24.95" customHeight="1" x14ac:dyDescent="0.2">
      <c r="B195" s="268"/>
    </row>
    <row r="196" spans="2:2" ht="24.95" customHeight="1" x14ac:dyDescent="0.2">
      <c r="B196" s="268"/>
    </row>
    <row r="197" spans="2:2" ht="24.95" customHeight="1" x14ac:dyDescent="0.2">
      <c r="B197" s="268"/>
    </row>
    <row r="198" spans="2:2" ht="24.95" customHeight="1" x14ac:dyDescent="0.2">
      <c r="B198" s="268"/>
    </row>
    <row r="199" spans="2:2" ht="24.95" customHeight="1" x14ac:dyDescent="0.2">
      <c r="B199" s="268"/>
    </row>
    <row r="200" spans="2:2" ht="24.95" customHeight="1" x14ac:dyDescent="0.2">
      <c r="B200" s="268"/>
    </row>
    <row r="201" spans="2:2" ht="24.95" customHeight="1" x14ac:dyDescent="0.2">
      <c r="B201" s="268"/>
    </row>
    <row r="202" spans="2:2" ht="24.95" customHeight="1" x14ac:dyDescent="0.2">
      <c r="B202" s="268"/>
    </row>
    <row r="203" spans="2:2" ht="24.95" customHeight="1" x14ac:dyDescent="0.2">
      <c r="B203" s="268"/>
    </row>
    <row r="204" spans="2:2" ht="24.95" customHeight="1" x14ac:dyDescent="0.2">
      <c r="B204" s="268"/>
    </row>
    <row r="205" spans="2:2" ht="24.95" customHeight="1" x14ac:dyDescent="0.2">
      <c r="B205" s="268"/>
    </row>
    <row r="206" spans="2:2" ht="24.95" customHeight="1" x14ac:dyDescent="0.2">
      <c r="B206" s="268"/>
    </row>
    <row r="207" spans="2:2" ht="24.95" customHeight="1" x14ac:dyDescent="0.2">
      <c r="B207" s="268"/>
    </row>
    <row r="208" spans="2:2" ht="24.95" customHeight="1" x14ac:dyDescent="0.2">
      <c r="B208" s="268"/>
    </row>
    <row r="209" spans="2:2" ht="24.95" customHeight="1" x14ac:dyDescent="0.2">
      <c r="B209" s="268"/>
    </row>
    <row r="210" spans="2:2" ht="24.95" customHeight="1" x14ac:dyDescent="0.2">
      <c r="B210" s="268"/>
    </row>
    <row r="211" spans="2:2" ht="24.95" customHeight="1" x14ac:dyDescent="0.2">
      <c r="B211" s="268"/>
    </row>
    <row r="212" spans="2:2" ht="24.95" customHeight="1" x14ac:dyDescent="0.2">
      <c r="B212" s="268"/>
    </row>
    <row r="213" spans="2:2" ht="24.95" customHeight="1" x14ac:dyDescent="0.2">
      <c r="B213" s="268"/>
    </row>
    <row r="214" spans="2:2" ht="24.95" customHeight="1" x14ac:dyDescent="0.2">
      <c r="B214" s="268"/>
    </row>
    <row r="215" spans="2:2" ht="24.95" customHeight="1" x14ac:dyDescent="0.2">
      <c r="B215" s="268"/>
    </row>
    <row r="216" spans="2:2" ht="24.95" customHeight="1" x14ac:dyDescent="0.2">
      <c r="B216" s="268"/>
    </row>
    <row r="217" spans="2:2" ht="24.95" customHeight="1" x14ac:dyDescent="0.2">
      <c r="B217" s="268"/>
    </row>
    <row r="218" spans="2:2" ht="24.95" customHeight="1" x14ac:dyDescent="0.2">
      <c r="B218" s="268"/>
    </row>
    <row r="219" spans="2:2" ht="24.95" customHeight="1" x14ac:dyDescent="0.2">
      <c r="B219" s="268"/>
    </row>
    <row r="220" spans="2:2" ht="24.95" customHeight="1" x14ac:dyDescent="0.2">
      <c r="B220" s="268"/>
    </row>
    <row r="221" spans="2:2" ht="24.95" customHeight="1" x14ac:dyDescent="0.2">
      <c r="B221" s="268"/>
    </row>
    <row r="222" spans="2:2" ht="24.95" customHeight="1" x14ac:dyDescent="0.2">
      <c r="B222" s="268"/>
    </row>
    <row r="223" spans="2:2" ht="24.95" customHeight="1" x14ac:dyDescent="0.2">
      <c r="B223" s="268"/>
    </row>
    <row r="224" spans="2:2" ht="24.95" customHeight="1" x14ac:dyDescent="0.2">
      <c r="B224" s="268"/>
    </row>
    <row r="225" spans="2:2" ht="24.95" customHeight="1" x14ac:dyDescent="0.2">
      <c r="B225" s="268"/>
    </row>
    <row r="226" spans="2:2" ht="24.95" customHeight="1" x14ac:dyDescent="0.2">
      <c r="B226" s="268"/>
    </row>
    <row r="227" spans="2:2" ht="24.95" customHeight="1" x14ac:dyDescent="0.2">
      <c r="B227" s="268"/>
    </row>
    <row r="228" spans="2:2" ht="24.95" customHeight="1" x14ac:dyDescent="0.2">
      <c r="B228" s="268"/>
    </row>
    <row r="229" spans="2:2" ht="24.95" customHeight="1" x14ac:dyDescent="0.2">
      <c r="B229" s="268"/>
    </row>
    <row r="230" spans="2:2" ht="24.95" customHeight="1" x14ac:dyDescent="0.2">
      <c r="B230" s="268"/>
    </row>
    <row r="231" spans="2:2" ht="24.95" customHeight="1" x14ac:dyDescent="0.2">
      <c r="B231" s="268"/>
    </row>
    <row r="232" spans="2:2" ht="24.95" customHeight="1" x14ac:dyDescent="0.2">
      <c r="B232" s="268"/>
    </row>
    <row r="233" spans="2:2" ht="24.95" customHeight="1" x14ac:dyDescent="0.2">
      <c r="B233" s="268"/>
    </row>
    <row r="234" spans="2:2" ht="24.95" customHeight="1" x14ac:dyDescent="0.2">
      <c r="B234" s="268"/>
    </row>
    <row r="235" spans="2:2" ht="24.95" customHeight="1" x14ac:dyDescent="0.2">
      <c r="B235" s="268"/>
    </row>
    <row r="236" spans="2:2" ht="24.95" customHeight="1" x14ac:dyDescent="0.2">
      <c r="B236" s="268"/>
    </row>
    <row r="237" spans="2:2" ht="24.95" customHeight="1" x14ac:dyDescent="0.2">
      <c r="B237" s="268"/>
    </row>
    <row r="238" spans="2:2" ht="24.95" customHeight="1" x14ac:dyDescent="0.2">
      <c r="B238" s="268"/>
    </row>
    <row r="239" spans="2:2" ht="24.95" customHeight="1" x14ac:dyDescent="0.2">
      <c r="B239" s="268"/>
    </row>
    <row r="240" spans="2:2" ht="24.95" customHeight="1" x14ac:dyDescent="0.2">
      <c r="B240" s="268"/>
    </row>
    <row r="241" spans="2:2" ht="24.95" customHeight="1" x14ac:dyDescent="0.2">
      <c r="B241" s="268"/>
    </row>
    <row r="242" spans="2:2" ht="24.95" customHeight="1" x14ac:dyDescent="0.2">
      <c r="B242" s="268"/>
    </row>
    <row r="243" spans="2:2" ht="24.95" customHeight="1" x14ac:dyDescent="0.2">
      <c r="B243" s="268"/>
    </row>
    <row r="244" spans="2:2" ht="24.95" customHeight="1" x14ac:dyDescent="0.2">
      <c r="B244" s="268"/>
    </row>
    <row r="245" spans="2:2" ht="24.95" customHeight="1" x14ac:dyDescent="0.2">
      <c r="B245" s="268"/>
    </row>
    <row r="246" spans="2:2" ht="24.95" customHeight="1" x14ac:dyDescent="0.2">
      <c r="B246" s="268"/>
    </row>
    <row r="247" spans="2:2" ht="24.95" customHeight="1" x14ac:dyDescent="0.2">
      <c r="B247" s="268"/>
    </row>
    <row r="248" spans="2:2" ht="24.95" customHeight="1" x14ac:dyDescent="0.2">
      <c r="B248" s="268"/>
    </row>
    <row r="249" spans="2:2" ht="24.95" customHeight="1" x14ac:dyDescent="0.2">
      <c r="B249" s="268"/>
    </row>
    <row r="250" spans="2:2" ht="24.95" customHeight="1" x14ac:dyDescent="0.2">
      <c r="B250" s="268"/>
    </row>
    <row r="251" spans="2:2" ht="24.95" customHeight="1" x14ac:dyDescent="0.2">
      <c r="B251" s="268"/>
    </row>
    <row r="252" spans="2:2" ht="24.95" customHeight="1" x14ac:dyDescent="0.2">
      <c r="B252" s="268"/>
    </row>
    <row r="253" spans="2:2" ht="24.95" customHeight="1" x14ac:dyDescent="0.2">
      <c r="B253" s="268"/>
    </row>
    <row r="254" spans="2:2" ht="24.95" customHeight="1" x14ac:dyDescent="0.2">
      <c r="B254" s="268"/>
    </row>
    <row r="255" spans="2:2" ht="24.95" customHeight="1" x14ac:dyDescent="0.2">
      <c r="B255" s="268"/>
    </row>
    <row r="256" spans="2:2" ht="24.95" customHeight="1" x14ac:dyDescent="0.2">
      <c r="B256" s="268"/>
    </row>
    <row r="257" spans="2:2" ht="24.95" customHeight="1" x14ac:dyDescent="0.2">
      <c r="B257" s="268"/>
    </row>
    <row r="258" spans="2:2" ht="24.95" customHeight="1" x14ac:dyDescent="0.2">
      <c r="B258" s="268"/>
    </row>
    <row r="259" spans="2:2" ht="24.95" customHeight="1" x14ac:dyDescent="0.2">
      <c r="B259" s="268"/>
    </row>
    <row r="260" spans="2:2" ht="24.95" customHeight="1" x14ac:dyDescent="0.2">
      <c r="B260" s="268"/>
    </row>
    <row r="261" spans="2:2" ht="24.95" customHeight="1" x14ac:dyDescent="0.2">
      <c r="B261" s="268"/>
    </row>
    <row r="262" spans="2:2" ht="24.95" customHeight="1" x14ac:dyDescent="0.2">
      <c r="B262" s="268"/>
    </row>
    <row r="263" spans="2:2" ht="24.95" customHeight="1" x14ac:dyDescent="0.2">
      <c r="B263" s="268"/>
    </row>
    <row r="264" spans="2:2" ht="24.95" customHeight="1" x14ac:dyDescent="0.2">
      <c r="B264" s="268"/>
    </row>
    <row r="265" spans="2:2" ht="24.95" customHeight="1" x14ac:dyDescent="0.2">
      <c r="B265" s="268"/>
    </row>
    <row r="266" spans="2:2" ht="24.95" customHeight="1" x14ac:dyDescent="0.2">
      <c r="B266" s="268"/>
    </row>
    <row r="267" spans="2:2" ht="24.95" customHeight="1" x14ac:dyDescent="0.2">
      <c r="B267" s="268"/>
    </row>
    <row r="268" spans="2:2" ht="24.95" customHeight="1" x14ac:dyDescent="0.2">
      <c r="B268" s="268"/>
    </row>
    <row r="269" spans="2:2" ht="24.95" customHeight="1" x14ac:dyDescent="0.2">
      <c r="B269" s="268"/>
    </row>
    <row r="270" spans="2:2" ht="24.95" customHeight="1" x14ac:dyDescent="0.2">
      <c r="B270" s="268"/>
    </row>
    <row r="271" spans="2:2" ht="24.95" customHeight="1" x14ac:dyDescent="0.2">
      <c r="B271" s="268"/>
    </row>
    <row r="272" spans="2:2" ht="24.95" customHeight="1" x14ac:dyDescent="0.2">
      <c r="B272" s="268"/>
    </row>
    <row r="273" spans="2:2" ht="24.95" customHeight="1" x14ac:dyDescent="0.2">
      <c r="B273" s="268"/>
    </row>
    <row r="274" spans="2:2" ht="24.95" customHeight="1" x14ac:dyDescent="0.2">
      <c r="B274" s="268"/>
    </row>
    <row r="275" spans="2:2" ht="24.95" customHeight="1" x14ac:dyDescent="0.2">
      <c r="B275" s="268"/>
    </row>
    <row r="276" spans="2:2" ht="24.95" customHeight="1" x14ac:dyDescent="0.2">
      <c r="B276" s="268"/>
    </row>
    <row r="277" spans="2:2" ht="24.95" customHeight="1" x14ac:dyDescent="0.2">
      <c r="B277" s="268"/>
    </row>
    <row r="278" spans="2:2" ht="24.95" customHeight="1" x14ac:dyDescent="0.2">
      <c r="B278" s="268"/>
    </row>
    <row r="279" spans="2:2" ht="24.95" customHeight="1" x14ac:dyDescent="0.2">
      <c r="B279" s="268"/>
    </row>
    <row r="280" spans="2:2" ht="24.95" customHeight="1" x14ac:dyDescent="0.2">
      <c r="B280" s="268"/>
    </row>
    <row r="281" spans="2:2" ht="24.95" customHeight="1" x14ac:dyDescent="0.2">
      <c r="B281" s="268"/>
    </row>
    <row r="282" spans="2:2" ht="24.95" customHeight="1" x14ac:dyDescent="0.2">
      <c r="B282" s="268"/>
    </row>
    <row r="283" spans="2:2" ht="24.95" customHeight="1" x14ac:dyDescent="0.2">
      <c r="B283" s="268"/>
    </row>
    <row r="284" spans="2:2" ht="24.95" customHeight="1" x14ac:dyDescent="0.2">
      <c r="B284" s="268"/>
    </row>
    <row r="285" spans="2:2" ht="24.95" customHeight="1" x14ac:dyDescent="0.2">
      <c r="B285" s="268"/>
    </row>
    <row r="286" spans="2:2" ht="24.95" customHeight="1" x14ac:dyDescent="0.2">
      <c r="B286" s="268"/>
    </row>
    <row r="287" spans="2:2" ht="24.95" customHeight="1" x14ac:dyDescent="0.2">
      <c r="B287" s="268"/>
    </row>
    <row r="288" spans="2:2" ht="24.95" customHeight="1" x14ac:dyDescent="0.2">
      <c r="B288" s="268"/>
    </row>
    <row r="289" spans="2:2" ht="24.95" customHeight="1" x14ac:dyDescent="0.2">
      <c r="B289" s="268"/>
    </row>
    <row r="290" spans="2:2" ht="24.95" customHeight="1" x14ac:dyDescent="0.2">
      <c r="B290" s="268"/>
    </row>
    <row r="291" spans="2:2" ht="24.95" customHeight="1" x14ac:dyDescent="0.2">
      <c r="B291" s="268"/>
    </row>
    <row r="292" spans="2:2" ht="24.95" customHeight="1" x14ac:dyDescent="0.2">
      <c r="B292" s="268"/>
    </row>
    <row r="293" spans="2:2" ht="24.95" customHeight="1" x14ac:dyDescent="0.2">
      <c r="B293" s="268"/>
    </row>
    <row r="294" spans="2:2" ht="24.95" customHeight="1" x14ac:dyDescent="0.2">
      <c r="B294" s="268"/>
    </row>
    <row r="295" spans="2:2" ht="24.95" customHeight="1" x14ac:dyDescent="0.2">
      <c r="B295" s="268"/>
    </row>
    <row r="296" spans="2:2" ht="24.95" customHeight="1" x14ac:dyDescent="0.2">
      <c r="B296" s="268"/>
    </row>
    <row r="297" spans="2:2" ht="24.95" customHeight="1" x14ac:dyDescent="0.2">
      <c r="B297" s="268"/>
    </row>
    <row r="298" spans="2:2" ht="24.95" customHeight="1" x14ac:dyDescent="0.2">
      <c r="B298" s="268"/>
    </row>
    <row r="299" spans="2:2" ht="24.95" customHeight="1" x14ac:dyDescent="0.2">
      <c r="B299" s="268"/>
    </row>
    <row r="300" spans="2:2" ht="24.95" customHeight="1" x14ac:dyDescent="0.2">
      <c r="B300" s="268"/>
    </row>
    <row r="301" spans="2:2" ht="24.95" customHeight="1" x14ac:dyDescent="0.2">
      <c r="B301" s="268"/>
    </row>
    <row r="302" spans="2:2" ht="24.95" customHeight="1" x14ac:dyDescent="0.2">
      <c r="B302" s="268"/>
    </row>
    <row r="303" spans="2:2" ht="24.95" customHeight="1" x14ac:dyDescent="0.2">
      <c r="B303" s="268"/>
    </row>
    <row r="304" spans="2:2" ht="24.95" customHeight="1" x14ac:dyDescent="0.2">
      <c r="B304" s="268"/>
    </row>
    <row r="305" spans="2:2" ht="24.95" customHeight="1" x14ac:dyDescent="0.2">
      <c r="B305" s="268"/>
    </row>
    <row r="306" spans="2:2" ht="24.95" customHeight="1" x14ac:dyDescent="0.2">
      <c r="B306" s="268"/>
    </row>
    <row r="307" spans="2:2" ht="24.95" customHeight="1" x14ac:dyDescent="0.2">
      <c r="B307" s="268"/>
    </row>
    <row r="308" spans="2:2" ht="24.95" customHeight="1" x14ac:dyDescent="0.2">
      <c r="B308" s="268"/>
    </row>
    <row r="309" spans="2:2" ht="24.95" customHeight="1" x14ac:dyDescent="0.2">
      <c r="B309" s="268"/>
    </row>
    <row r="310" spans="2:2" ht="24.95" customHeight="1" x14ac:dyDescent="0.2">
      <c r="B310" s="268"/>
    </row>
    <row r="311" spans="2:2" ht="24.95" customHeight="1" x14ac:dyDescent="0.2">
      <c r="B311" s="268"/>
    </row>
    <row r="312" spans="2:2" ht="24.95" customHeight="1" x14ac:dyDescent="0.2">
      <c r="B312" s="268"/>
    </row>
    <row r="313" spans="2:2" ht="24.95" customHeight="1" x14ac:dyDescent="0.2">
      <c r="B313" s="268"/>
    </row>
    <row r="314" spans="2:2" ht="24.95" customHeight="1" x14ac:dyDescent="0.2">
      <c r="B314" s="268"/>
    </row>
    <row r="315" spans="2:2" ht="24.95" customHeight="1" x14ac:dyDescent="0.2">
      <c r="B315" s="268"/>
    </row>
    <row r="316" spans="2:2" ht="24.95" customHeight="1" x14ac:dyDescent="0.2">
      <c r="B316" s="268"/>
    </row>
    <row r="317" spans="2:2" ht="24.95" customHeight="1" x14ac:dyDescent="0.2">
      <c r="B317" s="268"/>
    </row>
    <row r="318" spans="2:2" ht="24.95" customHeight="1" x14ac:dyDescent="0.2">
      <c r="B318" s="268"/>
    </row>
    <row r="319" spans="2:2" ht="24.95" customHeight="1" x14ac:dyDescent="0.2">
      <c r="B319" s="268"/>
    </row>
    <row r="320" spans="2:2" ht="24.95" customHeight="1" x14ac:dyDescent="0.2">
      <c r="B320" s="268"/>
    </row>
    <row r="321" spans="2:2" ht="24.95" customHeight="1" x14ac:dyDescent="0.2">
      <c r="B321" s="268"/>
    </row>
    <row r="322" spans="2:2" ht="24.95" customHeight="1" x14ac:dyDescent="0.2">
      <c r="B322" s="268"/>
    </row>
    <row r="323" spans="2:2" ht="24.95" customHeight="1" x14ac:dyDescent="0.2">
      <c r="B323" s="268"/>
    </row>
    <row r="324" spans="2:2" ht="24.95" customHeight="1" x14ac:dyDescent="0.2">
      <c r="B324" s="268"/>
    </row>
    <row r="325" spans="2:2" ht="24.95" customHeight="1" x14ac:dyDescent="0.2">
      <c r="B325" s="268"/>
    </row>
    <row r="326" spans="2:2" ht="24.95" customHeight="1" x14ac:dyDescent="0.2">
      <c r="B326" s="268"/>
    </row>
    <row r="327" spans="2:2" ht="24.95" customHeight="1" x14ac:dyDescent="0.2">
      <c r="B327" s="268"/>
    </row>
    <row r="328" spans="2:2" ht="24.95" customHeight="1" x14ac:dyDescent="0.2">
      <c r="B328" s="268"/>
    </row>
    <row r="329" spans="2:2" ht="24.95" customHeight="1" x14ac:dyDescent="0.2">
      <c r="B329" s="268"/>
    </row>
    <row r="330" spans="2:2" ht="24.95" customHeight="1" x14ac:dyDescent="0.2">
      <c r="B330" s="268"/>
    </row>
    <row r="331" spans="2:2" ht="24.95" customHeight="1" x14ac:dyDescent="0.2">
      <c r="B331" s="268"/>
    </row>
    <row r="332" spans="2:2" ht="24.95" customHeight="1" x14ac:dyDescent="0.2">
      <c r="B332" s="268"/>
    </row>
    <row r="333" spans="2:2" ht="24.95" customHeight="1" x14ac:dyDescent="0.2">
      <c r="B333" s="268"/>
    </row>
    <row r="334" spans="2:2" ht="24.95" customHeight="1" x14ac:dyDescent="0.2">
      <c r="B334" s="268"/>
    </row>
    <row r="335" spans="2:2" ht="24.95" customHeight="1" x14ac:dyDescent="0.2">
      <c r="B335" s="268"/>
    </row>
    <row r="336" spans="2:2" ht="24.95" customHeight="1" x14ac:dyDescent="0.2">
      <c r="B336" s="268"/>
    </row>
    <row r="337" spans="2:2" ht="24.95" customHeight="1" x14ac:dyDescent="0.2">
      <c r="B337" s="268"/>
    </row>
    <row r="338" spans="2:2" ht="24.95" customHeight="1" x14ac:dyDescent="0.2">
      <c r="B338" s="268"/>
    </row>
    <row r="339" spans="2:2" ht="24.95" customHeight="1" x14ac:dyDescent="0.2">
      <c r="B339" s="268"/>
    </row>
    <row r="340" spans="2:2" ht="24.95" customHeight="1" x14ac:dyDescent="0.2">
      <c r="B340" s="268"/>
    </row>
    <row r="341" spans="2:2" ht="24.95" customHeight="1" x14ac:dyDescent="0.2">
      <c r="B341" s="268"/>
    </row>
    <row r="342" spans="2:2" ht="24.95" customHeight="1" x14ac:dyDescent="0.2">
      <c r="B342" s="268"/>
    </row>
    <row r="343" spans="2:2" ht="24.95" customHeight="1" x14ac:dyDescent="0.2">
      <c r="B343" s="268"/>
    </row>
    <row r="344" spans="2:2" ht="24.95" customHeight="1" x14ac:dyDescent="0.2">
      <c r="B344" s="268"/>
    </row>
    <row r="345" spans="2:2" ht="24.95" customHeight="1" x14ac:dyDescent="0.2">
      <c r="B345" s="268"/>
    </row>
    <row r="346" spans="2:2" ht="24.95" customHeight="1" x14ac:dyDescent="0.2">
      <c r="B346" s="268"/>
    </row>
    <row r="347" spans="2:2" ht="24.95" customHeight="1" x14ac:dyDescent="0.2">
      <c r="B347" s="268"/>
    </row>
    <row r="348" spans="2:2" ht="24.95" customHeight="1" x14ac:dyDescent="0.2">
      <c r="B348" s="268"/>
    </row>
    <row r="349" spans="2:2" ht="24.95" customHeight="1" x14ac:dyDescent="0.2">
      <c r="B349" s="268"/>
    </row>
    <row r="350" spans="2:2" ht="24.95" customHeight="1" x14ac:dyDescent="0.2">
      <c r="B350" s="268"/>
    </row>
    <row r="351" spans="2:2" ht="24.95" customHeight="1" x14ac:dyDescent="0.2">
      <c r="B351" s="268"/>
    </row>
    <row r="352" spans="2:2" ht="24.95" customHeight="1" x14ac:dyDescent="0.2">
      <c r="B352" s="268"/>
    </row>
    <row r="353" spans="2:2" ht="24.95" customHeight="1" x14ac:dyDescent="0.2">
      <c r="B353" s="268"/>
    </row>
    <row r="354" spans="2:2" ht="24.95" customHeight="1" x14ac:dyDescent="0.2">
      <c r="B354" s="268"/>
    </row>
    <row r="355" spans="2:2" ht="24.95" customHeight="1" x14ac:dyDescent="0.2">
      <c r="B355" s="268"/>
    </row>
    <row r="356" spans="2:2" ht="24.95" customHeight="1" x14ac:dyDescent="0.2">
      <c r="B356" s="268"/>
    </row>
    <row r="357" spans="2:2" ht="24.95" customHeight="1" x14ac:dyDescent="0.2">
      <c r="B357" s="268"/>
    </row>
    <row r="358" spans="2:2" ht="24.95" customHeight="1" x14ac:dyDescent="0.2">
      <c r="B358" s="268"/>
    </row>
    <row r="359" spans="2:2" ht="24.95" customHeight="1" x14ac:dyDescent="0.2">
      <c r="B359" s="268"/>
    </row>
    <row r="360" spans="2:2" ht="24.95" customHeight="1" x14ac:dyDescent="0.2">
      <c r="B360" s="268"/>
    </row>
    <row r="361" spans="2:2" ht="24.95" customHeight="1" x14ac:dyDescent="0.2">
      <c r="B361" s="268"/>
    </row>
    <row r="362" spans="2:2" ht="24.95" customHeight="1" x14ac:dyDescent="0.2">
      <c r="B362" s="268"/>
    </row>
    <row r="363" spans="2:2" ht="24.95" customHeight="1" x14ac:dyDescent="0.2">
      <c r="B363" s="268"/>
    </row>
    <row r="364" spans="2:2" ht="24.95" customHeight="1" x14ac:dyDescent="0.2">
      <c r="B364" s="268"/>
    </row>
    <row r="365" spans="2:2" ht="24.95" customHeight="1" x14ac:dyDescent="0.2">
      <c r="B365" s="268"/>
    </row>
    <row r="366" spans="2:2" ht="24.95" customHeight="1" x14ac:dyDescent="0.2">
      <c r="B366" s="268"/>
    </row>
    <row r="367" spans="2:2" ht="24.95" customHeight="1" x14ac:dyDescent="0.2">
      <c r="B367" s="268"/>
    </row>
    <row r="368" spans="2:2" ht="24.95" customHeight="1" x14ac:dyDescent="0.2">
      <c r="B368" s="268"/>
    </row>
    <row r="369" spans="2:2" ht="24.95" customHeight="1" x14ac:dyDescent="0.2">
      <c r="B369" s="268"/>
    </row>
    <row r="370" spans="2:2" ht="24.95" customHeight="1" x14ac:dyDescent="0.2">
      <c r="B370" s="268"/>
    </row>
    <row r="371" spans="2:2" ht="24.95" customHeight="1" x14ac:dyDescent="0.2">
      <c r="B371" s="268"/>
    </row>
    <row r="372" spans="2:2" ht="24.95" customHeight="1" x14ac:dyDescent="0.2">
      <c r="B372" s="268"/>
    </row>
    <row r="373" spans="2:2" ht="24.95" customHeight="1" x14ac:dyDescent="0.2">
      <c r="B373" s="268"/>
    </row>
    <row r="374" spans="2:2" ht="24.95" customHeight="1" x14ac:dyDescent="0.2">
      <c r="B374" s="268"/>
    </row>
    <row r="375" spans="2:2" ht="24.95" customHeight="1" x14ac:dyDescent="0.2">
      <c r="B375" s="268"/>
    </row>
    <row r="376" spans="2:2" ht="24.95" customHeight="1" x14ac:dyDescent="0.2">
      <c r="B376" s="268"/>
    </row>
    <row r="377" spans="2:2" ht="24.95" customHeight="1" x14ac:dyDescent="0.2">
      <c r="B377" s="268"/>
    </row>
    <row r="378" spans="2:2" ht="24.95" customHeight="1" x14ac:dyDescent="0.2">
      <c r="B378" s="268"/>
    </row>
    <row r="379" spans="2:2" ht="24.95" customHeight="1" x14ac:dyDescent="0.2">
      <c r="B379" s="268"/>
    </row>
    <row r="380" spans="2:2" ht="24.95" customHeight="1" x14ac:dyDescent="0.2">
      <c r="B380" s="268"/>
    </row>
    <row r="381" spans="2:2" ht="24.95" customHeight="1" x14ac:dyDescent="0.2">
      <c r="B381" s="268"/>
    </row>
    <row r="382" spans="2:2" ht="24.95" customHeight="1" x14ac:dyDescent="0.2">
      <c r="B382" s="268"/>
    </row>
    <row r="383" spans="2:2" ht="24.95" customHeight="1" x14ac:dyDescent="0.2">
      <c r="B383" s="268"/>
    </row>
    <row r="384" spans="2:2" ht="24.95" customHeight="1" x14ac:dyDescent="0.2">
      <c r="B384" s="268"/>
    </row>
    <row r="385" spans="2:2" ht="24.95" customHeight="1" x14ac:dyDescent="0.2">
      <c r="B385" s="268"/>
    </row>
    <row r="386" spans="2:2" ht="24.95" customHeight="1" x14ac:dyDescent="0.2">
      <c r="B386" s="268"/>
    </row>
    <row r="387" spans="2:2" ht="24.95" customHeight="1" x14ac:dyDescent="0.2">
      <c r="B387" s="268"/>
    </row>
    <row r="389" spans="2:2" ht="24.95" customHeight="1" x14ac:dyDescent="0.2">
      <c r="B389" s="268"/>
    </row>
    <row r="390" spans="2:2" ht="24.95" customHeight="1" x14ac:dyDescent="0.2">
      <c r="B390" s="268"/>
    </row>
    <row r="391" spans="2:2" ht="24.95" customHeight="1" x14ac:dyDescent="0.2">
      <c r="B391" s="268"/>
    </row>
    <row r="392" spans="2:2" ht="24.95" customHeight="1" x14ac:dyDescent="0.2">
      <c r="B392" s="268"/>
    </row>
    <row r="393" spans="2:2" ht="24.95" customHeight="1" x14ac:dyDescent="0.2">
      <c r="B393" s="268"/>
    </row>
    <row r="394" spans="2:2" ht="24.95" customHeight="1" x14ac:dyDescent="0.2">
      <c r="B394" s="268"/>
    </row>
    <row r="395" spans="2:2" ht="24.95" customHeight="1" x14ac:dyDescent="0.2">
      <c r="B395" s="268"/>
    </row>
    <row r="396" spans="2:2" ht="24.95" customHeight="1" x14ac:dyDescent="0.2">
      <c r="B396" s="268"/>
    </row>
    <row r="397" spans="2:2" ht="24.95" customHeight="1" x14ac:dyDescent="0.2">
      <c r="B397" s="268"/>
    </row>
    <row r="398" spans="2:2" ht="24.95" customHeight="1" x14ac:dyDescent="0.2">
      <c r="B398" s="268"/>
    </row>
    <row r="399" spans="2:2" ht="24.95" customHeight="1" x14ac:dyDescent="0.2">
      <c r="B399" s="268"/>
    </row>
    <row r="400" spans="2:2" ht="24.95" customHeight="1" x14ac:dyDescent="0.2">
      <c r="B400" s="268"/>
    </row>
    <row r="401" spans="2:2" ht="24.95" customHeight="1" x14ac:dyDescent="0.2">
      <c r="B401" s="268"/>
    </row>
    <row r="402" spans="2:2" ht="24.95" customHeight="1" x14ac:dyDescent="0.2">
      <c r="B402" s="268"/>
    </row>
    <row r="403" spans="2:2" ht="24.95" customHeight="1" x14ac:dyDescent="0.2">
      <c r="B403" s="268"/>
    </row>
    <row r="404" spans="2:2" ht="24.95" customHeight="1" x14ac:dyDescent="0.2">
      <c r="B404" s="268"/>
    </row>
    <row r="405" spans="2:2" ht="24.95" customHeight="1" x14ac:dyDescent="0.2">
      <c r="B405" s="268"/>
    </row>
    <row r="406" spans="2:2" ht="24.95" customHeight="1" x14ac:dyDescent="0.2">
      <c r="B406" s="268"/>
    </row>
    <row r="407" spans="2:2" ht="24.95" customHeight="1" x14ac:dyDescent="0.2">
      <c r="B407" s="268"/>
    </row>
    <row r="408" spans="2:2" ht="24.95" customHeight="1" x14ac:dyDescent="0.2">
      <c r="B408" s="268"/>
    </row>
    <row r="409" spans="2:2" ht="24.95" customHeight="1" x14ac:dyDescent="0.2">
      <c r="B409" s="268"/>
    </row>
    <row r="410" spans="2:2" ht="24.95" customHeight="1" x14ac:dyDescent="0.2">
      <c r="B410" s="268"/>
    </row>
    <row r="411" spans="2:2" ht="24.95" customHeight="1" x14ac:dyDescent="0.2">
      <c r="B411" s="268"/>
    </row>
    <row r="412" spans="2:2" ht="24.95" customHeight="1" x14ac:dyDescent="0.2">
      <c r="B412" s="268"/>
    </row>
    <row r="413" spans="2:2" ht="24.95" customHeight="1" x14ac:dyDescent="0.2">
      <c r="B413" s="268"/>
    </row>
    <row r="414" spans="2:2" ht="24.95" customHeight="1" x14ac:dyDescent="0.2">
      <c r="B414" s="268"/>
    </row>
    <row r="415" spans="2:2" ht="24.95" customHeight="1" x14ac:dyDescent="0.2">
      <c r="B415" s="268"/>
    </row>
    <row r="416" spans="2:2" ht="24.95" customHeight="1" x14ac:dyDescent="0.2">
      <c r="B416" s="268"/>
    </row>
    <row r="417" spans="2:2" ht="24.95" customHeight="1" x14ac:dyDescent="0.2">
      <c r="B417" s="268"/>
    </row>
    <row r="418" spans="2:2" ht="24.95" customHeight="1" x14ac:dyDescent="0.2">
      <c r="B418" s="268"/>
    </row>
    <row r="419" spans="2:2" ht="24.95" customHeight="1" x14ac:dyDescent="0.2">
      <c r="B419" s="268"/>
    </row>
    <row r="420" spans="2:2" ht="24.95" customHeight="1" x14ac:dyDescent="0.2">
      <c r="B420" s="268"/>
    </row>
    <row r="421" spans="2:2" ht="24.95" customHeight="1" x14ac:dyDescent="0.2">
      <c r="B421" s="268"/>
    </row>
    <row r="422" spans="2:2" ht="24.95" customHeight="1" x14ac:dyDescent="0.2">
      <c r="B422" s="268"/>
    </row>
    <row r="423" spans="2:2" ht="24.95" customHeight="1" x14ac:dyDescent="0.2">
      <c r="B423" s="268"/>
    </row>
    <row r="424" spans="2:2" ht="24.95" customHeight="1" x14ac:dyDescent="0.2">
      <c r="B424" s="268"/>
    </row>
    <row r="425" spans="2:2" ht="24.95" customHeight="1" x14ac:dyDescent="0.2">
      <c r="B425" s="268"/>
    </row>
    <row r="426" spans="2:2" ht="24.95" customHeight="1" x14ac:dyDescent="0.2">
      <c r="B426" s="268"/>
    </row>
    <row r="427" spans="2:2" ht="24.95" customHeight="1" x14ac:dyDescent="0.2">
      <c r="B427" s="268"/>
    </row>
    <row r="428" spans="2:2" ht="24.95" customHeight="1" x14ac:dyDescent="0.2">
      <c r="B428" s="268"/>
    </row>
    <row r="429" spans="2:2" ht="24.95" customHeight="1" x14ac:dyDescent="0.2">
      <c r="B429" s="268"/>
    </row>
    <row r="430" spans="2:2" ht="24.95" customHeight="1" x14ac:dyDescent="0.2">
      <c r="B430" s="268"/>
    </row>
    <row r="431" spans="2:2" ht="24.95" customHeight="1" x14ac:dyDescent="0.2">
      <c r="B431" s="268"/>
    </row>
    <row r="432" spans="2:2" ht="24.95" customHeight="1" x14ac:dyDescent="0.2">
      <c r="B432" s="268"/>
    </row>
    <row r="433" spans="2:2" ht="24.95" customHeight="1" x14ac:dyDescent="0.2">
      <c r="B433" s="268"/>
    </row>
    <row r="434" spans="2:2" ht="24.95" customHeight="1" x14ac:dyDescent="0.2">
      <c r="B434" s="268"/>
    </row>
    <row r="435" spans="2:2" ht="24.95" customHeight="1" x14ac:dyDescent="0.2">
      <c r="B435" s="268"/>
    </row>
    <row r="436" spans="2:2" ht="24.95" customHeight="1" x14ac:dyDescent="0.2">
      <c r="B436" s="268"/>
    </row>
    <row r="437" spans="2:2" ht="24.95" customHeight="1" x14ac:dyDescent="0.2">
      <c r="B437" s="268"/>
    </row>
    <row r="438" spans="2:2" ht="24.95" customHeight="1" x14ac:dyDescent="0.2">
      <c r="B438" s="268"/>
    </row>
    <row r="439" spans="2:2" ht="24.95" customHeight="1" x14ac:dyDescent="0.2">
      <c r="B439" s="268"/>
    </row>
    <row r="440" spans="2:2" ht="24.95" customHeight="1" x14ac:dyDescent="0.2">
      <c r="B440" s="268"/>
    </row>
    <row r="441" spans="2:2" ht="24.95" customHeight="1" x14ac:dyDescent="0.2">
      <c r="B441" s="268"/>
    </row>
    <row r="442" spans="2:2" ht="24.95" customHeight="1" x14ac:dyDescent="0.2">
      <c r="B442" s="268"/>
    </row>
    <row r="443" spans="2:2" ht="24.95" customHeight="1" x14ac:dyDescent="0.2">
      <c r="B443" s="268"/>
    </row>
    <row r="444" spans="2:2" ht="24.95" customHeight="1" x14ac:dyDescent="0.2">
      <c r="B444" s="268"/>
    </row>
    <row r="445" spans="2:2" ht="24.95" customHeight="1" x14ac:dyDescent="0.2">
      <c r="B445" s="268"/>
    </row>
    <row r="446" spans="2:2" ht="24.95" customHeight="1" x14ac:dyDescent="0.2">
      <c r="B446" s="268"/>
    </row>
    <row r="447" spans="2:2" ht="24.95" customHeight="1" x14ac:dyDescent="0.2">
      <c r="B447" s="268"/>
    </row>
    <row r="448" spans="2:2" ht="24.95" customHeight="1" x14ac:dyDescent="0.2">
      <c r="B448" s="268"/>
    </row>
    <row r="449" spans="2:2" ht="24.95" customHeight="1" x14ac:dyDescent="0.2">
      <c r="B449" s="268"/>
    </row>
    <row r="450" spans="2:2" ht="24.95" customHeight="1" x14ac:dyDescent="0.2">
      <c r="B450" s="268"/>
    </row>
    <row r="451" spans="2:2" ht="24.95" customHeight="1" x14ac:dyDescent="0.2">
      <c r="B451" s="268"/>
    </row>
    <row r="452" spans="2:2" ht="24.95" customHeight="1" x14ac:dyDescent="0.2">
      <c r="B452" s="268"/>
    </row>
    <row r="453" spans="2:2" ht="24.95" customHeight="1" x14ac:dyDescent="0.2">
      <c r="B453" s="268"/>
    </row>
    <row r="454" spans="2:2" ht="24.95" customHeight="1" x14ac:dyDescent="0.2">
      <c r="B454" s="268"/>
    </row>
    <row r="455" spans="2:2" ht="24.95" customHeight="1" x14ac:dyDescent="0.2">
      <c r="B455" s="268"/>
    </row>
    <row r="456" spans="2:2" ht="24.95" customHeight="1" x14ac:dyDescent="0.2">
      <c r="B456" s="268"/>
    </row>
    <row r="457" spans="2:2" ht="24.95" customHeight="1" x14ac:dyDescent="0.2">
      <c r="B457" s="268"/>
    </row>
    <row r="458" spans="2:2" ht="24.95" customHeight="1" x14ac:dyDescent="0.2">
      <c r="B458" s="268"/>
    </row>
    <row r="459" spans="2:2" ht="24.95" customHeight="1" x14ac:dyDescent="0.2">
      <c r="B459" s="268"/>
    </row>
    <row r="460" spans="2:2" ht="24.95" customHeight="1" x14ac:dyDescent="0.2">
      <c r="B460" s="268"/>
    </row>
    <row r="461" spans="2:2" ht="24.95" customHeight="1" x14ac:dyDescent="0.2">
      <c r="B461" s="268"/>
    </row>
    <row r="462" spans="2:2" ht="24.95" customHeight="1" x14ac:dyDescent="0.2">
      <c r="B462" s="268"/>
    </row>
    <row r="463" spans="2:2" ht="24.95" customHeight="1" x14ac:dyDescent="0.2">
      <c r="B463" s="268"/>
    </row>
    <row r="464" spans="2:2" ht="24.95" customHeight="1" x14ac:dyDescent="0.2">
      <c r="B464" s="268"/>
    </row>
    <row r="465" spans="2:2" ht="24.95" customHeight="1" x14ac:dyDescent="0.2">
      <c r="B465" s="268"/>
    </row>
    <row r="466" spans="2:2" ht="24.95" customHeight="1" x14ac:dyDescent="0.2">
      <c r="B466" s="268"/>
    </row>
    <row r="467" spans="2:2" ht="24.95" customHeight="1" x14ac:dyDescent="0.2">
      <c r="B467" s="268"/>
    </row>
    <row r="468" spans="2:2" ht="24.95" customHeight="1" x14ac:dyDescent="0.2">
      <c r="B468" s="268"/>
    </row>
    <row r="469" spans="2:2" ht="24.95" customHeight="1" x14ac:dyDescent="0.2">
      <c r="B469" s="268"/>
    </row>
    <row r="470" spans="2:2" ht="24.95" customHeight="1" x14ac:dyDescent="0.2">
      <c r="B470" s="268"/>
    </row>
    <row r="471" spans="2:2" ht="24.95" customHeight="1" x14ac:dyDescent="0.2">
      <c r="B471" s="268"/>
    </row>
    <row r="472" spans="2:2" ht="24.95" customHeight="1" x14ac:dyDescent="0.2">
      <c r="B472" s="268"/>
    </row>
    <row r="473" spans="2:2" ht="24.95" customHeight="1" x14ac:dyDescent="0.2">
      <c r="B473" s="268"/>
    </row>
    <row r="474" spans="2:2" ht="24.95" customHeight="1" x14ac:dyDescent="0.2">
      <c r="B474" s="268"/>
    </row>
    <row r="475" spans="2:2" ht="24.95" customHeight="1" x14ac:dyDescent="0.2">
      <c r="B475" s="268"/>
    </row>
    <row r="476" spans="2:2" ht="24.95" customHeight="1" x14ac:dyDescent="0.2">
      <c r="B476" s="268"/>
    </row>
    <row r="477" spans="2:2" ht="24.95" customHeight="1" x14ac:dyDescent="0.2">
      <c r="B477" s="268"/>
    </row>
    <row r="478" spans="2:2" ht="24.95" customHeight="1" x14ac:dyDescent="0.2">
      <c r="B478" s="268"/>
    </row>
    <row r="479" spans="2:2" ht="24.95" customHeight="1" x14ac:dyDescent="0.2">
      <c r="B479" s="268"/>
    </row>
    <row r="480" spans="2:2" ht="24.95" customHeight="1" x14ac:dyDescent="0.2">
      <c r="B480" s="268"/>
    </row>
    <row r="481" spans="2:2" ht="24.95" customHeight="1" x14ac:dyDescent="0.2">
      <c r="B481" s="268"/>
    </row>
    <row r="482" spans="2:2" ht="24.95" customHeight="1" x14ac:dyDescent="0.2">
      <c r="B482" s="268"/>
    </row>
    <row r="483" spans="2:2" ht="24.95" customHeight="1" x14ac:dyDescent="0.2">
      <c r="B483" s="268"/>
    </row>
    <row r="484" spans="2:2" ht="24.95" customHeight="1" x14ac:dyDescent="0.2">
      <c r="B484" s="268"/>
    </row>
    <row r="485" spans="2:2" ht="24.95" customHeight="1" x14ac:dyDescent="0.2">
      <c r="B485" s="268"/>
    </row>
    <row r="486" spans="2:2" ht="24.95" customHeight="1" x14ac:dyDescent="0.2">
      <c r="B486" s="268"/>
    </row>
    <row r="487" spans="2:2" ht="24.95" customHeight="1" x14ac:dyDescent="0.2">
      <c r="B487" s="268"/>
    </row>
    <row r="488" spans="2:2" ht="24.95" customHeight="1" x14ac:dyDescent="0.2">
      <c r="B488" s="268"/>
    </row>
    <row r="489" spans="2:2" ht="24.95" customHeight="1" x14ac:dyDescent="0.2">
      <c r="B489" s="268"/>
    </row>
    <row r="490" spans="2:2" ht="24.95" customHeight="1" x14ac:dyDescent="0.2">
      <c r="B490" s="268"/>
    </row>
    <row r="491" spans="2:2" ht="24.95" customHeight="1" x14ac:dyDescent="0.2">
      <c r="B491" s="268"/>
    </row>
    <row r="492" spans="2:2" ht="24.95" customHeight="1" x14ac:dyDescent="0.2">
      <c r="B492" s="268"/>
    </row>
    <row r="493" spans="2:2" ht="24.95" customHeight="1" x14ac:dyDescent="0.2">
      <c r="B493" s="268"/>
    </row>
    <row r="494" spans="2:2" ht="24.95" customHeight="1" x14ac:dyDescent="0.2">
      <c r="B494" s="268"/>
    </row>
    <row r="495" spans="2:2" ht="24.95" customHeight="1" x14ac:dyDescent="0.2">
      <c r="B495" s="268"/>
    </row>
    <row r="496" spans="2:2" ht="24.95" customHeight="1" x14ac:dyDescent="0.2">
      <c r="B496" s="268"/>
    </row>
    <row r="497" spans="2:2" ht="24.95" customHeight="1" x14ac:dyDescent="0.2">
      <c r="B497" s="268"/>
    </row>
    <row r="498" spans="2:2" ht="24.95" customHeight="1" x14ac:dyDescent="0.2">
      <c r="B498" s="268"/>
    </row>
    <row r="499" spans="2:2" ht="24.95" customHeight="1" x14ac:dyDescent="0.2">
      <c r="B499" s="268"/>
    </row>
    <row r="500" spans="2:2" ht="24.95" customHeight="1" x14ac:dyDescent="0.2">
      <c r="B500" s="268"/>
    </row>
    <row r="501" spans="2:2" ht="24.95" customHeight="1" x14ac:dyDescent="0.2">
      <c r="B501" s="268"/>
    </row>
    <row r="502" spans="2:2" ht="24.95" customHeight="1" x14ac:dyDescent="0.2">
      <c r="B502" s="268"/>
    </row>
    <row r="503" spans="2:2" ht="24.95" customHeight="1" x14ac:dyDescent="0.2">
      <c r="B503" s="268"/>
    </row>
    <row r="504" spans="2:2" ht="24.95" customHeight="1" x14ac:dyDescent="0.2">
      <c r="B504" s="268"/>
    </row>
    <row r="505" spans="2:2" ht="24.95" customHeight="1" x14ac:dyDescent="0.2">
      <c r="B505" s="268"/>
    </row>
    <row r="506" spans="2:2" ht="24.95" customHeight="1" x14ac:dyDescent="0.2">
      <c r="B506" s="268"/>
    </row>
    <row r="507" spans="2:2" ht="24.95" customHeight="1" x14ac:dyDescent="0.2">
      <c r="B507" s="268"/>
    </row>
    <row r="508" spans="2:2" ht="24.95" customHeight="1" x14ac:dyDescent="0.2">
      <c r="B508" s="268"/>
    </row>
    <row r="509" spans="2:2" ht="24.95" customHeight="1" x14ac:dyDescent="0.2">
      <c r="B509" s="268"/>
    </row>
    <row r="510" spans="2:2" ht="24.95" customHeight="1" x14ac:dyDescent="0.2">
      <c r="B510" s="268"/>
    </row>
    <row r="511" spans="2:2" ht="24.95" customHeight="1" x14ac:dyDescent="0.2">
      <c r="B511" s="268"/>
    </row>
    <row r="512" spans="2:2" ht="24.95" customHeight="1" x14ac:dyDescent="0.2">
      <c r="B512" s="268"/>
    </row>
    <row r="513" spans="2:2" ht="24.95" customHeight="1" x14ac:dyDescent="0.2">
      <c r="B513" s="268"/>
    </row>
    <row r="514" spans="2:2" ht="24.95" customHeight="1" x14ac:dyDescent="0.2">
      <c r="B514" s="268"/>
    </row>
    <row r="515" spans="2:2" ht="24.95" customHeight="1" x14ac:dyDescent="0.2">
      <c r="B515" s="268"/>
    </row>
    <row r="516" spans="2:2" ht="24.95" customHeight="1" x14ac:dyDescent="0.2">
      <c r="B516" s="268"/>
    </row>
    <row r="517" spans="2:2" ht="24.95" customHeight="1" x14ac:dyDescent="0.2">
      <c r="B517" s="268"/>
    </row>
    <row r="518" spans="2:2" ht="24.95" customHeight="1" x14ac:dyDescent="0.2">
      <c r="B518" s="268"/>
    </row>
    <row r="519" spans="2:2" ht="24.95" customHeight="1" x14ac:dyDescent="0.2">
      <c r="B519" s="268"/>
    </row>
    <row r="520" spans="2:2" ht="24.95" customHeight="1" x14ac:dyDescent="0.2">
      <c r="B520" s="268"/>
    </row>
    <row r="521" spans="2:2" ht="24.95" customHeight="1" x14ac:dyDescent="0.2">
      <c r="B521" s="268"/>
    </row>
    <row r="522" spans="2:2" ht="24.95" customHeight="1" x14ac:dyDescent="0.2">
      <c r="B522" s="268"/>
    </row>
    <row r="523" spans="2:2" ht="24.95" customHeight="1" x14ac:dyDescent="0.2">
      <c r="B523" s="268"/>
    </row>
    <row r="524" spans="2:2" ht="24.95" customHeight="1" x14ac:dyDescent="0.2">
      <c r="B524" s="268"/>
    </row>
    <row r="525" spans="2:2" ht="24.95" customHeight="1" x14ac:dyDescent="0.2">
      <c r="B525" s="268"/>
    </row>
    <row r="526" spans="2:2" ht="24.95" customHeight="1" x14ac:dyDescent="0.2">
      <c r="B526" s="268"/>
    </row>
    <row r="527" spans="2:2" ht="24.95" customHeight="1" x14ac:dyDescent="0.2">
      <c r="B527" s="268"/>
    </row>
    <row r="528" spans="2:2" ht="24.95" customHeight="1" x14ac:dyDescent="0.2">
      <c r="B528" s="268"/>
    </row>
    <row r="529" spans="2:2" ht="24.95" customHeight="1" x14ac:dyDescent="0.2">
      <c r="B529" s="268"/>
    </row>
    <row r="530" spans="2:2" ht="24.95" customHeight="1" x14ac:dyDescent="0.2">
      <c r="B530" s="268"/>
    </row>
    <row r="531" spans="2:2" ht="24.95" customHeight="1" x14ac:dyDescent="0.2">
      <c r="B531" s="268"/>
    </row>
    <row r="532" spans="2:2" ht="24.95" customHeight="1" x14ac:dyDescent="0.2">
      <c r="B532" s="268"/>
    </row>
    <row r="533" spans="2:2" ht="24.95" customHeight="1" x14ac:dyDescent="0.2">
      <c r="B533" s="268"/>
    </row>
    <row r="534" spans="2:2" ht="24.95" customHeight="1" x14ac:dyDescent="0.2">
      <c r="B534" s="268"/>
    </row>
    <row r="535" spans="2:2" ht="24.95" customHeight="1" x14ac:dyDescent="0.2">
      <c r="B535" s="268"/>
    </row>
    <row r="536" spans="2:2" ht="24.95" customHeight="1" x14ac:dyDescent="0.2">
      <c r="B536" s="268"/>
    </row>
    <row r="537" spans="2:2" ht="24.95" customHeight="1" x14ac:dyDescent="0.2">
      <c r="B537" s="268"/>
    </row>
    <row r="538" spans="2:2" ht="24.95" customHeight="1" x14ac:dyDescent="0.2">
      <c r="B538" s="268"/>
    </row>
    <row r="539" spans="2:2" ht="24.95" customHeight="1" x14ac:dyDescent="0.2">
      <c r="B539" s="268"/>
    </row>
    <row r="540" spans="2:2" ht="24.95" customHeight="1" x14ac:dyDescent="0.2">
      <c r="B540" s="268"/>
    </row>
    <row r="541" spans="2:2" ht="24.95" customHeight="1" x14ac:dyDescent="0.2">
      <c r="B541" s="268"/>
    </row>
    <row r="542" spans="2:2" ht="24.95" customHeight="1" x14ac:dyDescent="0.2">
      <c r="B542" s="268"/>
    </row>
    <row r="543" spans="2:2" ht="24.95" customHeight="1" x14ac:dyDescent="0.2">
      <c r="B543" s="268"/>
    </row>
    <row r="544" spans="2:2" ht="24.95" customHeight="1" x14ac:dyDescent="0.2">
      <c r="B544" s="268"/>
    </row>
    <row r="545" spans="2:2" ht="24.95" customHeight="1" x14ac:dyDescent="0.2">
      <c r="B545" s="268"/>
    </row>
    <row r="546" spans="2:2" ht="24.95" customHeight="1" x14ac:dyDescent="0.2">
      <c r="B546" s="268"/>
    </row>
    <row r="547" spans="2:2" ht="24.95" customHeight="1" x14ac:dyDescent="0.2">
      <c r="B547" s="268"/>
    </row>
    <row r="548" spans="2:2" ht="24.95" customHeight="1" x14ac:dyDescent="0.2">
      <c r="B548" s="268"/>
    </row>
    <row r="549" spans="2:2" ht="24.95" customHeight="1" x14ac:dyDescent="0.2">
      <c r="B549" s="268"/>
    </row>
    <row r="550" spans="2:2" ht="24.95" customHeight="1" x14ac:dyDescent="0.2">
      <c r="B550" s="268"/>
    </row>
    <row r="551" spans="2:2" ht="24.95" customHeight="1" x14ac:dyDescent="0.2">
      <c r="B551" s="268"/>
    </row>
    <row r="552" spans="2:2" ht="24.95" customHeight="1" x14ac:dyDescent="0.2">
      <c r="B552" s="268"/>
    </row>
    <row r="553" spans="2:2" ht="24.95" customHeight="1" x14ac:dyDescent="0.2">
      <c r="B553" s="268"/>
    </row>
    <row r="554" spans="2:2" ht="24.95" customHeight="1" x14ac:dyDescent="0.2">
      <c r="B554" s="268"/>
    </row>
    <row r="555" spans="2:2" ht="24.95" customHeight="1" x14ac:dyDescent="0.2">
      <c r="B555" s="268"/>
    </row>
    <row r="556" spans="2:2" ht="24.95" customHeight="1" x14ac:dyDescent="0.2">
      <c r="B556" s="268"/>
    </row>
    <row r="557" spans="2:2" ht="24.95" customHeight="1" x14ac:dyDescent="0.2">
      <c r="B557" s="268"/>
    </row>
    <row r="558" spans="2:2" ht="24.95" customHeight="1" x14ac:dyDescent="0.2">
      <c r="B558" s="268"/>
    </row>
    <row r="559" spans="2:2" ht="24.95" customHeight="1" x14ac:dyDescent="0.2">
      <c r="B559" s="268"/>
    </row>
    <row r="560" spans="2:2" ht="24.95" customHeight="1" x14ac:dyDescent="0.2">
      <c r="B560" s="268"/>
    </row>
    <row r="561" spans="2:2" ht="24.95" customHeight="1" x14ac:dyDescent="0.2">
      <c r="B561" s="268"/>
    </row>
    <row r="562" spans="2:2" ht="24.95" customHeight="1" x14ac:dyDescent="0.2">
      <c r="B562" s="268"/>
    </row>
    <row r="563" spans="2:2" ht="24.95" customHeight="1" x14ac:dyDescent="0.2">
      <c r="B563" s="268"/>
    </row>
    <row r="564" spans="2:2" ht="24.95" customHeight="1" x14ac:dyDescent="0.2">
      <c r="B564" s="268"/>
    </row>
    <row r="565" spans="2:2" ht="24.95" customHeight="1" x14ac:dyDescent="0.2">
      <c r="B565" s="268"/>
    </row>
    <row r="566" spans="2:2" ht="24.95" customHeight="1" x14ac:dyDescent="0.2">
      <c r="B566" s="268"/>
    </row>
    <row r="567" spans="2:2" ht="24.95" customHeight="1" x14ac:dyDescent="0.2">
      <c r="B567" s="268"/>
    </row>
    <row r="568" spans="2:2" ht="24.95" customHeight="1" x14ac:dyDescent="0.2">
      <c r="B568" s="268"/>
    </row>
    <row r="569" spans="2:2" ht="24.95" customHeight="1" x14ac:dyDescent="0.2">
      <c r="B569" s="268"/>
    </row>
    <row r="570" spans="2:2" ht="24.95" customHeight="1" x14ac:dyDescent="0.2">
      <c r="B570" s="268"/>
    </row>
    <row r="571" spans="2:2" ht="24.95" customHeight="1" x14ac:dyDescent="0.2">
      <c r="B571" s="268"/>
    </row>
    <row r="572" spans="2:2" ht="24.95" customHeight="1" x14ac:dyDescent="0.2">
      <c r="B572" s="268"/>
    </row>
    <row r="573" spans="2:2" ht="24.95" customHeight="1" x14ac:dyDescent="0.2">
      <c r="B573" s="268"/>
    </row>
    <row r="574" spans="2:2" ht="24.95" customHeight="1" x14ac:dyDescent="0.2">
      <c r="B574" s="268"/>
    </row>
    <row r="575" spans="2:2" ht="24.95" customHeight="1" x14ac:dyDescent="0.2">
      <c r="B575" s="268"/>
    </row>
    <row r="576" spans="2:2" ht="24.95" customHeight="1" x14ac:dyDescent="0.2">
      <c r="B576" s="268"/>
    </row>
    <row r="577" spans="2:2" ht="24.95" customHeight="1" x14ac:dyDescent="0.2">
      <c r="B577" s="268"/>
    </row>
    <row r="578" spans="2:2" ht="24.95" customHeight="1" x14ac:dyDescent="0.2">
      <c r="B578" s="268"/>
    </row>
    <row r="579" spans="2:2" ht="24.95" customHeight="1" x14ac:dyDescent="0.2">
      <c r="B579" s="268"/>
    </row>
    <row r="580" spans="2:2" ht="24.95" customHeight="1" x14ac:dyDescent="0.2">
      <c r="B580" s="268"/>
    </row>
    <row r="581" spans="2:2" ht="24.95" customHeight="1" x14ac:dyDescent="0.2">
      <c r="B581" s="268"/>
    </row>
    <row r="582" spans="2:2" ht="24.95" customHeight="1" x14ac:dyDescent="0.2">
      <c r="B582" s="268"/>
    </row>
    <row r="583" spans="2:2" ht="24.95" customHeight="1" x14ac:dyDescent="0.2">
      <c r="B583" s="268"/>
    </row>
    <row r="584" spans="2:2" ht="24.95" customHeight="1" x14ac:dyDescent="0.2">
      <c r="B584" s="268"/>
    </row>
    <row r="585" spans="2:2" ht="24.95" customHeight="1" x14ac:dyDescent="0.2">
      <c r="B585" s="268"/>
    </row>
    <row r="586" spans="2:2" ht="24.95" customHeight="1" x14ac:dyDescent="0.2">
      <c r="B586" s="268"/>
    </row>
    <row r="587" spans="2:2" ht="24.95" customHeight="1" x14ac:dyDescent="0.2">
      <c r="B587" s="268"/>
    </row>
    <row r="588" spans="2:2" ht="24.95" customHeight="1" x14ac:dyDescent="0.2">
      <c r="B588" s="268"/>
    </row>
    <row r="589" spans="2:2" ht="24.95" customHeight="1" x14ac:dyDescent="0.2">
      <c r="B589" s="268"/>
    </row>
    <row r="590" spans="2:2" ht="24.95" customHeight="1" x14ac:dyDescent="0.2">
      <c r="B590" s="268"/>
    </row>
    <row r="591" spans="2:2" ht="24.95" customHeight="1" x14ac:dyDescent="0.2">
      <c r="B591" s="268"/>
    </row>
    <row r="592" spans="2:2" ht="24.95" customHeight="1" x14ac:dyDescent="0.2">
      <c r="B592" s="268"/>
    </row>
    <row r="593" spans="2:2" ht="24.95" customHeight="1" x14ac:dyDescent="0.2">
      <c r="B593" s="268"/>
    </row>
    <row r="594" spans="2:2" ht="24.95" customHeight="1" x14ac:dyDescent="0.2">
      <c r="B594" s="268"/>
    </row>
    <row r="595" spans="2:2" ht="24.95" customHeight="1" x14ac:dyDescent="0.2">
      <c r="B595" s="268"/>
    </row>
    <row r="596" spans="2:2" ht="24.95" customHeight="1" x14ac:dyDescent="0.2">
      <c r="B596" s="268"/>
    </row>
    <row r="597" spans="2:2" ht="24.95" customHeight="1" x14ac:dyDescent="0.2">
      <c r="B597" s="268"/>
    </row>
    <row r="598" spans="2:2" ht="24.95" customHeight="1" x14ac:dyDescent="0.2">
      <c r="B598" s="268"/>
    </row>
    <row r="599" spans="2:2" ht="24.95" customHeight="1" x14ac:dyDescent="0.2">
      <c r="B599" s="268"/>
    </row>
    <row r="600" spans="2:2" ht="24.95" customHeight="1" x14ac:dyDescent="0.2">
      <c r="B600" s="268"/>
    </row>
    <row r="601" spans="2:2" ht="24.95" customHeight="1" x14ac:dyDescent="0.2">
      <c r="B601" s="268"/>
    </row>
    <row r="602" spans="2:2" ht="24.95" customHeight="1" x14ac:dyDescent="0.2">
      <c r="B602" s="268"/>
    </row>
    <row r="603" spans="2:2" ht="24.95" customHeight="1" x14ac:dyDescent="0.2">
      <c r="B603" s="268"/>
    </row>
    <row r="604" spans="2:2" ht="24.95" customHeight="1" x14ac:dyDescent="0.2">
      <c r="B604" s="268"/>
    </row>
    <row r="605" spans="2:2" ht="24.95" customHeight="1" x14ac:dyDescent="0.2">
      <c r="B605" s="268"/>
    </row>
    <row r="606" spans="2:2" ht="24.95" customHeight="1" x14ac:dyDescent="0.2">
      <c r="B606" s="268"/>
    </row>
    <row r="607" spans="2:2" ht="24.95" customHeight="1" x14ac:dyDescent="0.2">
      <c r="B607" s="268"/>
    </row>
    <row r="608" spans="2:2" ht="24.95" customHeight="1" x14ac:dyDescent="0.2">
      <c r="B608" s="268"/>
    </row>
    <row r="609" spans="2:2" ht="24.95" customHeight="1" x14ac:dyDescent="0.2">
      <c r="B609" s="268"/>
    </row>
    <row r="610" spans="2:2" ht="24.95" customHeight="1" x14ac:dyDescent="0.2">
      <c r="B610" s="268"/>
    </row>
    <row r="611" spans="2:2" ht="24.95" customHeight="1" x14ac:dyDescent="0.2">
      <c r="B611" s="268"/>
    </row>
    <row r="612" spans="2:2" ht="24.95" customHeight="1" x14ac:dyDescent="0.2">
      <c r="B612" s="268"/>
    </row>
    <row r="613" spans="2:2" ht="24.95" customHeight="1" x14ac:dyDescent="0.2">
      <c r="B613" s="268"/>
    </row>
    <row r="614" spans="2:2" ht="24.95" customHeight="1" x14ac:dyDescent="0.2">
      <c r="B614" s="268"/>
    </row>
    <row r="615" spans="2:2" ht="24.95" customHeight="1" x14ac:dyDescent="0.2">
      <c r="B615" s="268"/>
    </row>
    <row r="616" spans="2:2" ht="24.95" customHeight="1" x14ac:dyDescent="0.2">
      <c r="B616" s="268"/>
    </row>
    <row r="617" spans="2:2" ht="24.95" customHeight="1" x14ac:dyDescent="0.2">
      <c r="B617" s="268"/>
    </row>
    <row r="618" spans="2:2" ht="24.95" customHeight="1" x14ac:dyDescent="0.2">
      <c r="B618" s="268"/>
    </row>
    <row r="619" spans="2:2" ht="24.95" customHeight="1" x14ac:dyDescent="0.2">
      <c r="B619" s="268"/>
    </row>
    <row r="620" spans="2:2" ht="24.95" customHeight="1" x14ac:dyDescent="0.2">
      <c r="B620" s="268"/>
    </row>
    <row r="621" spans="2:2" ht="24.95" customHeight="1" x14ac:dyDescent="0.2">
      <c r="B621" s="268"/>
    </row>
    <row r="622" spans="2:2" ht="24.95" customHeight="1" x14ac:dyDescent="0.2">
      <c r="B622" s="268"/>
    </row>
    <row r="623" spans="2:2" ht="24.95" customHeight="1" x14ac:dyDescent="0.2">
      <c r="B623" s="268"/>
    </row>
    <row r="624" spans="2:2" ht="24.95" customHeight="1" x14ac:dyDescent="0.2">
      <c r="B624" s="268"/>
    </row>
    <row r="625" spans="2:2" ht="24.95" customHeight="1" x14ac:dyDescent="0.2">
      <c r="B625" s="268"/>
    </row>
    <row r="626" spans="2:2" ht="24.95" customHeight="1" x14ac:dyDescent="0.2">
      <c r="B626" s="268"/>
    </row>
    <row r="627" spans="2:2" ht="24.95" customHeight="1" x14ac:dyDescent="0.2">
      <c r="B627" s="268"/>
    </row>
    <row r="628" spans="2:2" ht="24.95" customHeight="1" x14ac:dyDescent="0.2">
      <c r="B628" s="268"/>
    </row>
    <row r="629" spans="2:2" ht="24.95" customHeight="1" x14ac:dyDescent="0.2">
      <c r="B629" s="268"/>
    </row>
    <row r="630" spans="2:2" ht="24.95" customHeight="1" x14ac:dyDescent="0.2">
      <c r="B630" s="268"/>
    </row>
    <row r="631" spans="2:2" ht="24.95" customHeight="1" x14ac:dyDescent="0.2">
      <c r="B631" s="268"/>
    </row>
    <row r="632" spans="2:2" ht="24.95" customHeight="1" x14ac:dyDescent="0.2">
      <c r="B632" s="268"/>
    </row>
    <row r="633" spans="2:2" ht="24.95" customHeight="1" x14ac:dyDescent="0.2">
      <c r="B633" s="268"/>
    </row>
    <row r="634" spans="2:2" ht="24.95" customHeight="1" x14ac:dyDescent="0.2">
      <c r="B634" s="268"/>
    </row>
    <row r="635" spans="2:2" ht="24.95" customHeight="1" x14ac:dyDescent="0.2">
      <c r="B635" s="268"/>
    </row>
    <row r="636" spans="2:2" ht="24.95" customHeight="1" x14ac:dyDescent="0.2">
      <c r="B636" s="268"/>
    </row>
    <row r="637" spans="2:2" ht="24.95" customHeight="1" x14ac:dyDescent="0.2">
      <c r="B637" s="268"/>
    </row>
    <row r="638" spans="2:2" ht="24.95" customHeight="1" x14ac:dyDescent="0.2">
      <c r="B638" s="268"/>
    </row>
    <row r="639" spans="2:2" ht="24.95" customHeight="1" x14ac:dyDescent="0.2">
      <c r="B639" s="268"/>
    </row>
    <row r="640" spans="2:2" ht="24.95" customHeight="1" x14ac:dyDescent="0.2">
      <c r="B640" s="268"/>
    </row>
    <row r="641" spans="2:2" ht="24.95" customHeight="1" x14ac:dyDescent="0.2">
      <c r="B641" s="268"/>
    </row>
    <row r="642" spans="2:2" ht="24.95" customHeight="1" x14ac:dyDescent="0.2">
      <c r="B642" s="268"/>
    </row>
    <row r="643" spans="2:2" ht="24.95" customHeight="1" x14ac:dyDescent="0.2">
      <c r="B643" s="268"/>
    </row>
    <row r="644" spans="2:2" ht="24.95" customHeight="1" x14ac:dyDescent="0.2">
      <c r="B644" s="268"/>
    </row>
    <row r="645" spans="2:2" ht="24.95" customHeight="1" x14ac:dyDescent="0.2">
      <c r="B645" s="268"/>
    </row>
    <row r="646" spans="2:2" ht="24.95" customHeight="1" x14ac:dyDescent="0.2">
      <c r="B646" s="268"/>
    </row>
    <row r="647" spans="2:2" ht="24.95" customHeight="1" x14ac:dyDescent="0.2">
      <c r="B647" s="268"/>
    </row>
    <row r="648" spans="2:2" ht="24.95" customHeight="1" x14ac:dyDescent="0.2">
      <c r="B648" s="268"/>
    </row>
    <row r="649" spans="2:2" ht="24.95" customHeight="1" x14ac:dyDescent="0.2">
      <c r="B649" s="268"/>
    </row>
    <row r="650" spans="2:2" ht="24.95" customHeight="1" x14ac:dyDescent="0.2">
      <c r="B650" s="268"/>
    </row>
    <row r="651" spans="2:2" ht="24.95" customHeight="1" x14ac:dyDescent="0.2">
      <c r="B651" s="268"/>
    </row>
    <row r="652" spans="2:2" ht="24.95" customHeight="1" x14ac:dyDescent="0.2">
      <c r="B652" s="268"/>
    </row>
    <row r="653" spans="2:2" ht="24.95" customHeight="1" x14ac:dyDescent="0.2">
      <c r="B653" s="268"/>
    </row>
    <row r="654" spans="2:2" ht="24.95" customHeight="1" x14ac:dyDescent="0.2">
      <c r="B654" s="268"/>
    </row>
    <row r="655" spans="2:2" ht="24.95" customHeight="1" x14ac:dyDescent="0.2">
      <c r="B655" s="268"/>
    </row>
    <row r="656" spans="2:2" ht="24.95" customHeight="1" x14ac:dyDescent="0.2">
      <c r="B656" s="268"/>
    </row>
    <row r="657" spans="2:2" ht="24.95" customHeight="1" x14ac:dyDescent="0.2">
      <c r="B657" s="268"/>
    </row>
    <row r="658" spans="2:2" ht="24.95" customHeight="1" x14ac:dyDescent="0.2">
      <c r="B658" s="268"/>
    </row>
    <row r="659" spans="2:2" ht="24.95" customHeight="1" x14ac:dyDescent="0.2">
      <c r="B659" s="268"/>
    </row>
    <row r="660" spans="2:2" ht="24.95" customHeight="1" x14ac:dyDescent="0.2">
      <c r="B660" s="268"/>
    </row>
    <row r="661" spans="2:2" ht="24.95" customHeight="1" x14ac:dyDescent="0.2">
      <c r="B661" s="268"/>
    </row>
    <row r="662" spans="2:2" ht="24.95" customHeight="1" x14ac:dyDescent="0.2">
      <c r="B662" s="268"/>
    </row>
    <row r="663" spans="2:2" ht="24.95" customHeight="1" x14ac:dyDescent="0.2">
      <c r="B663" s="268"/>
    </row>
    <row r="664" spans="2:2" ht="24.95" customHeight="1" x14ac:dyDescent="0.2">
      <c r="B664" s="268"/>
    </row>
    <row r="665" spans="2:2" ht="24.95" customHeight="1" x14ac:dyDescent="0.2">
      <c r="B665" s="268"/>
    </row>
    <row r="666" spans="2:2" ht="24.95" customHeight="1" x14ac:dyDescent="0.2">
      <c r="B666" s="268"/>
    </row>
    <row r="667" spans="2:2" ht="24.95" customHeight="1" x14ac:dyDescent="0.2">
      <c r="B667" s="268"/>
    </row>
    <row r="668" spans="2:2" ht="24.95" customHeight="1" x14ac:dyDescent="0.2">
      <c r="B668" s="268"/>
    </row>
    <row r="669" spans="2:2" ht="24.95" customHeight="1" x14ac:dyDescent="0.2">
      <c r="B669" s="268"/>
    </row>
    <row r="670" spans="2:2" ht="24.95" customHeight="1" x14ac:dyDescent="0.2">
      <c r="B670" s="268"/>
    </row>
    <row r="671" spans="2:2" ht="24.95" customHeight="1" x14ac:dyDescent="0.2">
      <c r="B671" s="268"/>
    </row>
    <row r="672" spans="2:2" ht="24.95" customHeight="1" x14ac:dyDescent="0.2">
      <c r="B672" s="268"/>
    </row>
    <row r="673" spans="2:2" ht="24.95" customHeight="1" x14ac:dyDescent="0.2">
      <c r="B673" s="268"/>
    </row>
    <row r="674" spans="2:2" ht="24.95" customHeight="1" x14ac:dyDescent="0.2">
      <c r="B674" s="268"/>
    </row>
    <row r="675" spans="2:2" ht="24.95" customHeight="1" x14ac:dyDescent="0.2">
      <c r="B675" s="268"/>
    </row>
    <row r="676" spans="2:2" ht="24.95" customHeight="1" x14ac:dyDescent="0.2">
      <c r="B676" s="268"/>
    </row>
    <row r="677" spans="2:2" ht="24.95" customHeight="1" x14ac:dyDescent="0.2">
      <c r="B677" s="268"/>
    </row>
    <row r="678" spans="2:2" ht="24.95" customHeight="1" x14ac:dyDescent="0.2">
      <c r="B678" s="268"/>
    </row>
    <row r="679" spans="2:2" ht="24.95" customHeight="1" x14ac:dyDescent="0.2">
      <c r="B679" s="268"/>
    </row>
    <row r="680" spans="2:2" ht="24.95" customHeight="1" x14ac:dyDescent="0.2">
      <c r="B680" s="268"/>
    </row>
    <row r="681" spans="2:2" ht="24.95" customHeight="1" x14ac:dyDescent="0.2">
      <c r="B681" s="268"/>
    </row>
    <row r="682" spans="2:2" ht="24.95" customHeight="1" x14ac:dyDescent="0.2">
      <c r="B682" s="268"/>
    </row>
    <row r="683" spans="2:2" ht="24.95" customHeight="1" x14ac:dyDescent="0.2">
      <c r="B683" s="268"/>
    </row>
    <row r="684" spans="2:2" ht="24.95" customHeight="1" x14ac:dyDescent="0.2">
      <c r="B684" s="268"/>
    </row>
    <row r="685" spans="2:2" ht="24.95" customHeight="1" x14ac:dyDescent="0.2">
      <c r="B685" s="268"/>
    </row>
    <row r="686" spans="2:2" ht="24.95" customHeight="1" x14ac:dyDescent="0.2">
      <c r="B686" s="268"/>
    </row>
    <row r="687" spans="2:2" ht="24.95" customHeight="1" x14ac:dyDescent="0.2">
      <c r="B687" s="268"/>
    </row>
    <row r="688" spans="2:2" ht="24.95" customHeight="1" x14ac:dyDescent="0.2">
      <c r="B688" s="268"/>
    </row>
    <row r="689" spans="2:2" ht="24.95" customHeight="1" x14ac:dyDescent="0.2">
      <c r="B689" s="268"/>
    </row>
    <row r="690" spans="2:2" ht="24.95" customHeight="1" x14ac:dyDescent="0.2">
      <c r="B690" s="268"/>
    </row>
    <row r="691" spans="2:2" ht="24.95" customHeight="1" x14ac:dyDescent="0.2">
      <c r="B691" s="268"/>
    </row>
    <row r="692" spans="2:2" ht="24.95" customHeight="1" x14ac:dyDescent="0.2">
      <c r="B692" s="268"/>
    </row>
    <row r="693" spans="2:2" ht="24.95" customHeight="1" x14ac:dyDescent="0.2">
      <c r="B693" s="268"/>
    </row>
    <row r="694" spans="2:2" ht="24.95" customHeight="1" x14ac:dyDescent="0.2">
      <c r="B694" s="268"/>
    </row>
    <row r="695" spans="2:2" ht="24.95" customHeight="1" x14ac:dyDescent="0.2">
      <c r="B695" s="268"/>
    </row>
    <row r="696" spans="2:2" ht="24.95" customHeight="1" x14ac:dyDescent="0.2">
      <c r="B696" s="268"/>
    </row>
    <row r="697" spans="2:2" ht="24.95" customHeight="1" x14ac:dyDescent="0.2">
      <c r="B697" s="268"/>
    </row>
    <row r="698" spans="2:2" ht="24.95" customHeight="1" x14ac:dyDescent="0.2">
      <c r="B698" s="268"/>
    </row>
    <row r="699" spans="2:2" ht="24.95" customHeight="1" x14ac:dyDescent="0.2">
      <c r="B699" s="268"/>
    </row>
    <row r="700" spans="2:2" ht="24.95" customHeight="1" x14ac:dyDescent="0.2">
      <c r="B700" s="268"/>
    </row>
    <row r="701" spans="2:2" ht="24.95" customHeight="1" x14ac:dyDescent="0.2">
      <c r="B701" s="268"/>
    </row>
    <row r="702" spans="2:2" ht="24.95" customHeight="1" x14ac:dyDescent="0.2">
      <c r="B702" s="268"/>
    </row>
    <row r="703" spans="2:2" ht="24.95" customHeight="1" x14ac:dyDescent="0.2">
      <c r="B703" s="268"/>
    </row>
    <row r="704" spans="2:2" ht="24.95" customHeight="1" x14ac:dyDescent="0.2">
      <c r="B704" s="268"/>
    </row>
    <row r="705" spans="2:2" ht="24.95" customHeight="1" x14ac:dyDescent="0.2">
      <c r="B705" s="268"/>
    </row>
    <row r="706" spans="2:2" ht="24.95" customHeight="1" x14ac:dyDescent="0.2">
      <c r="B706" s="268"/>
    </row>
    <row r="707" spans="2:2" ht="24.95" customHeight="1" x14ac:dyDescent="0.2">
      <c r="B707" s="268"/>
    </row>
    <row r="708" spans="2:2" ht="24.95" customHeight="1" x14ac:dyDescent="0.2">
      <c r="B708" s="268"/>
    </row>
    <row r="709" spans="2:2" ht="24.95" customHeight="1" x14ac:dyDescent="0.2">
      <c r="B709" s="268"/>
    </row>
    <row r="710" spans="2:2" ht="24.95" customHeight="1" x14ac:dyDescent="0.2">
      <c r="B710" s="268"/>
    </row>
    <row r="711" spans="2:2" ht="24.95" customHeight="1" x14ac:dyDescent="0.2">
      <c r="B711" s="268"/>
    </row>
    <row r="712" spans="2:2" ht="24.95" customHeight="1" x14ac:dyDescent="0.2">
      <c r="B712" s="268"/>
    </row>
    <row r="713" spans="2:2" ht="24.95" customHeight="1" x14ac:dyDescent="0.2">
      <c r="B713" s="268"/>
    </row>
    <row r="714" spans="2:2" ht="24.95" customHeight="1" x14ac:dyDescent="0.2">
      <c r="B714" s="268"/>
    </row>
    <row r="715" spans="2:2" ht="24.95" customHeight="1" x14ac:dyDescent="0.2">
      <c r="B715" s="268"/>
    </row>
    <row r="716" spans="2:2" ht="24.95" customHeight="1" x14ac:dyDescent="0.2">
      <c r="B716" s="268"/>
    </row>
    <row r="717" spans="2:2" ht="24.95" customHeight="1" x14ac:dyDescent="0.2">
      <c r="B717" s="268"/>
    </row>
    <row r="718" spans="2:2" ht="24.95" customHeight="1" x14ac:dyDescent="0.2">
      <c r="B718" s="268"/>
    </row>
    <row r="719" spans="2:2" ht="24.95" customHeight="1" x14ac:dyDescent="0.2">
      <c r="B719" s="268"/>
    </row>
    <row r="720" spans="2:2" ht="24.95" customHeight="1" x14ac:dyDescent="0.2">
      <c r="B720" s="268"/>
    </row>
    <row r="721" spans="2:2" ht="24.95" customHeight="1" x14ac:dyDescent="0.2">
      <c r="B721" s="268"/>
    </row>
    <row r="722" spans="2:2" ht="24.95" customHeight="1" x14ac:dyDescent="0.2">
      <c r="B722" s="268"/>
    </row>
    <row r="723" spans="2:2" ht="24.95" customHeight="1" x14ac:dyDescent="0.2">
      <c r="B723" s="268"/>
    </row>
    <row r="724" spans="2:2" ht="24.95" customHeight="1" x14ac:dyDescent="0.2">
      <c r="B724" s="268"/>
    </row>
    <row r="725" spans="2:2" ht="24.95" customHeight="1" x14ac:dyDescent="0.2">
      <c r="B725" s="268"/>
    </row>
    <row r="726" spans="2:2" ht="24.95" customHeight="1" x14ac:dyDescent="0.2">
      <c r="B726" s="268"/>
    </row>
    <row r="727" spans="2:2" ht="24.95" customHeight="1" x14ac:dyDescent="0.2">
      <c r="B727" s="268"/>
    </row>
    <row r="728" spans="2:2" ht="24.95" customHeight="1" x14ac:dyDescent="0.2">
      <c r="B728" s="268"/>
    </row>
    <row r="729" spans="2:2" ht="24.95" customHeight="1" x14ac:dyDescent="0.2">
      <c r="B729" s="268"/>
    </row>
    <row r="730" spans="2:2" ht="24.95" customHeight="1" x14ac:dyDescent="0.2">
      <c r="B730" s="268"/>
    </row>
    <row r="731" spans="2:2" ht="24.95" customHeight="1" x14ac:dyDescent="0.2">
      <c r="B731" s="268"/>
    </row>
    <row r="732" spans="2:2" ht="24.95" customHeight="1" x14ac:dyDescent="0.2">
      <c r="B732" s="268"/>
    </row>
    <row r="733" spans="2:2" ht="24.95" customHeight="1" x14ac:dyDescent="0.2">
      <c r="B733" s="268"/>
    </row>
    <row r="734" spans="2:2" ht="24.95" customHeight="1" x14ac:dyDescent="0.2">
      <c r="B734" s="268"/>
    </row>
    <row r="735" spans="2:2" ht="24.95" customHeight="1" x14ac:dyDescent="0.2">
      <c r="B735" s="268"/>
    </row>
    <row r="736" spans="2:2" ht="24.95" customHeight="1" x14ac:dyDescent="0.2">
      <c r="B736" s="268"/>
    </row>
    <row r="737" spans="2:2" ht="24.95" customHeight="1" x14ac:dyDescent="0.2">
      <c r="B737" s="268"/>
    </row>
    <row r="738" spans="2:2" ht="24.95" customHeight="1" x14ac:dyDescent="0.2">
      <c r="B738" s="268"/>
    </row>
    <row r="739" spans="2:2" ht="24.95" customHeight="1" x14ac:dyDescent="0.2">
      <c r="B739" s="268"/>
    </row>
    <row r="740" spans="2:2" ht="24.95" customHeight="1" x14ac:dyDescent="0.2">
      <c r="B740" s="268"/>
    </row>
    <row r="741" spans="2:2" ht="24.95" customHeight="1" x14ac:dyDescent="0.2">
      <c r="B741" s="268"/>
    </row>
    <row r="742" spans="2:2" ht="24.95" customHeight="1" x14ac:dyDescent="0.2">
      <c r="B742" s="268"/>
    </row>
    <row r="743" spans="2:2" ht="24.95" customHeight="1" x14ac:dyDescent="0.2">
      <c r="B743" s="268"/>
    </row>
    <row r="744" spans="2:2" ht="24.95" customHeight="1" x14ac:dyDescent="0.2">
      <c r="B744" s="268"/>
    </row>
    <row r="745" spans="2:2" ht="24.95" customHeight="1" x14ac:dyDescent="0.2">
      <c r="B745" s="268"/>
    </row>
    <row r="746" spans="2:2" ht="24.95" customHeight="1" x14ac:dyDescent="0.2">
      <c r="B746" s="268"/>
    </row>
    <row r="747" spans="2:2" ht="24.95" customHeight="1" x14ac:dyDescent="0.2">
      <c r="B747" s="268"/>
    </row>
    <row r="748" spans="2:2" ht="24.95" customHeight="1" x14ac:dyDescent="0.2">
      <c r="B748" s="268"/>
    </row>
    <row r="749" spans="2:2" ht="24.95" customHeight="1" x14ac:dyDescent="0.2">
      <c r="B749" s="268"/>
    </row>
    <row r="750" spans="2:2" ht="24.95" customHeight="1" x14ac:dyDescent="0.2">
      <c r="B750" s="268"/>
    </row>
    <row r="751" spans="2:2" ht="24.95" customHeight="1" x14ac:dyDescent="0.2">
      <c r="B751" s="268"/>
    </row>
    <row r="752" spans="2:2" ht="24.95" customHeight="1" x14ac:dyDescent="0.2">
      <c r="B752" s="268"/>
    </row>
    <row r="753" spans="2:2" ht="24.95" customHeight="1" x14ac:dyDescent="0.2">
      <c r="B753" s="268"/>
    </row>
    <row r="754" spans="2:2" ht="24.95" customHeight="1" x14ac:dyDescent="0.2">
      <c r="B754" s="268"/>
    </row>
    <row r="755" spans="2:2" ht="24.95" customHeight="1" x14ac:dyDescent="0.2">
      <c r="B755" s="268"/>
    </row>
    <row r="756" spans="2:2" ht="24.95" customHeight="1" x14ac:dyDescent="0.2">
      <c r="B756" s="268"/>
    </row>
    <row r="757" spans="2:2" ht="24.95" customHeight="1" x14ac:dyDescent="0.2">
      <c r="B757" s="268"/>
    </row>
    <row r="758" spans="2:2" ht="24.95" customHeight="1" x14ac:dyDescent="0.2">
      <c r="B758" s="268"/>
    </row>
    <row r="759" spans="2:2" ht="24.95" customHeight="1" x14ac:dyDescent="0.2">
      <c r="B759" s="268"/>
    </row>
    <row r="760" spans="2:2" ht="24.95" customHeight="1" x14ac:dyDescent="0.2">
      <c r="B760" s="268"/>
    </row>
    <row r="761" spans="2:2" ht="24.95" customHeight="1" x14ac:dyDescent="0.2">
      <c r="B761" s="268"/>
    </row>
    <row r="762" spans="2:2" ht="24.95" customHeight="1" x14ac:dyDescent="0.2">
      <c r="B762" s="268"/>
    </row>
    <row r="763" spans="2:2" ht="24.95" customHeight="1" x14ac:dyDescent="0.2">
      <c r="B763" s="268"/>
    </row>
    <row r="764" spans="2:2" ht="24.95" customHeight="1" x14ac:dyDescent="0.2">
      <c r="B764" s="268"/>
    </row>
    <row r="765" spans="2:2" ht="24.95" customHeight="1" x14ac:dyDescent="0.2">
      <c r="B765" s="268"/>
    </row>
    <row r="766" spans="2:2" ht="24.95" customHeight="1" x14ac:dyDescent="0.2">
      <c r="B766" s="268"/>
    </row>
    <row r="767" spans="2:2" ht="24.95" customHeight="1" x14ac:dyDescent="0.2">
      <c r="B767" s="268"/>
    </row>
    <row r="768" spans="2:2" ht="24.95" customHeight="1" x14ac:dyDescent="0.2">
      <c r="B768" s="268"/>
    </row>
    <row r="769" spans="2:2" ht="24.95" customHeight="1" x14ac:dyDescent="0.2">
      <c r="B769" s="268"/>
    </row>
    <row r="770" spans="2:2" ht="24.95" customHeight="1" x14ac:dyDescent="0.2">
      <c r="B770" s="268"/>
    </row>
    <row r="771" spans="2:2" ht="24.95" customHeight="1" x14ac:dyDescent="0.2">
      <c r="B771" s="268"/>
    </row>
    <row r="772" spans="2:2" ht="24.95" customHeight="1" x14ac:dyDescent="0.2">
      <c r="B772" s="268"/>
    </row>
    <row r="773" spans="2:2" ht="24.95" customHeight="1" x14ac:dyDescent="0.2">
      <c r="B773" s="268"/>
    </row>
    <row r="774" spans="2:2" ht="24.95" customHeight="1" x14ac:dyDescent="0.2">
      <c r="B774" s="268"/>
    </row>
    <row r="775" spans="2:2" ht="24.95" customHeight="1" x14ac:dyDescent="0.2">
      <c r="B775" s="268"/>
    </row>
    <row r="776" spans="2:2" ht="24.95" customHeight="1" x14ac:dyDescent="0.2">
      <c r="B776" s="268"/>
    </row>
    <row r="777" spans="2:2" ht="24.95" customHeight="1" x14ac:dyDescent="0.2">
      <c r="B777" s="268"/>
    </row>
    <row r="778" spans="2:2" ht="24.95" customHeight="1" x14ac:dyDescent="0.2">
      <c r="B778" s="268"/>
    </row>
    <row r="779" spans="2:2" ht="24.95" customHeight="1" x14ac:dyDescent="0.2">
      <c r="B779" s="268"/>
    </row>
    <row r="780" spans="2:2" ht="24.95" customHeight="1" x14ac:dyDescent="0.2">
      <c r="B780" s="268"/>
    </row>
    <row r="781" spans="2:2" ht="24.95" customHeight="1" x14ac:dyDescent="0.2">
      <c r="B781" s="268"/>
    </row>
    <row r="782" spans="2:2" ht="24.95" customHeight="1" x14ac:dyDescent="0.2">
      <c r="B782" s="268"/>
    </row>
    <row r="783" spans="2:2" ht="24.95" customHeight="1" x14ac:dyDescent="0.2">
      <c r="B783" s="268"/>
    </row>
    <row r="784" spans="2:2" ht="24.95" customHeight="1" x14ac:dyDescent="0.2">
      <c r="B784" s="268"/>
    </row>
    <row r="785" spans="2:2" ht="24.95" customHeight="1" x14ac:dyDescent="0.2">
      <c r="B785" s="268"/>
    </row>
    <row r="786" spans="2:2" ht="24.95" customHeight="1" x14ac:dyDescent="0.2">
      <c r="B786" s="268"/>
    </row>
    <row r="787" spans="2:2" ht="24.95" customHeight="1" x14ac:dyDescent="0.2">
      <c r="B787" s="268"/>
    </row>
    <row r="788" spans="2:2" ht="24.95" customHeight="1" x14ac:dyDescent="0.2">
      <c r="B788" s="268"/>
    </row>
    <row r="789" spans="2:2" ht="24.95" customHeight="1" x14ac:dyDescent="0.2">
      <c r="B789" s="268"/>
    </row>
    <row r="790" spans="2:2" ht="24.95" customHeight="1" x14ac:dyDescent="0.2">
      <c r="B790" s="268"/>
    </row>
    <row r="791" spans="2:2" ht="24.95" customHeight="1" x14ac:dyDescent="0.2">
      <c r="B791" s="268"/>
    </row>
    <row r="792" spans="2:2" ht="24.95" customHeight="1" x14ac:dyDescent="0.2">
      <c r="B792" s="268"/>
    </row>
    <row r="793" spans="2:2" ht="24.95" customHeight="1" x14ac:dyDescent="0.2">
      <c r="B793" s="268"/>
    </row>
    <row r="794" spans="2:2" ht="24.95" customHeight="1" x14ac:dyDescent="0.2">
      <c r="B794" s="268"/>
    </row>
    <row r="795" spans="2:2" ht="24.95" customHeight="1" x14ac:dyDescent="0.2">
      <c r="B795" s="268"/>
    </row>
    <row r="796" spans="2:2" ht="24.95" customHeight="1" x14ac:dyDescent="0.2">
      <c r="B796" s="268"/>
    </row>
    <row r="797" spans="2:2" ht="24.95" customHeight="1" x14ac:dyDescent="0.2">
      <c r="B797" s="268"/>
    </row>
    <row r="798" spans="2:2" ht="24.95" customHeight="1" x14ac:dyDescent="0.2">
      <c r="B798" s="268"/>
    </row>
    <row r="799" spans="2:2" ht="24.95" customHeight="1" x14ac:dyDescent="0.2">
      <c r="B799" s="268"/>
    </row>
    <row r="800" spans="2:2" ht="24.95" customHeight="1" x14ac:dyDescent="0.2">
      <c r="B800" s="268"/>
    </row>
    <row r="801" spans="2:2" ht="24.95" customHeight="1" x14ac:dyDescent="0.2">
      <c r="B801" s="268"/>
    </row>
    <row r="802" spans="2:2" ht="24.95" customHeight="1" x14ac:dyDescent="0.2">
      <c r="B802" s="268"/>
    </row>
    <row r="803" spans="2:2" ht="24.95" customHeight="1" x14ac:dyDescent="0.2">
      <c r="B803" s="268"/>
    </row>
    <row r="804" spans="2:2" ht="24.95" customHeight="1" x14ac:dyDescent="0.2">
      <c r="B804" s="268"/>
    </row>
    <row r="805" spans="2:2" ht="24.95" customHeight="1" x14ac:dyDescent="0.2">
      <c r="B805" s="268"/>
    </row>
    <row r="806" spans="2:2" ht="24.95" customHeight="1" x14ac:dyDescent="0.2">
      <c r="B806" s="268"/>
    </row>
    <row r="807" spans="2:2" ht="24.95" customHeight="1" x14ac:dyDescent="0.2">
      <c r="B807" s="268"/>
    </row>
    <row r="808" spans="2:2" ht="24.95" customHeight="1" x14ac:dyDescent="0.2">
      <c r="B808" s="268"/>
    </row>
    <row r="809" spans="2:2" ht="24.95" customHeight="1" x14ac:dyDescent="0.2">
      <c r="B809" s="268"/>
    </row>
    <row r="810" spans="2:2" ht="24.95" customHeight="1" x14ac:dyDescent="0.2">
      <c r="B810" s="268"/>
    </row>
    <row r="811" spans="2:2" ht="24.95" customHeight="1" x14ac:dyDescent="0.2">
      <c r="B811" s="268"/>
    </row>
    <row r="812" spans="2:2" ht="24.95" customHeight="1" x14ac:dyDescent="0.2">
      <c r="B812" s="268"/>
    </row>
    <row r="813" spans="2:2" ht="24.95" customHeight="1" x14ac:dyDescent="0.2">
      <c r="B813" s="268"/>
    </row>
    <row r="814" spans="2:2" ht="24.95" customHeight="1" x14ac:dyDescent="0.2">
      <c r="B814" s="268"/>
    </row>
    <row r="815" spans="2:2" ht="24.95" customHeight="1" x14ac:dyDescent="0.2">
      <c r="B815" s="268"/>
    </row>
    <row r="816" spans="2:2" ht="24.95" customHeight="1" x14ac:dyDescent="0.2">
      <c r="B816" s="268"/>
    </row>
    <row r="817" spans="2:2" ht="24.95" customHeight="1" x14ac:dyDescent="0.2">
      <c r="B817" s="268"/>
    </row>
    <row r="818" spans="2:2" ht="24.95" customHeight="1" x14ac:dyDescent="0.2">
      <c r="B818" s="268"/>
    </row>
    <row r="819" spans="2:2" ht="24.95" customHeight="1" x14ac:dyDescent="0.2">
      <c r="B819" s="268"/>
    </row>
    <row r="820" spans="2:2" ht="24.95" customHeight="1" x14ac:dyDescent="0.2">
      <c r="B820" s="268"/>
    </row>
    <row r="821" spans="2:2" ht="24.95" customHeight="1" x14ac:dyDescent="0.2">
      <c r="B821" s="268"/>
    </row>
    <row r="822" spans="2:2" ht="24.95" customHeight="1" x14ac:dyDescent="0.2">
      <c r="B822" s="268"/>
    </row>
    <row r="823" spans="2:2" ht="24.95" customHeight="1" x14ac:dyDescent="0.2">
      <c r="B823" s="268"/>
    </row>
    <row r="824" spans="2:2" ht="24.95" customHeight="1" x14ac:dyDescent="0.2">
      <c r="B824" s="268"/>
    </row>
    <row r="825" spans="2:2" ht="24.95" customHeight="1" x14ac:dyDescent="0.2">
      <c r="B825" s="268"/>
    </row>
    <row r="826" spans="2:2" ht="24.95" customHeight="1" x14ac:dyDescent="0.2">
      <c r="B826" s="268"/>
    </row>
    <row r="827" spans="2:2" ht="24.95" customHeight="1" x14ac:dyDescent="0.2">
      <c r="B827" s="268"/>
    </row>
    <row r="828" spans="2:2" ht="24.95" customHeight="1" x14ac:dyDescent="0.2">
      <c r="B828" s="268"/>
    </row>
    <row r="829" spans="2:2" ht="24.95" customHeight="1" x14ac:dyDescent="0.2">
      <c r="B829" s="268"/>
    </row>
    <row r="830" spans="2:2" ht="24.95" customHeight="1" x14ac:dyDescent="0.2">
      <c r="B830" s="268"/>
    </row>
    <row r="831" spans="2:2" ht="24.95" customHeight="1" x14ac:dyDescent="0.2">
      <c r="B831" s="268"/>
    </row>
    <row r="832" spans="2:2" ht="24.95" customHeight="1" x14ac:dyDescent="0.2">
      <c r="B832" s="268"/>
    </row>
    <row r="833" spans="2:2" ht="24.95" customHeight="1" x14ac:dyDescent="0.2">
      <c r="B833" s="268"/>
    </row>
    <row r="834" spans="2:2" ht="24.95" customHeight="1" x14ac:dyDescent="0.2">
      <c r="B834" s="268"/>
    </row>
    <row r="835" spans="2:2" ht="24.95" customHeight="1" x14ac:dyDescent="0.2">
      <c r="B835" s="268"/>
    </row>
    <row r="836" spans="2:2" ht="24.95" customHeight="1" x14ac:dyDescent="0.2">
      <c r="B836" s="268"/>
    </row>
    <row r="837" spans="2:2" ht="24.95" customHeight="1" x14ac:dyDescent="0.2">
      <c r="B837" s="268"/>
    </row>
    <row r="838" spans="2:2" ht="24.95" customHeight="1" x14ac:dyDescent="0.2">
      <c r="B838" s="268"/>
    </row>
    <row r="839" spans="2:2" ht="24.95" customHeight="1" x14ac:dyDescent="0.2">
      <c r="B839" s="268"/>
    </row>
    <row r="840" spans="2:2" ht="24.95" customHeight="1" x14ac:dyDescent="0.2">
      <c r="B840" s="268"/>
    </row>
    <row r="841" spans="2:2" ht="24.95" customHeight="1" x14ac:dyDescent="0.2">
      <c r="B841" s="268"/>
    </row>
    <row r="842" spans="2:2" ht="24.95" customHeight="1" x14ac:dyDescent="0.2">
      <c r="B842" s="268"/>
    </row>
    <row r="843" spans="2:2" ht="24.95" customHeight="1" x14ac:dyDescent="0.2">
      <c r="B843" s="268"/>
    </row>
    <row r="844" spans="2:2" ht="24.95" customHeight="1" x14ac:dyDescent="0.2">
      <c r="B844" s="268"/>
    </row>
    <row r="845" spans="2:2" ht="24.95" customHeight="1" x14ac:dyDescent="0.2">
      <c r="B845" s="268"/>
    </row>
    <row r="846" spans="2:2" ht="24.95" customHeight="1" x14ac:dyDescent="0.2">
      <c r="B846" s="268"/>
    </row>
    <row r="847" spans="2:2" ht="24.95" customHeight="1" x14ac:dyDescent="0.2">
      <c r="B847" s="268"/>
    </row>
    <row r="848" spans="2:2" ht="24.95" customHeight="1" x14ac:dyDescent="0.2">
      <c r="B848" s="268"/>
    </row>
    <row r="849" spans="2:2" ht="24.95" customHeight="1" x14ac:dyDescent="0.2">
      <c r="B849" s="268"/>
    </row>
    <row r="850" spans="2:2" ht="24.95" customHeight="1" x14ac:dyDescent="0.2">
      <c r="B850" s="268"/>
    </row>
    <row r="851" spans="2:2" ht="24.95" customHeight="1" x14ac:dyDescent="0.2">
      <c r="B851" s="268"/>
    </row>
    <row r="852" spans="2:2" ht="24.95" customHeight="1" x14ac:dyDescent="0.2">
      <c r="B852" s="268"/>
    </row>
    <row r="853" spans="2:2" ht="24.95" customHeight="1" x14ac:dyDescent="0.2">
      <c r="B853" s="268"/>
    </row>
    <row r="854" spans="2:2" ht="24.95" customHeight="1" x14ac:dyDescent="0.2">
      <c r="B854" s="268"/>
    </row>
    <row r="855" spans="2:2" ht="24.95" customHeight="1" x14ac:dyDescent="0.2">
      <c r="B855" s="268"/>
    </row>
    <row r="856" spans="2:2" ht="24.95" customHeight="1" x14ac:dyDescent="0.2">
      <c r="B856" s="268"/>
    </row>
    <row r="857" spans="2:2" ht="24.95" customHeight="1" x14ac:dyDescent="0.2">
      <c r="B857" s="268"/>
    </row>
    <row r="858" spans="2:2" ht="24.95" customHeight="1" x14ac:dyDescent="0.2">
      <c r="B858" s="268"/>
    </row>
    <row r="859" spans="2:2" ht="24.95" customHeight="1" x14ac:dyDescent="0.2">
      <c r="B859" s="268"/>
    </row>
    <row r="860" spans="2:2" ht="24.95" customHeight="1" x14ac:dyDescent="0.2">
      <c r="B860" s="268"/>
    </row>
    <row r="861" spans="2:2" ht="24.95" customHeight="1" x14ac:dyDescent="0.2">
      <c r="B861" s="268"/>
    </row>
    <row r="862" spans="2:2" ht="24.95" customHeight="1" x14ac:dyDescent="0.2">
      <c r="B862" s="268"/>
    </row>
    <row r="863" spans="2:2" ht="24.95" customHeight="1" x14ac:dyDescent="0.2">
      <c r="B863" s="268"/>
    </row>
    <row r="864" spans="2:2" ht="24.95" customHeight="1" x14ac:dyDescent="0.2">
      <c r="B864" s="268"/>
    </row>
    <row r="865" spans="2:2" ht="24.95" customHeight="1" x14ac:dyDescent="0.2">
      <c r="B865" s="268"/>
    </row>
    <row r="866" spans="2:2" ht="24.95" customHeight="1" x14ac:dyDescent="0.2">
      <c r="B866" s="268"/>
    </row>
    <row r="867" spans="2:2" ht="24.95" customHeight="1" x14ac:dyDescent="0.2">
      <c r="B867" s="268"/>
    </row>
    <row r="868" spans="2:2" ht="24.95" customHeight="1" x14ac:dyDescent="0.2">
      <c r="B868" s="268"/>
    </row>
    <row r="869" spans="2:2" ht="24.95" customHeight="1" x14ac:dyDescent="0.2">
      <c r="B869" s="268"/>
    </row>
    <row r="870" spans="2:2" ht="24.95" customHeight="1" x14ac:dyDescent="0.2">
      <c r="B870" s="268"/>
    </row>
    <row r="871" spans="2:2" ht="24.95" customHeight="1" x14ac:dyDescent="0.2">
      <c r="B871" s="268"/>
    </row>
    <row r="872" spans="2:2" ht="24.95" customHeight="1" x14ac:dyDescent="0.2">
      <c r="B872" s="268"/>
    </row>
    <row r="873" spans="2:2" ht="24.95" customHeight="1" x14ac:dyDescent="0.2">
      <c r="B873" s="268"/>
    </row>
    <row r="874" spans="2:2" ht="24.95" customHeight="1" x14ac:dyDescent="0.2">
      <c r="B874" s="268"/>
    </row>
    <row r="875" spans="2:2" ht="24.95" customHeight="1" x14ac:dyDescent="0.2">
      <c r="B875" s="268"/>
    </row>
    <row r="876" spans="2:2" ht="24.95" customHeight="1" x14ac:dyDescent="0.2">
      <c r="B876" s="268"/>
    </row>
    <row r="877" spans="2:2" ht="24.95" customHeight="1" x14ac:dyDescent="0.2">
      <c r="B877" s="268"/>
    </row>
    <row r="878" spans="2:2" ht="24.95" customHeight="1" x14ac:dyDescent="0.2">
      <c r="B878" s="268"/>
    </row>
    <row r="879" spans="2:2" ht="24.95" customHeight="1" x14ac:dyDescent="0.2">
      <c r="B879" s="268"/>
    </row>
    <row r="880" spans="2:2" ht="24.95" customHeight="1" x14ac:dyDescent="0.2">
      <c r="B880" s="268"/>
    </row>
    <row r="881" spans="2:2" ht="24.95" customHeight="1" x14ac:dyDescent="0.2">
      <c r="B881" s="268"/>
    </row>
    <row r="882" spans="2:2" ht="24.95" customHeight="1" x14ac:dyDescent="0.2">
      <c r="B882" s="268"/>
    </row>
    <row r="883" spans="2:2" ht="24.95" customHeight="1" x14ac:dyDescent="0.2">
      <c r="B883" s="268"/>
    </row>
    <row r="884" spans="2:2" ht="24.95" customHeight="1" x14ac:dyDescent="0.2">
      <c r="B884" s="268"/>
    </row>
    <row r="885" spans="2:2" ht="24.95" customHeight="1" x14ac:dyDescent="0.2">
      <c r="B885" s="268"/>
    </row>
    <row r="886" spans="2:2" ht="24.95" customHeight="1" x14ac:dyDescent="0.2">
      <c r="B886" s="268"/>
    </row>
    <row r="887" spans="2:2" ht="24.95" customHeight="1" x14ac:dyDescent="0.2">
      <c r="B887" s="268"/>
    </row>
    <row r="888" spans="2:2" ht="24.95" customHeight="1" x14ac:dyDescent="0.2">
      <c r="B888" s="268"/>
    </row>
    <row r="889" spans="2:2" ht="24.95" customHeight="1" x14ac:dyDescent="0.2">
      <c r="B889" s="268"/>
    </row>
    <row r="890" spans="2:2" ht="24.95" customHeight="1" x14ac:dyDescent="0.2">
      <c r="B890" s="268"/>
    </row>
    <row r="891" spans="2:2" ht="24.95" customHeight="1" x14ac:dyDescent="0.2">
      <c r="B891" s="268"/>
    </row>
    <row r="892" spans="2:2" ht="24.95" customHeight="1" x14ac:dyDescent="0.2">
      <c r="B892" s="268"/>
    </row>
    <row r="893" spans="2:2" ht="24.95" customHeight="1" x14ac:dyDescent="0.2">
      <c r="B893" s="268"/>
    </row>
    <row r="894" spans="2:2" ht="24.95" customHeight="1" x14ac:dyDescent="0.2">
      <c r="B894" s="268"/>
    </row>
    <row r="895" spans="2:2" ht="24.95" customHeight="1" x14ac:dyDescent="0.2">
      <c r="B895" s="268"/>
    </row>
    <row r="896" spans="2:2" ht="24.95" customHeight="1" x14ac:dyDescent="0.2">
      <c r="B896" s="268"/>
    </row>
    <row r="897" spans="2:2" ht="24.95" customHeight="1" x14ac:dyDescent="0.2">
      <c r="B897" s="268"/>
    </row>
    <row r="898" spans="2:2" ht="24.95" customHeight="1" x14ac:dyDescent="0.2">
      <c r="B898" s="268"/>
    </row>
    <row r="899" spans="2:2" ht="24.95" customHeight="1" x14ac:dyDescent="0.2">
      <c r="B899" s="268"/>
    </row>
    <row r="900" spans="2:2" ht="24.95" customHeight="1" x14ac:dyDescent="0.2">
      <c r="B900" s="268"/>
    </row>
    <row r="901" spans="2:2" ht="24.95" customHeight="1" x14ac:dyDescent="0.2">
      <c r="B901" s="268"/>
    </row>
    <row r="902" spans="2:2" ht="24.95" customHeight="1" x14ac:dyDescent="0.2">
      <c r="B902" s="268"/>
    </row>
    <row r="903" spans="2:2" ht="24.95" customHeight="1" x14ac:dyDescent="0.2">
      <c r="B903" s="268"/>
    </row>
    <row r="904" spans="2:2" ht="24.95" customHeight="1" x14ac:dyDescent="0.2">
      <c r="B904" s="268"/>
    </row>
    <row r="905" spans="2:2" ht="24.95" customHeight="1" x14ac:dyDescent="0.2">
      <c r="B905" s="268"/>
    </row>
    <row r="906" spans="2:2" ht="24.95" customHeight="1" x14ac:dyDescent="0.2">
      <c r="B906" s="268"/>
    </row>
    <row r="907" spans="2:2" ht="24.95" customHeight="1" x14ac:dyDescent="0.2">
      <c r="B907" s="268"/>
    </row>
    <row r="908" spans="2:2" ht="24.95" customHeight="1" x14ac:dyDescent="0.2">
      <c r="B908" s="268"/>
    </row>
    <row r="909" spans="2:2" ht="24.95" customHeight="1" x14ac:dyDescent="0.2">
      <c r="B909" s="268"/>
    </row>
    <row r="910" spans="2:2" ht="24.95" customHeight="1" x14ac:dyDescent="0.2">
      <c r="B910" s="268"/>
    </row>
    <row r="911" spans="2:2" ht="24.95" customHeight="1" x14ac:dyDescent="0.2">
      <c r="B911" s="268"/>
    </row>
    <row r="912" spans="2:2" ht="24.95" customHeight="1" x14ac:dyDescent="0.2">
      <c r="B912" s="268"/>
    </row>
    <row r="913" spans="2:2" ht="24.95" customHeight="1" x14ac:dyDescent="0.2">
      <c r="B913" s="268"/>
    </row>
    <row r="914" spans="2:2" ht="24.95" customHeight="1" x14ac:dyDescent="0.2">
      <c r="B914" s="268"/>
    </row>
    <row r="915" spans="2:2" ht="24.95" customHeight="1" x14ac:dyDescent="0.2">
      <c r="B915" s="268"/>
    </row>
    <row r="916" spans="2:2" ht="24.95" customHeight="1" x14ac:dyDescent="0.2">
      <c r="B916" s="268"/>
    </row>
    <row r="917" spans="2:2" ht="24.95" customHeight="1" x14ac:dyDescent="0.2">
      <c r="B917" s="268"/>
    </row>
    <row r="918" spans="2:2" ht="24.95" customHeight="1" x14ac:dyDescent="0.2">
      <c r="B918" s="268"/>
    </row>
    <row r="919" spans="2:2" ht="24.95" customHeight="1" x14ac:dyDescent="0.2">
      <c r="B919" s="268"/>
    </row>
    <row r="920" spans="2:2" ht="24.95" customHeight="1" x14ac:dyDescent="0.2">
      <c r="B920" s="268"/>
    </row>
    <row r="921" spans="2:2" ht="24.95" customHeight="1" x14ac:dyDescent="0.2">
      <c r="B921" s="268"/>
    </row>
    <row r="922" spans="2:2" ht="24.95" customHeight="1" x14ac:dyDescent="0.2">
      <c r="B922" s="268"/>
    </row>
    <row r="923" spans="2:2" ht="24.95" customHeight="1" x14ac:dyDescent="0.2">
      <c r="B923" s="268"/>
    </row>
    <row r="924" spans="2:2" ht="24.95" customHeight="1" x14ac:dyDescent="0.2">
      <c r="B924" s="268"/>
    </row>
    <row r="925" spans="2:2" ht="24.95" customHeight="1" x14ac:dyDescent="0.2">
      <c r="B925" s="268"/>
    </row>
    <row r="926" spans="2:2" ht="24.95" customHeight="1" x14ac:dyDescent="0.2">
      <c r="B926" s="268"/>
    </row>
    <row r="927" spans="2:2" ht="24.95" customHeight="1" x14ac:dyDescent="0.2">
      <c r="B927" s="268"/>
    </row>
    <row r="928" spans="2:2" ht="24.95" customHeight="1" x14ac:dyDescent="0.2">
      <c r="B928" s="268"/>
    </row>
    <row r="929" spans="2:2" ht="24.95" customHeight="1" x14ac:dyDescent="0.2">
      <c r="B929" s="268"/>
    </row>
    <row r="930" spans="2:2" ht="24.95" customHeight="1" x14ac:dyDescent="0.2">
      <c r="B930" s="268"/>
    </row>
    <row r="931" spans="2:2" ht="24.95" customHeight="1" x14ac:dyDescent="0.2">
      <c r="B931" s="268"/>
    </row>
    <row r="932" spans="2:2" ht="24.95" customHeight="1" x14ac:dyDescent="0.2">
      <c r="B932" s="268"/>
    </row>
    <row r="933" spans="2:2" ht="24.95" customHeight="1" x14ac:dyDescent="0.2">
      <c r="B933" s="268"/>
    </row>
    <row r="934" spans="2:2" ht="24.95" customHeight="1" x14ac:dyDescent="0.2">
      <c r="B934" s="268"/>
    </row>
    <row r="935" spans="2:2" ht="24.95" customHeight="1" x14ac:dyDescent="0.2">
      <c r="B935" s="268"/>
    </row>
    <row r="936" spans="2:2" ht="24.95" customHeight="1" x14ac:dyDescent="0.2">
      <c r="B936" s="268"/>
    </row>
    <row r="937" spans="2:2" ht="24.95" customHeight="1" x14ac:dyDescent="0.2">
      <c r="B937" s="268"/>
    </row>
    <row r="938" spans="2:2" ht="24.95" customHeight="1" x14ac:dyDescent="0.2">
      <c r="B938" s="268"/>
    </row>
    <row r="939" spans="2:2" ht="24.95" customHeight="1" x14ac:dyDescent="0.2">
      <c r="B939" s="268"/>
    </row>
    <row r="940" spans="2:2" ht="24.95" customHeight="1" x14ac:dyDescent="0.2">
      <c r="B940" s="268"/>
    </row>
    <row r="941" spans="2:2" ht="24.95" customHeight="1" x14ac:dyDescent="0.2">
      <c r="B941" s="268"/>
    </row>
    <row r="942" spans="2:2" ht="24.95" customHeight="1" x14ac:dyDescent="0.2">
      <c r="B942" s="268"/>
    </row>
    <row r="943" spans="2:2" ht="24.95" customHeight="1" x14ac:dyDescent="0.2">
      <c r="B943" s="268"/>
    </row>
    <row r="944" spans="2:2" ht="24.95" customHeight="1" x14ac:dyDescent="0.2">
      <c r="B944" s="268"/>
    </row>
    <row r="945" spans="2:2" ht="24.95" customHeight="1" x14ac:dyDescent="0.2">
      <c r="B945" s="268"/>
    </row>
    <row r="946" spans="2:2" ht="24.95" customHeight="1" x14ac:dyDescent="0.2">
      <c r="B946" s="268"/>
    </row>
    <row r="947" spans="2:2" ht="24.95" customHeight="1" x14ac:dyDescent="0.2">
      <c r="B947" s="268"/>
    </row>
    <row r="948" spans="2:2" ht="24.95" customHeight="1" x14ac:dyDescent="0.2">
      <c r="B948" s="268"/>
    </row>
    <row r="949" spans="2:2" ht="24.95" customHeight="1" x14ac:dyDescent="0.2">
      <c r="B949" s="268"/>
    </row>
    <row r="950" spans="2:2" ht="24.95" customHeight="1" x14ac:dyDescent="0.2">
      <c r="B950" s="268"/>
    </row>
    <row r="951" spans="2:2" ht="24.95" customHeight="1" x14ac:dyDescent="0.2">
      <c r="B951" s="268"/>
    </row>
    <row r="952" spans="2:2" ht="24.95" customHeight="1" x14ac:dyDescent="0.2">
      <c r="B952" s="268"/>
    </row>
    <row r="953" spans="2:2" ht="24.95" customHeight="1" x14ac:dyDescent="0.2">
      <c r="B953" s="268"/>
    </row>
    <row r="954" spans="2:2" ht="24.95" customHeight="1" x14ac:dyDescent="0.2">
      <c r="B954" s="268"/>
    </row>
    <row r="955" spans="2:2" ht="24.95" customHeight="1" x14ac:dyDescent="0.2">
      <c r="B955" s="268"/>
    </row>
    <row r="956" spans="2:2" ht="24.95" customHeight="1" x14ac:dyDescent="0.2">
      <c r="B956" s="268"/>
    </row>
    <row r="957" spans="2:2" ht="24.95" customHeight="1" x14ac:dyDescent="0.2">
      <c r="B957" s="268"/>
    </row>
    <row r="958" spans="2:2" ht="24.95" customHeight="1" x14ac:dyDescent="0.2">
      <c r="B958" s="268"/>
    </row>
    <row r="959" spans="2:2" ht="24.95" customHeight="1" x14ac:dyDescent="0.2">
      <c r="B959" s="268"/>
    </row>
    <row r="960" spans="2:2" ht="24.95" customHeight="1" x14ac:dyDescent="0.2">
      <c r="B960" s="268"/>
    </row>
    <row r="961" spans="2:2" ht="24.95" customHeight="1" x14ac:dyDescent="0.2">
      <c r="B961" s="268"/>
    </row>
    <row r="962" spans="2:2" ht="24.95" customHeight="1" x14ac:dyDescent="0.2">
      <c r="B962" s="268"/>
    </row>
    <row r="963" spans="2:2" ht="24.95" customHeight="1" x14ac:dyDescent="0.2">
      <c r="B963" s="268"/>
    </row>
    <row r="964" spans="2:2" ht="24.95" customHeight="1" x14ac:dyDescent="0.2">
      <c r="B964" s="268"/>
    </row>
    <row r="965" spans="2:2" ht="24.95" customHeight="1" x14ac:dyDescent="0.2">
      <c r="B965" s="268"/>
    </row>
    <row r="966" spans="2:2" ht="24.95" customHeight="1" x14ac:dyDescent="0.2">
      <c r="B966" s="268"/>
    </row>
    <row r="967" spans="2:2" ht="24.95" customHeight="1" x14ac:dyDescent="0.2">
      <c r="B967" s="268"/>
    </row>
    <row r="968" spans="2:2" ht="24.95" customHeight="1" x14ac:dyDescent="0.2">
      <c r="B968" s="268"/>
    </row>
    <row r="969" spans="2:2" ht="24.95" customHeight="1" x14ac:dyDescent="0.2">
      <c r="B969" s="268"/>
    </row>
    <row r="970" spans="2:2" ht="24.95" customHeight="1" x14ac:dyDescent="0.2">
      <c r="B970" s="268"/>
    </row>
    <row r="971" spans="2:2" ht="24.95" customHeight="1" x14ac:dyDescent="0.2">
      <c r="B971" s="268"/>
    </row>
    <row r="972" spans="2:2" ht="24.95" customHeight="1" x14ac:dyDescent="0.2">
      <c r="B972" s="268"/>
    </row>
    <row r="973" spans="2:2" ht="24.95" customHeight="1" x14ac:dyDescent="0.2">
      <c r="B973" s="268"/>
    </row>
    <row r="974" spans="2:2" ht="24.95" customHeight="1" x14ac:dyDescent="0.2">
      <c r="B974" s="268"/>
    </row>
    <row r="975" spans="2:2" ht="24.95" customHeight="1" x14ac:dyDescent="0.2">
      <c r="B975" s="268"/>
    </row>
    <row r="976" spans="2:2" ht="24.95" customHeight="1" x14ac:dyDescent="0.2">
      <c r="B976" s="268"/>
    </row>
    <row r="977" spans="2:2" ht="24.95" customHeight="1" x14ac:dyDescent="0.2">
      <c r="B977" s="268"/>
    </row>
    <row r="978" spans="2:2" ht="24.95" customHeight="1" x14ac:dyDescent="0.2">
      <c r="B978" s="268"/>
    </row>
    <row r="979" spans="2:2" ht="24.95" customHeight="1" x14ac:dyDescent="0.2">
      <c r="B979" s="268"/>
    </row>
    <row r="980" spans="2:2" ht="24.95" customHeight="1" x14ac:dyDescent="0.2">
      <c r="B980" s="268"/>
    </row>
    <row r="981" spans="2:2" ht="24.95" customHeight="1" x14ac:dyDescent="0.2">
      <c r="B981" s="268"/>
    </row>
    <row r="982" spans="2:2" ht="24.95" customHeight="1" x14ac:dyDescent="0.2">
      <c r="B982" s="268"/>
    </row>
    <row r="983" spans="2:2" ht="24.95" customHeight="1" x14ac:dyDescent="0.2">
      <c r="B983" s="268"/>
    </row>
    <row r="984" spans="2:2" ht="24.95" customHeight="1" x14ac:dyDescent="0.2">
      <c r="B984" s="268"/>
    </row>
    <row r="985" spans="2:2" ht="24.95" customHeight="1" x14ac:dyDescent="0.2">
      <c r="B985" s="268"/>
    </row>
    <row r="986" spans="2:2" ht="24.95" customHeight="1" x14ac:dyDescent="0.2">
      <c r="B986" s="268"/>
    </row>
    <row r="987" spans="2:2" ht="24.95" customHeight="1" x14ac:dyDescent="0.2">
      <c r="B987" s="268"/>
    </row>
    <row r="988" spans="2:2" ht="24.95" customHeight="1" x14ac:dyDescent="0.2">
      <c r="B988" s="268"/>
    </row>
    <row r="989" spans="2:2" ht="24.95" customHeight="1" x14ac:dyDescent="0.2">
      <c r="B989" s="268"/>
    </row>
    <row r="990" spans="2:2" ht="24.95" customHeight="1" x14ac:dyDescent="0.2">
      <c r="B990" s="268"/>
    </row>
    <row r="991" spans="2:2" ht="24.95" customHeight="1" x14ac:dyDescent="0.2">
      <c r="B991" s="268"/>
    </row>
    <row r="992" spans="2:2" ht="24.95" customHeight="1" x14ac:dyDescent="0.2">
      <c r="B992" s="268"/>
    </row>
    <row r="993" spans="2:2" ht="24.95" customHeight="1" x14ac:dyDescent="0.2">
      <c r="B993" s="268"/>
    </row>
    <row r="994" spans="2:2" ht="24.95" customHeight="1" x14ac:dyDescent="0.2">
      <c r="B994" s="268"/>
    </row>
    <row r="995" spans="2:2" ht="24.95" customHeight="1" x14ac:dyDescent="0.2">
      <c r="B995" s="268"/>
    </row>
    <row r="996" spans="2:2" ht="24.95" customHeight="1" x14ac:dyDescent="0.2">
      <c r="B996" s="268"/>
    </row>
    <row r="997" spans="2:2" ht="24.95" customHeight="1" x14ac:dyDescent="0.2">
      <c r="B997" s="268"/>
    </row>
    <row r="998" spans="2:2" ht="24.95" customHeight="1" x14ac:dyDescent="0.2">
      <c r="B998" s="268"/>
    </row>
    <row r="999" spans="2:2" ht="24.95" customHeight="1" x14ac:dyDescent="0.2">
      <c r="B999" s="268"/>
    </row>
    <row r="1000" spans="2:2" ht="24.95" customHeight="1" x14ac:dyDescent="0.2">
      <c r="B1000" s="268"/>
    </row>
    <row r="1001" spans="2:2" ht="24.95" customHeight="1" x14ac:dyDescent="0.2">
      <c r="B1001" s="268"/>
    </row>
    <row r="1002" spans="2:2" ht="24.95" customHeight="1" x14ac:dyDescent="0.2">
      <c r="B1002" s="268"/>
    </row>
    <row r="1003" spans="2:2" ht="24.95" customHeight="1" x14ac:dyDescent="0.2">
      <c r="B1003" s="268"/>
    </row>
    <row r="1004" spans="2:2" ht="24.95" customHeight="1" x14ac:dyDescent="0.2">
      <c r="B1004" s="268"/>
    </row>
    <row r="1005" spans="2:2" ht="24.95" customHeight="1" x14ac:dyDescent="0.2">
      <c r="B1005" s="268"/>
    </row>
    <row r="1006" spans="2:2" ht="24.95" customHeight="1" x14ac:dyDescent="0.2">
      <c r="B1006" s="268"/>
    </row>
    <row r="1007" spans="2:2" ht="24.95" customHeight="1" x14ac:dyDescent="0.2">
      <c r="B1007" s="268"/>
    </row>
    <row r="1008" spans="2:2" ht="24.95" customHeight="1" x14ac:dyDescent="0.2">
      <c r="B1008" s="268"/>
    </row>
    <row r="1009" spans="2:2" ht="24.95" customHeight="1" x14ac:dyDescent="0.2">
      <c r="B1009" s="268"/>
    </row>
    <row r="1010" spans="2:2" ht="24.95" customHeight="1" x14ac:dyDescent="0.2">
      <c r="B1010" s="268"/>
    </row>
    <row r="1011" spans="2:2" ht="24.95" customHeight="1" x14ac:dyDescent="0.2">
      <c r="B1011" s="268"/>
    </row>
    <row r="1012" spans="2:2" ht="24.95" customHeight="1" x14ac:dyDescent="0.2">
      <c r="B1012" s="268"/>
    </row>
    <row r="1013" spans="2:2" ht="24.95" customHeight="1" x14ac:dyDescent="0.2">
      <c r="B1013" s="268"/>
    </row>
    <row r="1014" spans="2:2" ht="24.95" customHeight="1" x14ac:dyDescent="0.2">
      <c r="B1014" s="268"/>
    </row>
    <row r="1015" spans="2:2" ht="24.95" customHeight="1" x14ac:dyDescent="0.2">
      <c r="B1015" s="268"/>
    </row>
    <row r="1016" spans="2:2" ht="24.95" customHeight="1" x14ac:dyDescent="0.2">
      <c r="B1016" s="268"/>
    </row>
    <row r="1017" spans="2:2" ht="24.95" customHeight="1" x14ac:dyDescent="0.2">
      <c r="B1017" s="268"/>
    </row>
    <row r="1018" spans="2:2" ht="24.95" customHeight="1" x14ac:dyDescent="0.2">
      <c r="B1018" s="268"/>
    </row>
    <row r="1019" spans="2:2" ht="24.95" customHeight="1" x14ac:dyDescent="0.2">
      <c r="B1019" s="268"/>
    </row>
    <row r="1020" spans="2:2" ht="24.95" customHeight="1" x14ac:dyDescent="0.2">
      <c r="B1020" s="268"/>
    </row>
    <row r="1021" spans="2:2" ht="24.95" customHeight="1" x14ac:dyDescent="0.2">
      <c r="B1021" s="268"/>
    </row>
    <row r="1022" spans="2:2" ht="24.95" customHeight="1" x14ac:dyDescent="0.2">
      <c r="B1022" s="268"/>
    </row>
    <row r="1023" spans="2:2" ht="24.95" customHeight="1" x14ac:dyDescent="0.2">
      <c r="B1023" s="268"/>
    </row>
    <row r="1024" spans="2:2" ht="24.95" customHeight="1" x14ac:dyDescent="0.2">
      <c r="B1024" s="268"/>
    </row>
    <row r="1025" spans="2:2" ht="24.95" customHeight="1" x14ac:dyDescent="0.2">
      <c r="B1025" s="268"/>
    </row>
    <row r="1026" spans="2:2" ht="24.95" customHeight="1" x14ac:dyDescent="0.2">
      <c r="B1026" s="268"/>
    </row>
    <row r="1027" spans="2:2" ht="24.95" customHeight="1" x14ac:dyDescent="0.2">
      <c r="B1027" s="268"/>
    </row>
    <row r="1028" spans="2:2" ht="24.95" customHeight="1" x14ac:dyDescent="0.2">
      <c r="B1028" s="268"/>
    </row>
    <row r="1029" spans="2:2" ht="24.95" customHeight="1" x14ac:dyDescent="0.2">
      <c r="B1029" s="268"/>
    </row>
    <row r="1030" spans="2:2" ht="24.95" customHeight="1" x14ac:dyDescent="0.2">
      <c r="B1030" s="268"/>
    </row>
    <row r="1031" spans="2:2" ht="24.95" customHeight="1" x14ac:dyDescent="0.2">
      <c r="B1031" s="268"/>
    </row>
    <row r="1032" spans="2:2" ht="24.95" customHeight="1" x14ac:dyDescent="0.2">
      <c r="B1032" s="268"/>
    </row>
    <row r="1033" spans="2:2" ht="24.95" customHeight="1" x14ac:dyDescent="0.2">
      <c r="B1033" s="268"/>
    </row>
    <row r="1034" spans="2:2" ht="24.95" customHeight="1" x14ac:dyDescent="0.2">
      <c r="B1034" s="268"/>
    </row>
    <row r="1035" spans="2:2" ht="24.95" customHeight="1" x14ac:dyDescent="0.2">
      <c r="B1035" s="268"/>
    </row>
    <row r="1036" spans="2:2" ht="24.95" customHeight="1" x14ac:dyDescent="0.2">
      <c r="B1036" s="268"/>
    </row>
    <row r="1037" spans="2:2" ht="24.95" customHeight="1" x14ac:dyDescent="0.2">
      <c r="B1037" s="268"/>
    </row>
    <row r="1038" spans="2:2" ht="24.95" customHeight="1" x14ac:dyDescent="0.2">
      <c r="B1038" s="268"/>
    </row>
    <row r="1039" spans="2:2" ht="24.95" customHeight="1" x14ac:dyDescent="0.2">
      <c r="B1039" s="268"/>
    </row>
    <row r="1040" spans="2:2" ht="24.95" customHeight="1" x14ac:dyDescent="0.2">
      <c r="B1040" s="268"/>
    </row>
    <row r="1041" spans="2:2" ht="24.95" customHeight="1" x14ac:dyDescent="0.2">
      <c r="B1041" s="268"/>
    </row>
    <row r="1042" spans="2:2" ht="24.95" customHeight="1" x14ac:dyDescent="0.2">
      <c r="B1042" s="268"/>
    </row>
    <row r="1043" spans="2:2" ht="24.95" customHeight="1" x14ac:dyDescent="0.2">
      <c r="B1043" s="268"/>
    </row>
    <row r="1044" spans="2:2" ht="24.95" customHeight="1" x14ac:dyDescent="0.2">
      <c r="B1044" s="268"/>
    </row>
    <row r="1045" spans="2:2" ht="24.95" customHeight="1" x14ac:dyDescent="0.2">
      <c r="B1045" s="268"/>
    </row>
    <row r="1046" spans="2:2" ht="24.95" customHeight="1" x14ac:dyDescent="0.2">
      <c r="B1046" s="268"/>
    </row>
    <row r="1047" spans="2:2" ht="24.95" customHeight="1" x14ac:dyDescent="0.2">
      <c r="B1047" s="268"/>
    </row>
    <row r="1048" spans="2:2" ht="24.95" customHeight="1" x14ac:dyDescent="0.2">
      <c r="B1048" s="268"/>
    </row>
    <row r="1049" spans="2:2" ht="24.95" customHeight="1" x14ac:dyDescent="0.2">
      <c r="B1049" s="268"/>
    </row>
    <row r="1050" spans="2:2" ht="24.95" customHeight="1" x14ac:dyDescent="0.2">
      <c r="B1050" s="268"/>
    </row>
    <row r="1051" spans="2:2" ht="24.95" customHeight="1" x14ac:dyDescent="0.2">
      <c r="B1051" s="268"/>
    </row>
    <row r="1052" spans="2:2" ht="24.95" customHeight="1" x14ac:dyDescent="0.2">
      <c r="B1052" s="268"/>
    </row>
    <row r="1053" spans="2:2" ht="24.95" customHeight="1" x14ac:dyDescent="0.2">
      <c r="B1053" s="268"/>
    </row>
    <row r="1054" spans="2:2" ht="24.95" customHeight="1" x14ac:dyDescent="0.2">
      <c r="B1054" s="268"/>
    </row>
    <row r="1055" spans="2:2" ht="24.95" customHeight="1" x14ac:dyDescent="0.2">
      <c r="B1055" s="268"/>
    </row>
    <row r="1056" spans="2:2" ht="24.95" customHeight="1" x14ac:dyDescent="0.2">
      <c r="B1056" s="268"/>
    </row>
    <row r="1057" spans="2:2" ht="24.95" customHeight="1" x14ac:dyDescent="0.2">
      <c r="B1057" s="268"/>
    </row>
    <row r="1058" spans="2:2" ht="24.95" customHeight="1" x14ac:dyDescent="0.2">
      <c r="B1058" s="268"/>
    </row>
    <row r="1059" spans="2:2" ht="24.95" customHeight="1" x14ac:dyDescent="0.2">
      <c r="B1059" s="268"/>
    </row>
    <row r="1060" spans="2:2" ht="24.95" customHeight="1" x14ac:dyDescent="0.2">
      <c r="B1060" s="268"/>
    </row>
    <row r="1061" spans="2:2" ht="24.95" customHeight="1" x14ac:dyDescent="0.2">
      <c r="B1061" s="268"/>
    </row>
    <row r="1062" spans="2:2" ht="24.95" customHeight="1" x14ac:dyDescent="0.2">
      <c r="B1062" s="268"/>
    </row>
    <row r="1063" spans="2:2" ht="24.95" customHeight="1" x14ac:dyDescent="0.2">
      <c r="B1063" s="268"/>
    </row>
    <row r="1064" spans="2:2" ht="24.95" customHeight="1" x14ac:dyDescent="0.2">
      <c r="B1064" s="268"/>
    </row>
    <row r="1065" spans="2:2" ht="24.95" customHeight="1" x14ac:dyDescent="0.2">
      <c r="B1065" s="268"/>
    </row>
    <row r="1066" spans="2:2" ht="24.95" customHeight="1" x14ac:dyDescent="0.2">
      <c r="B1066" s="268"/>
    </row>
    <row r="1067" spans="2:2" ht="24.95" customHeight="1" x14ac:dyDescent="0.2">
      <c r="B1067" s="268"/>
    </row>
    <row r="1068" spans="2:2" ht="24.95" customHeight="1" x14ac:dyDescent="0.2">
      <c r="B1068" s="268"/>
    </row>
    <row r="1069" spans="2:2" ht="24.95" customHeight="1" x14ac:dyDescent="0.2">
      <c r="B1069" s="268"/>
    </row>
    <row r="1070" spans="2:2" ht="24.95" customHeight="1" x14ac:dyDescent="0.2">
      <c r="B1070" s="268"/>
    </row>
    <row r="1071" spans="2:2" ht="24.95" customHeight="1" x14ac:dyDescent="0.2">
      <c r="B1071" s="268"/>
    </row>
    <row r="1072" spans="2:2" ht="24.95" customHeight="1" x14ac:dyDescent="0.2">
      <c r="B1072" s="268"/>
    </row>
    <row r="1073" spans="2:2" ht="24.95" customHeight="1" x14ac:dyDescent="0.2">
      <c r="B1073" s="268"/>
    </row>
    <row r="1074" spans="2:2" ht="24.95" customHeight="1" x14ac:dyDescent="0.2">
      <c r="B1074" s="268"/>
    </row>
    <row r="1075" spans="2:2" ht="24.95" customHeight="1" x14ac:dyDescent="0.2">
      <c r="B1075" s="268"/>
    </row>
    <row r="1076" spans="2:2" ht="24.95" customHeight="1" x14ac:dyDescent="0.2">
      <c r="B1076" s="268"/>
    </row>
    <row r="1077" spans="2:2" ht="24.95" customHeight="1" x14ac:dyDescent="0.2">
      <c r="B1077" s="268"/>
    </row>
    <row r="1078" spans="2:2" ht="24.95" customHeight="1" x14ac:dyDescent="0.2">
      <c r="B1078" s="268"/>
    </row>
    <row r="1079" spans="2:2" ht="24.95" customHeight="1" x14ac:dyDescent="0.2">
      <c r="B1079" s="268"/>
    </row>
    <row r="1080" spans="2:2" ht="24.95" customHeight="1" x14ac:dyDescent="0.2">
      <c r="B1080" s="268"/>
    </row>
    <row r="1081" spans="2:2" ht="24.95" customHeight="1" x14ac:dyDescent="0.2">
      <c r="B1081" s="268"/>
    </row>
    <row r="1082" spans="2:2" ht="24.95" customHeight="1" x14ac:dyDescent="0.2">
      <c r="B1082" s="268"/>
    </row>
    <row r="1083" spans="2:2" ht="24.95" customHeight="1" x14ac:dyDescent="0.2">
      <c r="B1083" s="268"/>
    </row>
    <row r="1084" spans="2:2" ht="24.95" customHeight="1" x14ac:dyDescent="0.2">
      <c r="B1084" s="268"/>
    </row>
    <row r="1085" spans="2:2" ht="24.95" customHeight="1" x14ac:dyDescent="0.2">
      <c r="B1085" s="268"/>
    </row>
    <row r="1086" spans="2:2" ht="24.95" customHeight="1" x14ac:dyDescent="0.2">
      <c r="B1086" s="268"/>
    </row>
    <row r="1087" spans="2:2" ht="24.95" customHeight="1" x14ac:dyDescent="0.2">
      <c r="B1087" s="268"/>
    </row>
    <row r="1088" spans="2:2" ht="24.95" customHeight="1" x14ac:dyDescent="0.2">
      <c r="B1088" s="268"/>
    </row>
    <row r="1089" spans="2:2" ht="24.95" customHeight="1" x14ac:dyDescent="0.2">
      <c r="B1089" s="268"/>
    </row>
    <row r="1090" spans="2:2" ht="24.95" customHeight="1" x14ac:dyDescent="0.2">
      <c r="B1090" s="268"/>
    </row>
    <row r="1091" spans="2:2" ht="24.95" customHeight="1" x14ac:dyDescent="0.2">
      <c r="B1091" s="268"/>
    </row>
    <row r="1092" spans="2:2" ht="24.95" customHeight="1" x14ac:dyDescent="0.2">
      <c r="B1092" s="268"/>
    </row>
    <row r="1093" spans="2:2" ht="24.95" customHeight="1" x14ac:dyDescent="0.2">
      <c r="B1093" s="268"/>
    </row>
    <row r="1094" spans="2:2" ht="24.95" customHeight="1" x14ac:dyDescent="0.2">
      <c r="B1094" s="268"/>
    </row>
    <row r="1095" spans="2:2" ht="24.95" customHeight="1" x14ac:dyDescent="0.2">
      <c r="B1095" s="268"/>
    </row>
    <row r="1096" spans="2:2" ht="24.95" customHeight="1" x14ac:dyDescent="0.2">
      <c r="B1096" s="268"/>
    </row>
    <row r="1097" spans="2:2" ht="24.95" customHeight="1" x14ac:dyDescent="0.2">
      <c r="B1097" s="268"/>
    </row>
    <row r="1098" spans="2:2" ht="24.95" customHeight="1" x14ac:dyDescent="0.2">
      <c r="B1098" s="268"/>
    </row>
    <row r="1099" spans="2:2" ht="24.95" customHeight="1" x14ac:dyDescent="0.2">
      <c r="B1099" s="268"/>
    </row>
    <row r="1100" spans="2:2" ht="24.95" customHeight="1" x14ac:dyDescent="0.2">
      <c r="B1100" s="268"/>
    </row>
    <row r="1101" spans="2:2" ht="24.95" customHeight="1" x14ac:dyDescent="0.2">
      <c r="B1101" s="268"/>
    </row>
    <row r="1102" spans="2:2" ht="24.95" customHeight="1" x14ac:dyDescent="0.2">
      <c r="B1102" s="268"/>
    </row>
    <row r="1103" spans="2:2" ht="24.95" customHeight="1" x14ac:dyDescent="0.2">
      <c r="B1103" s="268"/>
    </row>
    <row r="1104" spans="2:2" ht="24.95" customHeight="1" x14ac:dyDescent="0.2">
      <c r="B1104" s="268"/>
    </row>
    <row r="1105" spans="2:2" ht="24.95" customHeight="1" x14ac:dyDescent="0.2">
      <c r="B1105" s="268"/>
    </row>
    <row r="1106" spans="2:2" ht="24.95" customHeight="1" x14ac:dyDescent="0.2">
      <c r="B1106" s="268"/>
    </row>
    <row r="1107" spans="2:2" ht="24.95" customHeight="1" x14ac:dyDescent="0.2">
      <c r="B1107" s="268"/>
    </row>
    <row r="1108" spans="2:2" ht="24.95" customHeight="1" x14ac:dyDescent="0.2">
      <c r="B1108" s="268"/>
    </row>
    <row r="1109" spans="2:2" ht="24.95" customHeight="1" x14ac:dyDescent="0.2">
      <c r="B1109" s="268"/>
    </row>
    <row r="1110" spans="2:2" ht="24.95" customHeight="1" x14ac:dyDescent="0.2">
      <c r="B1110" s="268"/>
    </row>
    <row r="1111" spans="2:2" ht="24.95" customHeight="1" x14ac:dyDescent="0.2">
      <c r="B1111" s="268"/>
    </row>
    <row r="1112" spans="2:2" ht="24.95" customHeight="1" x14ac:dyDescent="0.2">
      <c r="B1112" s="268"/>
    </row>
    <row r="1113" spans="2:2" ht="24.95" customHeight="1" x14ac:dyDescent="0.2">
      <c r="B1113" s="268"/>
    </row>
    <row r="1114" spans="2:2" ht="24.95" customHeight="1" x14ac:dyDescent="0.2">
      <c r="B1114" s="268"/>
    </row>
    <row r="1115" spans="2:2" ht="24.95" customHeight="1" x14ac:dyDescent="0.2">
      <c r="B1115" s="268"/>
    </row>
    <row r="1116" spans="2:2" ht="24.95" customHeight="1" x14ac:dyDescent="0.2">
      <c r="B1116" s="268"/>
    </row>
    <row r="1117" spans="2:2" ht="24.95" customHeight="1" x14ac:dyDescent="0.2">
      <c r="B1117" s="268"/>
    </row>
    <row r="1118" spans="2:2" ht="24.95" customHeight="1" x14ac:dyDescent="0.2">
      <c r="B1118" s="268"/>
    </row>
    <row r="1119" spans="2:2" ht="24.95" customHeight="1" x14ac:dyDescent="0.2">
      <c r="B1119" s="268"/>
    </row>
    <row r="1120" spans="2:2" ht="24.95" customHeight="1" x14ac:dyDescent="0.2">
      <c r="B1120" s="268"/>
    </row>
    <row r="1121" spans="2:2" ht="24.95" customHeight="1" x14ac:dyDescent="0.2">
      <c r="B1121" s="268"/>
    </row>
    <row r="1122" spans="2:2" ht="24.95" customHeight="1" x14ac:dyDescent="0.2">
      <c r="B1122" s="268"/>
    </row>
    <row r="1123" spans="2:2" ht="24.95" customHeight="1" x14ac:dyDescent="0.2">
      <c r="B1123" s="268"/>
    </row>
    <row r="1124" spans="2:2" ht="24.95" customHeight="1" x14ac:dyDescent="0.2">
      <c r="B1124" s="268"/>
    </row>
    <row r="1125" spans="2:2" ht="24.95" customHeight="1" x14ac:dyDescent="0.2">
      <c r="B1125" s="268"/>
    </row>
    <row r="1126" spans="2:2" ht="24.95" customHeight="1" x14ac:dyDescent="0.2">
      <c r="B1126" s="268"/>
    </row>
    <row r="1127" spans="2:2" ht="24.95" customHeight="1" x14ac:dyDescent="0.2">
      <c r="B1127" s="268"/>
    </row>
    <row r="1128" spans="2:2" ht="24.95" customHeight="1" x14ac:dyDescent="0.2">
      <c r="B1128" s="268"/>
    </row>
    <row r="1129" spans="2:2" ht="24.95" customHeight="1" x14ac:dyDescent="0.2">
      <c r="B1129" s="268"/>
    </row>
    <row r="1130" spans="2:2" ht="24.95" customHeight="1" x14ac:dyDescent="0.2">
      <c r="B1130" s="268"/>
    </row>
    <row r="1131" spans="2:2" ht="24.95" customHeight="1" x14ac:dyDescent="0.2">
      <c r="B1131" s="268"/>
    </row>
    <row r="1132" spans="2:2" ht="24.95" customHeight="1" x14ac:dyDescent="0.2">
      <c r="B1132" s="268"/>
    </row>
    <row r="1133" spans="2:2" ht="24.95" customHeight="1" x14ac:dyDescent="0.2">
      <c r="B1133" s="268"/>
    </row>
    <row r="1134" spans="2:2" ht="24.95" customHeight="1" x14ac:dyDescent="0.2">
      <c r="B1134" s="268"/>
    </row>
    <row r="1135" spans="2:2" ht="24.95" customHeight="1" x14ac:dyDescent="0.2">
      <c r="B1135" s="268"/>
    </row>
    <row r="1136" spans="2:2" ht="24.95" customHeight="1" x14ac:dyDescent="0.2">
      <c r="B1136" s="268"/>
    </row>
    <row r="1137" spans="2:2" ht="24.95" customHeight="1" x14ac:dyDescent="0.2">
      <c r="B1137" s="268"/>
    </row>
    <row r="1138" spans="2:2" ht="24.95" customHeight="1" x14ac:dyDescent="0.2">
      <c r="B1138" s="268"/>
    </row>
    <row r="1139" spans="2:2" ht="24.95" customHeight="1" x14ac:dyDescent="0.2">
      <c r="B1139" s="268"/>
    </row>
    <row r="1140" spans="2:2" ht="24.95" customHeight="1" x14ac:dyDescent="0.2">
      <c r="B1140" s="268"/>
    </row>
    <row r="1141" spans="2:2" ht="24.95" customHeight="1" x14ac:dyDescent="0.2">
      <c r="B1141" s="268"/>
    </row>
    <row r="1142" spans="2:2" ht="24.95" customHeight="1" x14ac:dyDescent="0.2">
      <c r="B1142" s="268"/>
    </row>
    <row r="1143" spans="2:2" ht="24.95" customHeight="1" x14ac:dyDescent="0.2">
      <c r="B1143" s="268"/>
    </row>
    <row r="1144" spans="2:2" ht="24.95" customHeight="1" x14ac:dyDescent="0.2">
      <c r="B1144" s="268"/>
    </row>
    <row r="1145" spans="2:2" ht="24.95" customHeight="1" x14ac:dyDescent="0.2">
      <c r="B1145" s="268"/>
    </row>
    <row r="1146" spans="2:2" ht="24.95" customHeight="1" x14ac:dyDescent="0.2">
      <c r="B1146" s="268"/>
    </row>
    <row r="1147" spans="2:2" ht="24.95" customHeight="1" x14ac:dyDescent="0.2">
      <c r="B1147" s="268"/>
    </row>
    <row r="1148" spans="2:2" ht="24.95" customHeight="1" x14ac:dyDescent="0.2">
      <c r="B1148" s="268"/>
    </row>
    <row r="1149" spans="2:2" ht="24.95" customHeight="1" x14ac:dyDescent="0.2">
      <c r="B1149" s="268"/>
    </row>
    <row r="1150" spans="2:2" ht="24.95" customHeight="1" x14ac:dyDescent="0.2">
      <c r="B1150" s="268"/>
    </row>
    <row r="1151" spans="2:2" ht="24.95" customHeight="1" x14ac:dyDescent="0.2">
      <c r="B1151" s="268"/>
    </row>
    <row r="1152" spans="2:2" ht="24.95" customHeight="1" x14ac:dyDescent="0.2">
      <c r="B1152" s="268"/>
    </row>
    <row r="1153" spans="2:2" ht="24.95" customHeight="1" x14ac:dyDescent="0.2">
      <c r="B1153" s="268"/>
    </row>
    <row r="1154" spans="2:2" ht="24.95" customHeight="1" x14ac:dyDescent="0.2">
      <c r="B1154" s="268"/>
    </row>
    <row r="1155" spans="2:2" ht="24.95" customHeight="1" x14ac:dyDescent="0.2">
      <c r="B1155" s="268"/>
    </row>
    <row r="1156" spans="2:2" ht="24.95" customHeight="1" x14ac:dyDescent="0.2">
      <c r="B1156" s="268"/>
    </row>
    <row r="1157" spans="2:2" ht="24.95" customHeight="1" x14ac:dyDescent="0.2">
      <c r="B1157" s="268"/>
    </row>
    <row r="1158" spans="2:2" ht="24.95" customHeight="1" x14ac:dyDescent="0.2">
      <c r="B1158" s="268"/>
    </row>
    <row r="1159" spans="2:2" ht="24.95" customHeight="1" x14ac:dyDescent="0.2">
      <c r="B1159" s="268"/>
    </row>
    <row r="1160" spans="2:2" ht="24.95" customHeight="1" x14ac:dyDescent="0.2">
      <c r="B1160" s="268"/>
    </row>
    <row r="1161" spans="2:2" ht="24.95" customHeight="1" x14ac:dyDescent="0.2">
      <c r="B1161" s="268"/>
    </row>
    <row r="1162" spans="2:2" ht="24.95" customHeight="1" x14ac:dyDescent="0.2">
      <c r="B1162" s="268"/>
    </row>
    <row r="1163" spans="2:2" ht="24.95" customHeight="1" x14ac:dyDescent="0.2">
      <c r="B1163" s="268"/>
    </row>
    <row r="1164" spans="2:2" ht="24.95" customHeight="1" x14ac:dyDescent="0.2">
      <c r="B1164" s="268"/>
    </row>
    <row r="1165" spans="2:2" ht="24.95" customHeight="1" x14ac:dyDescent="0.2">
      <c r="B1165" s="268"/>
    </row>
    <row r="1166" spans="2:2" ht="24.95" customHeight="1" x14ac:dyDescent="0.2">
      <c r="B1166" s="268"/>
    </row>
    <row r="1167" spans="2:2" ht="24.95" customHeight="1" x14ac:dyDescent="0.2">
      <c r="B1167" s="268"/>
    </row>
    <row r="1168" spans="2:2" ht="24.95" customHeight="1" x14ac:dyDescent="0.2">
      <c r="B1168" s="268"/>
    </row>
    <row r="1169" spans="2:2" ht="24.95" customHeight="1" x14ac:dyDescent="0.2">
      <c r="B1169" s="268"/>
    </row>
    <row r="1170" spans="2:2" ht="24.95" customHeight="1" x14ac:dyDescent="0.2">
      <c r="B1170" s="268"/>
    </row>
    <row r="1171" spans="2:2" ht="24.95" customHeight="1" x14ac:dyDescent="0.2">
      <c r="B1171" s="268"/>
    </row>
    <row r="1172" spans="2:2" ht="24.95" customHeight="1" x14ac:dyDescent="0.2">
      <c r="B1172" s="268"/>
    </row>
    <row r="1173" spans="2:2" ht="24.95" customHeight="1" x14ac:dyDescent="0.2">
      <c r="B1173" s="268"/>
    </row>
    <row r="1174" spans="2:2" ht="24.95" customHeight="1" x14ac:dyDescent="0.2">
      <c r="B1174" s="268"/>
    </row>
    <row r="1175" spans="2:2" ht="24.95" customHeight="1" x14ac:dyDescent="0.2">
      <c r="B1175" s="268"/>
    </row>
    <row r="1176" spans="2:2" ht="24.95" customHeight="1" x14ac:dyDescent="0.2">
      <c r="B1176" s="268"/>
    </row>
    <row r="1177" spans="2:2" ht="24.95" customHeight="1" x14ac:dyDescent="0.2">
      <c r="B1177" s="268"/>
    </row>
    <row r="1178" spans="2:2" ht="24.95" customHeight="1" x14ac:dyDescent="0.2">
      <c r="B1178" s="268"/>
    </row>
    <row r="1179" spans="2:2" ht="24.95" customHeight="1" x14ac:dyDescent="0.2">
      <c r="B1179" s="268"/>
    </row>
    <row r="1180" spans="2:2" ht="24.95" customHeight="1" x14ac:dyDescent="0.2">
      <c r="B1180" s="268"/>
    </row>
    <row r="1181" spans="2:2" ht="24.95" customHeight="1" x14ac:dyDescent="0.2">
      <c r="B1181" s="268"/>
    </row>
    <row r="1182" spans="2:2" ht="24.95" customHeight="1" x14ac:dyDescent="0.2">
      <c r="B1182" s="268"/>
    </row>
    <row r="1183" spans="2:2" ht="24.95" customHeight="1" x14ac:dyDescent="0.2">
      <c r="B1183" s="268"/>
    </row>
    <row r="1184" spans="2:2" ht="24.95" customHeight="1" x14ac:dyDescent="0.2">
      <c r="B1184" s="268"/>
    </row>
    <row r="1185" spans="2:2" ht="24.95" customHeight="1" x14ac:dyDescent="0.2">
      <c r="B1185" s="268"/>
    </row>
    <row r="1186" spans="2:2" ht="24.95" customHeight="1" x14ac:dyDescent="0.2">
      <c r="B1186" s="268"/>
    </row>
    <row r="1187" spans="2:2" ht="24.95" customHeight="1" x14ac:dyDescent="0.2">
      <c r="B1187" s="268"/>
    </row>
    <row r="1188" spans="2:2" ht="24.95" customHeight="1" x14ac:dyDescent="0.2">
      <c r="B1188" s="268"/>
    </row>
    <row r="1189" spans="2:2" ht="24.95" customHeight="1" x14ac:dyDescent="0.2">
      <c r="B1189" s="268"/>
    </row>
    <row r="1190" spans="2:2" ht="24.95" customHeight="1" x14ac:dyDescent="0.2">
      <c r="B1190" s="268"/>
    </row>
    <row r="1191" spans="2:2" ht="24.95" customHeight="1" x14ac:dyDescent="0.2">
      <c r="B1191" s="268"/>
    </row>
    <row r="1192" spans="2:2" ht="24.95" customHeight="1" x14ac:dyDescent="0.2">
      <c r="B1192" s="268"/>
    </row>
    <row r="1193" spans="2:2" ht="24.95" customHeight="1" x14ac:dyDescent="0.2">
      <c r="B1193" s="268"/>
    </row>
    <row r="1194" spans="2:2" ht="24.95" customHeight="1" x14ac:dyDescent="0.2">
      <c r="B1194" s="268"/>
    </row>
    <row r="1195" spans="2:2" ht="24.95" customHeight="1" x14ac:dyDescent="0.2">
      <c r="B1195" s="268"/>
    </row>
    <row r="1196" spans="2:2" ht="24.95" customHeight="1" x14ac:dyDescent="0.2">
      <c r="B1196" s="268"/>
    </row>
    <row r="1197" spans="2:2" ht="24.95" customHeight="1" x14ac:dyDescent="0.2">
      <c r="B1197" s="268"/>
    </row>
    <row r="1198" spans="2:2" ht="24.95" customHeight="1" x14ac:dyDescent="0.2">
      <c r="B1198" s="268"/>
    </row>
    <row r="1199" spans="2:2" ht="24.95" customHeight="1" x14ac:dyDescent="0.2">
      <c r="B1199" s="268"/>
    </row>
    <row r="1200" spans="2:2" ht="24.95" customHeight="1" x14ac:dyDescent="0.2">
      <c r="B1200" s="268"/>
    </row>
    <row r="1201" spans="2:2" ht="24.95" customHeight="1" x14ac:dyDescent="0.2">
      <c r="B1201" s="268"/>
    </row>
    <row r="1202" spans="2:2" ht="24.95" customHeight="1" x14ac:dyDescent="0.2">
      <c r="B1202" s="268"/>
    </row>
    <row r="1203" spans="2:2" ht="24.95" customHeight="1" x14ac:dyDescent="0.2">
      <c r="B1203" s="268"/>
    </row>
    <row r="1204" spans="2:2" ht="24.95" customHeight="1" x14ac:dyDescent="0.2">
      <c r="B1204" s="268"/>
    </row>
    <row r="1205" spans="2:2" ht="24.95" customHeight="1" x14ac:dyDescent="0.2">
      <c r="B1205" s="268"/>
    </row>
    <row r="1206" spans="2:2" ht="24.95" customHeight="1" x14ac:dyDescent="0.2">
      <c r="B1206" s="268"/>
    </row>
    <row r="1207" spans="2:2" ht="24.95" customHeight="1" x14ac:dyDescent="0.2">
      <c r="B1207" s="268"/>
    </row>
    <row r="1208" spans="2:2" ht="24.95" customHeight="1" x14ac:dyDescent="0.2">
      <c r="B1208" s="268"/>
    </row>
    <row r="1209" spans="2:2" ht="24.95" customHeight="1" x14ac:dyDescent="0.2">
      <c r="B1209" s="268"/>
    </row>
    <row r="1210" spans="2:2" ht="24.95" customHeight="1" x14ac:dyDescent="0.2">
      <c r="B1210" s="268"/>
    </row>
    <row r="1211" spans="2:2" ht="24.95" customHeight="1" x14ac:dyDescent="0.2">
      <c r="B1211" s="268"/>
    </row>
    <row r="1212" spans="2:2" ht="24.95" customHeight="1" x14ac:dyDescent="0.2">
      <c r="B1212" s="268"/>
    </row>
    <row r="1213" spans="2:2" ht="24.95" customHeight="1" x14ac:dyDescent="0.2">
      <c r="B1213" s="268"/>
    </row>
    <row r="1214" spans="2:2" ht="24.95" customHeight="1" x14ac:dyDescent="0.2">
      <c r="B1214" s="268"/>
    </row>
    <row r="1215" spans="2:2" ht="24.95" customHeight="1" x14ac:dyDescent="0.2">
      <c r="B1215" s="268"/>
    </row>
    <row r="1216" spans="2:2" ht="24.95" customHeight="1" x14ac:dyDescent="0.2">
      <c r="B1216" s="268"/>
    </row>
    <row r="1217" spans="2:2" ht="24.95" customHeight="1" x14ac:dyDescent="0.2">
      <c r="B1217" s="268"/>
    </row>
    <row r="1218" spans="2:2" ht="24.95" customHeight="1" x14ac:dyDescent="0.2">
      <c r="B1218" s="268"/>
    </row>
    <row r="1219" spans="2:2" ht="24.95" customHeight="1" x14ac:dyDescent="0.2">
      <c r="B1219" s="268"/>
    </row>
    <row r="1220" spans="2:2" ht="24.95" customHeight="1" x14ac:dyDescent="0.2">
      <c r="B1220" s="268"/>
    </row>
    <row r="1221" spans="2:2" ht="24.95" customHeight="1" x14ac:dyDescent="0.2">
      <c r="B1221" s="268"/>
    </row>
    <row r="1222" spans="2:2" ht="24.95" customHeight="1" x14ac:dyDescent="0.2">
      <c r="B1222" s="268"/>
    </row>
    <row r="1223" spans="2:2" ht="24.95" customHeight="1" x14ac:dyDescent="0.2">
      <c r="B1223" s="268"/>
    </row>
    <row r="1224" spans="2:2" ht="24.95" customHeight="1" x14ac:dyDescent="0.2">
      <c r="B1224" s="268"/>
    </row>
    <row r="1225" spans="2:2" ht="24.95" customHeight="1" x14ac:dyDescent="0.2">
      <c r="B1225" s="268"/>
    </row>
    <row r="1226" spans="2:2" ht="24.95" customHeight="1" x14ac:dyDescent="0.2">
      <c r="B1226" s="268"/>
    </row>
    <row r="1227" spans="2:2" ht="24.95" customHeight="1" x14ac:dyDescent="0.2">
      <c r="B1227" s="268"/>
    </row>
    <row r="1228" spans="2:2" ht="24.95" customHeight="1" x14ac:dyDescent="0.2">
      <c r="B1228" s="268"/>
    </row>
    <row r="1229" spans="2:2" ht="24.95" customHeight="1" x14ac:dyDescent="0.2">
      <c r="B1229" s="268"/>
    </row>
    <row r="1230" spans="2:2" ht="24.95" customHeight="1" x14ac:dyDescent="0.2">
      <c r="B1230" s="268"/>
    </row>
    <row r="1231" spans="2:2" ht="24.95" customHeight="1" x14ac:dyDescent="0.2">
      <c r="B1231" s="268"/>
    </row>
    <row r="1232" spans="2:2" ht="24.95" customHeight="1" x14ac:dyDescent="0.2">
      <c r="B1232" s="268"/>
    </row>
    <row r="1233" spans="2:2" ht="24.95" customHeight="1" x14ac:dyDescent="0.2">
      <c r="B1233" s="268"/>
    </row>
    <row r="1234" spans="2:2" ht="24.95" customHeight="1" x14ac:dyDescent="0.2">
      <c r="B1234" s="268"/>
    </row>
    <row r="1235" spans="2:2" ht="24.95" customHeight="1" x14ac:dyDescent="0.2">
      <c r="B1235" s="268"/>
    </row>
    <row r="1236" spans="2:2" ht="24.95" customHeight="1" x14ac:dyDescent="0.2">
      <c r="B1236" s="268"/>
    </row>
    <row r="1237" spans="2:2" ht="24.95" customHeight="1" x14ac:dyDescent="0.2">
      <c r="B1237" s="268"/>
    </row>
    <row r="1238" spans="2:2" ht="24.95" customHeight="1" x14ac:dyDescent="0.2">
      <c r="B1238" s="268"/>
    </row>
    <row r="1239" spans="2:2" ht="24.95" customHeight="1" x14ac:dyDescent="0.2">
      <c r="B1239" s="268"/>
    </row>
    <row r="1240" spans="2:2" ht="24.95" customHeight="1" x14ac:dyDescent="0.2">
      <c r="B1240" s="268"/>
    </row>
    <row r="1241" spans="2:2" ht="24.95" customHeight="1" x14ac:dyDescent="0.2">
      <c r="B1241" s="268"/>
    </row>
    <row r="1242" spans="2:2" ht="24.95" customHeight="1" x14ac:dyDescent="0.2">
      <c r="B1242" s="268"/>
    </row>
    <row r="1243" spans="2:2" ht="24.95" customHeight="1" x14ac:dyDescent="0.2">
      <c r="B1243" s="268"/>
    </row>
    <row r="1244" spans="2:2" ht="24.95" customHeight="1" x14ac:dyDescent="0.2">
      <c r="B1244" s="268"/>
    </row>
    <row r="1245" spans="2:2" ht="24.95" customHeight="1" x14ac:dyDescent="0.2">
      <c r="B1245" s="268"/>
    </row>
    <row r="1246" spans="2:2" ht="24.95" customHeight="1" x14ac:dyDescent="0.2">
      <c r="B1246" s="268"/>
    </row>
    <row r="1247" spans="2:2" ht="24.95" customHeight="1" x14ac:dyDescent="0.2">
      <c r="B1247" s="268"/>
    </row>
    <row r="1248" spans="2:2" ht="24.95" customHeight="1" x14ac:dyDescent="0.2">
      <c r="B1248" s="268"/>
    </row>
    <row r="1249" spans="2:2" ht="24.95" customHeight="1" x14ac:dyDescent="0.2">
      <c r="B1249" s="268"/>
    </row>
    <row r="1250" spans="2:2" ht="24.95" customHeight="1" x14ac:dyDescent="0.2">
      <c r="B1250" s="268"/>
    </row>
    <row r="1251" spans="2:2" ht="24.95" customHeight="1" x14ac:dyDescent="0.2">
      <c r="B1251" s="268"/>
    </row>
    <row r="1252" spans="2:2" ht="24.95" customHeight="1" x14ac:dyDescent="0.2">
      <c r="B1252" s="268"/>
    </row>
    <row r="1253" spans="2:2" ht="24.95" customHeight="1" x14ac:dyDescent="0.2">
      <c r="B1253" s="268"/>
    </row>
    <row r="1254" spans="2:2" ht="24.95" customHeight="1" x14ac:dyDescent="0.2">
      <c r="B1254" s="268"/>
    </row>
    <row r="1255" spans="2:2" ht="24.95" customHeight="1" x14ac:dyDescent="0.2">
      <c r="B1255" s="268"/>
    </row>
    <row r="1256" spans="2:2" ht="24.95" customHeight="1" x14ac:dyDescent="0.2">
      <c r="B1256" s="268"/>
    </row>
    <row r="1257" spans="2:2" ht="24.95" customHeight="1" x14ac:dyDescent="0.2">
      <c r="B1257" s="268"/>
    </row>
    <row r="1258" spans="2:2" ht="24.95" customHeight="1" x14ac:dyDescent="0.2">
      <c r="B1258" s="268"/>
    </row>
    <row r="1259" spans="2:2" ht="24.95" customHeight="1" x14ac:dyDescent="0.2">
      <c r="B1259" s="268"/>
    </row>
    <row r="1260" spans="2:2" ht="24.95" customHeight="1" x14ac:dyDescent="0.2">
      <c r="B1260" s="268"/>
    </row>
    <row r="1261" spans="2:2" ht="24.95" customHeight="1" x14ac:dyDescent="0.2">
      <c r="B1261" s="268"/>
    </row>
    <row r="1262" spans="2:2" ht="24.95" customHeight="1" x14ac:dyDescent="0.2">
      <c r="B1262" s="268"/>
    </row>
    <row r="1263" spans="2:2" ht="24.95" customHeight="1" x14ac:dyDescent="0.2">
      <c r="B1263" s="268"/>
    </row>
    <row r="1264" spans="2:2" ht="24.95" customHeight="1" x14ac:dyDescent="0.2">
      <c r="B1264" s="268"/>
    </row>
    <row r="1265" spans="2:2" ht="24.95" customHeight="1" x14ac:dyDescent="0.2">
      <c r="B1265" s="268"/>
    </row>
    <row r="1266" spans="2:2" ht="24.95" customHeight="1" x14ac:dyDescent="0.2">
      <c r="B1266" s="268"/>
    </row>
    <row r="1267" spans="2:2" ht="24.95" customHeight="1" x14ac:dyDescent="0.2">
      <c r="B1267" s="268"/>
    </row>
    <row r="1268" spans="2:2" ht="24.95" customHeight="1" x14ac:dyDescent="0.2">
      <c r="B1268" s="268"/>
    </row>
    <row r="1269" spans="2:2" ht="24.95" customHeight="1" x14ac:dyDescent="0.2">
      <c r="B1269" s="268"/>
    </row>
    <row r="1270" spans="2:2" ht="24.95" customHeight="1" x14ac:dyDescent="0.2">
      <c r="B1270" s="268"/>
    </row>
    <row r="1271" spans="2:2" ht="24.95" customHeight="1" x14ac:dyDescent="0.2">
      <c r="B1271" s="268"/>
    </row>
    <row r="1272" spans="2:2" ht="24.95" customHeight="1" x14ac:dyDescent="0.2">
      <c r="B1272" s="268"/>
    </row>
    <row r="1273" spans="2:2" ht="24.95" customHeight="1" x14ac:dyDescent="0.2">
      <c r="B1273" s="268"/>
    </row>
    <row r="1274" spans="2:2" ht="24.95" customHeight="1" x14ac:dyDescent="0.2">
      <c r="B1274" s="268"/>
    </row>
    <row r="1275" spans="2:2" ht="24.95" customHeight="1" x14ac:dyDescent="0.2">
      <c r="B1275" s="268"/>
    </row>
    <row r="1276" spans="2:2" ht="24.95" customHeight="1" x14ac:dyDescent="0.2">
      <c r="B1276" s="268"/>
    </row>
    <row r="1277" spans="2:2" ht="24.95" customHeight="1" x14ac:dyDescent="0.2">
      <c r="B1277" s="268"/>
    </row>
    <row r="1278" spans="2:2" ht="24.95" customHeight="1" x14ac:dyDescent="0.2">
      <c r="B1278" s="268"/>
    </row>
    <row r="1279" spans="2:2" ht="24.95" customHeight="1" x14ac:dyDescent="0.2">
      <c r="B1279" s="268"/>
    </row>
    <row r="1280" spans="2:2" ht="24.95" customHeight="1" x14ac:dyDescent="0.2">
      <c r="B1280" s="268"/>
    </row>
    <row r="1281" spans="2:2" ht="24.95" customHeight="1" x14ac:dyDescent="0.2">
      <c r="B1281" s="268"/>
    </row>
    <row r="1282" spans="2:2" ht="24.95" customHeight="1" x14ac:dyDescent="0.2">
      <c r="B1282" s="268"/>
    </row>
    <row r="1283" spans="2:2" ht="24.95" customHeight="1" x14ac:dyDescent="0.2">
      <c r="B1283" s="268"/>
    </row>
    <row r="1284" spans="2:2" ht="24.95" customHeight="1" x14ac:dyDescent="0.2">
      <c r="B1284" s="268"/>
    </row>
    <row r="1285" spans="2:2" ht="24.95" customHeight="1" x14ac:dyDescent="0.2">
      <c r="B1285" s="268"/>
    </row>
    <row r="1286" spans="2:2" ht="24.95" customHeight="1" x14ac:dyDescent="0.2">
      <c r="B1286" s="268"/>
    </row>
    <row r="1287" spans="2:2" ht="24.95" customHeight="1" x14ac:dyDescent="0.2">
      <c r="B1287" s="268"/>
    </row>
    <row r="1288" spans="2:2" ht="24.95" customHeight="1" x14ac:dyDescent="0.2">
      <c r="B1288" s="268"/>
    </row>
    <row r="1289" spans="2:2" ht="24.95" customHeight="1" x14ac:dyDescent="0.2">
      <c r="B1289" s="268"/>
    </row>
    <row r="1290" spans="2:2" ht="24.95" customHeight="1" x14ac:dyDescent="0.2">
      <c r="B1290" s="268"/>
    </row>
    <row r="1291" spans="2:2" ht="24.95" customHeight="1" x14ac:dyDescent="0.2">
      <c r="B1291" s="268"/>
    </row>
    <row r="1292" spans="2:2" ht="24.95" customHeight="1" x14ac:dyDescent="0.2">
      <c r="B1292" s="268"/>
    </row>
    <row r="1293" spans="2:2" ht="24.95" customHeight="1" x14ac:dyDescent="0.2">
      <c r="B1293" s="268"/>
    </row>
    <row r="1294" spans="2:2" ht="24.95" customHeight="1" x14ac:dyDescent="0.2">
      <c r="B1294" s="268"/>
    </row>
    <row r="1295" spans="2:2" ht="24.95" customHeight="1" x14ac:dyDescent="0.2">
      <c r="B1295" s="268"/>
    </row>
    <row r="1296" spans="2:2" ht="24.95" customHeight="1" x14ac:dyDescent="0.2">
      <c r="B1296" s="268"/>
    </row>
    <row r="1297" spans="2:2" ht="24.95" customHeight="1" x14ac:dyDescent="0.2">
      <c r="B1297" s="268"/>
    </row>
    <row r="1298" spans="2:2" ht="24.95" customHeight="1" x14ac:dyDescent="0.2">
      <c r="B1298" s="268"/>
    </row>
    <row r="1299" spans="2:2" ht="24.95" customHeight="1" x14ac:dyDescent="0.2">
      <c r="B1299" s="268"/>
    </row>
    <row r="1300" spans="2:2" ht="24.95" customHeight="1" x14ac:dyDescent="0.2">
      <c r="B1300" s="268"/>
    </row>
    <row r="1301" spans="2:2" ht="24.95" customHeight="1" x14ac:dyDescent="0.2">
      <c r="B1301" s="268"/>
    </row>
    <row r="1302" spans="2:2" ht="24.95" customHeight="1" x14ac:dyDescent="0.2">
      <c r="B1302" s="268"/>
    </row>
    <row r="1303" spans="2:2" ht="24.95" customHeight="1" x14ac:dyDescent="0.2">
      <c r="B1303" s="268"/>
    </row>
    <row r="1304" spans="2:2" ht="24.95" customHeight="1" x14ac:dyDescent="0.2">
      <c r="B1304" s="268"/>
    </row>
    <row r="1305" spans="2:2" ht="24.95" customHeight="1" x14ac:dyDescent="0.2">
      <c r="B1305" s="268"/>
    </row>
    <row r="1306" spans="2:2" ht="24.95" customHeight="1" x14ac:dyDescent="0.2">
      <c r="B1306" s="268"/>
    </row>
    <row r="1307" spans="2:2" ht="24.95" customHeight="1" x14ac:dyDescent="0.2">
      <c r="B1307" s="268"/>
    </row>
    <row r="1308" spans="2:2" ht="24.95" customHeight="1" x14ac:dyDescent="0.2">
      <c r="B1308" s="268"/>
    </row>
    <row r="1309" spans="2:2" ht="24.95" customHeight="1" x14ac:dyDescent="0.2">
      <c r="B1309" s="268"/>
    </row>
    <row r="1310" spans="2:2" ht="24.95" customHeight="1" x14ac:dyDescent="0.2">
      <c r="B1310" s="268"/>
    </row>
    <row r="1311" spans="2:2" ht="24.95" customHeight="1" x14ac:dyDescent="0.2">
      <c r="B1311" s="268"/>
    </row>
    <row r="1312" spans="2:2" ht="24.95" customHeight="1" x14ac:dyDescent="0.2">
      <c r="B1312" s="268"/>
    </row>
    <row r="1313" spans="2:2" ht="24.95" customHeight="1" x14ac:dyDescent="0.2">
      <c r="B1313" s="268"/>
    </row>
    <row r="1314" spans="2:2" ht="24.95" customHeight="1" x14ac:dyDescent="0.2">
      <c r="B1314" s="268"/>
    </row>
    <row r="1315" spans="2:2" ht="24.95" customHeight="1" x14ac:dyDescent="0.2">
      <c r="B1315" s="268"/>
    </row>
    <row r="1316" spans="2:2" ht="24.95" customHeight="1" x14ac:dyDescent="0.2">
      <c r="B1316" s="268"/>
    </row>
    <row r="1317" spans="2:2" ht="24.95" customHeight="1" x14ac:dyDescent="0.2">
      <c r="B1317" s="268"/>
    </row>
    <row r="1318" spans="2:2" ht="24.95" customHeight="1" x14ac:dyDescent="0.2">
      <c r="B1318" s="268"/>
    </row>
    <row r="1319" spans="2:2" ht="24.95" customHeight="1" x14ac:dyDescent="0.2">
      <c r="B1319" s="268"/>
    </row>
    <row r="1320" spans="2:2" ht="24.95" customHeight="1" x14ac:dyDescent="0.2">
      <c r="B1320" s="268"/>
    </row>
    <row r="1321" spans="2:2" ht="24.95" customHeight="1" x14ac:dyDescent="0.2">
      <c r="B1321" s="268"/>
    </row>
    <row r="1322" spans="2:2" ht="24.95" customHeight="1" x14ac:dyDescent="0.2">
      <c r="B1322" s="268"/>
    </row>
    <row r="1323" spans="2:2" ht="24.95" customHeight="1" x14ac:dyDescent="0.2">
      <c r="B1323" s="268"/>
    </row>
    <row r="1324" spans="2:2" ht="24.95" customHeight="1" x14ac:dyDescent="0.2">
      <c r="B1324" s="268"/>
    </row>
    <row r="1325" spans="2:2" ht="24.95" customHeight="1" x14ac:dyDescent="0.2">
      <c r="B1325" s="268"/>
    </row>
    <row r="1326" spans="2:2" ht="24.95" customHeight="1" x14ac:dyDescent="0.2">
      <c r="B1326" s="268"/>
    </row>
    <row r="1327" spans="2:2" ht="24.95" customHeight="1" x14ac:dyDescent="0.2">
      <c r="B1327" s="268"/>
    </row>
    <row r="1328" spans="2:2" ht="24.95" customHeight="1" x14ac:dyDescent="0.2">
      <c r="B1328" s="268"/>
    </row>
    <row r="1329" spans="2:2" ht="24.95" customHeight="1" x14ac:dyDescent="0.2">
      <c r="B1329" s="268"/>
    </row>
    <row r="1330" spans="2:2" ht="24.95" customHeight="1" x14ac:dyDescent="0.2">
      <c r="B1330" s="268"/>
    </row>
    <row r="1331" spans="2:2" ht="24.95" customHeight="1" x14ac:dyDescent="0.2">
      <c r="B1331" s="268"/>
    </row>
    <row r="1332" spans="2:2" ht="24.95" customHeight="1" x14ac:dyDescent="0.2">
      <c r="B1332" s="268"/>
    </row>
    <row r="1333" spans="2:2" ht="24.95" customHeight="1" x14ac:dyDescent="0.2">
      <c r="B1333" s="268"/>
    </row>
    <row r="1334" spans="2:2" ht="24.95" customHeight="1" x14ac:dyDescent="0.2">
      <c r="B1334" s="268"/>
    </row>
    <row r="1335" spans="2:2" ht="24.95" customHeight="1" x14ac:dyDescent="0.2">
      <c r="B1335" s="268"/>
    </row>
    <row r="1336" spans="2:2" ht="24.95" customHeight="1" x14ac:dyDescent="0.2">
      <c r="B1336" s="268"/>
    </row>
    <row r="1337" spans="2:2" ht="24.95" customHeight="1" x14ac:dyDescent="0.2">
      <c r="B1337" s="268"/>
    </row>
    <row r="1338" spans="2:2" ht="24.95" customHeight="1" x14ac:dyDescent="0.2">
      <c r="B1338" s="268"/>
    </row>
    <row r="1339" spans="2:2" ht="24.95" customHeight="1" x14ac:dyDescent="0.2">
      <c r="B1339" s="268"/>
    </row>
    <row r="1340" spans="2:2" ht="24.95" customHeight="1" x14ac:dyDescent="0.2">
      <c r="B1340" s="268"/>
    </row>
    <row r="1341" spans="2:2" ht="24.95" customHeight="1" x14ac:dyDescent="0.2">
      <c r="B1341" s="268"/>
    </row>
    <row r="1342" spans="2:2" ht="24.95" customHeight="1" x14ac:dyDescent="0.2">
      <c r="B1342" s="268"/>
    </row>
    <row r="1343" spans="2:2" ht="24.95" customHeight="1" x14ac:dyDescent="0.2">
      <c r="B1343" s="268"/>
    </row>
    <row r="1344" spans="2:2" ht="24.95" customHeight="1" x14ac:dyDescent="0.2">
      <c r="B1344" s="268"/>
    </row>
    <row r="1345" spans="2:2" ht="24.95" customHeight="1" x14ac:dyDescent="0.2">
      <c r="B1345" s="268"/>
    </row>
    <row r="1346" spans="2:2" ht="24.95" customHeight="1" x14ac:dyDescent="0.2">
      <c r="B1346" s="268"/>
    </row>
    <row r="1347" spans="2:2" ht="24.95" customHeight="1" x14ac:dyDescent="0.2">
      <c r="B1347" s="268"/>
    </row>
    <row r="1348" spans="2:2" ht="24.95" customHeight="1" x14ac:dyDescent="0.2">
      <c r="B1348" s="268"/>
    </row>
    <row r="1349" spans="2:2" ht="24.95" customHeight="1" x14ac:dyDescent="0.2">
      <c r="B1349" s="268"/>
    </row>
    <row r="1350" spans="2:2" ht="24.95" customHeight="1" x14ac:dyDescent="0.2">
      <c r="B1350" s="268"/>
    </row>
    <row r="1351" spans="2:2" ht="24.95" customHeight="1" x14ac:dyDescent="0.2">
      <c r="B1351" s="268"/>
    </row>
    <row r="1352" spans="2:2" ht="24.95" customHeight="1" x14ac:dyDescent="0.2">
      <c r="B1352" s="268"/>
    </row>
    <row r="1353" spans="2:2" ht="24.95" customHeight="1" x14ac:dyDescent="0.2">
      <c r="B1353" s="268"/>
    </row>
    <row r="1354" spans="2:2" ht="24.95" customHeight="1" x14ac:dyDescent="0.2">
      <c r="B1354" s="268"/>
    </row>
    <row r="1355" spans="2:2" ht="24.95" customHeight="1" x14ac:dyDescent="0.2">
      <c r="B1355" s="268"/>
    </row>
    <row r="1356" spans="2:2" ht="24.95" customHeight="1" x14ac:dyDescent="0.2">
      <c r="B1356" s="268"/>
    </row>
    <row r="1357" spans="2:2" ht="24.95" customHeight="1" x14ac:dyDescent="0.2">
      <c r="B1357" s="268"/>
    </row>
    <row r="1358" spans="2:2" ht="24.95" customHeight="1" x14ac:dyDescent="0.2">
      <c r="B1358" s="268"/>
    </row>
    <row r="1359" spans="2:2" ht="24.95" customHeight="1" x14ac:dyDescent="0.2">
      <c r="B1359" s="268"/>
    </row>
    <row r="1360" spans="2:2" ht="24.95" customHeight="1" x14ac:dyDescent="0.2">
      <c r="B1360" s="268"/>
    </row>
    <row r="1361" spans="2:2" ht="24.95" customHeight="1" x14ac:dyDescent="0.2">
      <c r="B1361" s="268"/>
    </row>
    <row r="1362" spans="2:2" ht="24.95" customHeight="1" x14ac:dyDescent="0.2">
      <c r="B1362" s="268"/>
    </row>
    <row r="1363" spans="2:2" ht="24.95" customHeight="1" x14ac:dyDescent="0.2">
      <c r="B1363" s="268"/>
    </row>
    <row r="1364" spans="2:2" ht="24.95" customHeight="1" x14ac:dyDescent="0.2">
      <c r="B1364" s="268"/>
    </row>
    <row r="1365" spans="2:2" ht="24.95" customHeight="1" x14ac:dyDescent="0.2">
      <c r="B1365" s="268"/>
    </row>
    <row r="1366" spans="2:2" ht="24.95" customHeight="1" x14ac:dyDescent="0.2">
      <c r="B1366" s="268"/>
    </row>
    <row r="1367" spans="2:2" ht="24.95" customHeight="1" x14ac:dyDescent="0.2">
      <c r="B1367" s="268"/>
    </row>
    <row r="1368" spans="2:2" ht="24.95" customHeight="1" x14ac:dyDescent="0.2">
      <c r="B1368" s="268"/>
    </row>
    <row r="1369" spans="2:2" ht="24.95" customHeight="1" x14ac:dyDescent="0.2">
      <c r="B1369" s="268"/>
    </row>
    <row r="1370" spans="2:2" ht="24.95" customHeight="1" x14ac:dyDescent="0.2">
      <c r="B1370" s="268"/>
    </row>
    <row r="1371" spans="2:2" ht="24.95" customHeight="1" x14ac:dyDescent="0.2">
      <c r="B1371" s="268"/>
    </row>
    <row r="1372" spans="2:2" ht="24.95" customHeight="1" x14ac:dyDescent="0.2">
      <c r="B1372" s="268"/>
    </row>
    <row r="1373" spans="2:2" ht="24.95" customHeight="1" x14ac:dyDescent="0.2">
      <c r="B1373" s="268"/>
    </row>
    <row r="1374" spans="2:2" ht="24.95" customHeight="1" x14ac:dyDescent="0.2">
      <c r="B1374" s="268"/>
    </row>
    <row r="1375" spans="2:2" ht="24.95" customHeight="1" x14ac:dyDescent="0.2">
      <c r="B1375" s="268"/>
    </row>
    <row r="1376" spans="2:2" ht="24.95" customHeight="1" x14ac:dyDescent="0.2">
      <c r="B1376" s="268"/>
    </row>
    <row r="1377" spans="2:2" ht="24.95" customHeight="1" x14ac:dyDescent="0.2">
      <c r="B1377" s="268"/>
    </row>
    <row r="1378" spans="2:2" ht="24.95" customHeight="1" x14ac:dyDescent="0.2">
      <c r="B1378" s="268"/>
    </row>
    <row r="1379" spans="2:2" ht="24.95" customHeight="1" x14ac:dyDescent="0.2">
      <c r="B1379" s="268"/>
    </row>
    <row r="1380" spans="2:2" ht="24.95" customHeight="1" x14ac:dyDescent="0.2">
      <c r="B1380" s="268"/>
    </row>
    <row r="1381" spans="2:2" ht="24.95" customHeight="1" x14ac:dyDescent="0.2">
      <c r="B1381" s="268"/>
    </row>
    <row r="1382" spans="2:2" ht="24.95" customHeight="1" x14ac:dyDescent="0.2">
      <c r="B1382" s="268"/>
    </row>
    <row r="1383" spans="2:2" ht="24.95" customHeight="1" x14ac:dyDescent="0.2">
      <c r="B1383" s="268"/>
    </row>
    <row r="1384" spans="2:2" ht="24.95" customHeight="1" x14ac:dyDescent="0.2">
      <c r="B1384" s="268"/>
    </row>
    <row r="1385" spans="2:2" ht="24.95" customHeight="1" x14ac:dyDescent="0.2">
      <c r="B1385" s="268"/>
    </row>
    <row r="1386" spans="2:2" ht="24.95" customHeight="1" x14ac:dyDescent="0.2">
      <c r="B1386" s="268"/>
    </row>
    <row r="1387" spans="2:2" ht="24.95" customHeight="1" x14ac:dyDescent="0.2">
      <c r="B1387" s="268"/>
    </row>
    <row r="1388" spans="2:2" ht="24.95" customHeight="1" x14ac:dyDescent="0.2">
      <c r="B1388" s="268"/>
    </row>
    <row r="1389" spans="2:2" ht="24.95" customHeight="1" x14ac:dyDescent="0.2">
      <c r="B1389" s="268"/>
    </row>
    <row r="1390" spans="2:2" ht="24.95" customHeight="1" x14ac:dyDescent="0.2">
      <c r="B1390" s="268"/>
    </row>
    <row r="1391" spans="2:2" ht="24.95" customHeight="1" x14ac:dyDescent="0.2">
      <c r="B1391" s="268"/>
    </row>
    <row r="1392" spans="2:2" ht="24.95" customHeight="1" x14ac:dyDescent="0.2">
      <c r="B1392" s="268"/>
    </row>
    <row r="1393" spans="2:2" ht="24.95" customHeight="1" x14ac:dyDescent="0.2">
      <c r="B1393" s="268"/>
    </row>
    <row r="1394" spans="2:2" ht="24.95" customHeight="1" x14ac:dyDescent="0.2">
      <c r="B1394" s="268"/>
    </row>
    <row r="1395" spans="2:2" ht="24.95" customHeight="1" x14ac:dyDescent="0.2">
      <c r="B1395" s="268"/>
    </row>
    <row r="1396" spans="2:2" ht="24.95" customHeight="1" x14ac:dyDescent="0.2">
      <c r="B1396" s="268"/>
    </row>
    <row r="1397" spans="2:2" ht="24.95" customHeight="1" x14ac:dyDescent="0.2">
      <c r="B1397" s="268"/>
    </row>
    <row r="1398" spans="2:2" ht="24.95" customHeight="1" x14ac:dyDescent="0.2">
      <c r="B1398" s="268"/>
    </row>
    <row r="1399" spans="2:2" ht="24.95" customHeight="1" x14ac:dyDescent="0.2">
      <c r="B1399" s="268"/>
    </row>
    <row r="1400" spans="2:2" ht="24.95" customHeight="1" x14ac:dyDescent="0.2">
      <c r="B1400" s="268"/>
    </row>
    <row r="1401" spans="2:2" ht="24.95" customHeight="1" x14ac:dyDescent="0.2">
      <c r="B1401" s="268"/>
    </row>
    <row r="1402" spans="2:2" ht="24.95" customHeight="1" x14ac:dyDescent="0.2">
      <c r="B1402" s="268"/>
    </row>
    <row r="1403" spans="2:2" ht="24.95" customHeight="1" x14ac:dyDescent="0.2">
      <c r="B1403" s="268"/>
    </row>
    <row r="1404" spans="2:2" ht="24.95" customHeight="1" x14ac:dyDescent="0.2">
      <c r="B1404" s="268"/>
    </row>
    <row r="1405" spans="2:2" ht="24.95" customHeight="1" x14ac:dyDescent="0.2">
      <c r="B1405" s="268"/>
    </row>
    <row r="1406" spans="2:2" ht="24.95" customHeight="1" x14ac:dyDescent="0.2">
      <c r="B1406" s="268"/>
    </row>
    <row r="1407" spans="2:2" ht="24.95" customHeight="1" x14ac:dyDescent="0.2">
      <c r="B1407" s="268"/>
    </row>
    <row r="1408" spans="2:2" ht="24.95" customHeight="1" x14ac:dyDescent="0.2">
      <c r="B1408" s="268"/>
    </row>
    <row r="1409" spans="2:2" ht="24.95" customHeight="1" x14ac:dyDescent="0.2">
      <c r="B1409" s="268"/>
    </row>
    <row r="1410" spans="2:2" ht="24.95" customHeight="1" x14ac:dyDescent="0.2">
      <c r="B1410" s="268"/>
    </row>
    <row r="1411" spans="2:2" ht="24.95" customHeight="1" x14ac:dyDescent="0.2">
      <c r="B1411" s="268"/>
    </row>
    <row r="1412" spans="2:2" ht="24.95" customHeight="1" x14ac:dyDescent="0.2">
      <c r="B1412" s="268"/>
    </row>
    <row r="1413" spans="2:2" ht="24.95" customHeight="1" x14ac:dyDescent="0.2">
      <c r="B1413" s="268"/>
    </row>
    <row r="1414" spans="2:2" ht="24.95" customHeight="1" x14ac:dyDescent="0.2">
      <c r="B1414" s="268"/>
    </row>
    <row r="1415" spans="2:2" ht="24.95" customHeight="1" x14ac:dyDescent="0.2">
      <c r="B1415" s="268"/>
    </row>
    <row r="1416" spans="2:2" ht="24.95" customHeight="1" x14ac:dyDescent="0.2">
      <c r="B1416" s="268"/>
    </row>
    <row r="1417" spans="2:2" ht="24.95" customHeight="1" x14ac:dyDescent="0.2">
      <c r="B1417" s="268"/>
    </row>
    <row r="1418" spans="2:2" ht="24.95" customHeight="1" x14ac:dyDescent="0.2">
      <c r="B1418" s="268"/>
    </row>
    <row r="1419" spans="2:2" ht="24.95" customHeight="1" x14ac:dyDescent="0.2">
      <c r="B1419" s="268"/>
    </row>
    <row r="1420" spans="2:2" ht="24.95" customHeight="1" x14ac:dyDescent="0.2">
      <c r="B1420" s="268"/>
    </row>
    <row r="1421" spans="2:2" ht="24.95" customHeight="1" x14ac:dyDescent="0.2">
      <c r="B1421" s="268"/>
    </row>
    <row r="1422" spans="2:2" ht="24.95" customHeight="1" x14ac:dyDescent="0.2">
      <c r="B1422" s="268"/>
    </row>
    <row r="1423" spans="2:2" ht="24.95" customHeight="1" x14ac:dyDescent="0.2">
      <c r="B1423" s="268"/>
    </row>
    <row r="1424" spans="2:2" ht="24.95" customHeight="1" x14ac:dyDescent="0.2">
      <c r="B1424" s="268"/>
    </row>
    <row r="1425" spans="2:2" ht="24.95" customHeight="1" x14ac:dyDescent="0.2">
      <c r="B1425" s="268"/>
    </row>
    <row r="1426" spans="2:2" ht="24.95" customHeight="1" x14ac:dyDescent="0.2">
      <c r="B1426" s="268"/>
    </row>
    <row r="1427" spans="2:2" ht="24.95" customHeight="1" x14ac:dyDescent="0.2">
      <c r="B1427" s="268"/>
    </row>
    <row r="1428" spans="2:2" ht="24.95" customHeight="1" x14ac:dyDescent="0.2">
      <c r="B1428" s="268"/>
    </row>
    <row r="1429" spans="2:2" ht="24.95" customHeight="1" x14ac:dyDescent="0.2">
      <c r="B1429" s="268"/>
    </row>
    <row r="1430" spans="2:2" ht="24.95" customHeight="1" x14ac:dyDescent="0.2">
      <c r="B1430" s="268"/>
    </row>
    <row r="1431" spans="2:2" ht="24.95" customHeight="1" x14ac:dyDescent="0.2">
      <c r="B1431" s="268"/>
    </row>
    <row r="1432" spans="2:2" ht="24.95" customHeight="1" x14ac:dyDescent="0.2">
      <c r="B1432" s="268"/>
    </row>
    <row r="1433" spans="2:2" ht="24.95" customHeight="1" x14ac:dyDescent="0.2">
      <c r="B1433" s="268"/>
    </row>
    <row r="1434" spans="2:2" ht="24.95" customHeight="1" x14ac:dyDescent="0.2">
      <c r="B1434" s="268"/>
    </row>
    <row r="1435" spans="2:2" ht="24.95" customHeight="1" x14ac:dyDescent="0.2">
      <c r="B1435" s="268"/>
    </row>
    <row r="1436" spans="2:2" ht="24.95" customHeight="1" x14ac:dyDescent="0.2">
      <c r="B1436" s="268"/>
    </row>
    <row r="1437" spans="2:2" ht="24.95" customHeight="1" x14ac:dyDescent="0.2">
      <c r="B1437" s="268"/>
    </row>
    <row r="1438" spans="2:2" ht="24.95" customHeight="1" x14ac:dyDescent="0.2">
      <c r="B1438" s="268"/>
    </row>
    <row r="1439" spans="2:2" ht="24.95" customHeight="1" x14ac:dyDescent="0.2">
      <c r="B1439" s="268"/>
    </row>
    <row r="1440" spans="2:2" ht="24.95" customHeight="1" x14ac:dyDescent="0.2">
      <c r="B1440" s="268"/>
    </row>
    <row r="1441" spans="2:2" ht="24.95" customHeight="1" x14ac:dyDescent="0.2">
      <c r="B1441" s="268"/>
    </row>
    <row r="1442" spans="2:2" ht="24.95" customHeight="1" x14ac:dyDescent="0.2">
      <c r="B1442" s="268"/>
    </row>
    <row r="1443" spans="2:2" ht="24.95" customHeight="1" x14ac:dyDescent="0.2">
      <c r="B1443" s="268"/>
    </row>
    <row r="1444" spans="2:2" ht="24.95" customHeight="1" x14ac:dyDescent="0.2">
      <c r="B1444" s="268"/>
    </row>
    <row r="1445" spans="2:2" ht="24.95" customHeight="1" x14ac:dyDescent="0.2">
      <c r="B1445" s="268"/>
    </row>
    <row r="1446" spans="2:2" ht="24.95" customHeight="1" x14ac:dyDescent="0.2">
      <c r="B1446" s="268"/>
    </row>
    <row r="1447" spans="2:2" ht="24.95" customHeight="1" x14ac:dyDescent="0.2">
      <c r="B1447" s="268"/>
    </row>
    <row r="1448" spans="2:2" ht="24.95" customHeight="1" x14ac:dyDescent="0.2">
      <c r="B1448" s="268"/>
    </row>
    <row r="1449" spans="2:2" ht="24.95" customHeight="1" x14ac:dyDescent="0.2">
      <c r="B1449" s="268"/>
    </row>
    <row r="1450" spans="2:2" ht="24.95" customHeight="1" x14ac:dyDescent="0.2">
      <c r="B1450" s="268"/>
    </row>
    <row r="1451" spans="2:2" ht="24.95" customHeight="1" x14ac:dyDescent="0.2">
      <c r="B1451" s="268"/>
    </row>
    <row r="1452" spans="2:2" ht="24.95" customHeight="1" x14ac:dyDescent="0.2">
      <c r="B1452" s="268"/>
    </row>
    <row r="1453" spans="2:2" ht="24.95" customHeight="1" x14ac:dyDescent="0.2">
      <c r="B1453" s="268"/>
    </row>
    <row r="1454" spans="2:2" ht="24.95" customHeight="1" x14ac:dyDescent="0.2">
      <c r="B1454" s="268"/>
    </row>
    <row r="1455" spans="2:2" ht="24.95" customHeight="1" x14ac:dyDescent="0.2">
      <c r="B1455" s="268"/>
    </row>
    <row r="1456" spans="2:2" ht="24.95" customHeight="1" x14ac:dyDescent="0.2">
      <c r="B1456" s="268"/>
    </row>
    <row r="1457" spans="2:2" ht="24.95" customHeight="1" x14ac:dyDescent="0.2">
      <c r="B1457" s="268"/>
    </row>
    <row r="1458" spans="2:2" ht="24.95" customHeight="1" x14ac:dyDescent="0.2">
      <c r="B1458" s="268"/>
    </row>
    <row r="1459" spans="2:2" ht="24.95" customHeight="1" x14ac:dyDescent="0.2">
      <c r="B1459" s="268"/>
    </row>
    <row r="1460" spans="2:2" ht="24.95" customHeight="1" x14ac:dyDescent="0.2">
      <c r="B1460" s="268"/>
    </row>
    <row r="1461" spans="2:2" ht="24.95" customHeight="1" x14ac:dyDescent="0.2">
      <c r="B1461" s="268"/>
    </row>
    <row r="1462" spans="2:2" ht="24.95" customHeight="1" x14ac:dyDescent="0.2">
      <c r="B1462" s="268"/>
    </row>
    <row r="1463" spans="2:2" ht="24.95" customHeight="1" x14ac:dyDescent="0.2">
      <c r="B1463" s="268"/>
    </row>
    <row r="1464" spans="2:2" ht="24.95" customHeight="1" x14ac:dyDescent="0.2">
      <c r="B1464" s="268"/>
    </row>
    <row r="1465" spans="2:2" ht="24.95" customHeight="1" x14ac:dyDescent="0.2">
      <c r="B1465" s="268"/>
    </row>
    <row r="1466" spans="2:2" ht="24.95" customHeight="1" x14ac:dyDescent="0.2">
      <c r="B1466" s="268"/>
    </row>
    <row r="1467" spans="2:2" ht="24.95" customHeight="1" x14ac:dyDescent="0.2">
      <c r="B1467" s="268"/>
    </row>
    <row r="1468" spans="2:2" ht="24.95" customHeight="1" x14ac:dyDescent="0.2">
      <c r="B1468" s="268"/>
    </row>
    <row r="1469" spans="2:2" ht="24.95" customHeight="1" x14ac:dyDescent="0.2">
      <c r="B1469" s="268"/>
    </row>
    <row r="1470" spans="2:2" ht="24.95" customHeight="1" x14ac:dyDescent="0.2">
      <c r="B1470" s="268"/>
    </row>
    <row r="1471" spans="2:2" ht="24.95" customHeight="1" x14ac:dyDescent="0.2">
      <c r="B1471" s="268"/>
    </row>
    <row r="1472" spans="2:2" ht="24.95" customHeight="1" x14ac:dyDescent="0.2">
      <c r="B1472" s="268"/>
    </row>
    <row r="1473" spans="2:2" ht="24.95" customHeight="1" x14ac:dyDescent="0.2">
      <c r="B1473" s="268"/>
    </row>
    <row r="1474" spans="2:2" ht="24.95" customHeight="1" x14ac:dyDescent="0.2">
      <c r="B1474" s="268"/>
    </row>
    <row r="1475" spans="2:2" ht="24.95" customHeight="1" x14ac:dyDescent="0.2">
      <c r="B1475" s="268"/>
    </row>
    <row r="1476" spans="2:2" ht="24.95" customHeight="1" x14ac:dyDescent="0.2">
      <c r="B1476" s="268"/>
    </row>
    <row r="1477" spans="2:2" ht="24.95" customHeight="1" x14ac:dyDescent="0.2">
      <c r="B1477" s="268"/>
    </row>
    <row r="1478" spans="2:2" ht="24.95" customHeight="1" x14ac:dyDescent="0.2">
      <c r="B1478" s="268"/>
    </row>
    <row r="1479" spans="2:2" ht="24.95" customHeight="1" x14ac:dyDescent="0.2">
      <c r="B1479" s="268"/>
    </row>
    <row r="1480" spans="2:2" ht="24.95" customHeight="1" x14ac:dyDescent="0.2">
      <c r="B1480" s="268"/>
    </row>
    <row r="1481" spans="2:2" ht="24.95" customHeight="1" x14ac:dyDescent="0.2">
      <c r="B1481" s="268"/>
    </row>
    <row r="1482" spans="2:2" ht="24.95" customHeight="1" x14ac:dyDescent="0.2">
      <c r="B1482" s="268"/>
    </row>
    <row r="1483" spans="2:2" ht="24.95" customHeight="1" x14ac:dyDescent="0.2">
      <c r="B1483" s="268"/>
    </row>
    <row r="1484" spans="2:2" ht="24.95" customHeight="1" x14ac:dyDescent="0.2">
      <c r="B1484" s="268"/>
    </row>
    <row r="1485" spans="2:2" ht="24.95" customHeight="1" x14ac:dyDescent="0.2">
      <c r="B1485" s="268"/>
    </row>
    <row r="1486" spans="2:2" ht="24.95" customHeight="1" x14ac:dyDescent="0.2">
      <c r="B1486" s="268"/>
    </row>
    <row r="1487" spans="2:2" ht="24.95" customHeight="1" x14ac:dyDescent="0.2">
      <c r="B1487" s="268"/>
    </row>
    <row r="1488" spans="2:2" ht="24.95" customHeight="1" x14ac:dyDescent="0.2">
      <c r="B1488" s="268"/>
    </row>
    <row r="1489" spans="2:2" ht="24.95" customHeight="1" x14ac:dyDescent="0.2">
      <c r="B1489" s="268"/>
    </row>
    <row r="1490" spans="2:2" ht="24.95" customHeight="1" x14ac:dyDescent="0.2">
      <c r="B1490" s="268"/>
    </row>
    <row r="1491" spans="2:2" ht="24.95" customHeight="1" x14ac:dyDescent="0.2">
      <c r="B1491" s="268"/>
    </row>
    <row r="1492" spans="2:2" ht="24.95" customHeight="1" x14ac:dyDescent="0.2">
      <c r="B1492" s="268"/>
    </row>
    <row r="1493" spans="2:2" ht="24.95" customHeight="1" x14ac:dyDescent="0.2">
      <c r="B1493" s="268"/>
    </row>
    <row r="1494" spans="2:2" ht="24.95" customHeight="1" x14ac:dyDescent="0.2">
      <c r="B1494" s="268"/>
    </row>
    <row r="1495" spans="2:2" ht="24.95" customHeight="1" x14ac:dyDescent="0.2">
      <c r="B1495" s="268"/>
    </row>
    <row r="1496" spans="2:2" ht="24.95" customHeight="1" x14ac:dyDescent="0.2">
      <c r="B1496" s="268"/>
    </row>
    <row r="1497" spans="2:2" ht="24.95" customHeight="1" x14ac:dyDescent="0.2">
      <c r="B1497" s="268"/>
    </row>
    <row r="1498" spans="2:2" ht="24.95" customHeight="1" x14ac:dyDescent="0.2">
      <c r="B1498" s="268"/>
    </row>
    <row r="1499" spans="2:2" ht="24.95" customHeight="1" x14ac:dyDescent="0.2">
      <c r="B1499" s="268"/>
    </row>
    <row r="1500" spans="2:2" ht="24.95" customHeight="1" x14ac:dyDescent="0.2">
      <c r="B1500" s="268"/>
    </row>
    <row r="1501" spans="2:2" ht="24.95" customHeight="1" x14ac:dyDescent="0.2">
      <c r="B1501" s="268"/>
    </row>
    <row r="1502" spans="2:2" ht="24.95" customHeight="1" x14ac:dyDescent="0.2">
      <c r="B1502" s="268"/>
    </row>
    <row r="1503" spans="2:2" ht="24.95" customHeight="1" x14ac:dyDescent="0.2">
      <c r="B1503" s="268"/>
    </row>
    <row r="1504" spans="2:2" ht="24.95" customHeight="1" x14ac:dyDescent="0.2">
      <c r="B1504" s="268"/>
    </row>
    <row r="1505" spans="2:2" ht="24.95" customHeight="1" x14ac:dyDescent="0.2">
      <c r="B1505" s="268"/>
    </row>
    <row r="1506" spans="2:2" ht="24.95" customHeight="1" x14ac:dyDescent="0.2">
      <c r="B1506" s="268"/>
    </row>
    <row r="1507" spans="2:2" ht="24.95" customHeight="1" x14ac:dyDescent="0.2">
      <c r="B1507" s="268"/>
    </row>
    <row r="1508" spans="2:2" ht="24.95" customHeight="1" x14ac:dyDescent="0.2">
      <c r="B1508" s="268"/>
    </row>
    <row r="1509" spans="2:2" ht="24.95" customHeight="1" x14ac:dyDescent="0.2">
      <c r="B1509" s="268"/>
    </row>
    <row r="1510" spans="2:2" ht="24.95" customHeight="1" x14ac:dyDescent="0.2">
      <c r="B1510" s="268"/>
    </row>
    <row r="1511" spans="2:2" ht="24.95" customHeight="1" x14ac:dyDescent="0.2">
      <c r="B1511" s="268"/>
    </row>
    <row r="1512" spans="2:2" ht="24.95" customHeight="1" x14ac:dyDescent="0.2">
      <c r="B1512" s="268"/>
    </row>
    <row r="1513" spans="2:2" ht="24.95" customHeight="1" x14ac:dyDescent="0.2">
      <c r="B1513" s="268"/>
    </row>
    <row r="1514" spans="2:2" ht="24.95" customHeight="1" x14ac:dyDescent="0.2">
      <c r="B1514" s="268"/>
    </row>
    <row r="1515" spans="2:2" ht="24.95" customHeight="1" x14ac:dyDescent="0.2">
      <c r="B1515" s="268"/>
    </row>
    <row r="1516" spans="2:2" ht="24.95" customHeight="1" x14ac:dyDescent="0.2">
      <c r="B1516" s="268"/>
    </row>
    <row r="1517" spans="2:2" ht="24.95" customHeight="1" x14ac:dyDescent="0.2">
      <c r="B1517" s="268"/>
    </row>
    <row r="1518" spans="2:2" ht="24.95" customHeight="1" x14ac:dyDescent="0.2">
      <c r="B1518" s="268"/>
    </row>
    <row r="1519" spans="2:2" ht="24.95" customHeight="1" x14ac:dyDescent="0.2">
      <c r="B1519" s="268"/>
    </row>
    <row r="1520" spans="2:2" ht="24.95" customHeight="1" x14ac:dyDescent="0.2">
      <c r="B1520" s="268"/>
    </row>
    <row r="1521" spans="2:2" ht="24.95" customHeight="1" x14ac:dyDescent="0.2">
      <c r="B1521" s="268"/>
    </row>
    <row r="1522" spans="2:2" ht="24.95" customHeight="1" x14ac:dyDescent="0.2">
      <c r="B1522" s="268"/>
    </row>
    <row r="1523" spans="2:2" ht="24.95" customHeight="1" x14ac:dyDescent="0.2">
      <c r="B1523" s="268"/>
    </row>
    <row r="1524" spans="2:2" ht="24.95" customHeight="1" x14ac:dyDescent="0.2">
      <c r="B1524" s="268"/>
    </row>
    <row r="1525" spans="2:2" ht="24.95" customHeight="1" x14ac:dyDescent="0.2">
      <c r="B1525" s="268"/>
    </row>
    <row r="1526" spans="2:2" ht="24.95" customHeight="1" x14ac:dyDescent="0.2">
      <c r="B1526" s="268"/>
    </row>
    <row r="1527" spans="2:2" ht="24.95" customHeight="1" x14ac:dyDescent="0.2">
      <c r="B1527" s="268"/>
    </row>
    <row r="1528" spans="2:2" ht="24.95" customHeight="1" x14ac:dyDescent="0.2">
      <c r="B1528" s="268"/>
    </row>
    <row r="1529" spans="2:2" ht="24.95" customHeight="1" x14ac:dyDescent="0.2">
      <c r="B1529" s="268"/>
    </row>
    <row r="1530" spans="2:2" ht="24.95" customHeight="1" x14ac:dyDescent="0.2">
      <c r="B1530" s="268"/>
    </row>
    <row r="1531" spans="2:2" ht="24.95" customHeight="1" x14ac:dyDescent="0.2">
      <c r="B1531" s="268"/>
    </row>
    <row r="1532" spans="2:2" ht="24.95" customHeight="1" x14ac:dyDescent="0.2">
      <c r="B1532" s="268"/>
    </row>
    <row r="1533" spans="2:2" ht="24.95" customHeight="1" x14ac:dyDescent="0.2">
      <c r="B1533" s="268"/>
    </row>
    <row r="1534" spans="2:2" ht="24.95" customHeight="1" x14ac:dyDescent="0.2">
      <c r="B1534" s="268"/>
    </row>
    <row r="1535" spans="2:2" ht="24.95" customHeight="1" x14ac:dyDescent="0.2">
      <c r="B1535" s="268"/>
    </row>
    <row r="1536" spans="2:2" ht="24.95" customHeight="1" x14ac:dyDescent="0.2">
      <c r="B1536" s="268"/>
    </row>
    <row r="1537" spans="2:2" ht="24.95" customHeight="1" x14ac:dyDescent="0.2">
      <c r="B1537" s="268"/>
    </row>
    <row r="1538" spans="2:2" ht="24.95" customHeight="1" x14ac:dyDescent="0.2">
      <c r="B1538" s="268"/>
    </row>
    <row r="1539" spans="2:2" ht="24.95" customHeight="1" x14ac:dyDescent="0.2">
      <c r="B1539" s="268"/>
    </row>
    <row r="1540" spans="2:2" ht="24.95" customHeight="1" x14ac:dyDescent="0.2">
      <c r="B1540" s="268"/>
    </row>
    <row r="1541" spans="2:2" ht="24.95" customHeight="1" x14ac:dyDescent="0.2">
      <c r="B1541" s="268"/>
    </row>
    <row r="1542" spans="2:2" ht="24.95" customHeight="1" x14ac:dyDescent="0.2">
      <c r="B1542" s="268"/>
    </row>
    <row r="1543" spans="2:2" ht="24.95" customHeight="1" x14ac:dyDescent="0.2">
      <c r="B1543" s="268"/>
    </row>
    <row r="1544" spans="2:2" ht="24.95" customHeight="1" x14ac:dyDescent="0.2">
      <c r="B1544" s="268"/>
    </row>
    <row r="1545" spans="2:2" ht="24.95" customHeight="1" x14ac:dyDescent="0.2">
      <c r="B1545" s="268"/>
    </row>
    <row r="1546" spans="2:2" ht="24.95" customHeight="1" x14ac:dyDescent="0.2">
      <c r="B1546" s="268"/>
    </row>
    <row r="1547" spans="2:2" ht="24.95" customHeight="1" x14ac:dyDescent="0.2">
      <c r="B1547" s="268"/>
    </row>
    <row r="1548" spans="2:2" ht="24.95" customHeight="1" x14ac:dyDescent="0.2">
      <c r="B1548" s="268"/>
    </row>
    <row r="1549" spans="2:2" ht="24.95" customHeight="1" x14ac:dyDescent="0.2">
      <c r="B1549" s="268"/>
    </row>
    <row r="1550" spans="2:2" ht="24.95" customHeight="1" x14ac:dyDescent="0.2">
      <c r="B1550" s="268"/>
    </row>
    <row r="1551" spans="2:2" ht="24.95" customHeight="1" x14ac:dyDescent="0.2">
      <c r="B1551" s="268"/>
    </row>
    <row r="1552" spans="2:2" ht="24.95" customHeight="1" x14ac:dyDescent="0.2">
      <c r="B1552" s="268"/>
    </row>
    <row r="1553" spans="2:2" ht="24.95" customHeight="1" x14ac:dyDescent="0.2">
      <c r="B1553" s="268"/>
    </row>
    <row r="1554" spans="2:2" ht="24.95" customHeight="1" x14ac:dyDescent="0.2">
      <c r="B1554" s="268"/>
    </row>
    <row r="1555" spans="2:2" ht="24.95" customHeight="1" x14ac:dyDescent="0.2">
      <c r="B1555" s="268"/>
    </row>
    <row r="1556" spans="2:2" ht="24.95" customHeight="1" x14ac:dyDescent="0.2">
      <c r="B1556" s="268"/>
    </row>
    <row r="1557" spans="2:2" ht="24.95" customHeight="1" x14ac:dyDescent="0.2">
      <c r="B1557" s="268"/>
    </row>
    <row r="1558" spans="2:2" ht="24.95" customHeight="1" x14ac:dyDescent="0.2">
      <c r="B1558" s="268"/>
    </row>
    <row r="1559" spans="2:2" ht="24.95" customHeight="1" x14ac:dyDescent="0.2">
      <c r="B1559" s="268"/>
    </row>
    <row r="1560" spans="2:2" ht="24.95" customHeight="1" x14ac:dyDescent="0.2">
      <c r="B1560" s="268"/>
    </row>
    <row r="1561" spans="2:2" ht="24.95" customHeight="1" x14ac:dyDescent="0.2">
      <c r="B1561" s="268"/>
    </row>
    <row r="1562" spans="2:2" ht="24.95" customHeight="1" x14ac:dyDescent="0.2">
      <c r="B1562" s="268"/>
    </row>
    <row r="1563" spans="2:2" ht="24.95" customHeight="1" x14ac:dyDescent="0.2">
      <c r="B1563" s="268"/>
    </row>
    <row r="1564" spans="2:2" ht="24.95" customHeight="1" x14ac:dyDescent="0.2">
      <c r="B1564" s="268"/>
    </row>
    <row r="1565" spans="2:2" ht="24.95" customHeight="1" x14ac:dyDescent="0.2">
      <c r="B1565" s="268"/>
    </row>
    <row r="1566" spans="2:2" ht="24.95" customHeight="1" x14ac:dyDescent="0.2">
      <c r="B1566" s="268"/>
    </row>
    <row r="1567" spans="2:2" ht="24.95" customHeight="1" x14ac:dyDescent="0.2">
      <c r="B1567" s="268"/>
    </row>
    <row r="1568" spans="2:2" ht="24.95" customHeight="1" x14ac:dyDescent="0.2">
      <c r="B1568" s="268"/>
    </row>
    <row r="1569" spans="2:2" ht="24.95" customHeight="1" x14ac:dyDescent="0.2">
      <c r="B1569" s="268"/>
    </row>
    <row r="1570" spans="2:2" ht="24.95" customHeight="1" x14ac:dyDescent="0.2">
      <c r="B1570" s="268"/>
    </row>
    <row r="1571" spans="2:2" ht="24.95" customHeight="1" x14ac:dyDescent="0.2">
      <c r="B1571" s="268"/>
    </row>
    <row r="1572" spans="2:2" ht="24.95" customHeight="1" x14ac:dyDescent="0.2">
      <c r="B1572" s="268"/>
    </row>
    <row r="1573" spans="2:2" ht="24.95" customHeight="1" x14ac:dyDescent="0.2">
      <c r="B1573" s="268"/>
    </row>
    <row r="1574" spans="2:2" ht="24.95" customHeight="1" x14ac:dyDescent="0.2">
      <c r="B1574" s="268"/>
    </row>
    <row r="1575" spans="2:2" ht="24.95" customHeight="1" x14ac:dyDescent="0.2">
      <c r="B1575" s="268"/>
    </row>
    <row r="1576" spans="2:2" ht="24.95" customHeight="1" x14ac:dyDescent="0.2">
      <c r="B1576" s="268"/>
    </row>
    <row r="1577" spans="2:2" ht="24.95" customHeight="1" x14ac:dyDescent="0.2">
      <c r="B1577" s="268"/>
    </row>
    <row r="1578" spans="2:2" ht="24.95" customHeight="1" x14ac:dyDescent="0.2">
      <c r="B1578" s="268"/>
    </row>
    <row r="1579" spans="2:2" ht="24.95" customHeight="1" x14ac:dyDescent="0.2">
      <c r="B1579" s="268"/>
    </row>
    <row r="1580" spans="2:2" ht="24.95" customHeight="1" x14ac:dyDescent="0.2">
      <c r="B1580" s="268"/>
    </row>
    <row r="1581" spans="2:2" ht="24.95" customHeight="1" x14ac:dyDescent="0.2">
      <c r="B1581" s="268"/>
    </row>
    <row r="1582" spans="2:2" ht="24.95" customHeight="1" x14ac:dyDescent="0.2">
      <c r="B1582" s="268"/>
    </row>
    <row r="1583" spans="2:2" ht="24.95" customHeight="1" x14ac:dyDescent="0.2">
      <c r="B1583" s="268"/>
    </row>
    <row r="1584" spans="2:2" ht="24.95" customHeight="1" x14ac:dyDescent="0.2">
      <c r="B1584" s="268"/>
    </row>
    <row r="1585" spans="2:2" ht="24.95" customHeight="1" x14ac:dyDescent="0.2">
      <c r="B1585" s="268"/>
    </row>
    <row r="1586" spans="2:2" ht="24.95" customHeight="1" x14ac:dyDescent="0.2">
      <c r="B1586" s="268"/>
    </row>
    <row r="1587" spans="2:2" ht="24.95" customHeight="1" x14ac:dyDescent="0.2">
      <c r="B1587" s="268"/>
    </row>
    <row r="1588" spans="2:2" ht="24.95" customHeight="1" x14ac:dyDescent="0.2">
      <c r="B1588" s="268"/>
    </row>
    <row r="1589" spans="2:2" ht="24.95" customHeight="1" x14ac:dyDescent="0.2">
      <c r="B1589" s="268"/>
    </row>
    <row r="1590" spans="2:2" ht="24.95" customHeight="1" x14ac:dyDescent="0.2">
      <c r="B1590" s="268"/>
    </row>
    <row r="1591" spans="2:2" ht="24.95" customHeight="1" x14ac:dyDescent="0.2">
      <c r="B1591" s="268"/>
    </row>
    <row r="1592" spans="2:2" ht="24.95" customHeight="1" x14ac:dyDescent="0.2">
      <c r="B1592" s="268"/>
    </row>
    <row r="1593" spans="2:2" ht="24.95" customHeight="1" x14ac:dyDescent="0.2">
      <c r="B1593" s="268"/>
    </row>
    <row r="1594" spans="2:2" ht="24.95" customHeight="1" x14ac:dyDescent="0.2">
      <c r="B1594" s="268"/>
    </row>
    <row r="1595" spans="2:2" ht="24.95" customHeight="1" x14ac:dyDescent="0.2">
      <c r="B1595" s="268"/>
    </row>
    <row r="1596" spans="2:2" ht="24.95" customHeight="1" x14ac:dyDescent="0.2">
      <c r="B1596" s="268"/>
    </row>
    <row r="1597" spans="2:2" ht="24.95" customHeight="1" x14ac:dyDescent="0.2">
      <c r="B1597" s="268"/>
    </row>
    <row r="1598" spans="2:2" ht="24.95" customHeight="1" x14ac:dyDescent="0.2">
      <c r="B1598" s="268"/>
    </row>
    <row r="1599" spans="2:2" ht="24.95" customHeight="1" x14ac:dyDescent="0.2">
      <c r="B1599" s="268"/>
    </row>
    <row r="1600" spans="2:2" ht="24.95" customHeight="1" x14ac:dyDescent="0.2">
      <c r="B1600" s="268"/>
    </row>
    <row r="1601" spans="2:2" ht="24.95" customHeight="1" x14ac:dyDescent="0.2">
      <c r="B1601" s="268"/>
    </row>
    <row r="1602" spans="2:2" ht="24.95" customHeight="1" x14ac:dyDescent="0.2">
      <c r="B1602" s="268"/>
    </row>
    <row r="1603" spans="2:2" ht="24.95" customHeight="1" x14ac:dyDescent="0.2">
      <c r="B1603" s="268"/>
    </row>
    <row r="1604" spans="2:2" ht="24.95" customHeight="1" x14ac:dyDescent="0.2">
      <c r="B1604" s="268"/>
    </row>
    <row r="1605" spans="2:2" ht="24.95" customHeight="1" x14ac:dyDescent="0.2">
      <c r="B1605" s="268"/>
    </row>
    <row r="1606" spans="2:2" ht="24.95" customHeight="1" x14ac:dyDescent="0.2">
      <c r="B1606" s="268"/>
    </row>
    <row r="1607" spans="2:2" ht="24.95" customHeight="1" x14ac:dyDescent="0.2">
      <c r="B1607" s="268"/>
    </row>
    <row r="1608" spans="2:2" ht="24.95" customHeight="1" x14ac:dyDescent="0.2">
      <c r="B1608" s="268"/>
    </row>
    <row r="1609" spans="2:2" ht="24.95" customHeight="1" x14ac:dyDescent="0.2">
      <c r="B1609" s="268"/>
    </row>
    <row r="1610" spans="2:2" ht="24.95" customHeight="1" x14ac:dyDescent="0.2">
      <c r="B1610" s="268"/>
    </row>
    <row r="1611" spans="2:2" ht="24.95" customHeight="1" x14ac:dyDescent="0.2">
      <c r="B1611" s="268"/>
    </row>
    <row r="1612" spans="2:2" ht="24.95" customHeight="1" x14ac:dyDescent="0.2">
      <c r="B1612" s="268"/>
    </row>
    <row r="1613" spans="2:2" ht="24.95" customHeight="1" x14ac:dyDescent="0.2">
      <c r="B1613" s="268"/>
    </row>
    <row r="1614" spans="2:2" ht="24.95" customHeight="1" x14ac:dyDescent="0.2">
      <c r="B1614" s="268"/>
    </row>
    <row r="1615" spans="2:2" ht="24.95" customHeight="1" x14ac:dyDescent="0.2">
      <c r="B1615" s="268"/>
    </row>
    <row r="1616" spans="2:2" ht="24.95" customHeight="1" x14ac:dyDescent="0.2">
      <c r="B1616" s="268"/>
    </row>
    <row r="1617" spans="2:2" ht="24.95" customHeight="1" x14ac:dyDescent="0.2">
      <c r="B1617" s="268"/>
    </row>
    <row r="1618" spans="2:2" ht="24.95" customHeight="1" x14ac:dyDescent="0.2">
      <c r="B1618" s="268"/>
    </row>
    <row r="1619" spans="2:2" ht="24.95" customHeight="1" x14ac:dyDescent="0.2">
      <c r="B1619" s="268"/>
    </row>
    <row r="1620" spans="2:2" ht="24.95" customHeight="1" x14ac:dyDescent="0.2">
      <c r="B1620" s="268"/>
    </row>
    <row r="1621" spans="2:2" ht="24.95" customHeight="1" x14ac:dyDescent="0.2">
      <c r="B1621" s="268"/>
    </row>
    <row r="1622" spans="2:2" ht="24.95" customHeight="1" x14ac:dyDescent="0.2">
      <c r="B1622" s="268"/>
    </row>
    <row r="1623" spans="2:2" ht="24.95" customHeight="1" x14ac:dyDescent="0.2">
      <c r="B1623" s="268"/>
    </row>
    <row r="1624" spans="2:2" ht="24.95" customHeight="1" x14ac:dyDescent="0.2">
      <c r="B1624" s="268"/>
    </row>
    <row r="1625" spans="2:2" ht="24.95" customHeight="1" x14ac:dyDescent="0.2">
      <c r="B1625" s="268"/>
    </row>
    <row r="1626" spans="2:2" ht="24.95" customHeight="1" x14ac:dyDescent="0.2">
      <c r="B1626" s="268"/>
    </row>
    <row r="1627" spans="2:2" ht="24.95" customHeight="1" x14ac:dyDescent="0.2">
      <c r="B1627" s="268"/>
    </row>
    <row r="1628" spans="2:2" ht="24.95" customHeight="1" x14ac:dyDescent="0.2">
      <c r="B1628" s="268"/>
    </row>
    <row r="1629" spans="2:2" ht="24.95" customHeight="1" x14ac:dyDescent="0.2">
      <c r="B1629" s="268"/>
    </row>
    <row r="1630" spans="2:2" ht="24.95" customHeight="1" x14ac:dyDescent="0.2">
      <c r="B1630" s="268"/>
    </row>
    <row r="1631" spans="2:2" ht="24.95" customHeight="1" x14ac:dyDescent="0.2">
      <c r="B1631" s="268"/>
    </row>
    <row r="1632" spans="2:2" ht="24.95" customHeight="1" x14ac:dyDescent="0.2">
      <c r="B1632" s="268"/>
    </row>
    <row r="1633" spans="2:2" ht="24.95" customHeight="1" x14ac:dyDescent="0.2">
      <c r="B1633" s="268"/>
    </row>
    <row r="1634" spans="2:2" ht="24.95" customHeight="1" x14ac:dyDescent="0.2">
      <c r="B1634" s="268"/>
    </row>
    <row r="1635" spans="2:2" ht="24.95" customHeight="1" x14ac:dyDescent="0.2">
      <c r="B1635" s="268"/>
    </row>
    <row r="1636" spans="2:2" ht="24.95" customHeight="1" x14ac:dyDescent="0.2">
      <c r="B1636" s="268"/>
    </row>
    <row r="1637" spans="2:2" ht="24.95" customHeight="1" x14ac:dyDescent="0.2">
      <c r="B1637" s="268"/>
    </row>
    <row r="1638" spans="2:2" ht="24.95" customHeight="1" x14ac:dyDescent="0.2">
      <c r="B1638" s="268"/>
    </row>
    <row r="1639" spans="2:2" ht="24.95" customHeight="1" x14ac:dyDescent="0.2">
      <c r="B1639" s="268"/>
    </row>
    <row r="1640" spans="2:2" ht="24.95" customHeight="1" x14ac:dyDescent="0.2">
      <c r="B1640" s="268"/>
    </row>
    <row r="1641" spans="2:2" ht="24.95" customHeight="1" x14ac:dyDescent="0.2">
      <c r="B1641" s="268"/>
    </row>
    <row r="1642" spans="2:2" ht="24.95" customHeight="1" x14ac:dyDescent="0.2">
      <c r="B1642" s="268"/>
    </row>
    <row r="1643" spans="2:2" ht="24.95" customHeight="1" x14ac:dyDescent="0.2">
      <c r="B1643" s="268"/>
    </row>
    <row r="1644" spans="2:2" ht="24.95" customHeight="1" x14ac:dyDescent="0.2">
      <c r="B1644" s="268"/>
    </row>
    <row r="1645" spans="2:2" ht="24.95" customHeight="1" x14ac:dyDescent="0.2">
      <c r="B1645" s="268"/>
    </row>
    <row r="1646" spans="2:2" ht="24.95" customHeight="1" x14ac:dyDescent="0.2">
      <c r="B1646" s="268"/>
    </row>
    <row r="1647" spans="2:2" ht="24.95" customHeight="1" x14ac:dyDescent="0.2">
      <c r="B1647" s="268"/>
    </row>
    <row r="1648" spans="2:2" ht="24.95" customHeight="1" x14ac:dyDescent="0.2">
      <c r="B1648" s="268"/>
    </row>
    <row r="1649" spans="2:2" ht="24.95" customHeight="1" x14ac:dyDescent="0.2">
      <c r="B1649" s="268"/>
    </row>
    <row r="1650" spans="2:2" ht="24.95" customHeight="1" x14ac:dyDescent="0.2">
      <c r="B1650" s="268"/>
    </row>
    <row r="1651" spans="2:2" ht="24.95" customHeight="1" x14ac:dyDescent="0.2">
      <c r="B1651" s="268"/>
    </row>
    <row r="1652" spans="2:2" ht="24.95" customHeight="1" x14ac:dyDescent="0.2">
      <c r="B1652" s="268"/>
    </row>
    <row r="1653" spans="2:2" ht="24.95" customHeight="1" x14ac:dyDescent="0.2">
      <c r="B1653" s="268"/>
    </row>
    <row r="1654" spans="2:2" ht="24.95" customHeight="1" x14ac:dyDescent="0.2">
      <c r="B1654" s="268"/>
    </row>
    <row r="1655" spans="2:2" ht="24.95" customHeight="1" x14ac:dyDescent="0.2">
      <c r="B1655" s="268"/>
    </row>
    <row r="1656" spans="2:2" ht="24.95" customHeight="1" x14ac:dyDescent="0.2">
      <c r="B1656" s="268"/>
    </row>
    <row r="1657" spans="2:2" ht="24.95" customHeight="1" x14ac:dyDescent="0.2">
      <c r="B1657" s="268"/>
    </row>
    <row r="1658" spans="2:2" ht="24.95" customHeight="1" x14ac:dyDescent="0.2">
      <c r="B1658" s="268"/>
    </row>
    <row r="1659" spans="2:2" ht="24.95" customHeight="1" x14ac:dyDescent="0.2">
      <c r="B1659" s="268"/>
    </row>
    <row r="1660" spans="2:2" ht="24.95" customHeight="1" x14ac:dyDescent="0.2">
      <c r="B1660" s="268"/>
    </row>
    <row r="1661" spans="2:2" ht="24.95" customHeight="1" x14ac:dyDescent="0.2">
      <c r="B1661" s="268"/>
    </row>
    <row r="1662" spans="2:2" ht="24.95" customHeight="1" x14ac:dyDescent="0.2">
      <c r="B1662" s="268"/>
    </row>
    <row r="1663" spans="2:2" ht="24.95" customHeight="1" x14ac:dyDescent="0.2">
      <c r="B1663" s="268"/>
    </row>
    <row r="1664" spans="2:2" ht="24.95" customHeight="1" x14ac:dyDescent="0.2">
      <c r="B1664" s="268"/>
    </row>
    <row r="1665" spans="2:2" ht="24.95" customHeight="1" x14ac:dyDescent="0.2">
      <c r="B1665" s="268"/>
    </row>
    <row r="1666" spans="2:2" ht="24.95" customHeight="1" x14ac:dyDescent="0.2">
      <c r="B1666" s="268"/>
    </row>
    <row r="1667" spans="2:2" ht="24.95" customHeight="1" x14ac:dyDescent="0.2">
      <c r="B1667" s="268"/>
    </row>
    <row r="1668" spans="2:2" ht="24.95" customHeight="1" x14ac:dyDescent="0.2">
      <c r="B1668" s="268"/>
    </row>
    <row r="1669" spans="2:2" ht="24.95" customHeight="1" x14ac:dyDescent="0.2">
      <c r="B1669" s="268"/>
    </row>
    <row r="1670" spans="2:2" ht="24.95" customHeight="1" x14ac:dyDescent="0.2">
      <c r="B1670" s="268"/>
    </row>
    <row r="1671" spans="2:2" ht="24.95" customHeight="1" x14ac:dyDescent="0.2">
      <c r="B1671" s="268"/>
    </row>
    <row r="1672" spans="2:2" ht="24.95" customHeight="1" x14ac:dyDescent="0.2">
      <c r="B1672" s="268"/>
    </row>
    <row r="1673" spans="2:2" ht="24.95" customHeight="1" x14ac:dyDescent="0.2">
      <c r="B1673" s="268"/>
    </row>
    <row r="1674" spans="2:2" ht="24.95" customHeight="1" x14ac:dyDescent="0.2">
      <c r="B1674" s="268"/>
    </row>
    <row r="1675" spans="2:2" ht="24.95" customHeight="1" x14ac:dyDescent="0.2">
      <c r="B1675" s="268"/>
    </row>
    <row r="1676" spans="2:2" ht="24.95" customHeight="1" x14ac:dyDescent="0.2">
      <c r="B1676" s="268"/>
    </row>
    <row r="1677" spans="2:2" ht="24.95" customHeight="1" x14ac:dyDescent="0.2">
      <c r="B1677" s="268"/>
    </row>
    <row r="1678" spans="2:2" ht="24.95" customHeight="1" x14ac:dyDescent="0.2">
      <c r="B1678" s="268"/>
    </row>
    <row r="1679" spans="2:2" ht="24.95" customHeight="1" x14ac:dyDescent="0.2">
      <c r="B1679" s="268"/>
    </row>
    <row r="1680" spans="2:2" ht="24.95" customHeight="1" x14ac:dyDescent="0.2">
      <c r="B1680" s="268"/>
    </row>
    <row r="1681" spans="2:2" ht="24.95" customHeight="1" x14ac:dyDescent="0.2">
      <c r="B1681" s="268"/>
    </row>
    <row r="1682" spans="2:2" ht="24.95" customHeight="1" x14ac:dyDescent="0.2">
      <c r="B1682" s="268"/>
    </row>
    <row r="1683" spans="2:2" ht="24.95" customHeight="1" x14ac:dyDescent="0.2">
      <c r="B1683" s="268"/>
    </row>
    <row r="1684" spans="2:2" ht="24.95" customHeight="1" x14ac:dyDescent="0.2">
      <c r="B1684" s="268"/>
    </row>
    <row r="1685" spans="2:2" ht="24.95" customHeight="1" x14ac:dyDescent="0.2">
      <c r="B1685" s="268"/>
    </row>
    <row r="1686" spans="2:2" ht="24.95" customHeight="1" x14ac:dyDescent="0.2">
      <c r="B1686" s="268"/>
    </row>
    <row r="1687" spans="2:2" ht="24.95" customHeight="1" x14ac:dyDescent="0.2">
      <c r="B1687" s="268"/>
    </row>
    <row r="1688" spans="2:2" ht="24.95" customHeight="1" x14ac:dyDescent="0.2">
      <c r="B1688" s="268"/>
    </row>
    <row r="1689" spans="2:2" ht="24.95" customHeight="1" x14ac:dyDescent="0.2">
      <c r="B1689" s="268"/>
    </row>
    <row r="1690" spans="2:2" ht="24.95" customHeight="1" x14ac:dyDescent="0.2">
      <c r="B1690" s="268"/>
    </row>
    <row r="1691" spans="2:2" ht="24.95" customHeight="1" x14ac:dyDescent="0.2">
      <c r="B1691" s="268"/>
    </row>
    <row r="1692" spans="2:2" ht="24.95" customHeight="1" x14ac:dyDescent="0.2">
      <c r="B1692" s="268"/>
    </row>
    <row r="1693" spans="2:2" ht="24.95" customHeight="1" x14ac:dyDescent="0.2">
      <c r="B1693" s="268"/>
    </row>
    <row r="1694" spans="2:2" ht="24.95" customHeight="1" x14ac:dyDescent="0.2">
      <c r="B1694" s="268"/>
    </row>
    <row r="1695" spans="2:2" ht="24.95" customHeight="1" x14ac:dyDescent="0.2">
      <c r="B1695" s="268"/>
    </row>
    <row r="1696" spans="2:2" ht="24.95" customHeight="1" x14ac:dyDescent="0.2">
      <c r="B1696" s="268"/>
    </row>
    <row r="1697" spans="2:2" ht="24.95" customHeight="1" x14ac:dyDescent="0.2">
      <c r="B1697" s="268"/>
    </row>
    <row r="1698" spans="2:2" ht="24.95" customHeight="1" x14ac:dyDescent="0.2">
      <c r="B1698" s="268"/>
    </row>
    <row r="1699" spans="2:2" ht="24.95" customHeight="1" x14ac:dyDescent="0.2">
      <c r="B1699" s="268"/>
    </row>
    <row r="1700" spans="2:2" ht="24.95" customHeight="1" x14ac:dyDescent="0.2">
      <c r="B1700" s="268"/>
    </row>
    <row r="1701" spans="2:2" ht="24.95" customHeight="1" x14ac:dyDescent="0.2">
      <c r="B1701" s="268"/>
    </row>
    <row r="1702" spans="2:2" ht="24.95" customHeight="1" x14ac:dyDescent="0.2">
      <c r="B1702" s="268"/>
    </row>
    <row r="1703" spans="2:2" ht="24.95" customHeight="1" x14ac:dyDescent="0.2">
      <c r="B1703" s="268"/>
    </row>
    <row r="1704" spans="2:2" ht="24.95" customHeight="1" x14ac:dyDescent="0.2">
      <c r="B1704" s="268"/>
    </row>
    <row r="1705" spans="2:2" ht="24.95" customHeight="1" x14ac:dyDescent="0.2">
      <c r="B1705" s="268"/>
    </row>
    <row r="1706" spans="2:2" ht="24.95" customHeight="1" x14ac:dyDescent="0.2">
      <c r="B1706" s="268"/>
    </row>
    <row r="1707" spans="2:2" ht="24.95" customHeight="1" x14ac:dyDescent="0.2">
      <c r="B1707" s="268"/>
    </row>
    <row r="1708" spans="2:2" ht="24.95" customHeight="1" x14ac:dyDescent="0.2">
      <c r="B1708" s="268"/>
    </row>
    <row r="1709" spans="2:2" ht="24.95" customHeight="1" x14ac:dyDescent="0.2">
      <c r="B1709" s="268"/>
    </row>
    <row r="1710" spans="2:2" ht="24.95" customHeight="1" x14ac:dyDescent="0.2">
      <c r="B1710" s="268"/>
    </row>
    <row r="1711" spans="2:2" ht="24.95" customHeight="1" x14ac:dyDescent="0.2">
      <c r="B1711" s="268"/>
    </row>
    <row r="1712" spans="2:2" ht="24.95" customHeight="1" x14ac:dyDescent="0.2">
      <c r="B1712" s="268"/>
    </row>
    <row r="1713" spans="2:2" ht="24.95" customHeight="1" x14ac:dyDescent="0.2">
      <c r="B1713" s="268"/>
    </row>
    <row r="1714" spans="2:2" ht="24.95" customHeight="1" x14ac:dyDescent="0.2">
      <c r="B1714" s="268"/>
    </row>
    <row r="1715" spans="2:2" ht="24.95" customHeight="1" x14ac:dyDescent="0.2">
      <c r="B1715" s="268"/>
    </row>
    <row r="1716" spans="2:2" ht="24.95" customHeight="1" x14ac:dyDescent="0.2">
      <c r="B1716" s="268"/>
    </row>
    <row r="1717" spans="2:2" ht="24.95" customHeight="1" x14ac:dyDescent="0.2">
      <c r="B1717" s="268"/>
    </row>
    <row r="1718" spans="2:2" ht="24.95" customHeight="1" x14ac:dyDescent="0.2">
      <c r="B1718" s="268"/>
    </row>
    <row r="1719" spans="2:2" ht="24.95" customHeight="1" x14ac:dyDescent="0.2">
      <c r="B1719" s="268"/>
    </row>
    <row r="1720" spans="2:2" ht="24.95" customHeight="1" x14ac:dyDescent="0.2">
      <c r="B1720" s="268"/>
    </row>
    <row r="1721" spans="2:2" ht="24.95" customHeight="1" x14ac:dyDescent="0.2">
      <c r="B1721" s="268"/>
    </row>
    <row r="1722" spans="2:2" ht="24.95" customHeight="1" x14ac:dyDescent="0.2">
      <c r="B1722" s="268"/>
    </row>
    <row r="1723" spans="2:2" ht="24.95" customHeight="1" x14ac:dyDescent="0.2">
      <c r="B1723" s="268"/>
    </row>
    <row r="1724" spans="2:2" ht="24.95" customHeight="1" x14ac:dyDescent="0.2">
      <c r="B1724" s="268"/>
    </row>
    <row r="1725" spans="2:2" ht="24.95" customHeight="1" x14ac:dyDescent="0.2">
      <c r="B1725" s="268"/>
    </row>
    <row r="1726" spans="2:2" ht="24.95" customHeight="1" x14ac:dyDescent="0.2">
      <c r="B1726" s="268"/>
    </row>
    <row r="1727" spans="2:2" ht="24.95" customHeight="1" x14ac:dyDescent="0.2">
      <c r="B1727" s="268"/>
    </row>
    <row r="1728" spans="2:2" ht="24.95" customHeight="1" x14ac:dyDescent="0.2">
      <c r="B1728" s="268"/>
    </row>
    <row r="1729" spans="2:2" ht="24.95" customHeight="1" x14ac:dyDescent="0.2">
      <c r="B1729" s="268"/>
    </row>
    <row r="1730" spans="2:2" ht="24.95" customHeight="1" x14ac:dyDescent="0.2">
      <c r="B1730" s="268"/>
    </row>
    <row r="1731" spans="2:2" ht="24.95" customHeight="1" x14ac:dyDescent="0.2">
      <c r="B1731" s="268"/>
    </row>
    <row r="1732" spans="2:2" ht="24.95" customHeight="1" x14ac:dyDescent="0.2">
      <c r="B1732" s="268"/>
    </row>
    <row r="1733" spans="2:2" ht="24.95" customHeight="1" x14ac:dyDescent="0.2">
      <c r="B1733" s="268"/>
    </row>
    <row r="1734" spans="2:2" ht="24.95" customHeight="1" x14ac:dyDescent="0.2">
      <c r="B1734" s="268"/>
    </row>
    <row r="1735" spans="2:2" ht="24.95" customHeight="1" x14ac:dyDescent="0.2">
      <c r="B1735" s="268"/>
    </row>
    <row r="1736" spans="2:2" ht="24.95" customHeight="1" x14ac:dyDescent="0.2">
      <c r="B1736" s="268"/>
    </row>
    <row r="1737" spans="2:2" ht="24.95" customHeight="1" x14ac:dyDescent="0.2">
      <c r="B1737" s="268"/>
    </row>
    <row r="1738" spans="2:2" ht="24.95" customHeight="1" x14ac:dyDescent="0.2">
      <c r="B1738" s="268"/>
    </row>
    <row r="1739" spans="2:2" ht="24.95" customHeight="1" x14ac:dyDescent="0.2">
      <c r="B1739" s="268"/>
    </row>
    <row r="1740" spans="2:2" ht="24.95" customHeight="1" x14ac:dyDescent="0.2">
      <c r="B1740" s="268"/>
    </row>
    <row r="1741" spans="2:2" ht="24.95" customHeight="1" x14ac:dyDescent="0.2">
      <c r="B1741" s="268"/>
    </row>
    <row r="1742" spans="2:2" ht="24.95" customHeight="1" x14ac:dyDescent="0.2">
      <c r="B1742" s="268"/>
    </row>
    <row r="1743" spans="2:2" ht="24.95" customHeight="1" x14ac:dyDescent="0.2">
      <c r="B1743" s="268"/>
    </row>
    <row r="1744" spans="2:2" ht="24.95" customHeight="1" x14ac:dyDescent="0.2">
      <c r="B1744" s="268"/>
    </row>
    <row r="1745" spans="2:2" ht="24.95" customHeight="1" x14ac:dyDescent="0.2">
      <c r="B1745" s="268"/>
    </row>
    <row r="1746" spans="2:2" ht="24.95" customHeight="1" x14ac:dyDescent="0.2">
      <c r="B1746" s="268"/>
    </row>
    <row r="1747" spans="2:2" ht="24.95" customHeight="1" x14ac:dyDescent="0.2">
      <c r="B1747" s="268"/>
    </row>
    <row r="1748" spans="2:2" ht="24.95" customHeight="1" x14ac:dyDescent="0.2">
      <c r="B1748" s="268"/>
    </row>
    <row r="1749" spans="2:2" ht="24.95" customHeight="1" x14ac:dyDescent="0.2">
      <c r="B1749" s="268"/>
    </row>
    <row r="1750" spans="2:2" ht="24.95" customHeight="1" x14ac:dyDescent="0.2">
      <c r="B1750" s="268"/>
    </row>
    <row r="1751" spans="2:2" ht="24.95" customHeight="1" x14ac:dyDescent="0.2">
      <c r="B1751" s="268"/>
    </row>
    <row r="1752" spans="2:2" ht="24.95" customHeight="1" x14ac:dyDescent="0.2">
      <c r="B1752" s="268"/>
    </row>
    <row r="1753" spans="2:2" ht="24.95" customHeight="1" x14ac:dyDescent="0.2">
      <c r="B1753" s="268"/>
    </row>
    <row r="1754" spans="2:2" ht="24.95" customHeight="1" x14ac:dyDescent="0.2">
      <c r="B1754" s="268"/>
    </row>
    <row r="1755" spans="2:2" ht="24.95" customHeight="1" x14ac:dyDescent="0.2">
      <c r="B1755" s="268"/>
    </row>
    <row r="1756" spans="2:2" ht="24.95" customHeight="1" x14ac:dyDescent="0.2">
      <c r="B1756" s="268"/>
    </row>
    <row r="1757" spans="2:2" ht="24.95" customHeight="1" x14ac:dyDescent="0.2">
      <c r="B1757" s="268"/>
    </row>
    <row r="1758" spans="2:2" ht="24.95" customHeight="1" x14ac:dyDescent="0.2">
      <c r="B1758" s="268"/>
    </row>
    <row r="1759" spans="2:2" ht="24.95" customHeight="1" x14ac:dyDescent="0.2">
      <c r="B1759" s="268"/>
    </row>
    <row r="1760" spans="2:2" ht="24.95" customHeight="1" x14ac:dyDescent="0.2">
      <c r="B1760" s="268"/>
    </row>
    <row r="1761" spans="2:2" ht="24.95" customHeight="1" x14ac:dyDescent="0.2">
      <c r="B1761" s="268"/>
    </row>
    <row r="1762" spans="2:2" ht="24.95" customHeight="1" x14ac:dyDescent="0.2">
      <c r="B1762" s="268"/>
    </row>
    <row r="1763" spans="2:2" ht="24.95" customHeight="1" x14ac:dyDescent="0.2">
      <c r="B1763" s="268"/>
    </row>
    <row r="1764" spans="2:2" ht="24.95" customHeight="1" x14ac:dyDescent="0.2">
      <c r="B1764" s="268"/>
    </row>
    <row r="1765" spans="2:2" ht="24.95" customHeight="1" x14ac:dyDescent="0.2">
      <c r="B1765" s="268"/>
    </row>
    <row r="1766" spans="2:2" ht="24.95" customHeight="1" x14ac:dyDescent="0.2">
      <c r="B1766" s="268"/>
    </row>
    <row r="1767" spans="2:2" ht="24.95" customHeight="1" x14ac:dyDescent="0.2">
      <c r="B1767" s="268"/>
    </row>
    <row r="1768" spans="2:2" ht="24.95" customHeight="1" x14ac:dyDescent="0.2">
      <c r="B1768" s="268"/>
    </row>
    <row r="1769" spans="2:2" ht="24.95" customHeight="1" x14ac:dyDescent="0.2">
      <c r="B1769" s="268"/>
    </row>
    <row r="1770" spans="2:2" ht="24.95" customHeight="1" x14ac:dyDescent="0.2">
      <c r="B1770" s="268"/>
    </row>
    <row r="1771" spans="2:2" ht="24.95" customHeight="1" x14ac:dyDescent="0.2">
      <c r="B1771" s="268"/>
    </row>
    <row r="1772" spans="2:2" ht="24.95" customHeight="1" x14ac:dyDescent="0.2">
      <c r="B1772" s="268"/>
    </row>
    <row r="1773" spans="2:2" ht="24.95" customHeight="1" x14ac:dyDescent="0.2">
      <c r="B1773" s="268"/>
    </row>
    <row r="1774" spans="2:2" ht="24.95" customHeight="1" x14ac:dyDescent="0.2">
      <c r="B1774" s="268"/>
    </row>
    <row r="1775" spans="2:2" ht="24.95" customHeight="1" x14ac:dyDescent="0.2">
      <c r="B1775" s="268"/>
    </row>
    <row r="1776" spans="2:2" ht="24.95" customHeight="1" x14ac:dyDescent="0.2">
      <c r="B1776" s="268"/>
    </row>
    <row r="1777" spans="2:2" ht="24.95" customHeight="1" x14ac:dyDescent="0.2">
      <c r="B1777" s="268"/>
    </row>
    <row r="1778" spans="2:2" ht="24.95" customHeight="1" x14ac:dyDescent="0.2">
      <c r="B1778" s="268"/>
    </row>
    <row r="1779" spans="2:2" ht="24.95" customHeight="1" x14ac:dyDescent="0.2">
      <c r="B1779" s="268"/>
    </row>
    <row r="1780" spans="2:2" ht="24.95" customHeight="1" x14ac:dyDescent="0.2">
      <c r="B1780" s="268"/>
    </row>
    <row r="1781" spans="2:2" ht="24.95" customHeight="1" x14ac:dyDescent="0.2">
      <c r="B1781" s="268"/>
    </row>
    <row r="1782" spans="2:2" ht="24.95" customHeight="1" x14ac:dyDescent="0.2">
      <c r="B1782" s="268"/>
    </row>
    <row r="1783" spans="2:2" ht="24.95" customHeight="1" x14ac:dyDescent="0.2">
      <c r="B1783" s="268"/>
    </row>
    <row r="1784" spans="2:2" ht="24.95" customHeight="1" x14ac:dyDescent="0.2">
      <c r="B1784" s="268"/>
    </row>
    <row r="1785" spans="2:2" ht="24.95" customHeight="1" x14ac:dyDescent="0.2">
      <c r="B1785" s="268"/>
    </row>
    <row r="1786" spans="2:2" ht="24.95" customHeight="1" x14ac:dyDescent="0.2">
      <c r="B1786" s="268"/>
    </row>
    <row r="1787" spans="2:2" ht="24.95" customHeight="1" x14ac:dyDescent="0.2">
      <c r="B1787" s="268"/>
    </row>
    <row r="1788" spans="2:2" ht="24.95" customHeight="1" x14ac:dyDescent="0.2">
      <c r="B1788" s="268"/>
    </row>
    <row r="1789" spans="2:2" ht="24.95" customHeight="1" x14ac:dyDescent="0.2">
      <c r="B1789" s="268"/>
    </row>
    <row r="1790" spans="2:2" ht="24.95" customHeight="1" x14ac:dyDescent="0.2">
      <c r="B1790" s="268"/>
    </row>
    <row r="1791" spans="2:2" ht="24.95" customHeight="1" x14ac:dyDescent="0.2">
      <c r="B1791" s="268"/>
    </row>
    <row r="1792" spans="2:2" ht="24.95" customHeight="1" x14ac:dyDescent="0.2">
      <c r="B1792" s="268"/>
    </row>
    <row r="1793" spans="2:2" ht="24.95" customHeight="1" x14ac:dyDescent="0.2">
      <c r="B1793" s="268"/>
    </row>
    <row r="1794" spans="2:2" ht="24.95" customHeight="1" x14ac:dyDescent="0.2">
      <c r="B1794" s="268"/>
    </row>
    <row r="1795" spans="2:2" ht="24.95" customHeight="1" x14ac:dyDescent="0.2">
      <c r="B1795" s="268"/>
    </row>
    <row r="1796" spans="2:2" ht="24.95" customHeight="1" x14ac:dyDescent="0.2">
      <c r="B1796" s="268"/>
    </row>
    <row r="1797" spans="2:2" ht="24.95" customHeight="1" x14ac:dyDescent="0.2">
      <c r="B1797" s="268"/>
    </row>
    <row r="1798" spans="2:2" ht="24.95" customHeight="1" x14ac:dyDescent="0.2">
      <c r="B1798" s="268"/>
    </row>
    <row r="1799" spans="2:2" ht="24.95" customHeight="1" x14ac:dyDescent="0.2">
      <c r="B1799" s="268"/>
    </row>
    <row r="1800" spans="2:2" ht="24.95" customHeight="1" x14ac:dyDescent="0.2">
      <c r="B1800" s="268"/>
    </row>
    <row r="1801" spans="2:2" ht="24.95" customHeight="1" x14ac:dyDescent="0.2">
      <c r="B1801" s="268"/>
    </row>
    <row r="1802" spans="2:2" ht="24.95" customHeight="1" x14ac:dyDescent="0.2">
      <c r="B1802" s="268"/>
    </row>
    <row r="1803" spans="2:2" ht="24.95" customHeight="1" x14ac:dyDescent="0.2">
      <c r="B1803" s="268"/>
    </row>
    <row r="1804" spans="2:2" ht="24.95" customHeight="1" x14ac:dyDescent="0.2">
      <c r="B1804" s="268"/>
    </row>
    <row r="1805" spans="2:2" ht="24.95" customHeight="1" x14ac:dyDescent="0.2">
      <c r="B1805" s="268"/>
    </row>
    <row r="1806" spans="2:2" ht="24.95" customHeight="1" x14ac:dyDescent="0.2">
      <c r="B1806" s="268"/>
    </row>
    <row r="1807" spans="2:2" ht="24.95" customHeight="1" x14ac:dyDescent="0.2">
      <c r="B1807" s="268"/>
    </row>
    <row r="1808" spans="2:2" ht="24.95" customHeight="1" x14ac:dyDescent="0.2">
      <c r="B1808" s="268"/>
    </row>
    <row r="1809" spans="2:2" ht="24.95" customHeight="1" x14ac:dyDescent="0.2">
      <c r="B1809" s="268"/>
    </row>
    <row r="1810" spans="2:2" ht="24.95" customHeight="1" x14ac:dyDescent="0.2">
      <c r="B1810" s="268"/>
    </row>
    <row r="1811" spans="2:2" ht="24.95" customHeight="1" x14ac:dyDescent="0.2">
      <c r="B1811" s="268"/>
    </row>
    <row r="1812" spans="2:2" ht="24.95" customHeight="1" x14ac:dyDescent="0.2">
      <c r="B1812" s="268"/>
    </row>
    <row r="1813" spans="2:2" ht="24.95" customHeight="1" x14ac:dyDescent="0.2">
      <c r="B1813" s="268"/>
    </row>
    <row r="1814" spans="2:2" ht="24.95" customHeight="1" x14ac:dyDescent="0.2">
      <c r="B1814" s="268"/>
    </row>
    <row r="1815" spans="2:2" ht="24.95" customHeight="1" x14ac:dyDescent="0.2">
      <c r="B1815" s="268"/>
    </row>
    <row r="1816" spans="2:2" ht="24.95" customHeight="1" x14ac:dyDescent="0.2">
      <c r="B1816" s="268"/>
    </row>
    <row r="1817" spans="2:2" ht="24.95" customHeight="1" x14ac:dyDescent="0.2">
      <c r="B1817" s="268"/>
    </row>
    <row r="1818" spans="2:2" ht="24.95" customHeight="1" x14ac:dyDescent="0.2">
      <c r="B1818" s="268"/>
    </row>
    <row r="1819" spans="2:2" ht="24.95" customHeight="1" x14ac:dyDescent="0.2">
      <c r="B1819" s="268"/>
    </row>
    <row r="1820" spans="2:2" ht="24.95" customHeight="1" x14ac:dyDescent="0.2">
      <c r="B1820" s="268"/>
    </row>
    <row r="1821" spans="2:2" ht="24.95" customHeight="1" x14ac:dyDescent="0.2">
      <c r="B1821" s="268"/>
    </row>
    <row r="1822" spans="2:2" ht="24.95" customHeight="1" x14ac:dyDescent="0.2">
      <c r="B1822" s="268"/>
    </row>
    <row r="1823" spans="2:2" ht="24.95" customHeight="1" x14ac:dyDescent="0.2">
      <c r="B1823" s="268"/>
    </row>
    <row r="1824" spans="2:2" ht="24.95" customHeight="1" x14ac:dyDescent="0.2">
      <c r="B1824" s="268"/>
    </row>
    <row r="1825" spans="2:2" ht="24.95" customHeight="1" x14ac:dyDescent="0.2">
      <c r="B1825" s="268"/>
    </row>
    <row r="1826" spans="2:2" ht="24.95" customHeight="1" x14ac:dyDescent="0.2">
      <c r="B1826" s="268"/>
    </row>
    <row r="1827" spans="2:2" ht="24.95" customHeight="1" x14ac:dyDescent="0.2">
      <c r="B1827" s="268"/>
    </row>
    <row r="1828" spans="2:2" ht="24.95" customHeight="1" x14ac:dyDescent="0.2">
      <c r="B1828" s="268"/>
    </row>
    <row r="1829" spans="2:2" ht="24.95" customHeight="1" x14ac:dyDescent="0.2">
      <c r="B1829" s="268"/>
    </row>
    <row r="1830" spans="2:2" ht="24.95" customHeight="1" x14ac:dyDescent="0.2">
      <c r="B1830" s="268"/>
    </row>
    <row r="1831" spans="2:2" ht="24.95" customHeight="1" x14ac:dyDescent="0.2">
      <c r="B1831" s="268"/>
    </row>
    <row r="1832" spans="2:2" ht="24.95" customHeight="1" x14ac:dyDescent="0.2">
      <c r="B1832" s="268"/>
    </row>
    <row r="1833" spans="2:2" ht="24.95" customHeight="1" x14ac:dyDescent="0.2">
      <c r="B1833" s="268"/>
    </row>
    <row r="1834" spans="2:2" ht="24.95" customHeight="1" x14ac:dyDescent="0.2">
      <c r="B1834" s="268"/>
    </row>
    <row r="1835" spans="2:2" ht="24.95" customHeight="1" x14ac:dyDescent="0.2">
      <c r="B1835" s="268"/>
    </row>
    <row r="1836" spans="2:2" ht="24.95" customHeight="1" x14ac:dyDescent="0.2">
      <c r="B1836" s="268"/>
    </row>
    <row r="1837" spans="2:2" ht="24.95" customHeight="1" x14ac:dyDescent="0.2">
      <c r="B1837" s="268"/>
    </row>
    <row r="1838" spans="2:2" ht="24.95" customHeight="1" x14ac:dyDescent="0.2">
      <c r="B1838" s="268"/>
    </row>
    <row r="1839" spans="2:2" ht="24.95" customHeight="1" x14ac:dyDescent="0.2">
      <c r="B1839" s="268"/>
    </row>
    <row r="1840" spans="2:2" ht="24.95" customHeight="1" x14ac:dyDescent="0.2">
      <c r="B1840" s="268"/>
    </row>
    <row r="1841" spans="2:2" ht="24.95" customHeight="1" x14ac:dyDescent="0.2">
      <c r="B1841" s="268"/>
    </row>
    <row r="1842" spans="2:2" ht="24.95" customHeight="1" x14ac:dyDescent="0.2">
      <c r="B1842" s="268"/>
    </row>
    <row r="1843" spans="2:2" ht="24.95" customHeight="1" x14ac:dyDescent="0.2">
      <c r="B1843" s="268"/>
    </row>
    <row r="1844" spans="2:2" ht="24.95" customHeight="1" x14ac:dyDescent="0.2">
      <c r="B1844" s="268"/>
    </row>
    <row r="1845" spans="2:2" ht="24.95" customHeight="1" x14ac:dyDescent="0.2">
      <c r="B1845" s="268"/>
    </row>
    <row r="1846" spans="2:2" ht="24.95" customHeight="1" x14ac:dyDescent="0.2">
      <c r="B1846" s="268"/>
    </row>
    <row r="1847" spans="2:2" ht="24.95" customHeight="1" x14ac:dyDescent="0.2">
      <c r="B1847" s="268"/>
    </row>
    <row r="1848" spans="2:2" ht="24.95" customHeight="1" x14ac:dyDescent="0.2">
      <c r="B1848" s="268"/>
    </row>
    <row r="1849" spans="2:2" ht="24.95" customHeight="1" x14ac:dyDescent="0.2">
      <c r="B1849" s="268"/>
    </row>
    <row r="1850" spans="2:2" ht="24.95" customHeight="1" x14ac:dyDescent="0.2">
      <c r="B1850" s="268"/>
    </row>
    <row r="1851" spans="2:2" ht="24.95" customHeight="1" x14ac:dyDescent="0.2">
      <c r="B1851" s="268"/>
    </row>
    <row r="1852" spans="2:2" ht="24.95" customHeight="1" x14ac:dyDescent="0.2">
      <c r="B1852" s="268"/>
    </row>
    <row r="1853" spans="2:2" ht="24.95" customHeight="1" x14ac:dyDescent="0.2">
      <c r="B1853" s="268"/>
    </row>
    <row r="1854" spans="2:2" ht="24.95" customHeight="1" x14ac:dyDescent="0.2">
      <c r="B1854" s="268"/>
    </row>
    <row r="1855" spans="2:2" ht="24.95" customHeight="1" x14ac:dyDescent="0.2">
      <c r="B1855" s="268"/>
    </row>
    <row r="1856" spans="2:2" ht="24.95" customHeight="1" x14ac:dyDescent="0.2">
      <c r="B1856" s="268"/>
    </row>
    <row r="1857" spans="2:2" ht="24.95" customHeight="1" x14ac:dyDescent="0.2">
      <c r="B1857" s="268"/>
    </row>
    <row r="1858" spans="2:2" ht="24.95" customHeight="1" x14ac:dyDescent="0.2">
      <c r="B1858" s="268"/>
    </row>
    <row r="1859" spans="2:2" ht="24.95" customHeight="1" x14ac:dyDescent="0.2">
      <c r="B1859" s="268"/>
    </row>
    <row r="1860" spans="2:2" ht="24.95" customHeight="1" x14ac:dyDescent="0.2">
      <c r="B1860" s="268"/>
    </row>
    <row r="1861" spans="2:2" ht="24.95" customHeight="1" x14ac:dyDescent="0.2">
      <c r="B1861" s="268"/>
    </row>
    <row r="1862" spans="2:2" ht="24.95" customHeight="1" x14ac:dyDescent="0.2">
      <c r="B1862" s="268"/>
    </row>
    <row r="1863" spans="2:2" ht="24.95" customHeight="1" x14ac:dyDescent="0.2">
      <c r="B1863" s="268"/>
    </row>
    <row r="1864" spans="2:2" ht="24.95" customHeight="1" x14ac:dyDescent="0.2">
      <c r="B1864" s="268"/>
    </row>
    <row r="1865" spans="2:2" ht="24.95" customHeight="1" x14ac:dyDescent="0.2">
      <c r="B1865" s="268"/>
    </row>
    <row r="1866" spans="2:2" ht="24.95" customHeight="1" x14ac:dyDescent="0.2">
      <c r="B1866" s="268"/>
    </row>
    <row r="1867" spans="2:2" ht="24.95" customHeight="1" x14ac:dyDescent="0.2">
      <c r="B1867" s="268"/>
    </row>
    <row r="1868" spans="2:2" ht="24.95" customHeight="1" x14ac:dyDescent="0.2">
      <c r="B1868" s="268"/>
    </row>
    <row r="1869" spans="2:2" ht="24.95" customHeight="1" x14ac:dyDescent="0.2">
      <c r="B1869" s="268"/>
    </row>
    <row r="1870" spans="2:2" ht="24.95" customHeight="1" x14ac:dyDescent="0.2">
      <c r="B1870" s="268"/>
    </row>
    <row r="1871" spans="2:2" ht="24.95" customHeight="1" x14ac:dyDescent="0.2">
      <c r="B1871" s="268"/>
    </row>
    <row r="1872" spans="2:2" ht="24.95" customHeight="1" x14ac:dyDescent="0.2">
      <c r="B1872" s="268"/>
    </row>
    <row r="1873" spans="2:2" ht="24.95" customHeight="1" x14ac:dyDescent="0.2">
      <c r="B1873" s="268"/>
    </row>
    <row r="1874" spans="2:2" ht="24.95" customHeight="1" x14ac:dyDescent="0.2">
      <c r="B1874" s="268"/>
    </row>
    <row r="1875" spans="2:2" ht="24.95" customHeight="1" x14ac:dyDescent="0.2">
      <c r="B1875" s="268"/>
    </row>
    <row r="1876" spans="2:2" ht="24.95" customHeight="1" x14ac:dyDescent="0.2">
      <c r="B1876" s="268"/>
    </row>
    <row r="1877" spans="2:2" ht="24.95" customHeight="1" x14ac:dyDescent="0.2">
      <c r="B1877" s="268"/>
    </row>
    <row r="1878" spans="2:2" ht="24.95" customHeight="1" x14ac:dyDescent="0.2">
      <c r="B1878" s="268"/>
    </row>
    <row r="1879" spans="2:2" ht="24.95" customHeight="1" x14ac:dyDescent="0.2">
      <c r="B1879" s="268"/>
    </row>
    <row r="1880" spans="2:2" ht="24.95" customHeight="1" x14ac:dyDescent="0.2">
      <c r="B1880" s="268"/>
    </row>
    <row r="1881" spans="2:2" ht="24.95" customHeight="1" x14ac:dyDescent="0.2">
      <c r="B1881" s="268"/>
    </row>
    <row r="1882" spans="2:2" ht="24.95" customHeight="1" x14ac:dyDescent="0.2">
      <c r="B1882" s="268"/>
    </row>
    <row r="1883" spans="2:2" ht="24.95" customHeight="1" x14ac:dyDescent="0.2">
      <c r="B1883" s="268"/>
    </row>
    <row r="1884" spans="2:2" ht="24.95" customHeight="1" x14ac:dyDescent="0.2">
      <c r="B1884" s="268"/>
    </row>
    <row r="1885" spans="2:2" ht="24.95" customHeight="1" x14ac:dyDescent="0.2">
      <c r="B1885" s="268"/>
    </row>
    <row r="1886" spans="2:2" ht="24.95" customHeight="1" x14ac:dyDescent="0.2">
      <c r="B1886" s="268"/>
    </row>
    <row r="1887" spans="2:2" ht="24.95" customHeight="1" x14ac:dyDescent="0.2">
      <c r="B1887" s="268"/>
    </row>
    <row r="1888" spans="2:2" ht="24.95" customHeight="1" x14ac:dyDescent="0.2">
      <c r="B1888" s="268"/>
    </row>
    <row r="1889" spans="2:2" ht="24.95" customHeight="1" x14ac:dyDescent="0.2">
      <c r="B1889" s="268"/>
    </row>
    <row r="1890" spans="2:2" ht="24.95" customHeight="1" x14ac:dyDescent="0.2">
      <c r="B1890" s="268"/>
    </row>
    <row r="1891" spans="2:2" ht="24.95" customHeight="1" x14ac:dyDescent="0.2">
      <c r="B1891" s="268"/>
    </row>
    <row r="1892" spans="2:2" ht="24.95" customHeight="1" x14ac:dyDescent="0.2">
      <c r="B1892" s="268"/>
    </row>
    <row r="1893" spans="2:2" ht="24.95" customHeight="1" x14ac:dyDescent="0.2">
      <c r="B1893" s="268"/>
    </row>
    <row r="1894" spans="2:2" ht="24.95" customHeight="1" x14ac:dyDescent="0.2">
      <c r="B1894" s="268"/>
    </row>
    <row r="1895" spans="2:2" ht="24.95" customHeight="1" x14ac:dyDescent="0.2">
      <c r="B1895" s="268"/>
    </row>
    <row r="1896" spans="2:2" ht="24.95" customHeight="1" x14ac:dyDescent="0.2">
      <c r="B1896" s="268"/>
    </row>
    <row r="1897" spans="2:2" ht="24.95" customHeight="1" x14ac:dyDescent="0.2">
      <c r="B1897" s="268"/>
    </row>
    <row r="1898" spans="2:2" ht="24.95" customHeight="1" x14ac:dyDescent="0.2">
      <c r="B1898" s="268"/>
    </row>
    <row r="1899" spans="2:2" ht="24.95" customHeight="1" x14ac:dyDescent="0.2">
      <c r="B1899" s="268"/>
    </row>
    <row r="1900" spans="2:2" ht="24.95" customHeight="1" x14ac:dyDescent="0.2">
      <c r="B1900" s="268"/>
    </row>
    <row r="1901" spans="2:2" ht="24.95" customHeight="1" x14ac:dyDescent="0.2">
      <c r="B1901" s="268"/>
    </row>
    <row r="1902" spans="2:2" ht="24.95" customHeight="1" x14ac:dyDescent="0.2">
      <c r="B1902" s="268"/>
    </row>
    <row r="1903" spans="2:2" ht="24.95" customHeight="1" x14ac:dyDescent="0.2">
      <c r="B1903" s="268"/>
    </row>
    <row r="1904" spans="2:2" ht="24.95" customHeight="1" x14ac:dyDescent="0.2">
      <c r="B1904" s="268"/>
    </row>
    <row r="1905" spans="2:2" ht="24.95" customHeight="1" x14ac:dyDescent="0.2">
      <c r="B1905" s="268"/>
    </row>
    <row r="1906" spans="2:2" ht="24.95" customHeight="1" x14ac:dyDescent="0.2">
      <c r="B1906" s="268"/>
    </row>
    <row r="1907" spans="2:2" ht="24.95" customHeight="1" x14ac:dyDescent="0.2">
      <c r="B1907" s="268"/>
    </row>
    <row r="1908" spans="2:2" ht="24.95" customHeight="1" x14ac:dyDescent="0.2">
      <c r="B1908" s="268"/>
    </row>
    <row r="1909" spans="2:2" ht="24.95" customHeight="1" x14ac:dyDescent="0.2">
      <c r="B1909" s="268"/>
    </row>
    <row r="1910" spans="2:2" ht="24.95" customHeight="1" x14ac:dyDescent="0.2">
      <c r="B1910" s="268"/>
    </row>
    <row r="1911" spans="2:2" ht="24.95" customHeight="1" x14ac:dyDescent="0.2">
      <c r="B1911" s="268"/>
    </row>
    <row r="1912" spans="2:2" ht="24.95" customHeight="1" x14ac:dyDescent="0.2">
      <c r="B1912" s="268"/>
    </row>
    <row r="1913" spans="2:2" ht="24.95" customHeight="1" x14ac:dyDescent="0.2">
      <c r="B1913" s="268"/>
    </row>
    <row r="1914" spans="2:2" ht="24.95" customHeight="1" x14ac:dyDescent="0.2">
      <c r="B1914" s="268"/>
    </row>
    <row r="1915" spans="2:2" ht="24.95" customHeight="1" x14ac:dyDescent="0.2">
      <c r="B1915" s="268"/>
    </row>
    <row r="1916" spans="2:2" ht="24.95" customHeight="1" x14ac:dyDescent="0.2">
      <c r="B1916" s="268"/>
    </row>
    <row r="1917" spans="2:2" ht="24.95" customHeight="1" x14ac:dyDescent="0.2">
      <c r="B1917" s="268"/>
    </row>
    <row r="1918" spans="2:2" ht="24.95" customHeight="1" x14ac:dyDescent="0.2">
      <c r="B1918" s="268"/>
    </row>
    <row r="1919" spans="2:2" ht="24.95" customHeight="1" x14ac:dyDescent="0.2">
      <c r="B1919" s="268"/>
    </row>
    <row r="1920" spans="2:2" ht="24.95" customHeight="1" x14ac:dyDescent="0.2">
      <c r="B1920" s="268"/>
    </row>
    <row r="1921" spans="2:2" ht="24.95" customHeight="1" x14ac:dyDescent="0.2">
      <c r="B1921" s="268"/>
    </row>
    <row r="1922" spans="2:2" ht="24.95" customHeight="1" x14ac:dyDescent="0.2">
      <c r="B1922" s="268"/>
    </row>
    <row r="1923" spans="2:2" ht="24.95" customHeight="1" x14ac:dyDescent="0.2">
      <c r="B1923" s="268"/>
    </row>
    <row r="1924" spans="2:2" ht="24.95" customHeight="1" x14ac:dyDescent="0.2">
      <c r="B1924" s="268"/>
    </row>
    <row r="1925" spans="2:2" ht="24.95" customHeight="1" x14ac:dyDescent="0.2">
      <c r="B1925" s="268"/>
    </row>
    <row r="1926" spans="2:2" ht="24.95" customHeight="1" x14ac:dyDescent="0.2">
      <c r="B1926" s="268"/>
    </row>
    <row r="1927" spans="2:2" ht="24.95" customHeight="1" x14ac:dyDescent="0.2">
      <c r="B1927" s="268"/>
    </row>
    <row r="1928" spans="2:2" ht="24.95" customHeight="1" x14ac:dyDescent="0.2">
      <c r="B1928" s="268"/>
    </row>
    <row r="1929" spans="2:2" ht="24.95" customHeight="1" x14ac:dyDescent="0.2">
      <c r="B1929" s="268"/>
    </row>
    <row r="1930" spans="2:2" ht="24.95" customHeight="1" x14ac:dyDescent="0.2">
      <c r="B1930" s="268"/>
    </row>
    <row r="1931" spans="2:2" ht="24.95" customHeight="1" x14ac:dyDescent="0.2">
      <c r="B1931" s="268"/>
    </row>
    <row r="1932" spans="2:2" ht="24.95" customHeight="1" x14ac:dyDescent="0.2">
      <c r="B1932" s="268"/>
    </row>
    <row r="1933" spans="2:2" ht="24.95" customHeight="1" x14ac:dyDescent="0.2">
      <c r="B1933" s="268"/>
    </row>
    <row r="1934" spans="2:2" ht="24.95" customHeight="1" x14ac:dyDescent="0.2">
      <c r="B1934" s="268"/>
    </row>
    <row r="1935" spans="2:2" ht="24.95" customHeight="1" x14ac:dyDescent="0.2">
      <c r="B1935" s="268"/>
    </row>
    <row r="1936" spans="2:2" ht="24.95" customHeight="1" x14ac:dyDescent="0.2">
      <c r="B1936" s="268"/>
    </row>
    <row r="1937" spans="2:2" ht="24.95" customHeight="1" x14ac:dyDescent="0.2">
      <c r="B1937" s="268"/>
    </row>
    <row r="1938" spans="2:2" ht="24.95" customHeight="1" x14ac:dyDescent="0.2">
      <c r="B1938" s="268"/>
    </row>
    <row r="1939" spans="2:2" ht="24.95" customHeight="1" x14ac:dyDescent="0.2">
      <c r="B1939" s="268"/>
    </row>
    <row r="1940" spans="2:2" ht="24.95" customHeight="1" x14ac:dyDescent="0.2">
      <c r="B1940" s="268"/>
    </row>
    <row r="1941" spans="2:2" ht="24.95" customHeight="1" x14ac:dyDescent="0.2">
      <c r="B1941" s="268"/>
    </row>
    <row r="1942" spans="2:2" ht="24.95" customHeight="1" x14ac:dyDescent="0.2">
      <c r="B1942" s="268"/>
    </row>
    <row r="1943" spans="2:2" ht="24.95" customHeight="1" x14ac:dyDescent="0.2">
      <c r="B1943" s="268"/>
    </row>
    <row r="1944" spans="2:2" ht="24.95" customHeight="1" x14ac:dyDescent="0.2">
      <c r="B1944" s="268"/>
    </row>
    <row r="1945" spans="2:2" ht="24.95" customHeight="1" x14ac:dyDescent="0.2">
      <c r="B1945" s="268"/>
    </row>
    <row r="1946" spans="2:2" ht="24.95" customHeight="1" x14ac:dyDescent="0.2">
      <c r="B1946" s="268"/>
    </row>
    <row r="1947" spans="2:2" ht="24.95" customHeight="1" x14ac:dyDescent="0.2">
      <c r="B1947" s="268"/>
    </row>
    <row r="1948" spans="2:2" ht="24.95" customHeight="1" x14ac:dyDescent="0.2">
      <c r="B1948" s="268"/>
    </row>
    <row r="1949" spans="2:2" ht="24.95" customHeight="1" x14ac:dyDescent="0.2">
      <c r="B1949" s="268"/>
    </row>
    <row r="1950" spans="2:2" ht="24.95" customHeight="1" x14ac:dyDescent="0.2">
      <c r="B1950" s="268"/>
    </row>
    <row r="1951" spans="2:2" ht="24.95" customHeight="1" x14ac:dyDescent="0.2">
      <c r="B1951" s="268"/>
    </row>
    <row r="1952" spans="2:2" ht="24.95" customHeight="1" x14ac:dyDescent="0.2">
      <c r="B1952" s="268"/>
    </row>
    <row r="1953" spans="2:2" ht="24.95" customHeight="1" x14ac:dyDescent="0.2">
      <c r="B1953" s="268"/>
    </row>
    <row r="1954" spans="2:2" ht="24.95" customHeight="1" x14ac:dyDescent="0.2">
      <c r="B1954" s="268"/>
    </row>
    <row r="1955" spans="2:2" ht="24.95" customHeight="1" x14ac:dyDescent="0.2">
      <c r="B1955" s="268"/>
    </row>
    <row r="1956" spans="2:2" ht="24.95" customHeight="1" x14ac:dyDescent="0.2">
      <c r="B1956" s="268"/>
    </row>
    <row r="1957" spans="2:2" ht="24.95" customHeight="1" x14ac:dyDescent="0.2">
      <c r="B1957" s="268"/>
    </row>
    <row r="1958" spans="2:2" ht="24.95" customHeight="1" x14ac:dyDescent="0.2">
      <c r="B1958" s="268"/>
    </row>
    <row r="1959" spans="2:2" ht="24.95" customHeight="1" x14ac:dyDescent="0.2">
      <c r="B1959" s="268"/>
    </row>
    <row r="1960" spans="2:2" ht="24.95" customHeight="1" x14ac:dyDescent="0.2">
      <c r="B1960" s="268"/>
    </row>
    <row r="1961" spans="2:2" ht="24.95" customHeight="1" x14ac:dyDescent="0.2">
      <c r="B1961" s="268"/>
    </row>
    <row r="1962" spans="2:2" ht="24.95" customHeight="1" x14ac:dyDescent="0.2">
      <c r="B1962" s="268"/>
    </row>
    <row r="1963" spans="2:2" ht="24.95" customHeight="1" x14ac:dyDescent="0.2">
      <c r="B1963" s="268"/>
    </row>
    <row r="1964" spans="2:2" ht="24.95" customHeight="1" x14ac:dyDescent="0.2">
      <c r="B1964" s="268"/>
    </row>
    <row r="1965" spans="2:2" ht="24.95" customHeight="1" x14ac:dyDescent="0.2">
      <c r="B1965" s="268"/>
    </row>
    <row r="1966" spans="2:2" ht="24.95" customHeight="1" x14ac:dyDescent="0.2">
      <c r="B1966" s="268"/>
    </row>
    <row r="1967" spans="2:2" ht="24.95" customHeight="1" x14ac:dyDescent="0.2">
      <c r="B1967" s="268"/>
    </row>
    <row r="1968" spans="2:2" ht="24.95" customHeight="1" x14ac:dyDescent="0.2">
      <c r="B1968" s="268"/>
    </row>
    <row r="1969" spans="2:2" ht="24.95" customHeight="1" x14ac:dyDescent="0.2">
      <c r="B1969" s="268"/>
    </row>
    <row r="1970" spans="2:2" ht="24.95" customHeight="1" x14ac:dyDescent="0.2">
      <c r="B1970" s="268"/>
    </row>
    <row r="1971" spans="2:2" ht="24.95" customHeight="1" x14ac:dyDescent="0.2">
      <c r="B1971" s="268"/>
    </row>
    <row r="1972" spans="2:2" ht="24.95" customHeight="1" x14ac:dyDescent="0.2">
      <c r="B1972" s="268"/>
    </row>
    <row r="1973" spans="2:2" ht="24.95" customHeight="1" x14ac:dyDescent="0.2">
      <c r="B1973" s="268"/>
    </row>
    <row r="1974" spans="2:2" ht="24.95" customHeight="1" x14ac:dyDescent="0.2">
      <c r="B1974" s="268"/>
    </row>
    <row r="1975" spans="2:2" ht="24.95" customHeight="1" x14ac:dyDescent="0.2">
      <c r="B1975" s="268"/>
    </row>
    <row r="1976" spans="2:2" ht="24.95" customHeight="1" x14ac:dyDescent="0.2">
      <c r="B1976" s="268"/>
    </row>
    <row r="1977" spans="2:2" ht="24.95" customHeight="1" x14ac:dyDescent="0.2">
      <c r="B1977" s="268"/>
    </row>
    <row r="1978" spans="2:2" ht="24.95" customHeight="1" x14ac:dyDescent="0.2">
      <c r="B1978" s="268"/>
    </row>
    <row r="1979" spans="2:2" ht="24.95" customHeight="1" x14ac:dyDescent="0.2">
      <c r="B1979" s="268"/>
    </row>
    <row r="1980" spans="2:2" ht="24.95" customHeight="1" x14ac:dyDescent="0.2">
      <c r="B1980" s="268"/>
    </row>
    <row r="1981" spans="2:2" ht="24.95" customHeight="1" x14ac:dyDescent="0.2">
      <c r="B1981" s="268"/>
    </row>
    <row r="1982" spans="2:2" ht="24.95" customHeight="1" x14ac:dyDescent="0.2">
      <c r="B1982" s="268"/>
    </row>
    <row r="1983" spans="2:2" ht="24.95" customHeight="1" x14ac:dyDescent="0.2">
      <c r="B1983" s="268"/>
    </row>
    <row r="1984" spans="2:2" ht="24.95" customHeight="1" x14ac:dyDescent="0.2">
      <c r="B1984" s="268"/>
    </row>
    <row r="1985" spans="2:2" ht="24.95" customHeight="1" x14ac:dyDescent="0.2">
      <c r="B1985" s="268"/>
    </row>
    <row r="1986" spans="2:2" ht="24.95" customHeight="1" x14ac:dyDescent="0.2">
      <c r="B1986" s="268"/>
    </row>
    <row r="1987" spans="2:2" ht="24.95" customHeight="1" x14ac:dyDescent="0.2">
      <c r="B1987" s="268"/>
    </row>
    <row r="1988" spans="2:2" ht="24.95" customHeight="1" x14ac:dyDescent="0.2">
      <c r="B1988" s="268"/>
    </row>
    <row r="1989" spans="2:2" ht="24.95" customHeight="1" x14ac:dyDescent="0.2">
      <c r="B1989" s="268"/>
    </row>
    <row r="1990" spans="2:2" ht="24.95" customHeight="1" x14ac:dyDescent="0.2">
      <c r="B1990" s="268"/>
    </row>
    <row r="1991" spans="2:2" ht="24.95" customHeight="1" x14ac:dyDescent="0.2">
      <c r="B1991" s="268"/>
    </row>
    <row r="1992" spans="2:2" ht="24.95" customHeight="1" x14ac:dyDescent="0.2">
      <c r="B1992" s="268"/>
    </row>
    <row r="1993" spans="2:2" ht="24.95" customHeight="1" x14ac:dyDescent="0.2">
      <c r="B1993" s="268"/>
    </row>
    <row r="1994" spans="2:2" ht="24.95" customHeight="1" x14ac:dyDescent="0.2">
      <c r="B1994" s="268"/>
    </row>
    <row r="1995" spans="2:2" ht="24.95" customHeight="1" x14ac:dyDescent="0.2">
      <c r="B1995" s="268"/>
    </row>
    <row r="1996" spans="2:2" ht="24.95" customHeight="1" x14ac:dyDescent="0.2">
      <c r="B1996" s="268"/>
    </row>
    <row r="1997" spans="2:2" ht="24.95" customHeight="1" x14ac:dyDescent="0.2">
      <c r="B1997" s="268"/>
    </row>
    <row r="1998" spans="2:2" ht="24.95" customHeight="1" x14ac:dyDescent="0.2">
      <c r="B1998" s="268"/>
    </row>
    <row r="1999" spans="2:2" ht="24.95" customHeight="1" x14ac:dyDescent="0.2">
      <c r="B1999" s="268"/>
    </row>
    <row r="2000" spans="2:2" ht="24.95" customHeight="1" x14ac:dyDescent="0.2">
      <c r="B2000" s="268"/>
    </row>
    <row r="2001" spans="2:2" ht="24.95" customHeight="1" x14ac:dyDescent="0.2">
      <c r="B2001" s="268"/>
    </row>
    <row r="2002" spans="2:2" ht="24.95" customHeight="1" x14ac:dyDescent="0.2">
      <c r="B2002" s="268"/>
    </row>
    <row r="2003" spans="2:2" ht="24.95" customHeight="1" x14ac:dyDescent="0.2">
      <c r="B2003" s="268"/>
    </row>
    <row r="2004" spans="2:2" ht="24.95" customHeight="1" x14ac:dyDescent="0.2">
      <c r="B2004" s="268"/>
    </row>
    <row r="2005" spans="2:2" ht="24.95" customHeight="1" x14ac:dyDescent="0.2">
      <c r="B2005" s="268"/>
    </row>
    <row r="2006" spans="2:2" ht="24.95" customHeight="1" x14ac:dyDescent="0.2">
      <c r="B2006" s="268"/>
    </row>
    <row r="2007" spans="2:2" ht="24.95" customHeight="1" x14ac:dyDescent="0.2">
      <c r="B2007" s="268"/>
    </row>
    <row r="2008" spans="2:2" ht="24.95" customHeight="1" x14ac:dyDescent="0.2">
      <c r="B2008" s="268"/>
    </row>
    <row r="2009" spans="2:2" ht="24.95" customHeight="1" x14ac:dyDescent="0.2">
      <c r="B2009" s="268"/>
    </row>
    <row r="2010" spans="2:2" ht="24.95" customHeight="1" x14ac:dyDescent="0.2">
      <c r="B2010" s="268"/>
    </row>
    <row r="2011" spans="2:2" ht="24.95" customHeight="1" x14ac:dyDescent="0.2">
      <c r="B2011" s="268"/>
    </row>
    <row r="2012" spans="2:2" ht="24.95" customHeight="1" x14ac:dyDescent="0.2">
      <c r="B2012" s="268"/>
    </row>
    <row r="2013" spans="2:2" ht="24.95" customHeight="1" x14ac:dyDescent="0.2">
      <c r="B2013" s="268"/>
    </row>
    <row r="2014" spans="2:2" ht="24.95" customHeight="1" x14ac:dyDescent="0.2">
      <c r="B2014" s="268"/>
    </row>
    <row r="2015" spans="2:2" ht="24.95" customHeight="1" x14ac:dyDescent="0.2">
      <c r="B2015" s="268"/>
    </row>
    <row r="2016" spans="2:2" ht="24.95" customHeight="1" x14ac:dyDescent="0.2">
      <c r="B2016" s="268"/>
    </row>
    <row r="2017" spans="2:2" ht="24.95" customHeight="1" x14ac:dyDescent="0.2">
      <c r="B2017" s="268"/>
    </row>
    <row r="2018" spans="2:2" ht="24.95" customHeight="1" x14ac:dyDescent="0.2">
      <c r="B2018" s="268"/>
    </row>
    <row r="2019" spans="2:2" ht="24.95" customHeight="1" x14ac:dyDescent="0.2">
      <c r="B2019" s="268"/>
    </row>
    <row r="2020" spans="2:2" ht="24.95" customHeight="1" x14ac:dyDescent="0.2">
      <c r="B2020" s="268"/>
    </row>
    <row r="2021" spans="2:2" ht="24.95" customHeight="1" x14ac:dyDescent="0.2">
      <c r="B2021" s="268"/>
    </row>
    <row r="2022" spans="2:2" ht="24.95" customHeight="1" x14ac:dyDescent="0.2">
      <c r="B2022" s="268"/>
    </row>
    <row r="2023" spans="2:2" ht="24.95" customHeight="1" x14ac:dyDescent="0.2">
      <c r="B2023" s="268"/>
    </row>
    <row r="2024" spans="2:2" ht="24.95" customHeight="1" x14ac:dyDescent="0.2">
      <c r="B2024" s="268"/>
    </row>
    <row r="2025" spans="2:2" ht="24.95" customHeight="1" x14ac:dyDescent="0.2">
      <c r="B2025" s="268"/>
    </row>
    <row r="2026" spans="2:2" ht="24.95" customHeight="1" x14ac:dyDescent="0.2">
      <c r="B2026" s="268"/>
    </row>
    <row r="2027" spans="2:2" ht="24.95" customHeight="1" x14ac:dyDescent="0.2">
      <c r="B2027" s="268"/>
    </row>
    <row r="2028" spans="2:2" ht="24.95" customHeight="1" x14ac:dyDescent="0.2">
      <c r="B2028" s="268"/>
    </row>
    <row r="2029" spans="2:2" ht="24.95" customHeight="1" x14ac:dyDescent="0.2">
      <c r="B2029" s="268"/>
    </row>
    <row r="2030" spans="2:2" ht="24.95" customHeight="1" x14ac:dyDescent="0.2">
      <c r="B2030" s="268"/>
    </row>
    <row r="2031" spans="2:2" ht="24.95" customHeight="1" x14ac:dyDescent="0.2">
      <c r="B2031" s="268"/>
    </row>
    <row r="2032" spans="2:2" ht="24.95" customHeight="1" x14ac:dyDescent="0.2">
      <c r="B2032" s="268"/>
    </row>
    <row r="2033" spans="2:2" ht="24.95" customHeight="1" x14ac:dyDescent="0.2">
      <c r="B2033" s="268"/>
    </row>
    <row r="2034" spans="2:2" ht="24.95" customHeight="1" x14ac:dyDescent="0.2">
      <c r="B2034" s="268"/>
    </row>
    <row r="2035" spans="2:2" ht="24.95" customHeight="1" x14ac:dyDescent="0.2">
      <c r="B2035" s="268"/>
    </row>
    <row r="2036" spans="2:2" ht="24.95" customHeight="1" x14ac:dyDescent="0.2">
      <c r="B2036" s="268"/>
    </row>
    <row r="2037" spans="2:2" ht="24.95" customHeight="1" x14ac:dyDescent="0.2">
      <c r="B2037" s="268"/>
    </row>
    <row r="2038" spans="2:2" ht="24.95" customHeight="1" x14ac:dyDescent="0.2">
      <c r="B2038" s="268"/>
    </row>
    <row r="2039" spans="2:2" ht="24.95" customHeight="1" x14ac:dyDescent="0.2">
      <c r="B2039" s="268"/>
    </row>
    <row r="2040" spans="2:2" ht="24.95" customHeight="1" x14ac:dyDescent="0.2">
      <c r="B2040" s="268"/>
    </row>
    <row r="2041" spans="2:2" ht="24.95" customHeight="1" x14ac:dyDescent="0.2">
      <c r="B2041" s="268"/>
    </row>
    <row r="2042" spans="2:2" ht="24.95" customHeight="1" x14ac:dyDescent="0.2">
      <c r="B2042" s="268"/>
    </row>
    <row r="2043" spans="2:2" ht="24.95" customHeight="1" x14ac:dyDescent="0.2">
      <c r="B2043" s="268"/>
    </row>
    <row r="2044" spans="2:2" ht="24.95" customHeight="1" x14ac:dyDescent="0.2">
      <c r="B2044" s="268"/>
    </row>
    <row r="2045" spans="2:2" ht="24.95" customHeight="1" x14ac:dyDescent="0.2">
      <c r="B2045" s="268"/>
    </row>
    <row r="2046" spans="2:2" ht="24.95" customHeight="1" x14ac:dyDescent="0.2">
      <c r="B2046" s="268"/>
    </row>
    <row r="2047" spans="2:2" ht="24.95" customHeight="1" x14ac:dyDescent="0.2">
      <c r="B2047" s="268"/>
    </row>
    <row r="2048" spans="2:2" ht="24.95" customHeight="1" x14ac:dyDescent="0.2">
      <c r="B2048" s="268"/>
    </row>
    <row r="2049" spans="2:2" ht="24.95" customHeight="1" x14ac:dyDescent="0.2">
      <c r="B2049" s="268"/>
    </row>
    <row r="2050" spans="2:2" ht="24.95" customHeight="1" x14ac:dyDescent="0.2">
      <c r="B2050" s="268"/>
    </row>
    <row r="2051" spans="2:2" ht="24.95" customHeight="1" x14ac:dyDescent="0.2">
      <c r="B2051" s="268"/>
    </row>
    <row r="2052" spans="2:2" ht="24.95" customHeight="1" x14ac:dyDescent="0.2">
      <c r="B2052" s="268"/>
    </row>
    <row r="2053" spans="2:2" ht="24.95" customHeight="1" x14ac:dyDescent="0.2">
      <c r="B2053" s="268"/>
    </row>
    <row r="2054" spans="2:2" ht="24.95" customHeight="1" x14ac:dyDescent="0.2">
      <c r="B2054" s="268"/>
    </row>
    <row r="2055" spans="2:2" ht="24.95" customHeight="1" x14ac:dyDescent="0.2">
      <c r="B2055" s="268"/>
    </row>
    <row r="2056" spans="2:2" ht="24.95" customHeight="1" x14ac:dyDescent="0.2">
      <c r="B2056" s="268"/>
    </row>
    <row r="2057" spans="2:2" ht="24.95" customHeight="1" x14ac:dyDescent="0.2">
      <c r="B2057" s="268"/>
    </row>
    <row r="2058" spans="2:2" ht="24.95" customHeight="1" x14ac:dyDescent="0.2">
      <c r="B2058" s="268"/>
    </row>
    <row r="2059" spans="2:2" ht="24.95" customHeight="1" x14ac:dyDescent="0.2">
      <c r="B2059" s="268"/>
    </row>
    <row r="2060" spans="2:2" ht="24.95" customHeight="1" x14ac:dyDescent="0.2">
      <c r="B2060" s="268"/>
    </row>
    <row r="2061" spans="2:2" ht="24.95" customHeight="1" x14ac:dyDescent="0.2">
      <c r="B2061" s="268"/>
    </row>
    <row r="2062" spans="2:2" ht="24.95" customHeight="1" x14ac:dyDescent="0.2">
      <c r="B2062" s="268"/>
    </row>
    <row r="2063" spans="2:2" ht="24.95" customHeight="1" x14ac:dyDescent="0.2">
      <c r="B2063" s="268"/>
    </row>
    <row r="2064" spans="2:2" ht="24.95" customHeight="1" x14ac:dyDescent="0.2">
      <c r="B2064" s="268"/>
    </row>
    <row r="2065" spans="2:2" ht="24.95" customHeight="1" x14ac:dyDescent="0.2">
      <c r="B2065" s="268"/>
    </row>
    <row r="2066" spans="2:2" ht="24.95" customHeight="1" x14ac:dyDescent="0.2">
      <c r="B2066" s="268"/>
    </row>
    <row r="2067" spans="2:2" ht="24.95" customHeight="1" x14ac:dyDescent="0.2">
      <c r="B2067" s="268"/>
    </row>
    <row r="2068" spans="2:2" ht="24.95" customHeight="1" x14ac:dyDescent="0.2">
      <c r="B2068" s="268"/>
    </row>
    <row r="2069" spans="2:2" ht="24.95" customHeight="1" x14ac:dyDescent="0.2">
      <c r="B2069" s="268"/>
    </row>
    <row r="2070" spans="2:2" ht="24.95" customHeight="1" x14ac:dyDescent="0.2">
      <c r="B2070" s="268"/>
    </row>
    <row r="2071" spans="2:2" ht="24.95" customHeight="1" x14ac:dyDescent="0.2">
      <c r="B2071" s="268"/>
    </row>
    <row r="2072" spans="2:2" ht="24.95" customHeight="1" x14ac:dyDescent="0.2">
      <c r="B2072" s="268"/>
    </row>
    <row r="2073" spans="2:2" ht="24.95" customHeight="1" x14ac:dyDescent="0.2">
      <c r="B2073" s="268"/>
    </row>
    <row r="2074" spans="2:2" ht="24.95" customHeight="1" x14ac:dyDescent="0.2">
      <c r="B2074" s="268"/>
    </row>
    <row r="2075" spans="2:2" ht="24.95" customHeight="1" x14ac:dyDescent="0.2">
      <c r="B2075" s="268"/>
    </row>
    <row r="2076" spans="2:2" ht="24.95" customHeight="1" x14ac:dyDescent="0.2">
      <c r="B2076" s="268"/>
    </row>
    <row r="2077" spans="2:2" ht="24.95" customHeight="1" x14ac:dyDescent="0.2">
      <c r="B2077" s="268"/>
    </row>
    <row r="2078" spans="2:2" ht="24.95" customHeight="1" x14ac:dyDescent="0.2">
      <c r="B2078" s="268"/>
    </row>
    <row r="2079" spans="2:2" ht="24.95" customHeight="1" x14ac:dyDescent="0.2">
      <c r="B2079" s="268"/>
    </row>
    <row r="2080" spans="2:2" ht="24.95" customHeight="1" x14ac:dyDescent="0.2">
      <c r="B2080" s="268"/>
    </row>
    <row r="2081" spans="2:2" ht="24.95" customHeight="1" x14ac:dyDescent="0.2">
      <c r="B2081" s="268"/>
    </row>
    <row r="2082" spans="2:2" ht="24.95" customHeight="1" x14ac:dyDescent="0.2">
      <c r="B2082" s="268"/>
    </row>
    <row r="2083" spans="2:2" ht="24.95" customHeight="1" x14ac:dyDescent="0.2">
      <c r="B2083" s="268"/>
    </row>
    <row r="2084" spans="2:2" ht="24.95" customHeight="1" x14ac:dyDescent="0.2">
      <c r="B2084" s="268"/>
    </row>
    <row r="2085" spans="2:2" ht="24.95" customHeight="1" x14ac:dyDescent="0.2">
      <c r="B2085" s="268"/>
    </row>
    <row r="2086" spans="2:2" ht="24.95" customHeight="1" x14ac:dyDescent="0.2">
      <c r="B2086" s="268"/>
    </row>
    <row r="2087" spans="2:2" ht="24.95" customHeight="1" x14ac:dyDescent="0.2">
      <c r="B2087" s="268"/>
    </row>
    <row r="2088" spans="2:2" ht="24.95" customHeight="1" x14ac:dyDescent="0.2">
      <c r="B2088" s="268"/>
    </row>
    <row r="2089" spans="2:2" ht="24.95" customHeight="1" x14ac:dyDescent="0.2">
      <c r="B2089" s="268"/>
    </row>
    <row r="2090" spans="2:2" ht="24.95" customHeight="1" x14ac:dyDescent="0.2">
      <c r="B2090" s="268"/>
    </row>
    <row r="2091" spans="2:2" ht="24.95" customHeight="1" x14ac:dyDescent="0.2">
      <c r="B2091" s="268"/>
    </row>
    <row r="2092" spans="2:2" ht="24.95" customHeight="1" x14ac:dyDescent="0.2">
      <c r="B2092" s="268"/>
    </row>
    <row r="2093" spans="2:2" ht="24.95" customHeight="1" x14ac:dyDescent="0.2">
      <c r="B2093" s="268"/>
    </row>
    <row r="2094" spans="2:2" ht="24.95" customHeight="1" x14ac:dyDescent="0.2">
      <c r="B2094" s="268"/>
    </row>
    <row r="2095" spans="2:2" ht="24.95" customHeight="1" x14ac:dyDescent="0.2">
      <c r="B2095" s="268"/>
    </row>
    <row r="2096" spans="2:2" ht="24.95" customHeight="1" x14ac:dyDescent="0.2">
      <c r="B2096" s="268"/>
    </row>
    <row r="2097" spans="2:2" ht="24.95" customHeight="1" x14ac:dyDescent="0.2">
      <c r="B2097" s="268"/>
    </row>
    <row r="2098" spans="2:2" ht="24.95" customHeight="1" x14ac:dyDescent="0.2">
      <c r="B2098" s="268"/>
    </row>
    <row r="2099" spans="2:2" ht="24.95" customHeight="1" x14ac:dyDescent="0.2">
      <c r="B2099" s="268"/>
    </row>
    <row r="2100" spans="2:2" ht="24.95" customHeight="1" x14ac:dyDescent="0.2">
      <c r="B2100" s="268"/>
    </row>
    <row r="2101" spans="2:2" ht="24.95" customHeight="1" x14ac:dyDescent="0.2">
      <c r="B2101" s="268"/>
    </row>
    <row r="2102" spans="2:2" ht="24.95" customHeight="1" x14ac:dyDescent="0.2">
      <c r="B2102" s="268"/>
    </row>
    <row r="2103" spans="2:2" ht="24.95" customHeight="1" x14ac:dyDescent="0.2">
      <c r="B2103" s="268"/>
    </row>
    <row r="2104" spans="2:2" ht="24.95" customHeight="1" x14ac:dyDescent="0.2">
      <c r="B2104" s="268"/>
    </row>
    <row r="2105" spans="2:2" ht="24.95" customHeight="1" x14ac:dyDescent="0.2">
      <c r="B2105" s="268"/>
    </row>
    <row r="2106" spans="2:2" ht="24.95" customHeight="1" x14ac:dyDescent="0.2">
      <c r="B2106" s="268"/>
    </row>
    <row r="2107" spans="2:2" ht="24.95" customHeight="1" x14ac:dyDescent="0.2">
      <c r="B2107" s="268"/>
    </row>
    <row r="2108" spans="2:2" ht="24.95" customHeight="1" x14ac:dyDescent="0.2">
      <c r="B2108" s="268"/>
    </row>
    <row r="2109" spans="2:2" ht="24.95" customHeight="1" x14ac:dyDescent="0.2">
      <c r="B2109" s="268"/>
    </row>
    <row r="2110" spans="2:2" ht="24.95" customHeight="1" x14ac:dyDescent="0.2">
      <c r="B2110" s="268"/>
    </row>
    <row r="2111" spans="2:2" ht="24.95" customHeight="1" x14ac:dyDescent="0.2">
      <c r="B2111" s="268"/>
    </row>
    <row r="2112" spans="2:2" ht="24.95" customHeight="1" x14ac:dyDescent="0.2">
      <c r="B2112" s="268"/>
    </row>
    <row r="2113" spans="2:2" ht="24.95" customHeight="1" x14ac:dyDescent="0.2">
      <c r="B2113" s="268"/>
    </row>
    <row r="2114" spans="2:2" ht="24.95" customHeight="1" x14ac:dyDescent="0.2">
      <c r="B2114" s="268"/>
    </row>
    <row r="2115" spans="2:2" ht="24.95" customHeight="1" x14ac:dyDescent="0.2">
      <c r="B2115" s="268"/>
    </row>
    <row r="2116" spans="2:2" ht="24.95" customHeight="1" x14ac:dyDescent="0.2">
      <c r="B2116" s="268"/>
    </row>
    <row r="2117" spans="2:2" ht="24.95" customHeight="1" x14ac:dyDescent="0.2">
      <c r="B2117" s="268"/>
    </row>
    <row r="2118" spans="2:2" ht="24.95" customHeight="1" x14ac:dyDescent="0.2">
      <c r="B2118" s="268"/>
    </row>
    <row r="2119" spans="2:2" ht="24.95" customHeight="1" x14ac:dyDescent="0.2">
      <c r="B2119" s="268"/>
    </row>
    <row r="2120" spans="2:2" ht="24.95" customHeight="1" x14ac:dyDescent="0.2">
      <c r="B2120" s="268"/>
    </row>
    <row r="2121" spans="2:2" ht="24.95" customHeight="1" x14ac:dyDescent="0.2">
      <c r="B2121" s="268"/>
    </row>
    <row r="2122" spans="2:2" ht="24.95" customHeight="1" x14ac:dyDescent="0.2">
      <c r="B2122" s="268"/>
    </row>
    <row r="2123" spans="2:2" ht="24.95" customHeight="1" x14ac:dyDescent="0.2">
      <c r="B2123" s="268"/>
    </row>
    <row r="2124" spans="2:2" ht="24.95" customHeight="1" x14ac:dyDescent="0.2">
      <c r="B2124" s="268"/>
    </row>
    <row r="2125" spans="2:2" ht="24.95" customHeight="1" x14ac:dyDescent="0.2">
      <c r="B2125" s="268"/>
    </row>
    <row r="2126" spans="2:2" ht="24.95" customHeight="1" x14ac:dyDescent="0.2">
      <c r="B2126" s="268"/>
    </row>
    <row r="2127" spans="2:2" ht="24.95" customHeight="1" x14ac:dyDescent="0.2">
      <c r="B2127" s="268"/>
    </row>
    <row r="2128" spans="2:2" ht="24.95" customHeight="1" x14ac:dyDescent="0.2">
      <c r="B2128" s="268"/>
    </row>
    <row r="2129" spans="2:2" ht="24.95" customHeight="1" x14ac:dyDescent="0.2">
      <c r="B2129" s="268"/>
    </row>
    <row r="2130" spans="2:2" ht="24.95" customHeight="1" x14ac:dyDescent="0.2">
      <c r="B2130" s="268"/>
    </row>
    <row r="2131" spans="2:2" ht="24.95" customHeight="1" x14ac:dyDescent="0.2">
      <c r="B2131" s="268"/>
    </row>
    <row r="2132" spans="2:2" ht="24.95" customHeight="1" x14ac:dyDescent="0.2">
      <c r="B2132" s="268"/>
    </row>
    <row r="2133" spans="2:2" ht="24.95" customHeight="1" x14ac:dyDescent="0.2">
      <c r="B2133" s="268"/>
    </row>
    <row r="2134" spans="2:2" ht="24.95" customHeight="1" x14ac:dyDescent="0.2">
      <c r="B2134" s="268"/>
    </row>
    <row r="2135" spans="2:2" ht="24.95" customHeight="1" x14ac:dyDescent="0.2">
      <c r="B2135" s="268"/>
    </row>
    <row r="2136" spans="2:2" ht="24.95" customHeight="1" x14ac:dyDescent="0.2">
      <c r="B2136" s="268"/>
    </row>
    <row r="2137" spans="2:2" ht="24.95" customHeight="1" x14ac:dyDescent="0.2">
      <c r="B2137" s="268"/>
    </row>
    <row r="2138" spans="2:2" ht="24.95" customHeight="1" x14ac:dyDescent="0.2">
      <c r="B2138" s="268"/>
    </row>
    <row r="2139" spans="2:2" ht="24.95" customHeight="1" x14ac:dyDescent="0.2">
      <c r="B2139" s="268"/>
    </row>
    <row r="2140" spans="2:2" ht="24.95" customHeight="1" x14ac:dyDescent="0.2">
      <c r="B2140" s="268"/>
    </row>
    <row r="2141" spans="2:2" ht="24.95" customHeight="1" x14ac:dyDescent="0.2">
      <c r="B2141" s="268"/>
    </row>
    <row r="2142" spans="2:2" ht="24.95" customHeight="1" x14ac:dyDescent="0.2">
      <c r="B2142" s="268"/>
    </row>
    <row r="2143" spans="2:2" ht="24.95" customHeight="1" x14ac:dyDescent="0.2">
      <c r="B2143" s="268"/>
    </row>
    <row r="2144" spans="2:2" ht="24.95" customHeight="1" x14ac:dyDescent="0.2">
      <c r="B2144" s="268"/>
    </row>
    <row r="2145" spans="2:2" ht="24.95" customHeight="1" x14ac:dyDescent="0.2">
      <c r="B2145" s="268"/>
    </row>
    <row r="2146" spans="2:2" ht="24.95" customHeight="1" x14ac:dyDescent="0.2">
      <c r="B2146" s="268"/>
    </row>
    <row r="2147" spans="2:2" ht="24.95" customHeight="1" x14ac:dyDescent="0.2">
      <c r="B2147" s="268"/>
    </row>
    <row r="2148" spans="2:2" ht="24.95" customHeight="1" x14ac:dyDescent="0.2">
      <c r="B2148" s="268"/>
    </row>
    <row r="2149" spans="2:2" ht="24.95" customHeight="1" x14ac:dyDescent="0.2">
      <c r="B2149" s="268"/>
    </row>
    <row r="2150" spans="2:2" ht="24.95" customHeight="1" x14ac:dyDescent="0.2">
      <c r="B2150" s="268"/>
    </row>
    <row r="2151" spans="2:2" ht="24.95" customHeight="1" x14ac:dyDescent="0.2">
      <c r="B2151" s="268"/>
    </row>
    <row r="2152" spans="2:2" ht="24.95" customHeight="1" x14ac:dyDescent="0.2">
      <c r="B2152" s="268"/>
    </row>
    <row r="2153" spans="2:2" ht="24.95" customHeight="1" x14ac:dyDescent="0.2">
      <c r="B2153" s="268"/>
    </row>
    <row r="2154" spans="2:2" ht="24.95" customHeight="1" x14ac:dyDescent="0.2">
      <c r="B2154" s="268"/>
    </row>
    <row r="2155" spans="2:2" ht="24.95" customHeight="1" x14ac:dyDescent="0.2">
      <c r="B2155" s="268"/>
    </row>
    <row r="2156" spans="2:2" ht="24.95" customHeight="1" x14ac:dyDescent="0.2">
      <c r="B2156" s="268"/>
    </row>
    <row r="2157" spans="2:2" ht="24.95" customHeight="1" x14ac:dyDescent="0.2">
      <c r="B2157" s="268"/>
    </row>
    <row r="2158" spans="2:2" ht="24.95" customHeight="1" x14ac:dyDescent="0.2">
      <c r="B2158" s="268"/>
    </row>
    <row r="2159" spans="2:2" ht="24.95" customHeight="1" x14ac:dyDescent="0.2">
      <c r="B2159" s="268"/>
    </row>
    <row r="2160" spans="2:2" ht="24.95" customHeight="1" x14ac:dyDescent="0.2">
      <c r="B2160" s="268"/>
    </row>
    <row r="2161" spans="2:2" ht="24.95" customHeight="1" x14ac:dyDescent="0.2">
      <c r="B2161" s="268"/>
    </row>
    <row r="2162" spans="2:2" ht="24.95" customHeight="1" x14ac:dyDescent="0.2">
      <c r="B2162" s="268"/>
    </row>
    <row r="2163" spans="2:2" ht="24.95" customHeight="1" x14ac:dyDescent="0.2">
      <c r="B2163" s="268"/>
    </row>
    <row r="2164" spans="2:2" ht="24.95" customHeight="1" x14ac:dyDescent="0.2">
      <c r="B2164" s="268"/>
    </row>
    <row r="2165" spans="2:2" ht="24.95" customHeight="1" x14ac:dyDescent="0.2">
      <c r="B2165" s="268"/>
    </row>
    <row r="2166" spans="2:2" ht="24.95" customHeight="1" x14ac:dyDescent="0.2">
      <c r="B2166" s="268"/>
    </row>
    <row r="2167" spans="2:2" ht="24.95" customHeight="1" x14ac:dyDescent="0.2">
      <c r="B2167" s="268"/>
    </row>
    <row r="2168" spans="2:2" ht="24.95" customHeight="1" x14ac:dyDescent="0.2">
      <c r="B2168" s="268"/>
    </row>
    <row r="2169" spans="2:2" ht="24.95" customHeight="1" x14ac:dyDescent="0.2">
      <c r="B2169" s="268"/>
    </row>
    <row r="2170" spans="2:2" ht="24.95" customHeight="1" x14ac:dyDescent="0.2">
      <c r="B2170" s="268"/>
    </row>
    <row r="2171" spans="2:2" ht="24.95" customHeight="1" x14ac:dyDescent="0.2">
      <c r="B2171" s="268"/>
    </row>
    <row r="2172" spans="2:2" ht="24.95" customHeight="1" x14ac:dyDescent="0.2">
      <c r="B2172" s="268"/>
    </row>
    <row r="2173" spans="2:2" ht="24.95" customHeight="1" x14ac:dyDescent="0.2">
      <c r="B2173" s="268"/>
    </row>
    <row r="2174" spans="2:2" ht="24.95" customHeight="1" x14ac:dyDescent="0.2">
      <c r="B2174" s="268"/>
    </row>
    <row r="2175" spans="2:2" ht="24.95" customHeight="1" x14ac:dyDescent="0.2">
      <c r="B2175" s="268"/>
    </row>
    <row r="2176" spans="2:2" ht="24.95" customHeight="1" x14ac:dyDescent="0.2">
      <c r="B2176" s="268"/>
    </row>
    <row r="2177" spans="2:2" ht="24.95" customHeight="1" x14ac:dyDescent="0.2">
      <c r="B2177" s="268"/>
    </row>
    <row r="2178" spans="2:2" ht="24.95" customHeight="1" x14ac:dyDescent="0.2">
      <c r="B2178" s="268"/>
    </row>
    <row r="2179" spans="2:2" ht="24.95" customHeight="1" x14ac:dyDescent="0.2">
      <c r="B2179" s="268"/>
    </row>
    <row r="2180" spans="2:2" ht="24.95" customHeight="1" x14ac:dyDescent="0.2">
      <c r="B2180" s="268"/>
    </row>
    <row r="2181" spans="2:2" ht="24.95" customHeight="1" x14ac:dyDescent="0.2">
      <c r="B2181" s="268"/>
    </row>
    <row r="2182" spans="2:2" ht="24.95" customHeight="1" x14ac:dyDescent="0.2">
      <c r="B2182" s="268"/>
    </row>
    <row r="2183" spans="2:2" ht="24.95" customHeight="1" x14ac:dyDescent="0.2">
      <c r="B2183" s="268"/>
    </row>
    <row r="2184" spans="2:2" ht="24.95" customHeight="1" x14ac:dyDescent="0.2">
      <c r="B2184" s="268"/>
    </row>
    <row r="2185" spans="2:2" ht="24.95" customHeight="1" x14ac:dyDescent="0.2">
      <c r="B2185" s="268"/>
    </row>
    <row r="2186" spans="2:2" ht="24.95" customHeight="1" x14ac:dyDescent="0.2">
      <c r="B2186" s="268"/>
    </row>
    <row r="2187" spans="2:2" ht="24.95" customHeight="1" x14ac:dyDescent="0.2">
      <c r="B2187" s="268"/>
    </row>
    <row r="2188" spans="2:2" ht="24.95" customHeight="1" x14ac:dyDescent="0.2">
      <c r="B2188" s="268"/>
    </row>
    <row r="2189" spans="2:2" ht="24.95" customHeight="1" x14ac:dyDescent="0.2">
      <c r="B2189" s="268"/>
    </row>
    <row r="2190" spans="2:2" ht="24.95" customHeight="1" x14ac:dyDescent="0.2">
      <c r="B2190" s="268"/>
    </row>
    <row r="2191" spans="2:2" ht="24.95" customHeight="1" x14ac:dyDescent="0.2">
      <c r="B2191" s="268"/>
    </row>
    <row r="2192" spans="2:2" ht="24.95" customHeight="1" x14ac:dyDescent="0.2">
      <c r="B2192" s="268"/>
    </row>
    <row r="2193" spans="2:2" ht="24.95" customHeight="1" x14ac:dyDescent="0.2">
      <c r="B2193" s="268"/>
    </row>
    <row r="2194" spans="2:2" ht="24.95" customHeight="1" x14ac:dyDescent="0.2">
      <c r="B2194" s="268"/>
    </row>
    <row r="2195" spans="2:2" ht="24.95" customHeight="1" x14ac:dyDescent="0.2">
      <c r="B2195" s="268"/>
    </row>
    <row r="2196" spans="2:2" ht="24.95" customHeight="1" x14ac:dyDescent="0.2">
      <c r="B2196" s="268"/>
    </row>
    <row r="2197" spans="2:2" ht="24.95" customHeight="1" x14ac:dyDescent="0.2">
      <c r="B2197" s="268"/>
    </row>
    <row r="2198" spans="2:2" ht="24.95" customHeight="1" x14ac:dyDescent="0.2">
      <c r="B2198" s="268"/>
    </row>
    <row r="2199" spans="2:2" ht="24.95" customHeight="1" x14ac:dyDescent="0.2">
      <c r="B2199" s="268"/>
    </row>
    <row r="2200" spans="2:2" ht="24.95" customHeight="1" x14ac:dyDescent="0.2">
      <c r="B2200" s="268"/>
    </row>
    <row r="2201" spans="2:2" ht="24.95" customHeight="1" x14ac:dyDescent="0.2">
      <c r="B2201" s="268"/>
    </row>
    <row r="2202" spans="2:2" ht="24.95" customHeight="1" x14ac:dyDescent="0.2">
      <c r="B2202" s="268"/>
    </row>
    <row r="2203" spans="2:2" ht="24.95" customHeight="1" x14ac:dyDescent="0.2">
      <c r="B2203" s="268"/>
    </row>
    <row r="2204" spans="2:2" ht="24.95" customHeight="1" x14ac:dyDescent="0.2">
      <c r="B2204" s="268"/>
    </row>
    <row r="2205" spans="2:2" ht="24.95" customHeight="1" x14ac:dyDescent="0.2">
      <c r="B2205" s="268"/>
    </row>
    <row r="2206" spans="2:2" ht="24.95" customHeight="1" x14ac:dyDescent="0.2">
      <c r="B2206" s="268"/>
    </row>
    <row r="2207" spans="2:2" ht="24.95" customHeight="1" x14ac:dyDescent="0.2">
      <c r="B2207" s="268"/>
    </row>
    <row r="2208" spans="2:2" ht="24.95" customHeight="1" x14ac:dyDescent="0.2">
      <c r="B2208" s="268"/>
    </row>
    <row r="2209" spans="2:2" ht="24.95" customHeight="1" x14ac:dyDescent="0.2">
      <c r="B2209" s="268"/>
    </row>
    <row r="2210" spans="2:2" ht="24.95" customHeight="1" x14ac:dyDescent="0.2">
      <c r="B2210" s="268"/>
    </row>
    <row r="2211" spans="2:2" ht="24.95" customHeight="1" x14ac:dyDescent="0.2">
      <c r="B2211" s="268"/>
    </row>
    <row r="2212" spans="2:2" ht="24.95" customHeight="1" x14ac:dyDescent="0.2">
      <c r="B2212" s="268"/>
    </row>
    <row r="2213" spans="2:2" ht="24.95" customHeight="1" x14ac:dyDescent="0.2">
      <c r="B2213" s="268"/>
    </row>
    <row r="2214" spans="2:2" ht="24.95" customHeight="1" x14ac:dyDescent="0.2">
      <c r="B2214" s="268"/>
    </row>
    <row r="2215" spans="2:2" ht="24.95" customHeight="1" x14ac:dyDescent="0.2">
      <c r="B2215" s="268"/>
    </row>
    <row r="2216" spans="2:2" ht="24.95" customHeight="1" x14ac:dyDescent="0.2">
      <c r="B2216" s="268"/>
    </row>
    <row r="2217" spans="2:2" ht="24.95" customHeight="1" x14ac:dyDescent="0.2">
      <c r="B2217" s="268"/>
    </row>
    <row r="2218" spans="2:2" ht="24.95" customHeight="1" x14ac:dyDescent="0.2">
      <c r="B2218" s="268"/>
    </row>
    <row r="2219" spans="2:2" ht="24.95" customHeight="1" x14ac:dyDescent="0.2">
      <c r="B2219" s="268"/>
    </row>
    <row r="2220" spans="2:2" ht="24.95" customHeight="1" x14ac:dyDescent="0.2">
      <c r="B2220" s="268"/>
    </row>
    <row r="2221" spans="2:2" ht="24.95" customHeight="1" x14ac:dyDescent="0.2">
      <c r="B2221" s="268"/>
    </row>
    <row r="2222" spans="2:2" ht="24.95" customHeight="1" x14ac:dyDescent="0.2">
      <c r="B2222" s="268"/>
    </row>
    <row r="2223" spans="2:2" ht="24.95" customHeight="1" x14ac:dyDescent="0.2">
      <c r="B2223" s="268"/>
    </row>
    <row r="2224" spans="2:2" ht="24.95" customHeight="1" x14ac:dyDescent="0.2">
      <c r="B2224" s="268"/>
    </row>
    <row r="2225" spans="2:2" ht="24.95" customHeight="1" x14ac:dyDescent="0.2">
      <c r="B2225" s="268"/>
    </row>
    <row r="2226" spans="2:2" ht="24.95" customHeight="1" x14ac:dyDescent="0.2">
      <c r="B2226" s="268"/>
    </row>
    <row r="2227" spans="2:2" ht="24.95" customHeight="1" x14ac:dyDescent="0.2">
      <c r="B2227" s="268"/>
    </row>
    <row r="2228" spans="2:2" ht="24.95" customHeight="1" x14ac:dyDescent="0.2">
      <c r="B2228" s="268"/>
    </row>
    <row r="2229" spans="2:2" ht="24.95" customHeight="1" x14ac:dyDescent="0.2">
      <c r="B2229" s="268"/>
    </row>
    <row r="2230" spans="2:2" ht="24.95" customHeight="1" x14ac:dyDescent="0.2">
      <c r="B2230" s="268"/>
    </row>
    <row r="2231" spans="2:2" ht="24.95" customHeight="1" x14ac:dyDescent="0.2">
      <c r="B2231" s="268"/>
    </row>
    <row r="2232" spans="2:2" ht="24.95" customHeight="1" x14ac:dyDescent="0.2">
      <c r="B2232" s="268"/>
    </row>
    <row r="2233" spans="2:2" ht="24.95" customHeight="1" x14ac:dyDescent="0.2">
      <c r="B2233" s="268"/>
    </row>
    <row r="2234" spans="2:2" ht="24.95" customHeight="1" x14ac:dyDescent="0.2">
      <c r="B2234" s="268"/>
    </row>
    <row r="2235" spans="2:2" ht="24.95" customHeight="1" x14ac:dyDescent="0.2">
      <c r="B2235" s="268"/>
    </row>
    <row r="2236" spans="2:2" ht="24.95" customHeight="1" x14ac:dyDescent="0.2">
      <c r="B2236" s="268"/>
    </row>
    <row r="2237" spans="2:2" ht="24.95" customHeight="1" x14ac:dyDescent="0.2">
      <c r="B2237" s="268"/>
    </row>
    <row r="2238" spans="2:2" ht="24.95" customHeight="1" x14ac:dyDescent="0.2">
      <c r="B2238" s="268"/>
    </row>
    <row r="2239" spans="2:2" ht="24.95" customHeight="1" x14ac:dyDescent="0.2">
      <c r="B2239" s="268"/>
    </row>
    <row r="2240" spans="2:2" ht="24.95" customHeight="1" x14ac:dyDescent="0.2">
      <c r="B2240" s="268"/>
    </row>
    <row r="2241" spans="2:2" ht="24.95" customHeight="1" x14ac:dyDescent="0.2">
      <c r="B2241" s="268"/>
    </row>
    <row r="2242" spans="2:2" ht="24.95" customHeight="1" x14ac:dyDescent="0.2">
      <c r="B2242" s="268"/>
    </row>
    <row r="2243" spans="2:2" ht="24.95" customHeight="1" x14ac:dyDescent="0.2">
      <c r="B2243" s="268"/>
    </row>
    <row r="2244" spans="2:2" ht="24.95" customHeight="1" x14ac:dyDescent="0.2">
      <c r="B2244" s="268"/>
    </row>
    <row r="2245" spans="2:2" ht="24.95" customHeight="1" x14ac:dyDescent="0.2">
      <c r="B2245" s="268"/>
    </row>
    <row r="2246" spans="2:2" ht="24.95" customHeight="1" x14ac:dyDescent="0.2">
      <c r="B2246" s="268"/>
    </row>
    <row r="2247" spans="2:2" ht="24.95" customHeight="1" x14ac:dyDescent="0.2">
      <c r="B2247" s="268"/>
    </row>
    <row r="2248" spans="2:2" ht="24.95" customHeight="1" x14ac:dyDescent="0.2">
      <c r="B2248" s="268"/>
    </row>
    <row r="2249" spans="2:2" ht="24.95" customHeight="1" x14ac:dyDescent="0.2">
      <c r="B2249" s="268"/>
    </row>
    <row r="2250" spans="2:2" ht="24.95" customHeight="1" x14ac:dyDescent="0.2">
      <c r="B2250" s="268"/>
    </row>
    <row r="2251" spans="2:2" ht="24.95" customHeight="1" x14ac:dyDescent="0.2">
      <c r="B2251" s="268"/>
    </row>
    <row r="2252" spans="2:2" ht="24.95" customHeight="1" x14ac:dyDescent="0.2">
      <c r="B2252" s="268"/>
    </row>
    <row r="2253" spans="2:2" ht="24.95" customHeight="1" x14ac:dyDescent="0.2">
      <c r="B2253" s="268"/>
    </row>
    <row r="2254" spans="2:2" ht="24.95" customHeight="1" x14ac:dyDescent="0.2">
      <c r="B2254" s="268"/>
    </row>
    <row r="2255" spans="2:2" ht="24.95" customHeight="1" x14ac:dyDescent="0.2">
      <c r="B2255" s="268"/>
    </row>
    <row r="2256" spans="2:2" ht="24.95" customHeight="1" x14ac:dyDescent="0.2">
      <c r="B2256" s="268"/>
    </row>
    <row r="2257" spans="2:2" ht="24.95" customHeight="1" x14ac:dyDescent="0.2">
      <c r="B2257" s="268"/>
    </row>
    <row r="2258" spans="2:2" ht="24.95" customHeight="1" x14ac:dyDescent="0.2">
      <c r="B2258" s="268"/>
    </row>
    <row r="2259" spans="2:2" ht="24.95" customHeight="1" x14ac:dyDescent="0.2">
      <c r="B2259" s="268"/>
    </row>
    <row r="2260" spans="2:2" ht="24.95" customHeight="1" x14ac:dyDescent="0.2">
      <c r="B2260" s="268"/>
    </row>
    <row r="2261" spans="2:2" ht="24.95" customHeight="1" x14ac:dyDescent="0.2">
      <c r="B2261" s="268"/>
    </row>
    <row r="2262" spans="2:2" ht="24.95" customHeight="1" x14ac:dyDescent="0.2">
      <c r="B2262" s="268"/>
    </row>
    <row r="2263" spans="2:2" ht="24.95" customHeight="1" x14ac:dyDescent="0.2">
      <c r="B2263" s="268"/>
    </row>
    <row r="2264" spans="2:2" ht="24.95" customHeight="1" x14ac:dyDescent="0.2">
      <c r="B2264" s="268"/>
    </row>
    <row r="2265" spans="2:2" ht="24.95" customHeight="1" x14ac:dyDescent="0.2">
      <c r="B2265" s="268"/>
    </row>
    <row r="2266" spans="2:2" ht="24.95" customHeight="1" x14ac:dyDescent="0.2">
      <c r="B2266" s="268"/>
    </row>
    <row r="2267" spans="2:2" ht="24.95" customHeight="1" x14ac:dyDescent="0.2">
      <c r="B2267" s="268"/>
    </row>
    <row r="2268" spans="2:2" ht="24.95" customHeight="1" x14ac:dyDescent="0.2">
      <c r="B2268" s="268"/>
    </row>
    <row r="2269" spans="2:2" ht="24.95" customHeight="1" x14ac:dyDescent="0.2">
      <c r="B2269" s="268"/>
    </row>
    <row r="2270" spans="2:2" ht="24.95" customHeight="1" x14ac:dyDescent="0.2">
      <c r="B2270" s="268"/>
    </row>
    <row r="2271" spans="2:2" ht="24.95" customHeight="1" x14ac:dyDescent="0.2">
      <c r="B2271" s="268"/>
    </row>
    <row r="2272" spans="2:2" ht="24.95" customHeight="1" x14ac:dyDescent="0.2">
      <c r="B2272" s="268"/>
    </row>
    <row r="2273" spans="2:2" ht="24.95" customHeight="1" x14ac:dyDescent="0.2">
      <c r="B2273" s="268"/>
    </row>
    <row r="2274" spans="2:2" ht="24.95" customHeight="1" x14ac:dyDescent="0.2">
      <c r="B2274" s="268"/>
    </row>
    <row r="2275" spans="2:2" ht="24.95" customHeight="1" x14ac:dyDescent="0.2">
      <c r="B2275" s="268"/>
    </row>
    <row r="2276" spans="2:2" ht="24.95" customHeight="1" x14ac:dyDescent="0.2">
      <c r="B2276" s="268"/>
    </row>
    <row r="2277" spans="2:2" ht="24.95" customHeight="1" x14ac:dyDescent="0.2">
      <c r="B2277" s="268"/>
    </row>
    <row r="2278" spans="2:2" ht="24.95" customHeight="1" x14ac:dyDescent="0.2">
      <c r="B2278" s="268"/>
    </row>
    <row r="2279" spans="2:2" ht="24.95" customHeight="1" x14ac:dyDescent="0.2">
      <c r="B2279" s="268"/>
    </row>
    <row r="2280" spans="2:2" ht="24.95" customHeight="1" x14ac:dyDescent="0.2">
      <c r="B2280" s="268"/>
    </row>
    <row r="2281" spans="2:2" ht="24.95" customHeight="1" x14ac:dyDescent="0.2">
      <c r="B2281" s="268"/>
    </row>
    <row r="2282" spans="2:2" ht="24.95" customHeight="1" x14ac:dyDescent="0.2">
      <c r="B2282" s="268"/>
    </row>
    <row r="2283" spans="2:2" ht="24.95" customHeight="1" x14ac:dyDescent="0.2">
      <c r="B2283" s="268"/>
    </row>
    <row r="2284" spans="2:2" ht="24.95" customHeight="1" x14ac:dyDescent="0.2">
      <c r="B2284" s="268"/>
    </row>
    <row r="2285" spans="2:2" ht="24.95" customHeight="1" x14ac:dyDescent="0.2">
      <c r="B2285" s="268"/>
    </row>
    <row r="2286" spans="2:2" ht="24.95" customHeight="1" x14ac:dyDescent="0.2">
      <c r="B2286" s="268"/>
    </row>
    <row r="2287" spans="2:2" ht="24.95" customHeight="1" x14ac:dyDescent="0.2">
      <c r="B2287" s="268"/>
    </row>
    <row r="2288" spans="2:2" ht="24.95" customHeight="1" x14ac:dyDescent="0.2">
      <c r="B2288" s="268"/>
    </row>
    <row r="2289" spans="2:2" ht="24.95" customHeight="1" x14ac:dyDescent="0.2">
      <c r="B2289" s="268"/>
    </row>
    <row r="2290" spans="2:2" ht="24.95" customHeight="1" x14ac:dyDescent="0.2">
      <c r="B2290" s="268"/>
    </row>
    <row r="2291" spans="2:2" ht="24.95" customHeight="1" x14ac:dyDescent="0.2">
      <c r="B2291" s="268"/>
    </row>
    <row r="2292" spans="2:2" ht="24.95" customHeight="1" x14ac:dyDescent="0.2">
      <c r="B2292" s="268"/>
    </row>
    <row r="2293" spans="2:2" ht="24.95" customHeight="1" x14ac:dyDescent="0.2">
      <c r="B2293" s="268"/>
    </row>
    <row r="2294" spans="2:2" ht="24.95" customHeight="1" x14ac:dyDescent="0.2">
      <c r="B2294" s="268"/>
    </row>
    <row r="2295" spans="2:2" ht="24.95" customHeight="1" x14ac:dyDescent="0.2">
      <c r="B2295" s="268"/>
    </row>
    <row r="2296" spans="2:2" ht="24.95" customHeight="1" x14ac:dyDescent="0.2">
      <c r="B2296" s="268"/>
    </row>
    <row r="2297" spans="2:2" ht="24.95" customHeight="1" x14ac:dyDescent="0.2">
      <c r="B2297" s="268"/>
    </row>
    <row r="2298" spans="2:2" ht="24.95" customHeight="1" x14ac:dyDescent="0.2">
      <c r="B2298" s="268"/>
    </row>
    <row r="2299" spans="2:2" ht="24.95" customHeight="1" x14ac:dyDescent="0.2">
      <c r="B2299" s="268"/>
    </row>
    <row r="2300" spans="2:2" ht="24.95" customHeight="1" x14ac:dyDescent="0.2">
      <c r="B2300" s="268"/>
    </row>
    <row r="2301" spans="2:2" ht="24.95" customHeight="1" x14ac:dyDescent="0.2">
      <c r="B2301" s="268"/>
    </row>
    <row r="2302" spans="2:2" ht="24.95" customHeight="1" x14ac:dyDescent="0.2">
      <c r="B2302" s="268"/>
    </row>
    <row r="2303" spans="2:2" ht="24.95" customHeight="1" x14ac:dyDescent="0.2">
      <c r="B2303" s="268"/>
    </row>
    <row r="2304" spans="2:2" ht="24.95" customHeight="1" x14ac:dyDescent="0.2">
      <c r="B2304" s="268"/>
    </row>
    <row r="2305" spans="2:2" ht="24.95" customHeight="1" x14ac:dyDescent="0.2">
      <c r="B2305" s="268"/>
    </row>
    <row r="2306" spans="2:2" ht="24.95" customHeight="1" x14ac:dyDescent="0.2">
      <c r="B2306" s="268"/>
    </row>
    <row r="2307" spans="2:2" ht="24.95" customHeight="1" x14ac:dyDescent="0.2">
      <c r="B2307" s="268"/>
    </row>
    <row r="2308" spans="2:2" ht="24.95" customHeight="1" x14ac:dyDescent="0.2">
      <c r="B2308" s="268"/>
    </row>
    <row r="2309" spans="2:2" ht="24.95" customHeight="1" x14ac:dyDescent="0.2">
      <c r="B2309" s="268"/>
    </row>
    <row r="2310" spans="2:2" ht="24.95" customHeight="1" x14ac:dyDescent="0.2">
      <c r="B2310" s="268"/>
    </row>
    <row r="2311" spans="2:2" ht="24.95" customHeight="1" x14ac:dyDescent="0.2">
      <c r="B2311" s="268"/>
    </row>
    <row r="2312" spans="2:2" ht="24.95" customHeight="1" x14ac:dyDescent="0.2">
      <c r="B2312" s="268"/>
    </row>
    <row r="2313" spans="2:2" ht="24.95" customHeight="1" x14ac:dyDescent="0.2">
      <c r="B2313" s="268"/>
    </row>
    <row r="2314" spans="2:2" ht="24.95" customHeight="1" x14ac:dyDescent="0.2">
      <c r="B2314" s="268"/>
    </row>
    <row r="2315" spans="2:2" ht="24.95" customHeight="1" x14ac:dyDescent="0.2">
      <c r="B2315" s="268"/>
    </row>
    <row r="2316" spans="2:2" ht="24.95" customHeight="1" x14ac:dyDescent="0.2">
      <c r="B2316" s="268"/>
    </row>
    <row r="2317" spans="2:2" ht="24.95" customHeight="1" x14ac:dyDescent="0.2">
      <c r="B2317" s="268"/>
    </row>
    <row r="2318" spans="2:2" ht="24.95" customHeight="1" x14ac:dyDescent="0.2">
      <c r="B2318" s="268"/>
    </row>
    <row r="2319" spans="2:2" ht="24.95" customHeight="1" x14ac:dyDescent="0.2">
      <c r="B2319" s="268"/>
    </row>
    <row r="2320" spans="2:2" ht="24.95" customHeight="1" x14ac:dyDescent="0.2">
      <c r="B2320" s="268"/>
    </row>
    <row r="2321" spans="2:2" ht="24.95" customHeight="1" x14ac:dyDescent="0.2">
      <c r="B2321" s="268"/>
    </row>
    <row r="2322" spans="2:2" ht="24.95" customHeight="1" x14ac:dyDescent="0.2">
      <c r="B2322" s="268"/>
    </row>
    <row r="2323" spans="2:2" ht="24.95" customHeight="1" x14ac:dyDescent="0.2">
      <c r="B2323" s="268"/>
    </row>
    <row r="2324" spans="2:2" ht="24.95" customHeight="1" x14ac:dyDescent="0.2">
      <c r="B2324" s="268"/>
    </row>
    <row r="2325" spans="2:2" ht="24.95" customHeight="1" x14ac:dyDescent="0.2">
      <c r="B2325" s="268"/>
    </row>
    <row r="2326" spans="2:2" ht="24.95" customHeight="1" x14ac:dyDescent="0.2">
      <c r="B2326" s="268"/>
    </row>
    <row r="2327" spans="2:2" ht="24.95" customHeight="1" x14ac:dyDescent="0.2">
      <c r="B2327" s="268"/>
    </row>
    <row r="2328" spans="2:2" ht="24.95" customHeight="1" x14ac:dyDescent="0.2">
      <c r="B2328" s="268"/>
    </row>
    <row r="2329" spans="2:2" ht="24.95" customHeight="1" x14ac:dyDescent="0.2">
      <c r="B2329" s="268"/>
    </row>
    <row r="2330" spans="2:2" ht="24.95" customHeight="1" x14ac:dyDescent="0.2">
      <c r="B2330" s="268"/>
    </row>
    <row r="2331" spans="2:2" ht="24.95" customHeight="1" x14ac:dyDescent="0.2">
      <c r="B2331" s="268"/>
    </row>
    <row r="2332" spans="2:2" ht="24.95" customHeight="1" x14ac:dyDescent="0.2">
      <c r="B2332" s="268"/>
    </row>
    <row r="2333" spans="2:2" ht="24.95" customHeight="1" x14ac:dyDescent="0.2">
      <c r="B2333" s="268"/>
    </row>
    <row r="2334" spans="2:2" ht="24.95" customHeight="1" x14ac:dyDescent="0.2">
      <c r="B2334" s="268"/>
    </row>
    <row r="2335" spans="2:2" ht="24.95" customHeight="1" x14ac:dyDescent="0.2">
      <c r="B2335" s="268"/>
    </row>
    <row r="2336" spans="2:2" ht="24.95" customHeight="1" x14ac:dyDescent="0.2">
      <c r="B2336" s="268"/>
    </row>
    <row r="2337" spans="2:2" ht="24.95" customHeight="1" x14ac:dyDescent="0.2">
      <c r="B2337" s="268"/>
    </row>
    <row r="2338" spans="2:2" ht="24.95" customHeight="1" x14ac:dyDescent="0.2">
      <c r="B2338" s="268"/>
    </row>
    <row r="2339" spans="2:2" ht="24.95" customHeight="1" x14ac:dyDescent="0.2">
      <c r="B2339" s="268"/>
    </row>
    <row r="2340" spans="2:2" ht="24.95" customHeight="1" x14ac:dyDescent="0.2">
      <c r="B2340" s="268"/>
    </row>
    <row r="2341" spans="2:2" ht="24.95" customHeight="1" x14ac:dyDescent="0.2">
      <c r="B2341" s="268"/>
    </row>
    <row r="2342" spans="2:2" ht="24.95" customHeight="1" x14ac:dyDescent="0.2">
      <c r="B2342" s="268"/>
    </row>
    <row r="2343" spans="2:2" ht="24.95" customHeight="1" x14ac:dyDescent="0.2">
      <c r="B2343" s="268"/>
    </row>
    <row r="2344" spans="2:2" ht="24.95" customHeight="1" x14ac:dyDescent="0.2">
      <c r="B2344" s="268"/>
    </row>
    <row r="2345" spans="2:2" ht="24.95" customHeight="1" x14ac:dyDescent="0.2">
      <c r="B2345" s="268"/>
    </row>
    <row r="2346" spans="2:2" ht="24.95" customHeight="1" x14ac:dyDescent="0.2">
      <c r="B2346" s="268"/>
    </row>
    <row r="2347" spans="2:2" ht="24.95" customHeight="1" x14ac:dyDescent="0.2">
      <c r="B2347" s="268"/>
    </row>
    <row r="2348" spans="2:2" ht="24.95" customHeight="1" x14ac:dyDescent="0.2">
      <c r="B2348" s="268"/>
    </row>
    <row r="2349" spans="2:2" ht="24.95" customHeight="1" x14ac:dyDescent="0.2">
      <c r="B2349" s="268"/>
    </row>
    <row r="2350" spans="2:2" ht="24.95" customHeight="1" x14ac:dyDescent="0.2">
      <c r="B2350" s="268"/>
    </row>
    <row r="2351" spans="2:2" ht="24.95" customHeight="1" x14ac:dyDescent="0.2">
      <c r="B2351" s="268"/>
    </row>
    <row r="2352" spans="2:2" ht="24.95" customHeight="1" x14ac:dyDescent="0.2">
      <c r="B2352" s="268"/>
    </row>
    <row r="2353" spans="2:2" ht="24.95" customHeight="1" x14ac:dyDescent="0.2">
      <c r="B2353" s="268"/>
    </row>
    <row r="2354" spans="2:2" ht="24.95" customHeight="1" x14ac:dyDescent="0.2">
      <c r="B2354" s="268"/>
    </row>
    <row r="2355" spans="2:2" ht="24.95" customHeight="1" x14ac:dyDescent="0.2">
      <c r="B2355" s="268"/>
    </row>
    <row r="2356" spans="2:2" ht="24.95" customHeight="1" x14ac:dyDescent="0.2">
      <c r="B2356" s="268"/>
    </row>
    <row r="2357" spans="2:2" ht="24.95" customHeight="1" x14ac:dyDescent="0.2">
      <c r="B2357" s="268"/>
    </row>
    <row r="2358" spans="2:2" ht="24.95" customHeight="1" x14ac:dyDescent="0.2">
      <c r="B2358" s="268"/>
    </row>
    <row r="2359" spans="2:2" ht="24.95" customHeight="1" x14ac:dyDescent="0.2">
      <c r="B2359" s="268"/>
    </row>
    <row r="2360" spans="2:2" ht="24.95" customHeight="1" x14ac:dyDescent="0.2">
      <c r="B2360" s="268"/>
    </row>
    <row r="2361" spans="2:2" ht="24.95" customHeight="1" x14ac:dyDescent="0.2">
      <c r="B2361" s="268"/>
    </row>
    <row r="2362" spans="2:2" ht="24.95" customHeight="1" x14ac:dyDescent="0.2">
      <c r="B2362" s="268"/>
    </row>
    <row r="2363" spans="2:2" ht="24.95" customHeight="1" x14ac:dyDescent="0.2">
      <c r="B2363" s="268"/>
    </row>
    <row r="2364" spans="2:2" ht="24.95" customHeight="1" x14ac:dyDescent="0.2">
      <c r="B2364" s="268"/>
    </row>
    <row r="2365" spans="2:2" ht="24.95" customHeight="1" x14ac:dyDescent="0.2">
      <c r="B2365" s="268"/>
    </row>
    <row r="2366" spans="2:2" ht="24.95" customHeight="1" x14ac:dyDescent="0.2">
      <c r="B2366" s="268"/>
    </row>
    <row r="2367" spans="2:2" ht="24.95" customHeight="1" x14ac:dyDescent="0.2">
      <c r="B2367" s="268"/>
    </row>
    <row r="2368" spans="2:2" ht="24.95" customHeight="1" x14ac:dyDescent="0.2">
      <c r="B2368" s="268"/>
    </row>
    <row r="2369" spans="2:2" ht="24.95" customHeight="1" x14ac:dyDescent="0.2">
      <c r="B2369" s="268"/>
    </row>
    <row r="2370" spans="2:2" ht="24.95" customHeight="1" x14ac:dyDescent="0.2">
      <c r="B2370" s="268"/>
    </row>
    <row r="2371" spans="2:2" ht="24.95" customHeight="1" x14ac:dyDescent="0.2">
      <c r="B2371" s="268"/>
    </row>
    <row r="2372" spans="2:2" ht="24.95" customHeight="1" x14ac:dyDescent="0.2">
      <c r="B2372" s="268"/>
    </row>
    <row r="2373" spans="2:2" ht="24.95" customHeight="1" x14ac:dyDescent="0.2">
      <c r="B2373" s="268"/>
    </row>
    <row r="2374" spans="2:2" ht="24.95" customHeight="1" x14ac:dyDescent="0.2">
      <c r="B2374" s="268"/>
    </row>
    <row r="2375" spans="2:2" ht="24.95" customHeight="1" x14ac:dyDescent="0.2">
      <c r="B2375" s="268"/>
    </row>
    <row r="2376" spans="2:2" ht="24.95" customHeight="1" x14ac:dyDescent="0.2">
      <c r="B2376" s="268"/>
    </row>
    <row r="2377" spans="2:2" ht="24.95" customHeight="1" x14ac:dyDescent="0.2">
      <c r="B2377" s="268"/>
    </row>
    <row r="2378" spans="2:2" ht="24.95" customHeight="1" x14ac:dyDescent="0.2">
      <c r="B2378" s="268"/>
    </row>
    <row r="2379" spans="2:2" ht="24.95" customHeight="1" x14ac:dyDescent="0.2">
      <c r="B2379" s="268"/>
    </row>
    <row r="2380" spans="2:2" ht="24.95" customHeight="1" x14ac:dyDescent="0.2">
      <c r="B2380" s="268"/>
    </row>
    <row r="2381" spans="2:2" ht="24.95" customHeight="1" x14ac:dyDescent="0.2">
      <c r="B2381" s="268"/>
    </row>
    <row r="2382" spans="2:2" ht="24.95" customHeight="1" x14ac:dyDescent="0.2">
      <c r="B2382" s="268"/>
    </row>
    <row r="2383" spans="2:2" ht="24.95" customHeight="1" x14ac:dyDescent="0.2">
      <c r="B2383" s="268"/>
    </row>
    <row r="2384" spans="2:2" ht="24.95" customHeight="1" x14ac:dyDescent="0.2">
      <c r="B2384" s="268"/>
    </row>
    <row r="2385" spans="2:2" ht="24.95" customHeight="1" x14ac:dyDescent="0.2">
      <c r="B2385" s="268"/>
    </row>
    <row r="2386" spans="2:2" ht="24.95" customHeight="1" x14ac:dyDescent="0.2">
      <c r="B2386" s="268"/>
    </row>
    <row r="2387" spans="2:2" ht="24.95" customHeight="1" x14ac:dyDescent="0.2">
      <c r="B2387" s="268"/>
    </row>
    <row r="2388" spans="2:2" ht="24.95" customHeight="1" x14ac:dyDescent="0.2">
      <c r="B2388" s="268"/>
    </row>
    <row r="2389" spans="2:2" ht="24.95" customHeight="1" x14ac:dyDescent="0.2">
      <c r="B2389" s="268"/>
    </row>
    <row r="2390" spans="2:2" ht="24.95" customHeight="1" x14ac:dyDescent="0.2">
      <c r="B2390" s="268"/>
    </row>
    <row r="2391" spans="2:2" ht="24.95" customHeight="1" x14ac:dyDescent="0.2">
      <c r="B2391" s="268"/>
    </row>
    <row r="2392" spans="2:2" ht="24.95" customHeight="1" x14ac:dyDescent="0.2">
      <c r="B2392" s="268"/>
    </row>
    <row r="2393" spans="2:2" ht="24.95" customHeight="1" x14ac:dyDescent="0.2">
      <c r="B2393" s="268"/>
    </row>
    <row r="2394" spans="2:2" ht="24.95" customHeight="1" x14ac:dyDescent="0.2">
      <c r="B2394" s="268"/>
    </row>
    <row r="2395" spans="2:2" ht="24.95" customHeight="1" x14ac:dyDescent="0.2">
      <c r="B2395" s="268"/>
    </row>
    <row r="2396" spans="2:2" ht="24.95" customHeight="1" x14ac:dyDescent="0.2">
      <c r="B2396" s="268"/>
    </row>
    <row r="2397" spans="2:2" ht="24.95" customHeight="1" x14ac:dyDescent="0.2">
      <c r="B2397" s="268"/>
    </row>
    <row r="2398" spans="2:2" ht="24.95" customHeight="1" x14ac:dyDescent="0.2">
      <c r="B2398" s="268"/>
    </row>
    <row r="2399" spans="2:2" ht="24.95" customHeight="1" x14ac:dyDescent="0.2">
      <c r="B2399" s="268"/>
    </row>
    <row r="2400" spans="2:2" ht="24.95" customHeight="1" x14ac:dyDescent="0.2">
      <c r="B2400" s="268"/>
    </row>
    <row r="2401" spans="2:2" ht="24.95" customHeight="1" x14ac:dyDescent="0.2">
      <c r="B2401" s="268"/>
    </row>
    <row r="2402" spans="2:2" ht="24.95" customHeight="1" x14ac:dyDescent="0.2">
      <c r="B2402" s="268"/>
    </row>
    <row r="2403" spans="2:2" ht="24.95" customHeight="1" x14ac:dyDescent="0.2">
      <c r="B2403" s="268"/>
    </row>
    <row r="2404" spans="2:2" ht="24.95" customHeight="1" x14ac:dyDescent="0.2">
      <c r="B2404" s="268"/>
    </row>
    <row r="2405" spans="2:2" ht="24.95" customHeight="1" x14ac:dyDescent="0.2">
      <c r="B2405" s="268"/>
    </row>
    <row r="2406" spans="2:2" ht="24.95" customHeight="1" x14ac:dyDescent="0.2">
      <c r="B2406" s="268"/>
    </row>
    <row r="2407" spans="2:2" ht="24.95" customHeight="1" x14ac:dyDescent="0.2">
      <c r="B2407" s="268"/>
    </row>
    <row r="2408" spans="2:2" ht="24.95" customHeight="1" x14ac:dyDescent="0.2">
      <c r="B2408" s="268"/>
    </row>
    <row r="2409" spans="2:2" ht="24.95" customHeight="1" x14ac:dyDescent="0.2">
      <c r="B2409" s="268"/>
    </row>
    <row r="2410" spans="2:2" ht="24.95" customHeight="1" x14ac:dyDescent="0.2">
      <c r="B2410" s="268"/>
    </row>
    <row r="2411" spans="2:2" ht="24.95" customHeight="1" x14ac:dyDescent="0.2">
      <c r="B2411" s="268"/>
    </row>
    <row r="2412" spans="2:2" ht="24.95" customHeight="1" x14ac:dyDescent="0.2">
      <c r="B2412" s="268"/>
    </row>
    <row r="2413" spans="2:2" ht="24.95" customHeight="1" x14ac:dyDescent="0.2">
      <c r="B2413" s="268"/>
    </row>
    <row r="2414" spans="2:2" ht="24.95" customHeight="1" x14ac:dyDescent="0.2">
      <c r="B2414" s="268"/>
    </row>
    <row r="2415" spans="2:2" ht="24.95" customHeight="1" x14ac:dyDescent="0.2">
      <c r="B2415" s="268"/>
    </row>
    <row r="2416" spans="2:2" ht="24.95" customHeight="1" x14ac:dyDescent="0.2">
      <c r="B2416" s="268"/>
    </row>
    <row r="2417" spans="2:2" ht="24.95" customHeight="1" x14ac:dyDescent="0.2">
      <c r="B2417" s="268"/>
    </row>
    <row r="2418" spans="2:2" ht="24.95" customHeight="1" x14ac:dyDescent="0.2">
      <c r="B2418" s="268"/>
    </row>
    <row r="2419" spans="2:2" ht="24.95" customHeight="1" x14ac:dyDescent="0.2">
      <c r="B2419" s="268"/>
    </row>
    <row r="2420" spans="2:2" ht="24.95" customHeight="1" x14ac:dyDescent="0.2">
      <c r="B2420" s="268"/>
    </row>
    <row r="2421" spans="2:2" ht="24.95" customHeight="1" x14ac:dyDescent="0.2">
      <c r="B2421" s="268"/>
    </row>
    <row r="2422" spans="2:2" ht="24.95" customHeight="1" x14ac:dyDescent="0.2">
      <c r="B2422" s="268"/>
    </row>
    <row r="2423" spans="2:2" ht="24.95" customHeight="1" x14ac:dyDescent="0.2">
      <c r="B2423" s="268"/>
    </row>
    <row r="2424" spans="2:2" ht="24.95" customHeight="1" x14ac:dyDescent="0.2">
      <c r="B2424" s="268"/>
    </row>
    <row r="2425" spans="2:2" ht="24.95" customHeight="1" x14ac:dyDescent="0.2">
      <c r="B2425" s="268"/>
    </row>
    <row r="2426" spans="2:2" ht="24.95" customHeight="1" x14ac:dyDescent="0.2">
      <c r="B2426" s="268"/>
    </row>
    <row r="2427" spans="2:2" ht="24.95" customHeight="1" x14ac:dyDescent="0.2">
      <c r="B2427" s="268"/>
    </row>
    <row r="2428" spans="2:2" ht="24.95" customHeight="1" x14ac:dyDescent="0.2">
      <c r="B2428" s="268"/>
    </row>
    <row r="2429" spans="2:2" ht="24.95" customHeight="1" x14ac:dyDescent="0.2">
      <c r="B2429" s="268"/>
    </row>
    <row r="2430" spans="2:2" ht="24.95" customHeight="1" x14ac:dyDescent="0.2">
      <c r="B2430" s="268"/>
    </row>
    <row r="2431" spans="2:2" ht="24.95" customHeight="1" x14ac:dyDescent="0.2">
      <c r="B2431" s="268"/>
    </row>
    <row r="2432" spans="2:2" ht="24.95" customHeight="1" x14ac:dyDescent="0.2">
      <c r="B2432" s="268"/>
    </row>
    <row r="2433" spans="2:2" ht="24.95" customHeight="1" x14ac:dyDescent="0.2">
      <c r="B2433" s="268"/>
    </row>
    <row r="2434" spans="2:2" ht="24.95" customHeight="1" x14ac:dyDescent="0.2">
      <c r="B2434" s="268"/>
    </row>
    <row r="2435" spans="2:2" ht="24.95" customHeight="1" x14ac:dyDescent="0.2">
      <c r="B2435" s="268"/>
    </row>
    <row r="2436" spans="2:2" ht="24.95" customHeight="1" x14ac:dyDescent="0.2">
      <c r="B2436" s="268"/>
    </row>
    <row r="2437" spans="2:2" ht="24.95" customHeight="1" x14ac:dyDescent="0.2">
      <c r="B2437" s="268"/>
    </row>
    <row r="2438" spans="2:2" ht="24.95" customHeight="1" x14ac:dyDescent="0.2">
      <c r="B2438" s="268"/>
    </row>
    <row r="2439" spans="2:2" ht="24.95" customHeight="1" x14ac:dyDescent="0.2">
      <c r="B2439" s="268"/>
    </row>
    <row r="2440" spans="2:2" ht="24.95" customHeight="1" x14ac:dyDescent="0.2">
      <c r="B2440" s="268"/>
    </row>
    <row r="2441" spans="2:2" ht="24.95" customHeight="1" x14ac:dyDescent="0.2">
      <c r="B2441" s="268"/>
    </row>
    <row r="2442" spans="2:2" ht="24.95" customHeight="1" x14ac:dyDescent="0.2">
      <c r="B2442" s="268"/>
    </row>
    <row r="2443" spans="2:2" ht="24.95" customHeight="1" x14ac:dyDescent="0.2">
      <c r="B2443" s="268"/>
    </row>
    <row r="2444" spans="2:2" ht="24.95" customHeight="1" x14ac:dyDescent="0.2">
      <c r="B2444" s="268"/>
    </row>
    <row r="2445" spans="2:2" ht="24.95" customHeight="1" x14ac:dyDescent="0.2">
      <c r="B2445" s="268"/>
    </row>
    <row r="2446" spans="2:2" ht="24.95" customHeight="1" x14ac:dyDescent="0.2">
      <c r="B2446" s="268"/>
    </row>
    <row r="2447" spans="2:2" ht="24.95" customHeight="1" x14ac:dyDescent="0.2">
      <c r="B2447" s="268"/>
    </row>
    <row r="2448" spans="2:2" ht="24.95" customHeight="1" x14ac:dyDescent="0.2">
      <c r="B2448" s="268"/>
    </row>
    <row r="2449" spans="2:2" ht="24.95" customHeight="1" x14ac:dyDescent="0.2">
      <c r="B2449" s="268"/>
    </row>
    <row r="2450" spans="2:2" ht="24.95" customHeight="1" x14ac:dyDescent="0.2">
      <c r="B2450" s="268"/>
    </row>
    <row r="2451" spans="2:2" ht="24.95" customHeight="1" x14ac:dyDescent="0.2">
      <c r="B2451" s="268"/>
    </row>
    <row r="2452" spans="2:2" ht="24.95" customHeight="1" x14ac:dyDescent="0.2">
      <c r="B2452" s="268"/>
    </row>
    <row r="2453" spans="2:2" ht="24.95" customHeight="1" x14ac:dyDescent="0.2">
      <c r="B2453" s="268"/>
    </row>
    <row r="2454" spans="2:2" ht="24.95" customHeight="1" x14ac:dyDescent="0.2">
      <c r="B2454" s="268"/>
    </row>
    <row r="2455" spans="2:2" ht="24.95" customHeight="1" x14ac:dyDescent="0.2">
      <c r="B2455" s="268"/>
    </row>
    <row r="2456" spans="2:2" ht="24.95" customHeight="1" x14ac:dyDescent="0.2">
      <c r="B2456" s="268"/>
    </row>
    <row r="2457" spans="2:2" ht="24.95" customHeight="1" x14ac:dyDescent="0.2">
      <c r="B2457" s="268"/>
    </row>
    <row r="2458" spans="2:2" ht="24.95" customHeight="1" x14ac:dyDescent="0.2">
      <c r="B2458" s="268"/>
    </row>
    <row r="2459" spans="2:2" ht="24.95" customHeight="1" x14ac:dyDescent="0.2">
      <c r="B2459" s="268"/>
    </row>
    <row r="2460" spans="2:2" ht="24.95" customHeight="1" x14ac:dyDescent="0.2">
      <c r="B2460" s="268"/>
    </row>
    <row r="2461" spans="2:2" ht="24.95" customHeight="1" x14ac:dyDescent="0.2">
      <c r="B2461" s="268"/>
    </row>
    <row r="2462" spans="2:2" ht="24.95" customHeight="1" x14ac:dyDescent="0.2">
      <c r="B2462" s="268"/>
    </row>
    <row r="2463" spans="2:2" ht="24.95" customHeight="1" x14ac:dyDescent="0.2">
      <c r="B2463" s="268"/>
    </row>
    <row r="2464" spans="2:2" ht="24.95" customHeight="1" x14ac:dyDescent="0.2">
      <c r="B2464" s="268"/>
    </row>
    <row r="2465" spans="2:2" ht="24.95" customHeight="1" x14ac:dyDescent="0.2">
      <c r="B2465" s="268"/>
    </row>
    <row r="2466" spans="2:2" ht="24.95" customHeight="1" x14ac:dyDescent="0.2">
      <c r="B2466" s="268"/>
    </row>
    <row r="2467" spans="2:2" ht="24.95" customHeight="1" x14ac:dyDescent="0.2">
      <c r="B2467" s="268"/>
    </row>
    <row r="2468" spans="2:2" ht="24.95" customHeight="1" x14ac:dyDescent="0.2">
      <c r="B2468" s="268"/>
    </row>
    <row r="2469" spans="2:2" ht="24.95" customHeight="1" x14ac:dyDescent="0.2">
      <c r="B2469" s="268"/>
    </row>
    <row r="2470" spans="2:2" ht="24.95" customHeight="1" x14ac:dyDescent="0.2">
      <c r="B2470" s="268"/>
    </row>
    <row r="2471" spans="2:2" ht="24.95" customHeight="1" x14ac:dyDescent="0.2">
      <c r="B2471" s="268"/>
    </row>
    <row r="2472" spans="2:2" ht="24.95" customHeight="1" x14ac:dyDescent="0.2">
      <c r="B2472" s="268"/>
    </row>
    <row r="2473" spans="2:2" ht="24.95" customHeight="1" x14ac:dyDescent="0.2">
      <c r="B2473" s="268"/>
    </row>
    <row r="2474" spans="2:2" ht="24.95" customHeight="1" x14ac:dyDescent="0.2">
      <c r="B2474" s="268"/>
    </row>
    <row r="2475" spans="2:2" ht="24.95" customHeight="1" x14ac:dyDescent="0.2">
      <c r="B2475" s="268"/>
    </row>
    <row r="2476" spans="2:2" ht="24.95" customHeight="1" x14ac:dyDescent="0.2">
      <c r="B2476" s="268"/>
    </row>
    <row r="2477" spans="2:2" ht="24.95" customHeight="1" x14ac:dyDescent="0.2">
      <c r="B2477" s="268"/>
    </row>
    <row r="2478" spans="2:2" ht="24.95" customHeight="1" x14ac:dyDescent="0.2">
      <c r="B2478" s="268"/>
    </row>
    <row r="2479" spans="2:2" ht="24.95" customHeight="1" x14ac:dyDescent="0.2">
      <c r="B2479" s="268"/>
    </row>
    <row r="2480" spans="2:2" ht="24.95" customHeight="1" x14ac:dyDescent="0.2">
      <c r="B2480" s="268"/>
    </row>
    <row r="2481" spans="2:2" ht="24.95" customHeight="1" x14ac:dyDescent="0.2">
      <c r="B2481" s="268"/>
    </row>
    <row r="2482" spans="2:2" ht="24.95" customHeight="1" x14ac:dyDescent="0.2">
      <c r="B2482" s="268"/>
    </row>
    <row r="2483" spans="2:2" ht="24.95" customHeight="1" x14ac:dyDescent="0.2">
      <c r="B2483" s="268"/>
    </row>
    <row r="2484" spans="2:2" ht="24.95" customHeight="1" x14ac:dyDescent="0.2">
      <c r="B2484" s="268"/>
    </row>
    <row r="2485" spans="2:2" ht="24.95" customHeight="1" x14ac:dyDescent="0.2">
      <c r="B2485" s="268"/>
    </row>
    <row r="2486" spans="2:2" ht="24.95" customHeight="1" x14ac:dyDescent="0.2">
      <c r="B2486" s="268"/>
    </row>
    <row r="2487" spans="2:2" ht="24.95" customHeight="1" x14ac:dyDescent="0.2">
      <c r="B2487" s="268"/>
    </row>
    <row r="2488" spans="2:2" ht="24.95" customHeight="1" x14ac:dyDescent="0.2">
      <c r="B2488" s="268"/>
    </row>
    <row r="2489" spans="2:2" ht="24.95" customHeight="1" x14ac:dyDescent="0.2">
      <c r="B2489" s="268"/>
    </row>
    <row r="2490" spans="2:2" ht="24.95" customHeight="1" x14ac:dyDescent="0.2">
      <c r="B2490" s="268"/>
    </row>
    <row r="2491" spans="2:2" ht="24.95" customHeight="1" x14ac:dyDescent="0.2">
      <c r="B2491" s="268"/>
    </row>
    <row r="2492" spans="2:2" ht="24.95" customHeight="1" x14ac:dyDescent="0.2">
      <c r="B2492" s="268"/>
    </row>
    <row r="2493" spans="2:2" ht="24.95" customHeight="1" x14ac:dyDescent="0.2">
      <c r="B2493" s="268"/>
    </row>
    <row r="2494" spans="2:2" ht="24.95" customHeight="1" x14ac:dyDescent="0.2">
      <c r="B2494" s="268"/>
    </row>
    <row r="2495" spans="2:2" ht="24.95" customHeight="1" x14ac:dyDescent="0.2">
      <c r="B2495" s="268"/>
    </row>
    <row r="2496" spans="2:2" ht="24.95" customHeight="1" x14ac:dyDescent="0.2">
      <c r="B2496" s="268"/>
    </row>
    <row r="2497" spans="2:2" ht="24.95" customHeight="1" x14ac:dyDescent="0.2">
      <c r="B2497" s="268"/>
    </row>
    <row r="2498" spans="2:2" ht="24.95" customHeight="1" x14ac:dyDescent="0.2">
      <c r="B2498" s="268"/>
    </row>
    <row r="2499" spans="2:2" ht="24.95" customHeight="1" x14ac:dyDescent="0.2">
      <c r="B2499" s="268"/>
    </row>
    <row r="2500" spans="2:2" ht="24.95" customHeight="1" x14ac:dyDescent="0.2">
      <c r="B2500" s="268"/>
    </row>
    <row r="2501" spans="2:2" ht="24.95" customHeight="1" x14ac:dyDescent="0.2">
      <c r="B2501" s="268"/>
    </row>
    <row r="2502" spans="2:2" ht="24.95" customHeight="1" x14ac:dyDescent="0.2">
      <c r="B2502" s="268"/>
    </row>
    <row r="2503" spans="2:2" ht="24.95" customHeight="1" x14ac:dyDescent="0.2">
      <c r="B2503" s="268"/>
    </row>
    <row r="2504" spans="2:2" ht="24.95" customHeight="1" x14ac:dyDescent="0.2">
      <c r="B2504" s="268"/>
    </row>
    <row r="2505" spans="2:2" ht="24.95" customHeight="1" x14ac:dyDescent="0.2">
      <c r="B2505" s="268"/>
    </row>
    <row r="2506" spans="2:2" ht="24.95" customHeight="1" x14ac:dyDescent="0.2">
      <c r="B2506" s="268"/>
    </row>
    <row r="2507" spans="2:2" ht="24.95" customHeight="1" x14ac:dyDescent="0.2">
      <c r="B2507" s="268"/>
    </row>
    <row r="2508" spans="2:2" ht="24.95" customHeight="1" x14ac:dyDescent="0.2">
      <c r="B2508" s="268"/>
    </row>
    <row r="2509" spans="2:2" ht="24.95" customHeight="1" x14ac:dyDescent="0.2">
      <c r="B2509" s="268"/>
    </row>
    <row r="2510" spans="2:2" ht="24.95" customHeight="1" x14ac:dyDescent="0.2">
      <c r="B2510" s="268"/>
    </row>
    <row r="2511" spans="2:2" ht="24.95" customHeight="1" x14ac:dyDescent="0.2">
      <c r="B2511" s="268"/>
    </row>
    <row r="2512" spans="2:2" ht="24.95" customHeight="1" x14ac:dyDescent="0.2">
      <c r="B2512" s="268"/>
    </row>
    <row r="2513" spans="2:2" ht="24.95" customHeight="1" x14ac:dyDescent="0.2">
      <c r="B2513" s="268"/>
    </row>
    <row r="2514" spans="2:2" ht="24.95" customHeight="1" x14ac:dyDescent="0.2">
      <c r="B2514" s="268"/>
    </row>
    <row r="2515" spans="2:2" ht="24.95" customHeight="1" x14ac:dyDescent="0.2">
      <c r="B2515" s="268"/>
    </row>
    <row r="2516" spans="2:2" ht="24.95" customHeight="1" x14ac:dyDescent="0.2">
      <c r="B2516" s="268"/>
    </row>
    <row r="2517" spans="2:2" ht="24.95" customHeight="1" x14ac:dyDescent="0.2">
      <c r="B2517" s="268"/>
    </row>
    <row r="2518" spans="2:2" ht="24.95" customHeight="1" x14ac:dyDescent="0.2">
      <c r="B2518" s="268"/>
    </row>
    <row r="2519" spans="2:2" ht="24.95" customHeight="1" x14ac:dyDescent="0.2">
      <c r="B2519" s="268"/>
    </row>
    <row r="2520" spans="2:2" ht="24.95" customHeight="1" x14ac:dyDescent="0.2">
      <c r="B2520" s="268"/>
    </row>
    <row r="2521" spans="2:2" ht="24.95" customHeight="1" x14ac:dyDescent="0.2">
      <c r="B2521" s="268"/>
    </row>
    <row r="2522" spans="2:2" ht="24.95" customHeight="1" x14ac:dyDescent="0.2">
      <c r="B2522" s="268"/>
    </row>
    <row r="2523" spans="2:2" ht="24.95" customHeight="1" x14ac:dyDescent="0.2">
      <c r="B2523" s="268"/>
    </row>
    <row r="2524" spans="2:2" ht="24.95" customHeight="1" x14ac:dyDescent="0.2">
      <c r="B2524" s="268"/>
    </row>
    <row r="2525" spans="2:2" ht="24.95" customHeight="1" x14ac:dyDescent="0.2">
      <c r="B2525" s="268"/>
    </row>
    <row r="2526" spans="2:2" ht="24.95" customHeight="1" x14ac:dyDescent="0.2">
      <c r="B2526" s="268"/>
    </row>
    <row r="2527" spans="2:2" ht="24.95" customHeight="1" x14ac:dyDescent="0.2">
      <c r="B2527" s="268"/>
    </row>
    <row r="2528" spans="2:2" ht="24.95" customHeight="1" x14ac:dyDescent="0.2">
      <c r="B2528" s="268"/>
    </row>
    <row r="2529" spans="2:2" ht="24.95" customHeight="1" x14ac:dyDescent="0.2">
      <c r="B2529" s="268"/>
    </row>
    <row r="2530" spans="2:2" ht="24.95" customHeight="1" x14ac:dyDescent="0.2">
      <c r="B2530" s="268"/>
    </row>
    <row r="2531" spans="2:2" ht="24.95" customHeight="1" x14ac:dyDescent="0.2">
      <c r="B2531" s="268"/>
    </row>
    <row r="2532" spans="2:2" ht="24.95" customHeight="1" x14ac:dyDescent="0.2">
      <c r="B2532" s="268"/>
    </row>
    <row r="2533" spans="2:2" ht="24.95" customHeight="1" x14ac:dyDescent="0.2">
      <c r="B2533" s="268"/>
    </row>
    <row r="2534" spans="2:2" ht="24.95" customHeight="1" x14ac:dyDescent="0.2">
      <c r="B2534" s="268"/>
    </row>
    <row r="2535" spans="2:2" ht="24.95" customHeight="1" x14ac:dyDescent="0.2">
      <c r="B2535" s="268"/>
    </row>
    <row r="2536" spans="2:2" ht="24.95" customHeight="1" x14ac:dyDescent="0.2">
      <c r="B2536" s="268"/>
    </row>
    <row r="2537" spans="2:2" ht="24.95" customHeight="1" x14ac:dyDescent="0.2">
      <c r="B2537" s="268"/>
    </row>
    <row r="2538" spans="2:2" ht="24.95" customHeight="1" x14ac:dyDescent="0.2">
      <c r="B2538" s="268"/>
    </row>
    <row r="2539" spans="2:2" ht="24.95" customHeight="1" x14ac:dyDescent="0.2">
      <c r="B2539" s="268"/>
    </row>
    <row r="2540" spans="2:2" ht="24.95" customHeight="1" x14ac:dyDescent="0.2">
      <c r="B2540" s="268"/>
    </row>
    <row r="2541" spans="2:2" ht="24.95" customHeight="1" x14ac:dyDescent="0.2">
      <c r="B2541" s="268"/>
    </row>
    <row r="2542" spans="2:2" ht="24.95" customHeight="1" x14ac:dyDescent="0.2">
      <c r="B2542" s="268"/>
    </row>
    <row r="2543" spans="2:2" ht="24.95" customHeight="1" x14ac:dyDescent="0.2">
      <c r="B2543" s="268"/>
    </row>
    <row r="2544" spans="2:2" ht="24.95" customHeight="1" x14ac:dyDescent="0.2">
      <c r="B2544" s="268"/>
    </row>
    <row r="2545" spans="2:2" ht="24.95" customHeight="1" x14ac:dyDescent="0.2">
      <c r="B2545" s="268"/>
    </row>
    <row r="2546" spans="2:2" ht="24.95" customHeight="1" x14ac:dyDescent="0.2">
      <c r="B2546" s="268"/>
    </row>
    <row r="2547" spans="2:2" ht="24.95" customHeight="1" x14ac:dyDescent="0.2">
      <c r="B2547" s="268"/>
    </row>
    <row r="2548" spans="2:2" ht="24.95" customHeight="1" x14ac:dyDescent="0.2">
      <c r="B2548" s="268"/>
    </row>
    <row r="2549" spans="2:2" ht="24.95" customHeight="1" x14ac:dyDescent="0.2">
      <c r="B2549" s="268"/>
    </row>
    <row r="2550" spans="2:2" ht="24.95" customHeight="1" x14ac:dyDescent="0.2">
      <c r="B2550" s="268"/>
    </row>
    <row r="2551" spans="2:2" ht="24.95" customHeight="1" x14ac:dyDescent="0.2">
      <c r="B2551" s="268"/>
    </row>
    <row r="2552" spans="2:2" ht="24.95" customHeight="1" x14ac:dyDescent="0.2">
      <c r="B2552" s="268"/>
    </row>
    <row r="2553" spans="2:2" ht="24.95" customHeight="1" x14ac:dyDescent="0.2">
      <c r="B2553" s="268"/>
    </row>
    <row r="2554" spans="2:2" ht="24.95" customHeight="1" x14ac:dyDescent="0.2">
      <c r="B2554" s="268"/>
    </row>
    <row r="2555" spans="2:2" ht="24.95" customHeight="1" x14ac:dyDescent="0.2">
      <c r="B2555" s="268"/>
    </row>
    <row r="2556" spans="2:2" ht="24.95" customHeight="1" x14ac:dyDescent="0.2">
      <c r="B2556" s="268"/>
    </row>
    <row r="2557" spans="2:2" ht="24.95" customHeight="1" x14ac:dyDescent="0.2">
      <c r="B2557" s="268"/>
    </row>
    <row r="2558" spans="2:2" ht="24.95" customHeight="1" x14ac:dyDescent="0.2">
      <c r="B2558" s="268"/>
    </row>
    <row r="2559" spans="2:2" ht="24.95" customHeight="1" x14ac:dyDescent="0.2">
      <c r="B2559" s="268"/>
    </row>
    <row r="2560" spans="2:2" ht="24.95" customHeight="1" x14ac:dyDescent="0.2">
      <c r="B2560" s="268"/>
    </row>
    <row r="2561" spans="2:2" ht="24.95" customHeight="1" x14ac:dyDescent="0.2">
      <c r="B2561" s="268"/>
    </row>
    <row r="2562" spans="2:2" ht="24.95" customHeight="1" x14ac:dyDescent="0.2">
      <c r="B2562" s="268"/>
    </row>
    <row r="2563" spans="2:2" ht="24.95" customHeight="1" x14ac:dyDescent="0.2">
      <c r="B2563" s="268"/>
    </row>
    <row r="2564" spans="2:2" ht="24.95" customHeight="1" x14ac:dyDescent="0.2">
      <c r="B2564" s="268"/>
    </row>
    <row r="2565" spans="2:2" ht="24.95" customHeight="1" x14ac:dyDescent="0.2">
      <c r="B2565" s="268"/>
    </row>
    <row r="2566" spans="2:2" ht="24.95" customHeight="1" x14ac:dyDescent="0.2">
      <c r="B2566" s="268"/>
    </row>
    <row r="2567" spans="2:2" ht="24.95" customHeight="1" x14ac:dyDescent="0.2">
      <c r="B2567" s="268"/>
    </row>
    <row r="2568" spans="2:2" ht="24.95" customHeight="1" x14ac:dyDescent="0.2">
      <c r="B2568" s="268"/>
    </row>
    <row r="2569" spans="2:2" ht="24.95" customHeight="1" x14ac:dyDescent="0.2">
      <c r="B2569" s="268"/>
    </row>
    <row r="2570" spans="2:2" ht="24.95" customHeight="1" x14ac:dyDescent="0.2">
      <c r="B2570" s="268"/>
    </row>
    <row r="2571" spans="2:2" ht="24.95" customHeight="1" x14ac:dyDescent="0.2">
      <c r="B2571" s="268"/>
    </row>
    <row r="2572" spans="2:2" ht="24.95" customHeight="1" x14ac:dyDescent="0.2">
      <c r="B2572" s="268"/>
    </row>
    <row r="2573" spans="2:2" ht="24.95" customHeight="1" x14ac:dyDescent="0.2">
      <c r="B2573" s="268"/>
    </row>
    <row r="2574" spans="2:2" ht="24.95" customHeight="1" x14ac:dyDescent="0.2">
      <c r="B2574" s="268"/>
    </row>
    <row r="2575" spans="2:2" ht="24.95" customHeight="1" x14ac:dyDescent="0.2">
      <c r="B2575" s="268"/>
    </row>
    <row r="2576" spans="2:2" ht="24.95" customHeight="1" x14ac:dyDescent="0.2">
      <c r="B2576" s="268"/>
    </row>
    <row r="2577" spans="2:2" ht="24.95" customHeight="1" x14ac:dyDescent="0.2">
      <c r="B2577" s="268"/>
    </row>
    <row r="2578" spans="2:2" ht="24.95" customHeight="1" x14ac:dyDescent="0.2">
      <c r="B2578" s="268"/>
    </row>
    <row r="2579" spans="2:2" ht="24.95" customHeight="1" x14ac:dyDescent="0.2">
      <c r="B2579" s="268"/>
    </row>
    <row r="2580" spans="2:2" ht="24.95" customHeight="1" x14ac:dyDescent="0.2">
      <c r="B2580" s="268"/>
    </row>
    <row r="2581" spans="2:2" ht="24.95" customHeight="1" x14ac:dyDescent="0.2">
      <c r="B2581" s="268"/>
    </row>
    <row r="2582" spans="2:2" ht="24.95" customHeight="1" x14ac:dyDescent="0.2">
      <c r="B2582" s="268"/>
    </row>
    <row r="2583" spans="2:2" ht="24.95" customHeight="1" x14ac:dyDescent="0.2">
      <c r="B2583" s="268"/>
    </row>
    <row r="2584" spans="2:2" ht="24.95" customHeight="1" x14ac:dyDescent="0.2">
      <c r="B2584" s="268"/>
    </row>
    <row r="2585" spans="2:2" ht="24.95" customHeight="1" x14ac:dyDescent="0.2">
      <c r="B2585" s="268"/>
    </row>
    <row r="2586" spans="2:2" ht="24.95" customHeight="1" x14ac:dyDescent="0.2">
      <c r="B2586" s="268"/>
    </row>
    <row r="2587" spans="2:2" ht="24.95" customHeight="1" x14ac:dyDescent="0.2">
      <c r="B2587" s="268"/>
    </row>
    <row r="2588" spans="2:2" ht="24.95" customHeight="1" x14ac:dyDescent="0.2">
      <c r="B2588" s="268"/>
    </row>
    <row r="2589" spans="2:2" ht="24.95" customHeight="1" x14ac:dyDescent="0.2">
      <c r="B2589" s="268"/>
    </row>
    <row r="2590" spans="2:2" ht="24.95" customHeight="1" x14ac:dyDescent="0.2">
      <c r="B2590" s="268"/>
    </row>
    <row r="2591" spans="2:2" ht="24.95" customHeight="1" x14ac:dyDescent="0.2">
      <c r="B2591" s="268"/>
    </row>
    <row r="2592" spans="2:2" ht="24.95" customHeight="1" x14ac:dyDescent="0.2">
      <c r="B2592" s="268"/>
    </row>
    <row r="2593" spans="2:2" ht="24.95" customHeight="1" x14ac:dyDescent="0.2">
      <c r="B2593" s="268"/>
    </row>
    <row r="2594" spans="2:2" ht="24.95" customHeight="1" x14ac:dyDescent="0.2">
      <c r="B2594" s="268"/>
    </row>
    <row r="2595" spans="2:2" ht="24.95" customHeight="1" x14ac:dyDescent="0.2">
      <c r="B2595" s="268"/>
    </row>
    <row r="2596" spans="2:2" ht="24.95" customHeight="1" x14ac:dyDescent="0.2">
      <c r="B2596" s="268"/>
    </row>
    <row r="2597" spans="2:2" ht="24.95" customHeight="1" x14ac:dyDescent="0.2">
      <c r="B2597" s="268"/>
    </row>
    <row r="2598" spans="2:2" ht="24.95" customHeight="1" x14ac:dyDescent="0.2">
      <c r="B2598" s="268"/>
    </row>
    <row r="2599" spans="2:2" ht="24.95" customHeight="1" x14ac:dyDescent="0.2">
      <c r="B2599" s="268"/>
    </row>
    <row r="2600" spans="2:2" ht="24.95" customHeight="1" x14ac:dyDescent="0.2">
      <c r="B2600" s="268"/>
    </row>
    <row r="2601" spans="2:2" ht="24.95" customHeight="1" x14ac:dyDescent="0.2">
      <c r="B2601" s="268"/>
    </row>
    <row r="2602" spans="2:2" ht="24.95" customHeight="1" x14ac:dyDescent="0.2">
      <c r="B2602" s="268"/>
    </row>
    <row r="2603" spans="2:2" ht="24.95" customHeight="1" x14ac:dyDescent="0.2">
      <c r="B2603" s="268"/>
    </row>
    <row r="2604" spans="2:2" ht="24.95" customHeight="1" x14ac:dyDescent="0.2">
      <c r="B2604" s="268"/>
    </row>
    <row r="2605" spans="2:2" ht="24.95" customHeight="1" x14ac:dyDescent="0.2">
      <c r="B2605" s="268"/>
    </row>
    <row r="2606" spans="2:2" ht="24.95" customHeight="1" x14ac:dyDescent="0.2">
      <c r="B2606" s="268"/>
    </row>
    <row r="2607" spans="2:2" ht="24.95" customHeight="1" x14ac:dyDescent="0.2">
      <c r="B2607" s="268"/>
    </row>
    <row r="2608" spans="2:2" ht="24.95" customHeight="1" x14ac:dyDescent="0.2">
      <c r="B2608" s="268"/>
    </row>
    <row r="2609" spans="2:2" ht="24.95" customHeight="1" x14ac:dyDescent="0.2">
      <c r="B2609" s="268"/>
    </row>
    <row r="2610" spans="2:2" ht="24.95" customHeight="1" x14ac:dyDescent="0.2">
      <c r="B2610" s="268"/>
    </row>
    <row r="2611" spans="2:2" ht="24.95" customHeight="1" x14ac:dyDescent="0.2">
      <c r="B2611" s="268"/>
    </row>
    <row r="2612" spans="2:2" ht="24.95" customHeight="1" x14ac:dyDescent="0.2">
      <c r="B2612" s="268"/>
    </row>
    <row r="2613" spans="2:2" ht="24.95" customHeight="1" x14ac:dyDescent="0.2">
      <c r="B2613" s="268"/>
    </row>
    <row r="2614" spans="2:2" ht="24.95" customHeight="1" x14ac:dyDescent="0.2">
      <c r="B2614" s="268"/>
    </row>
    <row r="2615" spans="2:2" ht="24.95" customHeight="1" x14ac:dyDescent="0.2">
      <c r="B2615" s="268"/>
    </row>
    <row r="2616" spans="2:2" ht="24.95" customHeight="1" x14ac:dyDescent="0.2">
      <c r="B2616" s="268"/>
    </row>
    <row r="2617" spans="2:2" ht="24.95" customHeight="1" x14ac:dyDescent="0.2">
      <c r="B2617" s="268"/>
    </row>
    <row r="2618" spans="2:2" ht="24.95" customHeight="1" x14ac:dyDescent="0.2">
      <c r="B2618" s="268"/>
    </row>
    <row r="2619" spans="2:2" ht="24.95" customHeight="1" x14ac:dyDescent="0.2">
      <c r="B2619" s="268"/>
    </row>
    <row r="2620" spans="2:2" ht="24.95" customHeight="1" x14ac:dyDescent="0.2">
      <c r="B2620" s="268"/>
    </row>
    <row r="2621" spans="2:2" ht="24.95" customHeight="1" x14ac:dyDescent="0.2">
      <c r="B2621" s="268"/>
    </row>
    <row r="2622" spans="2:2" ht="24.95" customHeight="1" x14ac:dyDescent="0.2">
      <c r="B2622" s="268"/>
    </row>
    <row r="2623" spans="2:2" ht="24.95" customHeight="1" x14ac:dyDescent="0.2">
      <c r="B2623" s="268"/>
    </row>
    <row r="2624" spans="2:2" ht="24.95" customHeight="1" x14ac:dyDescent="0.2">
      <c r="B2624" s="268"/>
    </row>
    <row r="2625" spans="2:2" ht="24.95" customHeight="1" x14ac:dyDescent="0.2">
      <c r="B2625" s="268"/>
    </row>
    <row r="2626" spans="2:2" ht="24.95" customHeight="1" x14ac:dyDescent="0.2">
      <c r="B2626" s="268"/>
    </row>
    <row r="2627" spans="2:2" ht="24.95" customHeight="1" x14ac:dyDescent="0.2">
      <c r="B2627" s="268"/>
    </row>
    <row r="2628" spans="2:2" ht="24.95" customHeight="1" x14ac:dyDescent="0.2">
      <c r="B2628" s="268"/>
    </row>
    <row r="2629" spans="2:2" ht="24.95" customHeight="1" x14ac:dyDescent="0.2">
      <c r="B2629" s="268"/>
    </row>
    <row r="2630" spans="2:2" ht="24.95" customHeight="1" x14ac:dyDescent="0.2">
      <c r="B2630" s="268"/>
    </row>
    <row r="2631" spans="2:2" ht="24.95" customHeight="1" x14ac:dyDescent="0.2">
      <c r="B2631" s="268"/>
    </row>
    <row r="2632" spans="2:2" ht="24.95" customHeight="1" x14ac:dyDescent="0.2">
      <c r="B2632" s="268"/>
    </row>
    <row r="2633" spans="2:2" ht="24.95" customHeight="1" x14ac:dyDescent="0.2">
      <c r="B2633" s="268"/>
    </row>
    <row r="2634" spans="2:2" ht="24.95" customHeight="1" x14ac:dyDescent="0.2">
      <c r="B2634" s="268"/>
    </row>
    <row r="2635" spans="2:2" ht="24.95" customHeight="1" x14ac:dyDescent="0.2">
      <c r="B2635" s="268"/>
    </row>
    <row r="2636" spans="2:2" ht="24.95" customHeight="1" x14ac:dyDescent="0.2">
      <c r="B2636" s="268"/>
    </row>
    <row r="2637" spans="2:2" ht="24.95" customHeight="1" x14ac:dyDescent="0.2">
      <c r="B2637" s="268"/>
    </row>
    <row r="2638" spans="2:2" ht="24.95" customHeight="1" x14ac:dyDescent="0.2">
      <c r="B2638" s="268"/>
    </row>
    <row r="2639" spans="2:2" ht="24.95" customHeight="1" x14ac:dyDescent="0.2">
      <c r="B2639" s="268"/>
    </row>
    <row r="2640" spans="2:2" ht="24.95" customHeight="1" x14ac:dyDescent="0.2">
      <c r="B2640" s="268"/>
    </row>
    <row r="2641" spans="2:2" ht="24.95" customHeight="1" x14ac:dyDescent="0.2">
      <c r="B2641" s="268"/>
    </row>
    <row r="2642" spans="2:2" ht="24.95" customHeight="1" x14ac:dyDescent="0.2">
      <c r="B2642" s="268"/>
    </row>
    <row r="2643" spans="2:2" ht="24.95" customHeight="1" x14ac:dyDescent="0.2">
      <c r="B2643" s="268"/>
    </row>
    <row r="2644" spans="2:2" ht="24.95" customHeight="1" x14ac:dyDescent="0.2">
      <c r="B2644" s="268"/>
    </row>
    <row r="2645" spans="2:2" ht="24.95" customHeight="1" x14ac:dyDescent="0.2">
      <c r="B2645" s="268"/>
    </row>
    <row r="2646" spans="2:2" ht="24.95" customHeight="1" x14ac:dyDescent="0.2">
      <c r="B2646" s="268"/>
    </row>
    <row r="2647" spans="2:2" ht="24.95" customHeight="1" x14ac:dyDescent="0.2">
      <c r="B2647" s="268"/>
    </row>
    <row r="2648" spans="2:2" ht="24.95" customHeight="1" x14ac:dyDescent="0.2">
      <c r="B2648" s="268"/>
    </row>
    <row r="2649" spans="2:2" ht="24.95" customHeight="1" x14ac:dyDescent="0.2">
      <c r="B2649" s="268"/>
    </row>
    <row r="2650" spans="2:2" ht="24.95" customHeight="1" x14ac:dyDescent="0.2">
      <c r="B2650" s="268"/>
    </row>
    <row r="2651" spans="2:2" ht="24.95" customHeight="1" x14ac:dyDescent="0.2">
      <c r="B2651" s="268"/>
    </row>
    <row r="2652" spans="2:2" ht="24.95" customHeight="1" x14ac:dyDescent="0.2">
      <c r="B2652" s="268"/>
    </row>
    <row r="2653" spans="2:2" ht="24.95" customHeight="1" x14ac:dyDescent="0.2">
      <c r="B2653" s="268"/>
    </row>
    <row r="2654" spans="2:2" ht="24.95" customHeight="1" x14ac:dyDescent="0.2">
      <c r="B2654" s="268"/>
    </row>
    <row r="2655" spans="2:2" ht="24.95" customHeight="1" x14ac:dyDescent="0.2">
      <c r="B2655" s="268"/>
    </row>
    <row r="2656" spans="2:2" ht="24.95" customHeight="1" x14ac:dyDescent="0.2">
      <c r="B2656" s="268"/>
    </row>
    <row r="2657" spans="2:2" ht="24.95" customHeight="1" x14ac:dyDescent="0.2">
      <c r="B2657" s="268"/>
    </row>
    <row r="2658" spans="2:2" ht="24.95" customHeight="1" x14ac:dyDescent="0.2">
      <c r="B2658" s="268"/>
    </row>
    <row r="2659" spans="2:2" ht="24.95" customHeight="1" x14ac:dyDescent="0.2">
      <c r="B2659" s="268"/>
    </row>
    <row r="2660" spans="2:2" ht="24.95" customHeight="1" x14ac:dyDescent="0.2">
      <c r="B2660" s="268"/>
    </row>
    <row r="2661" spans="2:2" ht="24.95" customHeight="1" x14ac:dyDescent="0.2">
      <c r="B2661" s="268"/>
    </row>
    <row r="2662" spans="2:2" ht="24.95" customHeight="1" x14ac:dyDescent="0.2">
      <c r="B2662" s="268"/>
    </row>
    <row r="2663" spans="2:2" ht="24.95" customHeight="1" x14ac:dyDescent="0.2">
      <c r="B2663" s="268"/>
    </row>
    <row r="2664" spans="2:2" ht="24.95" customHeight="1" x14ac:dyDescent="0.2">
      <c r="B2664" s="268"/>
    </row>
    <row r="2665" spans="2:2" ht="24.95" customHeight="1" x14ac:dyDescent="0.2">
      <c r="B2665" s="268"/>
    </row>
    <row r="2666" spans="2:2" ht="24.95" customHeight="1" x14ac:dyDescent="0.2">
      <c r="B2666" s="268"/>
    </row>
    <row r="2667" spans="2:2" ht="24.95" customHeight="1" x14ac:dyDescent="0.2">
      <c r="B2667" s="268"/>
    </row>
    <row r="2668" spans="2:2" ht="24.95" customHeight="1" x14ac:dyDescent="0.2">
      <c r="B2668" s="268"/>
    </row>
    <row r="2669" spans="2:2" ht="24.95" customHeight="1" x14ac:dyDescent="0.2">
      <c r="B2669" s="268"/>
    </row>
    <row r="2670" spans="2:2" ht="24.95" customHeight="1" x14ac:dyDescent="0.2">
      <c r="B2670" s="268"/>
    </row>
    <row r="2671" spans="2:2" ht="24.95" customHeight="1" x14ac:dyDescent="0.2">
      <c r="B2671" s="268"/>
    </row>
    <row r="2672" spans="2:2" ht="24.95" customHeight="1" x14ac:dyDescent="0.2">
      <c r="B2672" s="268"/>
    </row>
    <row r="2673" spans="2:2" ht="24.95" customHeight="1" x14ac:dyDescent="0.2">
      <c r="B2673" s="268"/>
    </row>
    <row r="2674" spans="2:2" ht="24.95" customHeight="1" x14ac:dyDescent="0.2">
      <c r="B2674" s="268"/>
    </row>
    <row r="2675" spans="2:2" ht="24.95" customHeight="1" x14ac:dyDescent="0.2">
      <c r="B2675" s="268"/>
    </row>
    <row r="2676" spans="2:2" ht="24.95" customHeight="1" x14ac:dyDescent="0.2">
      <c r="B2676" s="268"/>
    </row>
    <row r="2677" spans="2:2" ht="24.95" customHeight="1" x14ac:dyDescent="0.2">
      <c r="B2677" s="268"/>
    </row>
    <row r="2678" spans="2:2" ht="24.95" customHeight="1" x14ac:dyDescent="0.2">
      <c r="B2678" s="268"/>
    </row>
    <row r="2679" spans="2:2" ht="24.95" customHeight="1" x14ac:dyDescent="0.2">
      <c r="B2679" s="268"/>
    </row>
    <row r="2680" spans="2:2" ht="24.95" customHeight="1" x14ac:dyDescent="0.2">
      <c r="B2680" s="268"/>
    </row>
    <row r="2681" spans="2:2" ht="24.95" customHeight="1" x14ac:dyDescent="0.2">
      <c r="B2681" s="268"/>
    </row>
    <row r="2682" spans="2:2" ht="24.95" customHeight="1" x14ac:dyDescent="0.2">
      <c r="B2682" s="268"/>
    </row>
    <row r="2683" spans="2:2" ht="24.95" customHeight="1" x14ac:dyDescent="0.2">
      <c r="B2683" s="268"/>
    </row>
    <row r="2684" spans="2:2" ht="24.95" customHeight="1" x14ac:dyDescent="0.2">
      <c r="B2684" s="268"/>
    </row>
    <row r="2685" spans="2:2" ht="24.95" customHeight="1" x14ac:dyDescent="0.2">
      <c r="B2685" s="268"/>
    </row>
    <row r="2686" spans="2:2" ht="24.95" customHeight="1" x14ac:dyDescent="0.2">
      <c r="B2686" s="268"/>
    </row>
    <row r="2687" spans="2:2" ht="24.95" customHeight="1" x14ac:dyDescent="0.2">
      <c r="B2687" s="268"/>
    </row>
    <row r="2688" spans="2:2" ht="24.95" customHeight="1" x14ac:dyDescent="0.2">
      <c r="B2688" s="268"/>
    </row>
    <row r="2689" spans="2:2" ht="24.95" customHeight="1" x14ac:dyDescent="0.2">
      <c r="B2689" s="268"/>
    </row>
    <row r="2690" spans="2:2" ht="24.95" customHeight="1" x14ac:dyDescent="0.2">
      <c r="B2690" s="268"/>
    </row>
    <row r="2691" spans="2:2" ht="24.95" customHeight="1" x14ac:dyDescent="0.2">
      <c r="B2691" s="268"/>
    </row>
    <row r="2692" spans="2:2" ht="24.95" customHeight="1" x14ac:dyDescent="0.2">
      <c r="B2692" s="268"/>
    </row>
    <row r="2693" spans="2:2" ht="24.95" customHeight="1" x14ac:dyDescent="0.2">
      <c r="B2693" s="268"/>
    </row>
    <row r="2694" spans="2:2" ht="24.95" customHeight="1" x14ac:dyDescent="0.2">
      <c r="B2694" s="268"/>
    </row>
    <row r="2695" spans="2:2" ht="24.95" customHeight="1" x14ac:dyDescent="0.2">
      <c r="B2695" s="268"/>
    </row>
    <row r="2696" spans="2:2" ht="24.95" customHeight="1" x14ac:dyDescent="0.2">
      <c r="B2696" s="268"/>
    </row>
    <row r="2697" spans="2:2" ht="24.95" customHeight="1" x14ac:dyDescent="0.2">
      <c r="B2697" s="268"/>
    </row>
    <row r="2698" spans="2:2" ht="24.95" customHeight="1" x14ac:dyDescent="0.2">
      <c r="B2698" s="268"/>
    </row>
    <row r="2699" spans="2:2" ht="24.95" customHeight="1" x14ac:dyDescent="0.2">
      <c r="B2699" s="268"/>
    </row>
    <row r="2700" spans="2:2" ht="24.95" customHeight="1" x14ac:dyDescent="0.2">
      <c r="B2700" s="268"/>
    </row>
    <row r="2701" spans="2:2" ht="24.95" customHeight="1" x14ac:dyDescent="0.2">
      <c r="B2701" s="268"/>
    </row>
    <row r="2702" spans="2:2" ht="24.95" customHeight="1" x14ac:dyDescent="0.2">
      <c r="B2702" s="268"/>
    </row>
    <row r="2703" spans="2:2" ht="24.95" customHeight="1" x14ac:dyDescent="0.2">
      <c r="B2703" s="268"/>
    </row>
    <row r="2704" spans="2:2" ht="24.95" customHeight="1" x14ac:dyDescent="0.2">
      <c r="B2704" s="268"/>
    </row>
    <row r="2705" spans="2:2" ht="24.95" customHeight="1" x14ac:dyDescent="0.2">
      <c r="B2705" s="268"/>
    </row>
    <row r="2706" spans="2:2" ht="24.95" customHeight="1" x14ac:dyDescent="0.2">
      <c r="B2706" s="268"/>
    </row>
    <row r="2707" spans="2:2" ht="24.95" customHeight="1" x14ac:dyDescent="0.2">
      <c r="B2707" s="268"/>
    </row>
    <row r="2708" spans="2:2" ht="24.95" customHeight="1" x14ac:dyDescent="0.2">
      <c r="B2708" s="268"/>
    </row>
    <row r="2709" spans="2:2" ht="24.95" customHeight="1" x14ac:dyDescent="0.2">
      <c r="B2709" s="268"/>
    </row>
    <row r="2710" spans="2:2" ht="24.95" customHeight="1" x14ac:dyDescent="0.2">
      <c r="B2710" s="268"/>
    </row>
    <row r="2711" spans="2:2" ht="24.95" customHeight="1" x14ac:dyDescent="0.2">
      <c r="B2711" s="268"/>
    </row>
    <row r="2712" spans="2:2" ht="24.95" customHeight="1" x14ac:dyDescent="0.2">
      <c r="B2712" s="268"/>
    </row>
    <row r="2713" spans="2:2" ht="24.95" customHeight="1" x14ac:dyDescent="0.2">
      <c r="B2713" s="268"/>
    </row>
    <row r="2714" spans="2:2" ht="24.95" customHeight="1" x14ac:dyDescent="0.2">
      <c r="B2714" s="268"/>
    </row>
    <row r="2715" spans="2:2" ht="24.95" customHeight="1" x14ac:dyDescent="0.2">
      <c r="B2715" s="268"/>
    </row>
    <row r="2716" spans="2:2" ht="24.95" customHeight="1" x14ac:dyDescent="0.2">
      <c r="B2716" s="268"/>
    </row>
    <row r="2717" spans="2:2" ht="24.95" customHeight="1" x14ac:dyDescent="0.2">
      <c r="B2717" s="268"/>
    </row>
    <row r="2718" spans="2:2" ht="24.95" customHeight="1" x14ac:dyDescent="0.2">
      <c r="B2718" s="268"/>
    </row>
    <row r="2719" spans="2:2" ht="24.95" customHeight="1" x14ac:dyDescent="0.2">
      <c r="B2719" s="268"/>
    </row>
    <row r="2720" spans="2:2" ht="24.95" customHeight="1" x14ac:dyDescent="0.2">
      <c r="B2720" s="268"/>
    </row>
    <row r="2721" spans="2:2" ht="24.95" customHeight="1" x14ac:dyDescent="0.2">
      <c r="B2721" s="268"/>
    </row>
    <row r="2722" spans="2:2" ht="24.95" customHeight="1" x14ac:dyDescent="0.2">
      <c r="B2722" s="268"/>
    </row>
    <row r="2723" spans="2:2" ht="24.95" customHeight="1" x14ac:dyDescent="0.2">
      <c r="B2723" s="268"/>
    </row>
    <row r="2724" spans="2:2" ht="24.95" customHeight="1" x14ac:dyDescent="0.2">
      <c r="B2724" s="268"/>
    </row>
    <row r="2725" spans="2:2" ht="24.95" customHeight="1" x14ac:dyDescent="0.2">
      <c r="B2725" s="268"/>
    </row>
    <row r="2726" spans="2:2" ht="24.95" customHeight="1" x14ac:dyDescent="0.2">
      <c r="B2726" s="268"/>
    </row>
    <row r="2727" spans="2:2" ht="24.95" customHeight="1" x14ac:dyDescent="0.2">
      <c r="B2727" s="268"/>
    </row>
    <row r="2728" spans="2:2" ht="24.95" customHeight="1" x14ac:dyDescent="0.2">
      <c r="B2728" s="268"/>
    </row>
    <row r="2729" spans="2:2" ht="24.95" customHeight="1" x14ac:dyDescent="0.2">
      <c r="B2729" s="268"/>
    </row>
    <row r="2730" spans="2:2" ht="24.95" customHeight="1" x14ac:dyDescent="0.2">
      <c r="B2730" s="268"/>
    </row>
    <row r="2731" spans="2:2" ht="24.95" customHeight="1" x14ac:dyDescent="0.2">
      <c r="B2731" s="268"/>
    </row>
    <row r="2732" spans="2:2" ht="24.95" customHeight="1" x14ac:dyDescent="0.2">
      <c r="B2732" s="268"/>
    </row>
    <row r="2733" spans="2:2" ht="24.95" customHeight="1" x14ac:dyDescent="0.2">
      <c r="B2733" s="268"/>
    </row>
    <row r="2734" spans="2:2" ht="24.95" customHeight="1" x14ac:dyDescent="0.2">
      <c r="B2734" s="268"/>
    </row>
    <row r="2735" spans="2:2" ht="24.95" customHeight="1" x14ac:dyDescent="0.2">
      <c r="B2735" s="268"/>
    </row>
    <row r="2736" spans="2:2" ht="24.95" customHeight="1" x14ac:dyDescent="0.2">
      <c r="B2736" s="268"/>
    </row>
    <row r="2737" spans="2:2" ht="24.95" customHeight="1" x14ac:dyDescent="0.2">
      <c r="B2737" s="268"/>
    </row>
    <row r="2738" spans="2:2" ht="24.95" customHeight="1" x14ac:dyDescent="0.2">
      <c r="B2738" s="268"/>
    </row>
    <row r="2739" spans="2:2" ht="24.95" customHeight="1" x14ac:dyDescent="0.2">
      <c r="B2739" s="268"/>
    </row>
    <row r="2740" spans="2:2" ht="24.95" customHeight="1" x14ac:dyDescent="0.2">
      <c r="B2740" s="268"/>
    </row>
    <row r="2741" spans="2:2" ht="24.95" customHeight="1" x14ac:dyDescent="0.2">
      <c r="B2741" s="268"/>
    </row>
    <row r="2742" spans="2:2" ht="24.95" customHeight="1" x14ac:dyDescent="0.2">
      <c r="B2742" s="268"/>
    </row>
    <row r="2743" spans="2:2" ht="24.95" customHeight="1" x14ac:dyDescent="0.2">
      <c r="B2743" s="268"/>
    </row>
    <row r="2744" spans="2:2" ht="24.95" customHeight="1" x14ac:dyDescent="0.2">
      <c r="B2744" s="268"/>
    </row>
    <row r="2745" spans="2:2" ht="24.95" customHeight="1" x14ac:dyDescent="0.2">
      <c r="B2745" s="268"/>
    </row>
    <row r="2746" spans="2:2" ht="24.95" customHeight="1" x14ac:dyDescent="0.2">
      <c r="B2746" s="268"/>
    </row>
    <row r="2747" spans="2:2" ht="24.95" customHeight="1" x14ac:dyDescent="0.2">
      <c r="B2747" s="268"/>
    </row>
    <row r="2748" spans="2:2" ht="24.95" customHeight="1" x14ac:dyDescent="0.2">
      <c r="B2748" s="268"/>
    </row>
    <row r="2749" spans="2:2" ht="24.95" customHeight="1" x14ac:dyDescent="0.2">
      <c r="B2749" s="268"/>
    </row>
    <row r="2750" spans="2:2" ht="24.95" customHeight="1" x14ac:dyDescent="0.2">
      <c r="B2750" s="268"/>
    </row>
    <row r="2751" spans="2:2" ht="24.95" customHeight="1" x14ac:dyDescent="0.2">
      <c r="B2751" s="268"/>
    </row>
    <row r="2752" spans="2:2" ht="24.95" customHeight="1" x14ac:dyDescent="0.2">
      <c r="B2752" s="268"/>
    </row>
    <row r="2753" spans="2:2" ht="24.95" customHeight="1" x14ac:dyDescent="0.2">
      <c r="B2753" s="268"/>
    </row>
    <row r="2754" spans="2:2" ht="24.95" customHeight="1" x14ac:dyDescent="0.2">
      <c r="B2754" s="268"/>
    </row>
    <row r="2755" spans="2:2" ht="24.95" customHeight="1" x14ac:dyDescent="0.2">
      <c r="B2755" s="268"/>
    </row>
    <row r="2756" spans="2:2" ht="24.95" customHeight="1" x14ac:dyDescent="0.2">
      <c r="B2756" s="268"/>
    </row>
    <row r="2757" spans="2:2" ht="24.95" customHeight="1" x14ac:dyDescent="0.2">
      <c r="B2757" s="268"/>
    </row>
    <row r="2758" spans="2:2" ht="24.95" customHeight="1" x14ac:dyDescent="0.2">
      <c r="B2758" s="268"/>
    </row>
    <row r="2759" spans="2:2" ht="24.95" customHeight="1" x14ac:dyDescent="0.2">
      <c r="B2759" s="268"/>
    </row>
    <row r="2760" spans="2:2" ht="24.95" customHeight="1" x14ac:dyDescent="0.2">
      <c r="B2760" s="268"/>
    </row>
    <row r="2761" spans="2:2" ht="24.95" customHeight="1" x14ac:dyDescent="0.2">
      <c r="B2761" s="268"/>
    </row>
    <row r="2762" spans="2:2" ht="24.95" customHeight="1" x14ac:dyDescent="0.2">
      <c r="B2762" s="268"/>
    </row>
    <row r="2763" spans="2:2" ht="24.95" customHeight="1" x14ac:dyDescent="0.2">
      <c r="B2763" s="268"/>
    </row>
    <row r="2764" spans="2:2" ht="24.95" customHeight="1" x14ac:dyDescent="0.2">
      <c r="B2764" s="268"/>
    </row>
    <row r="2765" spans="2:2" ht="24.95" customHeight="1" x14ac:dyDescent="0.2">
      <c r="B2765" s="268"/>
    </row>
    <row r="2766" spans="2:2" ht="24.95" customHeight="1" x14ac:dyDescent="0.2">
      <c r="B2766" s="268"/>
    </row>
    <row r="2767" spans="2:2" ht="24.95" customHeight="1" x14ac:dyDescent="0.2">
      <c r="B2767" s="268"/>
    </row>
    <row r="2768" spans="2:2" ht="24.95" customHeight="1" x14ac:dyDescent="0.2">
      <c r="B2768" s="268"/>
    </row>
    <row r="2769" spans="2:2" ht="24.95" customHeight="1" x14ac:dyDescent="0.2">
      <c r="B2769" s="268"/>
    </row>
    <row r="2770" spans="2:2" ht="24.95" customHeight="1" x14ac:dyDescent="0.2">
      <c r="B2770" s="268"/>
    </row>
    <row r="2771" spans="2:2" ht="24.95" customHeight="1" x14ac:dyDescent="0.2">
      <c r="B2771" s="268"/>
    </row>
    <row r="2772" spans="2:2" ht="24.95" customHeight="1" x14ac:dyDescent="0.2">
      <c r="B2772" s="268"/>
    </row>
    <row r="2773" spans="2:2" ht="24.95" customHeight="1" x14ac:dyDescent="0.2">
      <c r="B2773" s="268"/>
    </row>
    <row r="2774" spans="2:2" ht="24.95" customHeight="1" x14ac:dyDescent="0.2">
      <c r="B2774" s="268"/>
    </row>
    <row r="2775" spans="2:2" ht="24.95" customHeight="1" x14ac:dyDescent="0.2">
      <c r="B2775" s="268"/>
    </row>
    <row r="2776" spans="2:2" ht="24.95" customHeight="1" x14ac:dyDescent="0.2">
      <c r="B2776" s="268"/>
    </row>
    <row r="2777" spans="2:2" ht="24.95" customHeight="1" x14ac:dyDescent="0.2">
      <c r="B2777" s="268"/>
    </row>
    <row r="2778" spans="2:2" ht="24.95" customHeight="1" x14ac:dyDescent="0.2">
      <c r="B2778" s="268"/>
    </row>
    <row r="2779" spans="2:2" ht="24.95" customHeight="1" x14ac:dyDescent="0.2">
      <c r="B2779" s="268"/>
    </row>
    <row r="2780" spans="2:2" ht="24.95" customHeight="1" x14ac:dyDescent="0.2">
      <c r="B2780" s="268"/>
    </row>
    <row r="2781" spans="2:2" ht="24.95" customHeight="1" x14ac:dyDescent="0.2">
      <c r="B2781" s="268"/>
    </row>
    <row r="2782" spans="2:2" ht="24.95" customHeight="1" x14ac:dyDescent="0.2">
      <c r="B2782" s="268"/>
    </row>
    <row r="2783" spans="2:2" ht="24.95" customHeight="1" x14ac:dyDescent="0.2">
      <c r="B2783" s="268"/>
    </row>
    <row r="2784" spans="2:2" ht="24.95" customHeight="1" x14ac:dyDescent="0.2">
      <c r="B2784" s="268"/>
    </row>
    <row r="2785" spans="2:2" ht="24.95" customHeight="1" x14ac:dyDescent="0.2">
      <c r="B2785" s="268"/>
    </row>
    <row r="2786" spans="2:2" ht="24.95" customHeight="1" x14ac:dyDescent="0.2">
      <c r="B2786" s="268"/>
    </row>
    <row r="2787" spans="2:2" ht="24.95" customHeight="1" x14ac:dyDescent="0.2">
      <c r="B2787" s="268"/>
    </row>
    <row r="2788" spans="2:2" ht="24.95" customHeight="1" x14ac:dyDescent="0.2">
      <c r="B2788" s="268"/>
    </row>
    <row r="2789" spans="2:2" ht="24.95" customHeight="1" x14ac:dyDescent="0.2">
      <c r="B2789" s="268"/>
    </row>
    <row r="2790" spans="2:2" ht="24.95" customHeight="1" x14ac:dyDescent="0.2">
      <c r="B2790" s="268"/>
    </row>
    <row r="2791" spans="2:2" ht="24.95" customHeight="1" x14ac:dyDescent="0.2">
      <c r="B2791" s="268"/>
    </row>
    <row r="2792" spans="2:2" ht="24.95" customHeight="1" x14ac:dyDescent="0.2">
      <c r="B2792" s="268"/>
    </row>
    <row r="2793" spans="2:2" ht="24.95" customHeight="1" x14ac:dyDescent="0.2">
      <c r="B2793" s="268"/>
    </row>
    <row r="2794" spans="2:2" ht="24.95" customHeight="1" x14ac:dyDescent="0.2">
      <c r="B2794" s="268"/>
    </row>
    <row r="2795" spans="2:2" ht="24.95" customHeight="1" x14ac:dyDescent="0.2">
      <c r="B2795" s="268"/>
    </row>
    <row r="2796" spans="2:2" ht="24.95" customHeight="1" x14ac:dyDescent="0.2">
      <c r="B2796" s="268"/>
    </row>
    <row r="2797" spans="2:2" ht="24.95" customHeight="1" x14ac:dyDescent="0.2">
      <c r="B2797" s="268"/>
    </row>
    <row r="2798" spans="2:2" ht="24.95" customHeight="1" x14ac:dyDescent="0.2">
      <c r="B2798" s="268"/>
    </row>
    <row r="2799" spans="2:2" ht="24.95" customHeight="1" x14ac:dyDescent="0.2">
      <c r="B2799" s="268"/>
    </row>
    <row r="2800" spans="2:2" ht="24.95" customHeight="1" x14ac:dyDescent="0.2">
      <c r="B2800" s="268"/>
    </row>
    <row r="2801" spans="2:2" ht="24.95" customHeight="1" x14ac:dyDescent="0.2">
      <c r="B2801" s="268"/>
    </row>
    <row r="2802" spans="2:2" ht="24.95" customHeight="1" x14ac:dyDescent="0.2">
      <c r="B2802" s="268"/>
    </row>
    <row r="2803" spans="2:2" ht="24.95" customHeight="1" x14ac:dyDescent="0.2">
      <c r="B2803" s="268"/>
    </row>
    <row r="2804" spans="2:2" ht="24.95" customHeight="1" x14ac:dyDescent="0.2">
      <c r="B2804" s="268"/>
    </row>
    <row r="2805" spans="2:2" ht="24.95" customHeight="1" x14ac:dyDescent="0.2">
      <c r="B2805" s="268"/>
    </row>
    <row r="2806" spans="2:2" ht="24.95" customHeight="1" x14ac:dyDescent="0.2">
      <c r="B2806" s="268"/>
    </row>
    <row r="2807" spans="2:2" ht="24.95" customHeight="1" x14ac:dyDescent="0.2">
      <c r="B2807" s="268"/>
    </row>
    <row r="2808" spans="2:2" ht="24.95" customHeight="1" x14ac:dyDescent="0.2">
      <c r="B2808" s="268"/>
    </row>
    <row r="2809" spans="2:2" ht="24.95" customHeight="1" x14ac:dyDescent="0.2">
      <c r="B2809" s="268"/>
    </row>
    <row r="2810" spans="2:2" ht="24.95" customHeight="1" x14ac:dyDescent="0.2">
      <c r="B2810" s="268"/>
    </row>
    <row r="2811" spans="2:2" ht="24.95" customHeight="1" x14ac:dyDescent="0.2">
      <c r="B2811" s="268"/>
    </row>
    <row r="2812" spans="2:2" ht="24.95" customHeight="1" x14ac:dyDescent="0.2">
      <c r="B2812" s="268"/>
    </row>
    <row r="2813" spans="2:2" ht="24.95" customHeight="1" x14ac:dyDescent="0.2">
      <c r="B2813" s="268"/>
    </row>
    <row r="2814" spans="2:2" ht="24.95" customHeight="1" x14ac:dyDescent="0.2">
      <c r="B2814" s="268"/>
    </row>
    <row r="2815" spans="2:2" ht="24.95" customHeight="1" x14ac:dyDescent="0.2">
      <c r="B2815" s="268"/>
    </row>
    <row r="2816" spans="2:2" ht="24.95" customHeight="1" x14ac:dyDescent="0.2">
      <c r="B2816" s="268"/>
    </row>
    <row r="2817" spans="2:2" ht="24.95" customHeight="1" x14ac:dyDescent="0.2">
      <c r="B2817" s="268"/>
    </row>
    <row r="2818" spans="2:2" ht="24.95" customHeight="1" x14ac:dyDescent="0.2">
      <c r="B2818" s="268"/>
    </row>
    <row r="2819" spans="2:2" ht="24.95" customHeight="1" x14ac:dyDescent="0.2">
      <c r="B2819" s="268"/>
    </row>
    <row r="2820" spans="2:2" ht="24.95" customHeight="1" x14ac:dyDescent="0.2">
      <c r="B2820" s="268"/>
    </row>
    <row r="2821" spans="2:2" ht="24.95" customHeight="1" x14ac:dyDescent="0.2">
      <c r="B2821" s="268"/>
    </row>
    <row r="2822" spans="2:2" ht="24.95" customHeight="1" x14ac:dyDescent="0.2">
      <c r="B2822" s="268"/>
    </row>
    <row r="2823" spans="2:2" ht="24.95" customHeight="1" x14ac:dyDescent="0.2">
      <c r="B2823" s="268"/>
    </row>
    <row r="2824" spans="2:2" ht="24.95" customHeight="1" x14ac:dyDescent="0.2">
      <c r="B2824" s="268"/>
    </row>
    <row r="2825" spans="2:2" ht="24.95" customHeight="1" x14ac:dyDescent="0.2">
      <c r="B2825" s="268"/>
    </row>
    <row r="2826" spans="2:2" ht="24.95" customHeight="1" x14ac:dyDescent="0.2">
      <c r="B2826" s="268"/>
    </row>
    <row r="2827" spans="2:2" ht="24.95" customHeight="1" x14ac:dyDescent="0.2">
      <c r="B2827" s="268"/>
    </row>
    <row r="2828" spans="2:2" ht="24.95" customHeight="1" x14ac:dyDescent="0.2">
      <c r="B2828" s="268"/>
    </row>
    <row r="2829" spans="2:2" ht="24.95" customHeight="1" x14ac:dyDescent="0.2">
      <c r="B2829" s="268"/>
    </row>
    <row r="2830" spans="2:2" ht="24.95" customHeight="1" x14ac:dyDescent="0.2">
      <c r="B2830" s="268"/>
    </row>
    <row r="2831" spans="2:2" ht="24.95" customHeight="1" x14ac:dyDescent="0.2">
      <c r="B2831" s="268"/>
    </row>
    <row r="2832" spans="2:2" ht="24.95" customHeight="1" x14ac:dyDescent="0.2">
      <c r="B2832" s="268"/>
    </row>
    <row r="2833" spans="2:2" ht="24.95" customHeight="1" x14ac:dyDescent="0.2">
      <c r="B2833" s="268"/>
    </row>
    <row r="2834" spans="2:2" ht="24.95" customHeight="1" x14ac:dyDescent="0.2">
      <c r="B2834" s="268"/>
    </row>
    <row r="2835" spans="2:2" ht="24.95" customHeight="1" x14ac:dyDescent="0.2">
      <c r="B2835" s="268"/>
    </row>
    <row r="2836" spans="2:2" ht="24.95" customHeight="1" x14ac:dyDescent="0.2">
      <c r="B2836" s="268"/>
    </row>
    <row r="2837" spans="2:2" ht="24.95" customHeight="1" x14ac:dyDescent="0.2">
      <c r="B2837" s="268"/>
    </row>
    <row r="2838" spans="2:2" ht="24.95" customHeight="1" x14ac:dyDescent="0.2">
      <c r="B2838" s="268"/>
    </row>
    <row r="2839" spans="2:2" ht="24.95" customHeight="1" x14ac:dyDescent="0.2">
      <c r="B2839" s="268"/>
    </row>
    <row r="2840" spans="2:2" ht="24.95" customHeight="1" x14ac:dyDescent="0.2">
      <c r="B2840" s="268"/>
    </row>
    <row r="2841" spans="2:2" ht="24.95" customHeight="1" x14ac:dyDescent="0.2">
      <c r="B2841" s="268"/>
    </row>
    <row r="2842" spans="2:2" ht="24.95" customHeight="1" x14ac:dyDescent="0.2">
      <c r="B2842" s="268"/>
    </row>
    <row r="2843" spans="2:2" ht="24.95" customHeight="1" x14ac:dyDescent="0.2">
      <c r="B2843" s="268"/>
    </row>
    <row r="2844" spans="2:2" ht="24.95" customHeight="1" x14ac:dyDescent="0.2">
      <c r="B2844" s="268"/>
    </row>
    <row r="2845" spans="2:2" ht="24.95" customHeight="1" x14ac:dyDescent="0.2">
      <c r="B2845" s="268"/>
    </row>
    <row r="2846" spans="2:2" ht="24.95" customHeight="1" x14ac:dyDescent="0.2">
      <c r="B2846" s="268"/>
    </row>
    <row r="2847" spans="2:2" ht="24.95" customHeight="1" x14ac:dyDescent="0.2">
      <c r="B2847" s="268"/>
    </row>
    <row r="2848" spans="2:2" ht="24.95" customHeight="1" x14ac:dyDescent="0.2">
      <c r="B2848" s="268"/>
    </row>
    <row r="2849" spans="2:2" ht="24.95" customHeight="1" x14ac:dyDescent="0.2">
      <c r="B2849" s="268"/>
    </row>
    <row r="2850" spans="2:2" ht="24.95" customHeight="1" x14ac:dyDescent="0.2">
      <c r="B2850" s="268"/>
    </row>
    <row r="2851" spans="2:2" ht="24.95" customHeight="1" x14ac:dyDescent="0.2">
      <c r="B2851" s="268"/>
    </row>
    <row r="2852" spans="2:2" ht="24.95" customHeight="1" x14ac:dyDescent="0.2">
      <c r="B2852" s="268"/>
    </row>
    <row r="2853" spans="2:2" ht="24.95" customHeight="1" x14ac:dyDescent="0.2">
      <c r="B2853" s="268"/>
    </row>
    <row r="2854" spans="2:2" ht="24.95" customHeight="1" x14ac:dyDescent="0.2">
      <c r="B2854" s="268"/>
    </row>
    <row r="2855" spans="2:2" ht="24.95" customHeight="1" x14ac:dyDescent="0.2">
      <c r="B2855" s="268"/>
    </row>
    <row r="2856" spans="2:2" ht="24.95" customHeight="1" x14ac:dyDescent="0.2">
      <c r="B2856" s="268"/>
    </row>
    <row r="2857" spans="2:2" ht="24.95" customHeight="1" x14ac:dyDescent="0.2">
      <c r="B2857" s="268"/>
    </row>
    <row r="2858" spans="2:2" ht="24.95" customHeight="1" x14ac:dyDescent="0.2">
      <c r="B2858" s="268"/>
    </row>
    <row r="2859" spans="2:2" ht="24.95" customHeight="1" x14ac:dyDescent="0.2">
      <c r="B2859" s="268"/>
    </row>
    <row r="2860" spans="2:2" ht="24.95" customHeight="1" x14ac:dyDescent="0.2">
      <c r="B2860" s="268"/>
    </row>
    <row r="2861" spans="2:2" ht="24.95" customHeight="1" x14ac:dyDescent="0.2">
      <c r="B2861" s="268"/>
    </row>
    <row r="2862" spans="2:2" ht="24.95" customHeight="1" x14ac:dyDescent="0.2">
      <c r="B2862" s="268"/>
    </row>
    <row r="2863" spans="2:2" ht="24.95" customHeight="1" x14ac:dyDescent="0.2">
      <c r="B2863" s="268"/>
    </row>
    <row r="2864" spans="2:2" ht="24.95" customHeight="1" x14ac:dyDescent="0.2">
      <c r="B2864" s="268"/>
    </row>
    <row r="2865" spans="2:2" ht="24.95" customHeight="1" x14ac:dyDescent="0.2">
      <c r="B2865" s="268"/>
    </row>
    <row r="2866" spans="2:2" ht="24.95" customHeight="1" x14ac:dyDescent="0.2">
      <c r="B2866" s="268"/>
    </row>
    <row r="2867" spans="2:2" ht="24.95" customHeight="1" x14ac:dyDescent="0.2">
      <c r="B2867" s="268"/>
    </row>
    <row r="2868" spans="2:2" ht="24.95" customHeight="1" x14ac:dyDescent="0.2">
      <c r="B2868" s="268"/>
    </row>
    <row r="2869" spans="2:2" ht="24.95" customHeight="1" x14ac:dyDescent="0.2">
      <c r="B2869" s="268"/>
    </row>
    <row r="2870" spans="2:2" ht="24.95" customHeight="1" x14ac:dyDescent="0.2">
      <c r="B2870" s="268"/>
    </row>
    <row r="2871" spans="2:2" ht="24.95" customHeight="1" x14ac:dyDescent="0.2">
      <c r="B2871" s="268"/>
    </row>
    <row r="2872" spans="2:2" ht="24.95" customHeight="1" x14ac:dyDescent="0.2">
      <c r="B2872" s="268"/>
    </row>
    <row r="2873" spans="2:2" ht="24.95" customHeight="1" x14ac:dyDescent="0.2">
      <c r="B2873" s="268"/>
    </row>
    <row r="2874" spans="2:2" ht="24.95" customHeight="1" x14ac:dyDescent="0.2">
      <c r="B2874" s="268"/>
    </row>
    <row r="2875" spans="2:2" ht="24.95" customHeight="1" x14ac:dyDescent="0.2">
      <c r="B2875" s="268"/>
    </row>
    <row r="2876" spans="2:2" ht="24.95" customHeight="1" x14ac:dyDescent="0.2">
      <c r="B2876" s="268"/>
    </row>
    <row r="2877" spans="2:2" ht="24.95" customHeight="1" x14ac:dyDescent="0.2">
      <c r="B2877" s="268"/>
    </row>
    <row r="2878" spans="2:2" ht="24.95" customHeight="1" x14ac:dyDescent="0.2">
      <c r="B2878" s="268"/>
    </row>
    <row r="2879" spans="2:2" ht="24.95" customHeight="1" x14ac:dyDescent="0.2">
      <c r="B2879" s="268"/>
    </row>
    <row r="2880" spans="2:2" ht="24.95" customHeight="1" x14ac:dyDescent="0.2">
      <c r="B2880" s="268"/>
    </row>
    <row r="2881" spans="2:2" ht="24.95" customHeight="1" x14ac:dyDescent="0.2">
      <c r="B2881" s="268"/>
    </row>
    <row r="2882" spans="2:2" ht="24.95" customHeight="1" x14ac:dyDescent="0.2">
      <c r="B2882" s="268"/>
    </row>
    <row r="2883" spans="2:2" ht="24.95" customHeight="1" x14ac:dyDescent="0.2">
      <c r="B2883" s="268"/>
    </row>
    <row r="2884" spans="2:2" ht="24.95" customHeight="1" x14ac:dyDescent="0.2">
      <c r="B2884" s="268"/>
    </row>
    <row r="2885" spans="2:2" ht="24.95" customHeight="1" x14ac:dyDescent="0.2">
      <c r="B2885" s="268"/>
    </row>
    <row r="2886" spans="2:2" ht="24.95" customHeight="1" x14ac:dyDescent="0.2">
      <c r="B2886" s="268"/>
    </row>
    <row r="2887" spans="2:2" ht="24.95" customHeight="1" x14ac:dyDescent="0.2">
      <c r="B2887" s="268"/>
    </row>
    <row r="2888" spans="2:2" ht="24.95" customHeight="1" x14ac:dyDescent="0.2">
      <c r="B2888" s="268"/>
    </row>
    <row r="2889" spans="2:2" ht="24.95" customHeight="1" x14ac:dyDescent="0.2">
      <c r="B2889" s="268"/>
    </row>
    <row r="2890" spans="2:2" ht="24.95" customHeight="1" x14ac:dyDescent="0.2">
      <c r="B2890" s="268"/>
    </row>
    <row r="2891" spans="2:2" ht="24.95" customHeight="1" x14ac:dyDescent="0.2">
      <c r="B2891" s="268"/>
    </row>
    <row r="2892" spans="2:2" ht="24.95" customHeight="1" x14ac:dyDescent="0.2">
      <c r="B2892" s="268"/>
    </row>
    <row r="2893" spans="2:2" ht="24.95" customHeight="1" x14ac:dyDescent="0.2">
      <c r="B2893" s="268"/>
    </row>
    <row r="2894" spans="2:2" ht="24.95" customHeight="1" x14ac:dyDescent="0.2">
      <c r="B2894" s="268"/>
    </row>
    <row r="2895" spans="2:2" ht="24.95" customHeight="1" x14ac:dyDescent="0.2">
      <c r="B2895" s="268"/>
    </row>
    <row r="2896" spans="2:2" ht="24.95" customHeight="1" x14ac:dyDescent="0.2">
      <c r="B2896" s="268"/>
    </row>
    <row r="2897" spans="2:2" ht="24.95" customHeight="1" x14ac:dyDescent="0.2">
      <c r="B2897" s="268"/>
    </row>
    <row r="2898" spans="2:2" ht="24.95" customHeight="1" x14ac:dyDescent="0.2">
      <c r="B2898" s="268"/>
    </row>
    <row r="2899" spans="2:2" ht="24.95" customHeight="1" x14ac:dyDescent="0.2">
      <c r="B2899" s="268"/>
    </row>
    <row r="2900" spans="2:2" ht="24.95" customHeight="1" x14ac:dyDescent="0.2">
      <c r="B2900" s="268"/>
    </row>
    <row r="2901" spans="2:2" ht="24.95" customHeight="1" x14ac:dyDescent="0.2">
      <c r="B2901" s="268"/>
    </row>
    <row r="2902" spans="2:2" ht="24.95" customHeight="1" x14ac:dyDescent="0.2">
      <c r="B2902" s="268"/>
    </row>
    <row r="2903" spans="2:2" ht="24.95" customHeight="1" x14ac:dyDescent="0.2">
      <c r="B2903" s="268"/>
    </row>
    <row r="2904" spans="2:2" ht="24.95" customHeight="1" x14ac:dyDescent="0.2">
      <c r="B2904" s="268"/>
    </row>
    <row r="2905" spans="2:2" ht="24.95" customHeight="1" x14ac:dyDescent="0.2">
      <c r="B2905" s="268"/>
    </row>
    <row r="2906" spans="2:2" ht="24.95" customHeight="1" x14ac:dyDescent="0.2">
      <c r="B2906" s="268"/>
    </row>
    <row r="2907" spans="2:2" ht="24.95" customHeight="1" x14ac:dyDescent="0.2">
      <c r="B2907" s="268"/>
    </row>
    <row r="2908" spans="2:2" ht="24.95" customHeight="1" x14ac:dyDescent="0.2">
      <c r="B2908" s="268"/>
    </row>
    <row r="2909" spans="2:2" ht="24.95" customHeight="1" x14ac:dyDescent="0.2">
      <c r="B2909" s="268"/>
    </row>
    <row r="2910" spans="2:2" ht="24.95" customHeight="1" x14ac:dyDescent="0.2">
      <c r="B2910" s="268"/>
    </row>
    <row r="2911" spans="2:2" ht="24.95" customHeight="1" x14ac:dyDescent="0.2">
      <c r="B2911" s="268"/>
    </row>
    <row r="2912" spans="2:2" ht="24.95" customHeight="1" x14ac:dyDescent="0.2">
      <c r="B2912" s="268"/>
    </row>
    <row r="2913" spans="2:2" ht="24.95" customHeight="1" x14ac:dyDescent="0.2">
      <c r="B2913" s="268"/>
    </row>
    <row r="2914" spans="2:2" ht="24.95" customHeight="1" x14ac:dyDescent="0.2">
      <c r="B2914" s="268"/>
    </row>
    <row r="2915" spans="2:2" ht="24.95" customHeight="1" x14ac:dyDescent="0.2">
      <c r="B2915" s="268"/>
    </row>
    <row r="2916" spans="2:2" ht="24.95" customHeight="1" x14ac:dyDescent="0.2">
      <c r="B2916" s="268"/>
    </row>
    <row r="2917" spans="2:2" ht="24.95" customHeight="1" x14ac:dyDescent="0.2">
      <c r="B2917" s="268"/>
    </row>
    <row r="2918" spans="2:2" ht="24.95" customHeight="1" x14ac:dyDescent="0.2">
      <c r="B2918" s="268"/>
    </row>
    <row r="2919" spans="2:2" ht="24.95" customHeight="1" x14ac:dyDescent="0.2">
      <c r="B2919" s="268"/>
    </row>
    <row r="2920" spans="2:2" ht="24.95" customHeight="1" x14ac:dyDescent="0.2">
      <c r="B2920" s="268"/>
    </row>
    <row r="2921" spans="2:2" ht="24.95" customHeight="1" x14ac:dyDescent="0.2">
      <c r="B2921" s="268"/>
    </row>
    <row r="2922" spans="2:2" ht="24.95" customHeight="1" x14ac:dyDescent="0.2">
      <c r="B2922" s="268"/>
    </row>
    <row r="2923" spans="2:2" ht="24.95" customHeight="1" x14ac:dyDescent="0.2">
      <c r="B2923" s="268"/>
    </row>
    <row r="2924" spans="2:2" ht="24.95" customHeight="1" x14ac:dyDescent="0.2">
      <c r="B2924" s="268"/>
    </row>
    <row r="2925" spans="2:2" ht="24.95" customHeight="1" x14ac:dyDescent="0.2">
      <c r="B2925" s="268"/>
    </row>
    <row r="2926" spans="2:2" ht="24.95" customHeight="1" x14ac:dyDescent="0.2">
      <c r="B2926" s="268"/>
    </row>
    <row r="2927" spans="2:2" ht="24.95" customHeight="1" x14ac:dyDescent="0.2">
      <c r="B2927" s="268"/>
    </row>
    <row r="2928" spans="2:2" ht="24.95" customHeight="1" x14ac:dyDescent="0.2">
      <c r="B2928" s="268"/>
    </row>
    <row r="2929" spans="2:2" ht="24.95" customHeight="1" x14ac:dyDescent="0.2">
      <c r="B2929" s="268"/>
    </row>
    <row r="2930" spans="2:2" ht="24.95" customHeight="1" x14ac:dyDescent="0.2">
      <c r="B2930" s="268"/>
    </row>
    <row r="2931" spans="2:2" ht="24.95" customHeight="1" x14ac:dyDescent="0.2">
      <c r="B2931" s="268"/>
    </row>
    <row r="2932" spans="2:2" ht="24.95" customHeight="1" x14ac:dyDescent="0.2">
      <c r="B2932" s="268"/>
    </row>
    <row r="2933" spans="2:2" ht="24.95" customHeight="1" x14ac:dyDescent="0.2">
      <c r="B2933" s="268"/>
    </row>
    <row r="2934" spans="2:2" ht="24.95" customHeight="1" x14ac:dyDescent="0.2">
      <c r="B2934" s="268"/>
    </row>
    <row r="2935" spans="2:2" ht="24.95" customHeight="1" x14ac:dyDescent="0.2">
      <c r="B2935" s="268"/>
    </row>
    <row r="2936" spans="2:2" ht="24.95" customHeight="1" x14ac:dyDescent="0.2">
      <c r="B2936" s="268"/>
    </row>
    <row r="2937" spans="2:2" ht="24.95" customHeight="1" x14ac:dyDescent="0.2">
      <c r="B2937" s="268"/>
    </row>
    <row r="2938" spans="2:2" ht="24.95" customHeight="1" x14ac:dyDescent="0.2">
      <c r="B2938" s="268"/>
    </row>
    <row r="2939" spans="2:2" ht="24.95" customHeight="1" x14ac:dyDescent="0.2">
      <c r="B2939" s="268"/>
    </row>
    <row r="2940" spans="2:2" ht="24.95" customHeight="1" x14ac:dyDescent="0.2">
      <c r="B2940" s="268"/>
    </row>
    <row r="2941" spans="2:2" ht="24.95" customHeight="1" x14ac:dyDescent="0.2">
      <c r="B2941" s="268"/>
    </row>
    <row r="2942" spans="2:2" ht="24.95" customHeight="1" x14ac:dyDescent="0.2">
      <c r="B2942" s="268"/>
    </row>
    <row r="2943" spans="2:2" ht="24.95" customHeight="1" x14ac:dyDescent="0.2">
      <c r="B2943" s="268"/>
    </row>
    <row r="2944" spans="2:2" ht="24.95" customHeight="1" x14ac:dyDescent="0.2">
      <c r="B2944" s="268"/>
    </row>
    <row r="2945" spans="2:2" ht="24.95" customHeight="1" x14ac:dyDescent="0.2">
      <c r="B2945" s="268"/>
    </row>
    <row r="2946" spans="2:2" ht="24.95" customHeight="1" x14ac:dyDescent="0.2">
      <c r="B2946" s="268"/>
    </row>
    <row r="2947" spans="2:2" ht="24.95" customHeight="1" x14ac:dyDescent="0.2">
      <c r="B2947" s="268"/>
    </row>
    <row r="2948" spans="2:2" ht="24.95" customHeight="1" x14ac:dyDescent="0.2">
      <c r="B2948" s="268"/>
    </row>
    <row r="2949" spans="2:2" ht="24.95" customHeight="1" x14ac:dyDescent="0.2">
      <c r="B2949" s="268"/>
    </row>
    <row r="2950" spans="2:2" ht="24.95" customHeight="1" x14ac:dyDescent="0.2">
      <c r="B2950" s="268"/>
    </row>
    <row r="2951" spans="2:2" ht="24.95" customHeight="1" x14ac:dyDescent="0.2">
      <c r="B2951" s="268"/>
    </row>
    <row r="2952" spans="2:2" ht="24.95" customHeight="1" x14ac:dyDescent="0.2">
      <c r="B2952" s="268"/>
    </row>
    <row r="2953" spans="2:2" ht="24.95" customHeight="1" x14ac:dyDescent="0.2">
      <c r="B2953" s="268"/>
    </row>
    <row r="2954" spans="2:2" ht="24.95" customHeight="1" x14ac:dyDescent="0.2">
      <c r="B2954" s="268"/>
    </row>
    <row r="2955" spans="2:2" ht="24.95" customHeight="1" x14ac:dyDescent="0.2">
      <c r="B2955" s="268"/>
    </row>
    <row r="2956" spans="2:2" ht="24.95" customHeight="1" x14ac:dyDescent="0.2">
      <c r="B2956" s="268"/>
    </row>
    <row r="2957" spans="2:2" ht="24.95" customHeight="1" x14ac:dyDescent="0.2">
      <c r="B2957" s="268"/>
    </row>
    <row r="2958" spans="2:2" ht="24.95" customHeight="1" x14ac:dyDescent="0.2">
      <c r="B2958" s="268"/>
    </row>
    <row r="2959" spans="2:2" ht="24.95" customHeight="1" x14ac:dyDescent="0.2">
      <c r="B2959" s="268"/>
    </row>
    <row r="2960" spans="2:2" ht="24.95" customHeight="1" x14ac:dyDescent="0.2">
      <c r="B2960" s="268"/>
    </row>
    <row r="2961" spans="2:2" ht="24.95" customHeight="1" x14ac:dyDescent="0.2">
      <c r="B2961" s="268"/>
    </row>
    <row r="2962" spans="2:2" ht="24.95" customHeight="1" x14ac:dyDescent="0.2">
      <c r="B2962" s="268"/>
    </row>
    <row r="2963" spans="2:2" ht="24.95" customHeight="1" x14ac:dyDescent="0.2">
      <c r="B2963" s="268"/>
    </row>
    <row r="2964" spans="2:2" ht="24.95" customHeight="1" x14ac:dyDescent="0.2">
      <c r="B2964" s="268"/>
    </row>
    <row r="2965" spans="2:2" ht="24.95" customHeight="1" x14ac:dyDescent="0.2">
      <c r="B2965" s="268"/>
    </row>
    <row r="2966" spans="2:2" ht="24.95" customHeight="1" x14ac:dyDescent="0.2">
      <c r="B2966" s="268"/>
    </row>
    <row r="2967" spans="2:2" ht="24.95" customHeight="1" x14ac:dyDescent="0.2">
      <c r="B2967" s="268"/>
    </row>
    <row r="2968" spans="2:2" ht="24.95" customHeight="1" x14ac:dyDescent="0.2">
      <c r="B2968" s="268"/>
    </row>
    <row r="2969" spans="2:2" ht="24.95" customHeight="1" x14ac:dyDescent="0.2">
      <c r="B2969" s="268"/>
    </row>
    <row r="2970" spans="2:2" ht="24.95" customHeight="1" x14ac:dyDescent="0.2">
      <c r="B2970" s="268"/>
    </row>
    <row r="2971" spans="2:2" ht="24.95" customHeight="1" x14ac:dyDescent="0.2">
      <c r="B2971" s="268"/>
    </row>
    <row r="2972" spans="2:2" ht="24.95" customHeight="1" x14ac:dyDescent="0.2">
      <c r="B2972" s="268"/>
    </row>
    <row r="2973" spans="2:2" ht="24.95" customHeight="1" x14ac:dyDescent="0.2">
      <c r="B2973" s="268"/>
    </row>
    <row r="2974" spans="2:2" ht="24.95" customHeight="1" x14ac:dyDescent="0.2">
      <c r="B2974" s="268"/>
    </row>
    <row r="2975" spans="2:2" ht="24.95" customHeight="1" x14ac:dyDescent="0.2">
      <c r="B2975" s="268"/>
    </row>
    <row r="2976" spans="2:2" ht="24.95" customHeight="1" x14ac:dyDescent="0.2">
      <c r="B2976" s="268"/>
    </row>
    <row r="2977" spans="2:2" ht="24.95" customHeight="1" x14ac:dyDescent="0.2">
      <c r="B2977" s="268"/>
    </row>
    <row r="2978" spans="2:2" ht="24.95" customHeight="1" x14ac:dyDescent="0.2">
      <c r="B2978" s="268"/>
    </row>
    <row r="2979" spans="2:2" ht="24.95" customHeight="1" x14ac:dyDescent="0.2">
      <c r="B2979" s="268"/>
    </row>
    <row r="2980" spans="2:2" ht="24.95" customHeight="1" x14ac:dyDescent="0.2">
      <c r="B2980" s="268"/>
    </row>
    <row r="2981" spans="2:2" ht="24.95" customHeight="1" x14ac:dyDescent="0.2">
      <c r="B2981" s="268"/>
    </row>
    <row r="2982" spans="2:2" ht="24.95" customHeight="1" x14ac:dyDescent="0.2">
      <c r="B2982" s="268"/>
    </row>
    <row r="2983" spans="2:2" ht="24.95" customHeight="1" x14ac:dyDescent="0.2">
      <c r="B2983" s="268"/>
    </row>
    <row r="2984" spans="2:2" ht="24.95" customHeight="1" x14ac:dyDescent="0.2">
      <c r="B2984" s="268"/>
    </row>
    <row r="2985" spans="2:2" ht="24.95" customHeight="1" x14ac:dyDescent="0.2">
      <c r="B2985" s="268"/>
    </row>
    <row r="2986" spans="2:2" ht="24.95" customHeight="1" x14ac:dyDescent="0.2">
      <c r="B2986" s="268"/>
    </row>
    <row r="2987" spans="2:2" ht="24.95" customHeight="1" x14ac:dyDescent="0.2">
      <c r="B2987" s="268"/>
    </row>
    <row r="2988" spans="2:2" ht="24.95" customHeight="1" x14ac:dyDescent="0.2">
      <c r="B2988" s="268"/>
    </row>
    <row r="2989" spans="2:2" ht="24.95" customHeight="1" x14ac:dyDescent="0.2">
      <c r="B2989" s="268"/>
    </row>
    <row r="2990" spans="2:2" ht="24.95" customHeight="1" x14ac:dyDescent="0.2">
      <c r="B2990" s="268"/>
    </row>
    <row r="2991" spans="2:2" ht="24.95" customHeight="1" x14ac:dyDescent="0.2">
      <c r="B2991" s="268"/>
    </row>
    <row r="2992" spans="2:2" ht="24.95" customHeight="1" x14ac:dyDescent="0.2">
      <c r="B2992" s="268"/>
    </row>
    <row r="2993" spans="2:2" ht="24.95" customHeight="1" x14ac:dyDescent="0.2">
      <c r="B2993" s="268"/>
    </row>
    <row r="2994" spans="2:2" ht="24.95" customHeight="1" x14ac:dyDescent="0.2">
      <c r="B2994" s="268"/>
    </row>
    <row r="2995" spans="2:2" ht="24.95" customHeight="1" x14ac:dyDescent="0.2">
      <c r="B2995" s="268"/>
    </row>
    <row r="2996" spans="2:2" ht="24.95" customHeight="1" x14ac:dyDescent="0.2">
      <c r="B2996" s="268"/>
    </row>
    <row r="2997" spans="2:2" ht="24.95" customHeight="1" x14ac:dyDescent="0.2">
      <c r="B2997" s="268"/>
    </row>
    <row r="2998" spans="2:2" ht="24.95" customHeight="1" x14ac:dyDescent="0.2">
      <c r="B2998" s="268"/>
    </row>
    <row r="2999" spans="2:2" ht="24.95" customHeight="1" x14ac:dyDescent="0.2">
      <c r="B2999" s="268"/>
    </row>
    <row r="3000" spans="2:2" ht="24.95" customHeight="1" x14ac:dyDescent="0.2">
      <c r="B3000" s="268"/>
    </row>
    <row r="3001" spans="2:2" ht="24.95" customHeight="1" x14ac:dyDescent="0.2">
      <c r="B3001" s="268"/>
    </row>
    <row r="3002" spans="2:2" ht="24.95" customHeight="1" x14ac:dyDescent="0.2">
      <c r="B3002" s="268"/>
    </row>
    <row r="3003" spans="2:2" ht="24.95" customHeight="1" x14ac:dyDescent="0.2">
      <c r="B3003" s="268"/>
    </row>
    <row r="3004" spans="2:2" ht="24.95" customHeight="1" x14ac:dyDescent="0.2">
      <c r="B3004" s="268"/>
    </row>
    <row r="3005" spans="2:2" ht="24.95" customHeight="1" x14ac:dyDescent="0.2">
      <c r="B3005" s="268"/>
    </row>
    <row r="3006" spans="2:2" ht="24.95" customHeight="1" x14ac:dyDescent="0.2">
      <c r="B3006" s="268"/>
    </row>
    <row r="3007" spans="2:2" ht="24.95" customHeight="1" x14ac:dyDescent="0.2">
      <c r="B3007" s="268"/>
    </row>
    <row r="3008" spans="2:2" ht="24.95" customHeight="1" x14ac:dyDescent="0.2">
      <c r="B3008" s="268"/>
    </row>
    <row r="3009" spans="2:2" ht="24.95" customHeight="1" x14ac:dyDescent="0.2">
      <c r="B3009" s="268"/>
    </row>
    <row r="3010" spans="2:2" ht="24.95" customHeight="1" x14ac:dyDescent="0.2">
      <c r="B3010" s="268"/>
    </row>
    <row r="3011" spans="2:2" ht="24.95" customHeight="1" x14ac:dyDescent="0.2">
      <c r="B3011" s="268"/>
    </row>
    <row r="3012" spans="2:2" ht="24.95" customHeight="1" x14ac:dyDescent="0.2">
      <c r="B3012" s="268"/>
    </row>
    <row r="3013" spans="2:2" ht="24.95" customHeight="1" x14ac:dyDescent="0.2">
      <c r="B3013" s="268"/>
    </row>
    <row r="3014" spans="2:2" ht="24.95" customHeight="1" x14ac:dyDescent="0.2">
      <c r="B3014" s="268"/>
    </row>
    <row r="3015" spans="2:2" ht="24.95" customHeight="1" x14ac:dyDescent="0.2">
      <c r="B3015" s="268"/>
    </row>
    <row r="3016" spans="2:2" ht="24.95" customHeight="1" x14ac:dyDescent="0.2">
      <c r="B3016" s="268"/>
    </row>
    <row r="3017" spans="2:2" ht="24.95" customHeight="1" x14ac:dyDescent="0.2">
      <c r="B3017" s="268"/>
    </row>
    <row r="3018" spans="2:2" ht="24.95" customHeight="1" x14ac:dyDescent="0.2">
      <c r="B3018" s="268"/>
    </row>
    <row r="3019" spans="2:2" ht="24.95" customHeight="1" x14ac:dyDescent="0.2">
      <c r="B3019" s="268"/>
    </row>
    <row r="3020" spans="2:2" ht="24.95" customHeight="1" x14ac:dyDescent="0.2">
      <c r="B3020" s="268"/>
    </row>
    <row r="3021" spans="2:2" ht="24.95" customHeight="1" x14ac:dyDescent="0.2">
      <c r="B3021" s="268"/>
    </row>
    <row r="3022" spans="2:2" ht="24.95" customHeight="1" x14ac:dyDescent="0.2">
      <c r="B3022" s="268"/>
    </row>
    <row r="3023" spans="2:2" ht="24.95" customHeight="1" x14ac:dyDescent="0.2">
      <c r="B3023" s="268"/>
    </row>
    <row r="3024" spans="2:2" ht="24.95" customHeight="1" x14ac:dyDescent="0.2">
      <c r="B3024" s="268"/>
    </row>
    <row r="3025" spans="2:2" ht="24.95" customHeight="1" x14ac:dyDescent="0.2">
      <c r="B3025" s="268"/>
    </row>
    <row r="3026" spans="2:2" ht="24.95" customHeight="1" x14ac:dyDescent="0.2">
      <c r="B3026" s="268"/>
    </row>
    <row r="3027" spans="2:2" ht="24.95" customHeight="1" x14ac:dyDescent="0.2">
      <c r="B3027" s="268"/>
    </row>
    <row r="3028" spans="2:2" ht="24.95" customHeight="1" x14ac:dyDescent="0.2">
      <c r="B3028" s="268"/>
    </row>
    <row r="3029" spans="2:2" ht="24.95" customHeight="1" x14ac:dyDescent="0.2">
      <c r="B3029" s="268"/>
    </row>
    <row r="3030" spans="2:2" ht="24.95" customHeight="1" x14ac:dyDescent="0.2">
      <c r="B3030" s="268"/>
    </row>
    <row r="3031" spans="2:2" ht="24.95" customHeight="1" x14ac:dyDescent="0.2">
      <c r="B3031" s="268"/>
    </row>
    <row r="3032" spans="2:2" ht="24.95" customHeight="1" x14ac:dyDescent="0.2">
      <c r="B3032" s="268"/>
    </row>
    <row r="3033" spans="2:2" ht="24.95" customHeight="1" x14ac:dyDescent="0.2">
      <c r="B3033" s="268"/>
    </row>
    <row r="3034" spans="2:2" ht="24.95" customHeight="1" x14ac:dyDescent="0.2">
      <c r="B3034" s="268"/>
    </row>
    <row r="3035" spans="2:2" ht="24.95" customHeight="1" x14ac:dyDescent="0.2">
      <c r="B3035" s="268"/>
    </row>
    <row r="3036" spans="2:2" ht="24.95" customHeight="1" x14ac:dyDescent="0.2">
      <c r="B3036" s="268"/>
    </row>
    <row r="3037" spans="2:2" ht="24.95" customHeight="1" x14ac:dyDescent="0.2">
      <c r="B3037" s="268"/>
    </row>
    <row r="3038" spans="2:2" ht="24.95" customHeight="1" x14ac:dyDescent="0.2">
      <c r="B3038" s="268"/>
    </row>
    <row r="3039" spans="2:2" ht="24.95" customHeight="1" x14ac:dyDescent="0.2">
      <c r="B3039" s="268"/>
    </row>
    <row r="3040" spans="2:2" ht="24.95" customHeight="1" x14ac:dyDescent="0.2">
      <c r="B3040" s="268"/>
    </row>
    <row r="3041" spans="2:2" ht="24.95" customHeight="1" x14ac:dyDescent="0.2">
      <c r="B3041" s="268"/>
    </row>
    <row r="3042" spans="2:2" ht="24.95" customHeight="1" x14ac:dyDescent="0.2">
      <c r="B3042" s="268"/>
    </row>
    <row r="3043" spans="2:2" ht="24.95" customHeight="1" x14ac:dyDescent="0.2">
      <c r="B3043" s="268"/>
    </row>
    <row r="3044" spans="2:2" ht="24.95" customHeight="1" x14ac:dyDescent="0.2">
      <c r="B3044" s="268"/>
    </row>
    <row r="3045" spans="2:2" ht="24.95" customHeight="1" x14ac:dyDescent="0.2">
      <c r="B3045" s="268"/>
    </row>
    <row r="3046" spans="2:2" ht="24.95" customHeight="1" x14ac:dyDescent="0.2">
      <c r="B3046" s="268"/>
    </row>
    <row r="3047" spans="2:2" ht="24.95" customHeight="1" x14ac:dyDescent="0.2">
      <c r="B3047" s="268"/>
    </row>
    <row r="3048" spans="2:2" ht="24.95" customHeight="1" x14ac:dyDescent="0.2">
      <c r="B3048" s="268"/>
    </row>
    <row r="3049" spans="2:2" ht="24.95" customHeight="1" x14ac:dyDescent="0.2">
      <c r="B3049" s="268"/>
    </row>
    <row r="3050" spans="2:2" ht="24.95" customHeight="1" x14ac:dyDescent="0.2">
      <c r="B3050" s="268"/>
    </row>
    <row r="3051" spans="2:2" ht="24.95" customHeight="1" x14ac:dyDescent="0.2">
      <c r="B3051" s="268"/>
    </row>
    <row r="3052" spans="2:2" ht="24.95" customHeight="1" x14ac:dyDescent="0.2">
      <c r="B3052" s="268"/>
    </row>
    <row r="3053" spans="2:2" ht="24.95" customHeight="1" x14ac:dyDescent="0.2">
      <c r="B3053" s="268"/>
    </row>
    <row r="3054" spans="2:2" ht="24.95" customHeight="1" x14ac:dyDescent="0.2">
      <c r="B3054" s="268"/>
    </row>
    <row r="3055" spans="2:2" ht="24.95" customHeight="1" x14ac:dyDescent="0.2">
      <c r="B3055" s="268"/>
    </row>
    <row r="3056" spans="2:2" ht="24.95" customHeight="1" x14ac:dyDescent="0.2">
      <c r="B3056" s="268"/>
    </row>
    <row r="3057" spans="2:2" ht="24.95" customHeight="1" x14ac:dyDescent="0.2">
      <c r="B3057" s="268"/>
    </row>
    <row r="3058" spans="2:2" ht="24.95" customHeight="1" x14ac:dyDescent="0.2">
      <c r="B3058" s="268"/>
    </row>
    <row r="3059" spans="2:2" ht="24.95" customHeight="1" x14ac:dyDescent="0.2">
      <c r="B3059" s="268"/>
    </row>
    <row r="3060" spans="2:2" ht="24.95" customHeight="1" x14ac:dyDescent="0.2">
      <c r="B3060" s="268"/>
    </row>
    <row r="3061" spans="2:2" ht="24.95" customHeight="1" x14ac:dyDescent="0.2">
      <c r="B3061" s="268"/>
    </row>
    <row r="3062" spans="2:2" ht="24.95" customHeight="1" x14ac:dyDescent="0.2">
      <c r="B3062" s="268"/>
    </row>
    <row r="3063" spans="2:2" ht="24.95" customHeight="1" x14ac:dyDescent="0.2">
      <c r="B3063" s="268"/>
    </row>
    <row r="3064" spans="2:2" ht="24.95" customHeight="1" x14ac:dyDescent="0.2">
      <c r="B3064" s="268"/>
    </row>
    <row r="3065" spans="2:2" ht="24.95" customHeight="1" x14ac:dyDescent="0.2">
      <c r="B3065" s="268"/>
    </row>
    <row r="3066" spans="2:2" ht="24.95" customHeight="1" x14ac:dyDescent="0.2">
      <c r="B3066" s="268"/>
    </row>
    <row r="3067" spans="2:2" ht="24.95" customHeight="1" x14ac:dyDescent="0.2">
      <c r="B3067" s="268"/>
    </row>
    <row r="3068" spans="2:2" ht="24.95" customHeight="1" x14ac:dyDescent="0.2">
      <c r="B3068" s="268"/>
    </row>
    <row r="3069" spans="2:2" ht="24.95" customHeight="1" x14ac:dyDescent="0.2">
      <c r="B3069" s="268"/>
    </row>
    <row r="3070" spans="2:2" ht="24.95" customHeight="1" x14ac:dyDescent="0.2">
      <c r="B3070" s="268"/>
    </row>
    <row r="3071" spans="2:2" ht="24.95" customHeight="1" x14ac:dyDescent="0.2">
      <c r="B3071" s="268"/>
    </row>
    <row r="3072" spans="2:2" ht="24.95" customHeight="1" x14ac:dyDescent="0.2">
      <c r="B3072" s="268"/>
    </row>
    <row r="3073" spans="2:2" ht="24.95" customHeight="1" x14ac:dyDescent="0.2">
      <c r="B3073" s="268"/>
    </row>
    <row r="3074" spans="2:2" ht="24.95" customHeight="1" x14ac:dyDescent="0.2">
      <c r="B3074" s="268"/>
    </row>
    <row r="3075" spans="2:2" ht="24.95" customHeight="1" x14ac:dyDescent="0.2">
      <c r="B3075" s="268"/>
    </row>
    <row r="3076" spans="2:2" ht="24.95" customHeight="1" x14ac:dyDescent="0.2">
      <c r="B3076" s="268"/>
    </row>
    <row r="3077" spans="2:2" ht="24.95" customHeight="1" x14ac:dyDescent="0.2">
      <c r="B3077" s="268"/>
    </row>
    <row r="3078" spans="2:2" ht="24.95" customHeight="1" x14ac:dyDescent="0.2">
      <c r="B3078" s="268"/>
    </row>
    <row r="3079" spans="2:2" ht="24.95" customHeight="1" x14ac:dyDescent="0.2">
      <c r="B3079" s="268"/>
    </row>
    <row r="3080" spans="2:2" ht="24.95" customHeight="1" x14ac:dyDescent="0.2">
      <c r="B3080" s="268"/>
    </row>
    <row r="3081" spans="2:2" ht="24.95" customHeight="1" x14ac:dyDescent="0.2">
      <c r="B3081" s="268"/>
    </row>
    <row r="3082" spans="2:2" ht="24.95" customHeight="1" x14ac:dyDescent="0.2">
      <c r="B3082" s="268"/>
    </row>
    <row r="3083" spans="2:2" ht="24.95" customHeight="1" x14ac:dyDescent="0.2">
      <c r="B3083" s="268"/>
    </row>
    <row r="3084" spans="2:2" ht="24.95" customHeight="1" x14ac:dyDescent="0.2">
      <c r="B3084" s="268"/>
    </row>
    <row r="3085" spans="2:2" ht="24.95" customHeight="1" x14ac:dyDescent="0.2">
      <c r="B3085" s="268"/>
    </row>
    <row r="3086" spans="2:2" ht="24.95" customHeight="1" x14ac:dyDescent="0.2">
      <c r="B3086" s="268"/>
    </row>
    <row r="3087" spans="2:2" ht="24.95" customHeight="1" x14ac:dyDescent="0.2">
      <c r="B3087" s="268"/>
    </row>
    <row r="3088" spans="2:2" ht="24.95" customHeight="1" x14ac:dyDescent="0.2">
      <c r="B3088" s="268"/>
    </row>
    <row r="3089" spans="2:2" ht="24.95" customHeight="1" x14ac:dyDescent="0.2">
      <c r="B3089" s="268"/>
    </row>
    <row r="3090" spans="2:2" ht="24.95" customHeight="1" x14ac:dyDescent="0.2">
      <c r="B3090" s="268"/>
    </row>
    <row r="3091" spans="2:2" ht="24.95" customHeight="1" x14ac:dyDescent="0.2">
      <c r="B3091" s="268"/>
    </row>
    <row r="3092" spans="2:2" ht="24.95" customHeight="1" x14ac:dyDescent="0.2">
      <c r="B3092" s="268"/>
    </row>
    <row r="3093" spans="2:2" ht="24.95" customHeight="1" x14ac:dyDescent="0.2">
      <c r="B3093" s="268"/>
    </row>
    <row r="3094" spans="2:2" ht="24.95" customHeight="1" x14ac:dyDescent="0.2">
      <c r="B3094" s="268"/>
    </row>
    <row r="3095" spans="2:2" ht="24.95" customHeight="1" x14ac:dyDescent="0.2">
      <c r="B3095" s="268"/>
    </row>
    <row r="3096" spans="2:2" ht="24.95" customHeight="1" x14ac:dyDescent="0.2">
      <c r="B3096" s="268"/>
    </row>
    <row r="3097" spans="2:2" ht="24.95" customHeight="1" x14ac:dyDescent="0.2">
      <c r="B3097" s="268"/>
    </row>
    <row r="3098" spans="2:2" ht="24.95" customHeight="1" x14ac:dyDescent="0.2">
      <c r="B3098" s="268"/>
    </row>
    <row r="3099" spans="2:2" ht="24.95" customHeight="1" x14ac:dyDescent="0.2">
      <c r="B3099" s="268"/>
    </row>
    <row r="3100" spans="2:2" ht="24.95" customHeight="1" x14ac:dyDescent="0.2">
      <c r="B3100" s="268"/>
    </row>
    <row r="3101" spans="2:2" ht="24.95" customHeight="1" x14ac:dyDescent="0.2">
      <c r="B3101" s="268"/>
    </row>
    <row r="3102" spans="2:2" ht="24.95" customHeight="1" x14ac:dyDescent="0.2">
      <c r="B3102" s="268"/>
    </row>
    <row r="3103" spans="2:2" ht="24.95" customHeight="1" x14ac:dyDescent="0.2">
      <c r="B3103" s="268"/>
    </row>
    <row r="3104" spans="2:2" ht="24.95" customHeight="1" x14ac:dyDescent="0.2">
      <c r="B3104" s="268"/>
    </row>
    <row r="3105" spans="2:2" ht="24.95" customHeight="1" x14ac:dyDescent="0.2">
      <c r="B3105" s="268"/>
    </row>
    <row r="3106" spans="2:2" ht="24.95" customHeight="1" x14ac:dyDescent="0.2">
      <c r="B3106" s="268"/>
    </row>
    <row r="3107" spans="2:2" ht="24.95" customHeight="1" x14ac:dyDescent="0.2">
      <c r="B3107" s="268"/>
    </row>
    <row r="3108" spans="2:2" ht="24.95" customHeight="1" x14ac:dyDescent="0.2">
      <c r="B3108" s="268"/>
    </row>
    <row r="3109" spans="2:2" ht="24.95" customHeight="1" x14ac:dyDescent="0.2">
      <c r="B3109" s="268"/>
    </row>
    <row r="3110" spans="2:2" ht="24.95" customHeight="1" x14ac:dyDescent="0.2">
      <c r="B3110" s="268"/>
    </row>
    <row r="3111" spans="2:2" ht="24.95" customHeight="1" x14ac:dyDescent="0.2">
      <c r="B3111" s="268"/>
    </row>
    <row r="3112" spans="2:2" ht="24.95" customHeight="1" x14ac:dyDescent="0.2">
      <c r="B3112" s="268"/>
    </row>
    <row r="3113" spans="2:2" ht="24.95" customHeight="1" x14ac:dyDescent="0.2">
      <c r="B3113" s="268"/>
    </row>
    <row r="3114" spans="2:2" ht="24.95" customHeight="1" x14ac:dyDescent="0.2">
      <c r="B3114" s="268"/>
    </row>
    <row r="3115" spans="2:2" ht="24.95" customHeight="1" x14ac:dyDescent="0.2">
      <c r="B3115" s="268"/>
    </row>
    <row r="3116" spans="2:2" ht="24.95" customHeight="1" x14ac:dyDescent="0.2">
      <c r="B3116" s="268"/>
    </row>
    <row r="3117" spans="2:2" ht="24.95" customHeight="1" x14ac:dyDescent="0.2">
      <c r="B3117" s="268"/>
    </row>
    <row r="3118" spans="2:2" ht="24.95" customHeight="1" x14ac:dyDescent="0.2">
      <c r="B3118" s="268"/>
    </row>
    <row r="3119" spans="2:2" ht="24.95" customHeight="1" x14ac:dyDescent="0.2">
      <c r="B3119" s="268"/>
    </row>
    <row r="3120" spans="2:2" ht="24.95" customHeight="1" x14ac:dyDescent="0.2">
      <c r="B3120" s="268"/>
    </row>
    <row r="3121" spans="2:2" ht="24.95" customHeight="1" x14ac:dyDescent="0.2">
      <c r="B3121" s="268"/>
    </row>
    <row r="3122" spans="2:2" ht="24.95" customHeight="1" x14ac:dyDescent="0.2">
      <c r="B3122" s="268"/>
    </row>
    <row r="3123" spans="2:2" ht="24.95" customHeight="1" x14ac:dyDescent="0.2">
      <c r="B3123" s="268"/>
    </row>
    <row r="3124" spans="2:2" ht="24.95" customHeight="1" x14ac:dyDescent="0.2">
      <c r="B3124" s="268"/>
    </row>
    <row r="3125" spans="2:2" ht="24.95" customHeight="1" x14ac:dyDescent="0.2">
      <c r="B3125" s="268"/>
    </row>
    <row r="3126" spans="2:2" ht="24.95" customHeight="1" x14ac:dyDescent="0.2">
      <c r="B3126" s="268"/>
    </row>
    <row r="3127" spans="2:2" ht="24.95" customHeight="1" x14ac:dyDescent="0.2">
      <c r="B3127" s="268"/>
    </row>
    <row r="3128" spans="2:2" ht="24.95" customHeight="1" x14ac:dyDescent="0.2">
      <c r="B3128" s="268"/>
    </row>
    <row r="3129" spans="2:2" ht="24.95" customHeight="1" x14ac:dyDescent="0.2">
      <c r="B3129" s="268"/>
    </row>
    <row r="3130" spans="2:2" ht="24.95" customHeight="1" x14ac:dyDescent="0.2">
      <c r="B3130" s="268"/>
    </row>
    <row r="3131" spans="2:2" ht="24.95" customHeight="1" x14ac:dyDescent="0.2">
      <c r="B3131" s="268"/>
    </row>
    <row r="3132" spans="2:2" ht="24.95" customHeight="1" x14ac:dyDescent="0.2">
      <c r="B3132" s="268"/>
    </row>
    <row r="3133" spans="2:2" ht="24.95" customHeight="1" x14ac:dyDescent="0.2">
      <c r="B3133" s="268"/>
    </row>
    <row r="3134" spans="2:2" ht="24.95" customHeight="1" x14ac:dyDescent="0.2">
      <c r="B3134" s="268"/>
    </row>
    <row r="3135" spans="2:2" ht="24.95" customHeight="1" x14ac:dyDescent="0.2">
      <c r="B3135" s="268"/>
    </row>
    <row r="3136" spans="2:2" ht="24.95" customHeight="1" x14ac:dyDescent="0.2">
      <c r="B3136" s="268"/>
    </row>
    <row r="3137" spans="2:2" ht="24.95" customHeight="1" x14ac:dyDescent="0.2">
      <c r="B3137" s="268"/>
    </row>
    <row r="3138" spans="2:2" ht="24.95" customHeight="1" x14ac:dyDescent="0.2">
      <c r="B3138" s="268"/>
    </row>
    <row r="3139" spans="2:2" ht="24.95" customHeight="1" x14ac:dyDescent="0.2">
      <c r="B3139" s="268"/>
    </row>
    <row r="3140" spans="2:2" ht="24.95" customHeight="1" x14ac:dyDescent="0.2">
      <c r="B3140" s="268"/>
    </row>
    <row r="3141" spans="2:2" ht="24.95" customHeight="1" x14ac:dyDescent="0.2">
      <c r="B3141" s="268"/>
    </row>
    <row r="3142" spans="2:2" ht="24.95" customHeight="1" x14ac:dyDescent="0.2">
      <c r="B3142" s="268"/>
    </row>
    <row r="3143" spans="2:2" ht="24.95" customHeight="1" x14ac:dyDescent="0.2">
      <c r="B3143" s="268"/>
    </row>
    <row r="3144" spans="2:2" ht="24.95" customHeight="1" x14ac:dyDescent="0.2">
      <c r="B3144" s="268"/>
    </row>
    <row r="3145" spans="2:2" ht="24.95" customHeight="1" x14ac:dyDescent="0.2">
      <c r="B3145" s="268"/>
    </row>
    <row r="3146" spans="2:2" ht="24.95" customHeight="1" x14ac:dyDescent="0.2">
      <c r="B3146" s="268"/>
    </row>
    <row r="3147" spans="2:2" ht="24.95" customHeight="1" x14ac:dyDescent="0.2">
      <c r="B3147" s="268"/>
    </row>
    <row r="3148" spans="2:2" ht="24.95" customHeight="1" x14ac:dyDescent="0.2">
      <c r="B3148" s="268"/>
    </row>
    <row r="3149" spans="2:2" ht="24.95" customHeight="1" x14ac:dyDescent="0.2">
      <c r="B3149" s="268"/>
    </row>
    <row r="3150" spans="2:2" ht="24.95" customHeight="1" x14ac:dyDescent="0.2">
      <c r="B3150" s="268"/>
    </row>
    <row r="3151" spans="2:2" ht="24.95" customHeight="1" x14ac:dyDescent="0.2">
      <c r="B3151" s="268"/>
    </row>
    <row r="3152" spans="2:2" ht="24.95" customHeight="1" x14ac:dyDescent="0.2">
      <c r="B3152" s="268"/>
    </row>
    <row r="3153" spans="2:2" ht="24.95" customHeight="1" x14ac:dyDescent="0.2">
      <c r="B3153" s="268"/>
    </row>
    <row r="3154" spans="2:2" ht="24.95" customHeight="1" x14ac:dyDescent="0.2">
      <c r="B3154" s="268"/>
    </row>
    <row r="3155" spans="2:2" ht="24.95" customHeight="1" x14ac:dyDescent="0.2">
      <c r="B3155" s="268"/>
    </row>
    <row r="3156" spans="2:2" ht="24.95" customHeight="1" x14ac:dyDescent="0.2">
      <c r="B3156" s="268"/>
    </row>
    <row r="3157" spans="2:2" ht="24.95" customHeight="1" x14ac:dyDescent="0.2">
      <c r="B3157" s="268"/>
    </row>
    <row r="3158" spans="2:2" ht="24.95" customHeight="1" x14ac:dyDescent="0.2">
      <c r="B3158" s="268"/>
    </row>
    <row r="3159" spans="2:2" ht="24.95" customHeight="1" x14ac:dyDescent="0.2">
      <c r="B3159" s="268"/>
    </row>
    <row r="3160" spans="2:2" ht="24.95" customHeight="1" x14ac:dyDescent="0.2">
      <c r="B3160" s="268"/>
    </row>
    <row r="3161" spans="2:2" ht="24.95" customHeight="1" x14ac:dyDescent="0.2">
      <c r="B3161" s="268"/>
    </row>
    <row r="3162" spans="2:2" ht="24.95" customHeight="1" x14ac:dyDescent="0.2">
      <c r="B3162" s="268"/>
    </row>
    <row r="3163" spans="2:2" ht="24.95" customHeight="1" x14ac:dyDescent="0.2">
      <c r="B3163" s="268"/>
    </row>
    <row r="3164" spans="2:2" ht="24.95" customHeight="1" x14ac:dyDescent="0.2">
      <c r="B3164" s="268"/>
    </row>
    <row r="3165" spans="2:2" ht="24.95" customHeight="1" x14ac:dyDescent="0.2">
      <c r="B3165" s="268"/>
    </row>
    <row r="3166" spans="2:2" ht="24.95" customHeight="1" x14ac:dyDescent="0.2">
      <c r="B3166" s="268"/>
    </row>
    <row r="3167" spans="2:2" ht="24.95" customHeight="1" x14ac:dyDescent="0.2">
      <c r="B3167" s="268"/>
    </row>
    <row r="3168" spans="2:2" ht="24.95" customHeight="1" x14ac:dyDescent="0.2">
      <c r="B3168" s="268"/>
    </row>
    <row r="3169" spans="2:2" ht="24.95" customHeight="1" x14ac:dyDescent="0.2">
      <c r="B3169" s="268"/>
    </row>
    <row r="3170" spans="2:2" ht="24.95" customHeight="1" x14ac:dyDescent="0.2">
      <c r="B3170" s="268"/>
    </row>
    <row r="3171" spans="2:2" ht="24.95" customHeight="1" x14ac:dyDescent="0.2">
      <c r="B3171" s="268"/>
    </row>
    <row r="3172" spans="2:2" ht="24.95" customHeight="1" x14ac:dyDescent="0.2">
      <c r="B3172" s="268"/>
    </row>
    <row r="3173" spans="2:2" ht="24.95" customHeight="1" x14ac:dyDescent="0.2">
      <c r="B3173" s="268"/>
    </row>
    <row r="3174" spans="2:2" ht="24.95" customHeight="1" x14ac:dyDescent="0.2">
      <c r="B3174" s="268"/>
    </row>
    <row r="3175" spans="2:2" ht="24.95" customHeight="1" x14ac:dyDescent="0.2">
      <c r="B3175" s="268"/>
    </row>
    <row r="3176" spans="2:2" ht="24.95" customHeight="1" x14ac:dyDescent="0.2">
      <c r="B3176" s="268"/>
    </row>
    <row r="3177" spans="2:2" ht="24.95" customHeight="1" x14ac:dyDescent="0.2">
      <c r="B3177" s="268"/>
    </row>
    <row r="3178" spans="2:2" ht="24.95" customHeight="1" x14ac:dyDescent="0.2">
      <c r="B3178" s="268"/>
    </row>
    <row r="3179" spans="2:2" ht="24.95" customHeight="1" x14ac:dyDescent="0.2">
      <c r="B3179" s="268"/>
    </row>
    <row r="3180" spans="2:2" ht="24.95" customHeight="1" x14ac:dyDescent="0.2">
      <c r="B3180" s="268"/>
    </row>
    <row r="3181" spans="2:2" ht="24.95" customHeight="1" x14ac:dyDescent="0.2">
      <c r="B3181" s="268"/>
    </row>
    <row r="3182" spans="2:2" ht="24.95" customHeight="1" x14ac:dyDescent="0.2">
      <c r="B3182" s="268"/>
    </row>
    <row r="3183" spans="2:2" ht="24.95" customHeight="1" x14ac:dyDescent="0.2">
      <c r="B3183" s="268"/>
    </row>
    <row r="3184" spans="2:2" ht="24.95" customHeight="1" x14ac:dyDescent="0.2">
      <c r="B3184" s="268"/>
    </row>
    <row r="3185" spans="2:2" ht="24.95" customHeight="1" x14ac:dyDescent="0.2">
      <c r="B3185" s="268"/>
    </row>
    <row r="3186" spans="2:2" ht="24.95" customHeight="1" x14ac:dyDescent="0.2">
      <c r="B3186" s="268"/>
    </row>
    <row r="3187" spans="2:2" ht="24.95" customHeight="1" x14ac:dyDescent="0.2">
      <c r="B3187" s="268"/>
    </row>
    <row r="3188" spans="2:2" ht="24.95" customHeight="1" x14ac:dyDescent="0.2">
      <c r="B3188" s="268"/>
    </row>
    <row r="3189" spans="2:2" ht="24.95" customHeight="1" x14ac:dyDescent="0.2">
      <c r="B3189" s="268"/>
    </row>
    <row r="3190" spans="2:2" ht="24.95" customHeight="1" x14ac:dyDescent="0.2">
      <c r="B3190" s="268"/>
    </row>
    <row r="3191" spans="2:2" ht="24.95" customHeight="1" x14ac:dyDescent="0.2">
      <c r="B3191" s="268"/>
    </row>
    <row r="3192" spans="2:2" ht="24.95" customHeight="1" x14ac:dyDescent="0.2">
      <c r="B3192" s="268"/>
    </row>
    <row r="3193" spans="2:2" ht="24.95" customHeight="1" x14ac:dyDescent="0.2">
      <c r="B3193" s="268"/>
    </row>
    <row r="3194" spans="2:2" ht="24.95" customHeight="1" x14ac:dyDescent="0.2">
      <c r="B3194" s="268"/>
    </row>
    <row r="3195" spans="2:2" ht="24.95" customHeight="1" x14ac:dyDescent="0.2">
      <c r="B3195" s="268"/>
    </row>
    <row r="3196" spans="2:2" ht="24.95" customHeight="1" x14ac:dyDescent="0.2">
      <c r="B3196" s="268"/>
    </row>
    <row r="3197" spans="2:2" ht="24.95" customHeight="1" x14ac:dyDescent="0.2">
      <c r="B3197" s="268"/>
    </row>
    <row r="3198" spans="2:2" ht="24.95" customHeight="1" x14ac:dyDescent="0.2">
      <c r="B3198" s="268"/>
    </row>
    <row r="3199" spans="2:2" ht="24.95" customHeight="1" x14ac:dyDescent="0.2">
      <c r="B3199" s="268"/>
    </row>
    <row r="3200" spans="2:2" ht="24.95" customHeight="1" x14ac:dyDescent="0.2">
      <c r="B3200" s="268"/>
    </row>
    <row r="3201" spans="2:2" ht="24.95" customHeight="1" x14ac:dyDescent="0.2">
      <c r="B3201" s="268"/>
    </row>
    <row r="3202" spans="2:2" ht="24.95" customHeight="1" x14ac:dyDescent="0.2">
      <c r="B3202" s="268"/>
    </row>
    <row r="3203" spans="2:2" ht="24.95" customHeight="1" x14ac:dyDescent="0.2">
      <c r="B3203" s="268"/>
    </row>
    <row r="3204" spans="2:2" ht="24.95" customHeight="1" x14ac:dyDescent="0.2">
      <c r="B3204" s="268"/>
    </row>
    <row r="3205" spans="2:2" ht="24.95" customHeight="1" x14ac:dyDescent="0.2">
      <c r="B3205" s="268"/>
    </row>
    <row r="3206" spans="2:2" ht="24.95" customHeight="1" x14ac:dyDescent="0.2">
      <c r="B3206" s="268"/>
    </row>
    <row r="3207" spans="2:2" ht="24.95" customHeight="1" x14ac:dyDescent="0.2">
      <c r="B3207" s="268"/>
    </row>
    <row r="3208" spans="2:2" ht="24.95" customHeight="1" x14ac:dyDescent="0.2">
      <c r="B3208" s="268"/>
    </row>
    <row r="3209" spans="2:2" ht="24.95" customHeight="1" x14ac:dyDescent="0.2">
      <c r="B3209" s="268"/>
    </row>
    <row r="3210" spans="2:2" ht="24.95" customHeight="1" x14ac:dyDescent="0.2">
      <c r="B3210" s="268"/>
    </row>
    <row r="3211" spans="2:2" ht="24.95" customHeight="1" x14ac:dyDescent="0.2">
      <c r="B3211" s="268"/>
    </row>
    <row r="3212" spans="2:2" ht="24.95" customHeight="1" x14ac:dyDescent="0.2">
      <c r="B3212" s="268"/>
    </row>
    <row r="3213" spans="2:2" ht="24.95" customHeight="1" x14ac:dyDescent="0.2">
      <c r="B3213" s="268"/>
    </row>
    <row r="3214" spans="2:2" ht="24.95" customHeight="1" x14ac:dyDescent="0.2">
      <c r="B3214" s="268"/>
    </row>
    <row r="3215" spans="2:2" ht="24.95" customHeight="1" x14ac:dyDescent="0.2">
      <c r="B3215" s="268"/>
    </row>
    <row r="3216" spans="2:2" ht="24.95" customHeight="1" x14ac:dyDescent="0.2">
      <c r="B3216" s="268"/>
    </row>
    <row r="3217" spans="2:2" ht="24.95" customHeight="1" x14ac:dyDescent="0.2">
      <c r="B3217" s="268"/>
    </row>
    <row r="3218" spans="2:2" ht="24.95" customHeight="1" x14ac:dyDescent="0.2">
      <c r="B3218" s="268"/>
    </row>
    <row r="3219" spans="2:2" ht="24.95" customHeight="1" x14ac:dyDescent="0.2">
      <c r="B3219" s="268"/>
    </row>
    <row r="3220" spans="2:2" ht="24.95" customHeight="1" x14ac:dyDescent="0.2">
      <c r="B3220" s="268"/>
    </row>
    <row r="3221" spans="2:2" ht="24.95" customHeight="1" x14ac:dyDescent="0.2">
      <c r="B3221" s="268"/>
    </row>
    <row r="3222" spans="2:2" ht="24.95" customHeight="1" x14ac:dyDescent="0.2">
      <c r="B3222" s="268"/>
    </row>
    <row r="3223" spans="2:2" ht="24.95" customHeight="1" x14ac:dyDescent="0.2">
      <c r="B3223" s="268"/>
    </row>
    <row r="3224" spans="2:2" ht="24.95" customHeight="1" x14ac:dyDescent="0.2">
      <c r="B3224" s="268"/>
    </row>
    <row r="3225" spans="2:2" ht="24.95" customHeight="1" x14ac:dyDescent="0.2">
      <c r="B3225" s="268"/>
    </row>
    <row r="3226" spans="2:2" ht="24.95" customHeight="1" x14ac:dyDescent="0.2">
      <c r="B3226" s="268"/>
    </row>
    <row r="3227" spans="2:2" ht="24.95" customHeight="1" x14ac:dyDescent="0.2">
      <c r="B3227" s="268"/>
    </row>
    <row r="3228" spans="2:2" ht="24.95" customHeight="1" x14ac:dyDescent="0.2">
      <c r="B3228" s="268"/>
    </row>
    <row r="3229" spans="2:2" ht="24.95" customHeight="1" x14ac:dyDescent="0.2">
      <c r="B3229" s="268"/>
    </row>
    <row r="3230" spans="2:2" ht="24.95" customHeight="1" x14ac:dyDescent="0.2">
      <c r="B3230" s="268"/>
    </row>
    <row r="3231" spans="2:2" ht="24.95" customHeight="1" x14ac:dyDescent="0.2">
      <c r="B3231" s="268"/>
    </row>
    <row r="3232" spans="2:2" ht="24.95" customHeight="1" x14ac:dyDescent="0.2">
      <c r="B3232" s="268"/>
    </row>
    <row r="3233" spans="2:2" ht="24.95" customHeight="1" x14ac:dyDescent="0.2">
      <c r="B3233" s="268"/>
    </row>
    <row r="3234" spans="2:2" ht="24.95" customHeight="1" x14ac:dyDescent="0.2">
      <c r="B3234" s="268"/>
    </row>
    <row r="3235" spans="2:2" ht="24.95" customHeight="1" x14ac:dyDescent="0.2">
      <c r="B3235" s="268"/>
    </row>
    <row r="3236" spans="2:2" ht="24.95" customHeight="1" x14ac:dyDescent="0.2">
      <c r="B3236" s="268"/>
    </row>
    <row r="3237" spans="2:2" ht="24.95" customHeight="1" x14ac:dyDescent="0.2">
      <c r="B3237" s="268"/>
    </row>
    <row r="3238" spans="2:2" ht="24.95" customHeight="1" x14ac:dyDescent="0.2">
      <c r="B3238" s="268"/>
    </row>
    <row r="3239" spans="2:2" ht="24.95" customHeight="1" x14ac:dyDescent="0.2">
      <c r="B3239" s="268"/>
    </row>
    <row r="3240" spans="2:2" ht="24.95" customHeight="1" x14ac:dyDescent="0.2">
      <c r="B3240" s="268"/>
    </row>
    <row r="3241" spans="2:2" ht="24.95" customHeight="1" x14ac:dyDescent="0.2">
      <c r="B3241" s="268"/>
    </row>
    <row r="3242" spans="2:2" ht="24.95" customHeight="1" x14ac:dyDescent="0.2">
      <c r="B3242" s="268"/>
    </row>
    <row r="3243" spans="2:2" ht="24.95" customHeight="1" x14ac:dyDescent="0.2">
      <c r="B3243" s="268"/>
    </row>
    <row r="3244" spans="2:2" ht="24.95" customHeight="1" x14ac:dyDescent="0.2">
      <c r="B3244" s="268"/>
    </row>
    <row r="3245" spans="2:2" ht="24.95" customHeight="1" x14ac:dyDescent="0.2">
      <c r="B3245" s="268"/>
    </row>
    <row r="3246" spans="2:2" ht="24.95" customHeight="1" x14ac:dyDescent="0.2">
      <c r="B3246" s="268"/>
    </row>
    <row r="3247" spans="2:2" ht="24.95" customHeight="1" x14ac:dyDescent="0.2">
      <c r="B3247" s="268"/>
    </row>
    <row r="3248" spans="2:2" ht="24.95" customHeight="1" x14ac:dyDescent="0.2">
      <c r="B3248" s="268"/>
    </row>
    <row r="3249" spans="2:2" ht="24.95" customHeight="1" x14ac:dyDescent="0.2">
      <c r="B3249" s="268"/>
    </row>
    <row r="3250" spans="2:2" ht="24.95" customHeight="1" x14ac:dyDescent="0.2">
      <c r="B3250" s="268"/>
    </row>
    <row r="3251" spans="2:2" ht="24.95" customHeight="1" x14ac:dyDescent="0.2">
      <c r="B3251" s="268"/>
    </row>
    <row r="3252" spans="2:2" ht="24.95" customHeight="1" x14ac:dyDescent="0.2">
      <c r="B3252" s="268"/>
    </row>
    <row r="3253" spans="2:2" ht="24.95" customHeight="1" x14ac:dyDescent="0.2">
      <c r="B3253" s="268"/>
    </row>
    <row r="3254" spans="2:2" ht="24.95" customHeight="1" x14ac:dyDescent="0.2">
      <c r="B3254" s="268"/>
    </row>
    <row r="3255" spans="2:2" ht="24.95" customHeight="1" x14ac:dyDescent="0.2">
      <c r="B3255" s="268"/>
    </row>
    <row r="3256" spans="2:2" ht="24.95" customHeight="1" x14ac:dyDescent="0.2">
      <c r="B3256" s="268"/>
    </row>
    <row r="3257" spans="2:2" ht="24.95" customHeight="1" x14ac:dyDescent="0.2">
      <c r="B3257" s="268"/>
    </row>
    <row r="3258" spans="2:2" ht="24.95" customHeight="1" x14ac:dyDescent="0.2">
      <c r="B3258" s="268"/>
    </row>
    <row r="3259" spans="2:2" ht="24.95" customHeight="1" x14ac:dyDescent="0.2">
      <c r="B3259" s="268"/>
    </row>
    <row r="3260" spans="2:2" ht="24.95" customHeight="1" x14ac:dyDescent="0.2">
      <c r="B3260" s="268"/>
    </row>
    <row r="3261" spans="2:2" ht="24.95" customHeight="1" x14ac:dyDescent="0.2">
      <c r="B3261" s="268"/>
    </row>
    <row r="3262" spans="2:2" ht="24.95" customHeight="1" x14ac:dyDescent="0.2">
      <c r="B3262" s="268"/>
    </row>
    <row r="3263" spans="2:2" ht="24.95" customHeight="1" x14ac:dyDescent="0.2">
      <c r="B3263" s="268"/>
    </row>
    <row r="3264" spans="2:2" ht="24.95" customHeight="1" x14ac:dyDescent="0.2">
      <c r="B3264" s="268"/>
    </row>
    <row r="3265" spans="2:2" ht="24.95" customHeight="1" x14ac:dyDescent="0.2">
      <c r="B3265" s="268"/>
    </row>
    <row r="3266" spans="2:2" ht="24.95" customHeight="1" x14ac:dyDescent="0.2">
      <c r="B3266" s="268"/>
    </row>
    <row r="3267" spans="2:2" ht="24.95" customHeight="1" x14ac:dyDescent="0.2">
      <c r="B3267" s="268"/>
    </row>
    <row r="3268" spans="2:2" ht="24.95" customHeight="1" x14ac:dyDescent="0.2">
      <c r="B3268" s="268"/>
    </row>
    <row r="3269" spans="2:2" ht="24.95" customHeight="1" x14ac:dyDescent="0.2">
      <c r="B3269" s="268"/>
    </row>
    <row r="3270" spans="2:2" ht="24.95" customHeight="1" x14ac:dyDescent="0.2">
      <c r="B3270" s="268"/>
    </row>
    <row r="3271" spans="2:2" ht="24.95" customHeight="1" x14ac:dyDescent="0.2">
      <c r="B3271" s="268"/>
    </row>
    <row r="3272" spans="2:2" ht="24.95" customHeight="1" x14ac:dyDescent="0.2">
      <c r="B3272" s="268"/>
    </row>
    <row r="3273" spans="2:2" ht="24.95" customHeight="1" x14ac:dyDescent="0.2">
      <c r="B3273" s="268"/>
    </row>
    <row r="3274" spans="2:2" ht="24.95" customHeight="1" x14ac:dyDescent="0.2">
      <c r="B3274" s="268"/>
    </row>
    <row r="3275" spans="2:2" ht="24.95" customHeight="1" x14ac:dyDescent="0.2">
      <c r="B3275" s="268"/>
    </row>
    <row r="3276" spans="2:2" ht="24.95" customHeight="1" x14ac:dyDescent="0.2">
      <c r="B3276" s="268"/>
    </row>
    <row r="3277" spans="2:2" ht="24.95" customHeight="1" x14ac:dyDescent="0.2">
      <c r="B3277" s="268"/>
    </row>
    <row r="3278" spans="2:2" ht="24.95" customHeight="1" x14ac:dyDescent="0.2">
      <c r="B3278" s="268"/>
    </row>
    <row r="3279" spans="2:2" ht="24.95" customHeight="1" x14ac:dyDescent="0.2">
      <c r="B3279" s="268"/>
    </row>
    <row r="3280" spans="2:2" ht="24.95" customHeight="1" x14ac:dyDescent="0.2">
      <c r="B3280" s="268"/>
    </row>
    <row r="3281" spans="2:2" ht="24.95" customHeight="1" x14ac:dyDescent="0.2">
      <c r="B3281" s="268"/>
    </row>
    <row r="3282" spans="2:2" ht="24.95" customHeight="1" x14ac:dyDescent="0.2">
      <c r="B3282" s="268"/>
    </row>
    <row r="3283" spans="2:2" ht="24.95" customHeight="1" x14ac:dyDescent="0.2">
      <c r="B3283" s="268"/>
    </row>
    <row r="3284" spans="2:2" ht="24.95" customHeight="1" x14ac:dyDescent="0.2">
      <c r="B3284" s="268"/>
    </row>
    <row r="3285" spans="2:2" ht="24.95" customHeight="1" x14ac:dyDescent="0.2">
      <c r="B3285" s="268"/>
    </row>
    <row r="3286" spans="2:2" ht="24.95" customHeight="1" x14ac:dyDescent="0.2">
      <c r="B3286" s="268"/>
    </row>
    <row r="3287" spans="2:2" ht="24.95" customHeight="1" x14ac:dyDescent="0.2">
      <c r="B3287" s="268"/>
    </row>
    <row r="3288" spans="2:2" ht="24.95" customHeight="1" x14ac:dyDescent="0.2">
      <c r="B3288" s="268"/>
    </row>
    <row r="3289" spans="2:2" ht="24.95" customHeight="1" x14ac:dyDescent="0.2">
      <c r="B3289" s="268"/>
    </row>
    <row r="3290" spans="2:2" ht="24.95" customHeight="1" x14ac:dyDescent="0.2">
      <c r="B3290" s="268"/>
    </row>
    <row r="3291" spans="2:2" ht="24.95" customHeight="1" x14ac:dyDescent="0.2">
      <c r="B3291" s="268"/>
    </row>
    <row r="3292" spans="2:2" ht="24.95" customHeight="1" x14ac:dyDescent="0.2">
      <c r="B3292" s="268"/>
    </row>
    <row r="3293" spans="2:2" ht="24.95" customHeight="1" x14ac:dyDescent="0.2">
      <c r="B3293" s="268"/>
    </row>
    <row r="3294" spans="2:2" ht="24.95" customHeight="1" x14ac:dyDescent="0.2">
      <c r="B3294" s="268"/>
    </row>
    <row r="3295" spans="2:2" ht="24.95" customHeight="1" x14ac:dyDescent="0.2">
      <c r="B3295" s="268"/>
    </row>
    <row r="3296" spans="2:2" ht="24.95" customHeight="1" x14ac:dyDescent="0.2">
      <c r="B3296" s="268"/>
    </row>
    <row r="3297" spans="2:2" ht="24.95" customHeight="1" x14ac:dyDescent="0.2">
      <c r="B3297" s="268"/>
    </row>
    <row r="3298" spans="2:2" ht="24.95" customHeight="1" x14ac:dyDescent="0.2">
      <c r="B3298" s="268"/>
    </row>
    <row r="3299" spans="2:2" ht="24.95" customHeight="1" x14ac:dyDescent="0.2">
      <c r="B3299" s="268"/>
    </row>
    <row r="3300" spans="2:2" ht="24.95" customHeight="1" x14ac:dyDescent="0.2">
      <c r="B3300" s="268"/>
    </row>
    <row r="3301" spans="2:2" ht="24.95" customHeight="1" x14ac:dyDescent="0.2">
      <c r="B3301" s="268"/>
    </row>
    <row r="3302" spans="2:2" ht="24.95" customHeight="1" x14ac:dyDescent="0.2">
      <c r="B3302" s="268"/>
    </row>
    <row r="3303" spans="2:2" ht="24.95" customHeight="1" x14ac:dyDescent="0.2">
      <c r="B3303" s="268"/>
    </row>
    <row r="3304" spans="2:2" ht="24.95" customHeight="1" x14ac:dyDescent="0.2">
      <c r="B3304" s="268"/>
    </row>
    <row r="3305" spans="2:2" ht="24.95" customHeight="1" x14ac:dyDescent="0.2">
      <c r="B3305" s="268"/>
    </row>
    <row r="3306" spans="2:2" ht="24.95" customHeight="1" x14ac:dyDescent="0.2">
      <c r="B3306" s="268"/>
    </row>
    <row r="3307" spans="2:2" ht="24.95" customHeight="1" x14ac:dyDescent="0.2">
      <c r="B3307" s="268"/>
    </row>
    <row r="3308" spans="2:2" ht="24.95" customHeight="1" x14ac:dyDescent="0.2">
      <c r="B3308" s="268"/>
    </row>
    <row r="3309" spans="2:2" ht="24.95" customHeight="1" x14ac:dyDescent="0.2">
      <c r="B3309" s="268"/>
    </row>
    <row r="3310" spans="2:2" ht="24.95" customHeight="1" x14ac:dyDescent="0.2">
      <c r="B3310" s="268"/>
    </row>
    <row r="3311" spans="2:2" ht="24.95" customHeight="1" x14ac:dyDescent="0.2">
      <c r="B3311" s="268"/>
    </row>
    <row r="3312" spans="2:2" ht="24.95" customHeight="1" x14ac:dyDescent="0.2">
      <c r="B3312" s="268"/>
    </row>
    <row r="3313" spans="2:2" ht="24.95" customHeight="1" x14ac:dyDescent="0.2">
      <c r="B3313" s="268"/>
    </row>
    <row r="3314" spans="2:2" ht="24.95" customHeight="1" x14ac:dyDescent="0.2">
      <c r="B3314" s="268"/>
    </row>
    <row r="3315" spans="2:2" ht="24.95" customHeight="1" x14ac:dyDescent="0.2">
      <c r="B3315" s="268"/>
    </row>
    <row r="3316" spans="2:2" ht="24.95" customHeight="1" x14ac:dyDescent="0.2">
      <c r="B3316" s="268"/>
    </row>
    <row r="3317" spans="2:2" ht="24.95" customHeight="1" x14ac:dyDescent="0.2">
      <c r="B3317" s="268"/>
    </row>
    <row r="3318" spans="2:2" ht="24.95" customHeight="1" x14ac:dyDescent="0.2">
      <c r="B3318" s="268"/>
    </row>
    <row r="3319" spans="2:2" ht="24.95" customHeight="1" x14ac:dyDescent="0.2">
      <c r="B3319" s="268"/>
    </row>
    <row r="3320" spans="2:2" ht="24.95" customHeight="1" x14ac:dyDescent="0.2">
      <c r="B3320" s="268"/>
    </row>
    <row r="3321" spans="2:2" ht="24.95" customHeight="1" x14ac:dyDescent="0.2">
      <c r="B3321" s="268"/>
    </row>
    <row r="3322" spans="2:2" ht="24.95" customHeight="1" x14ac:dyDescent="0.2">
      <c r="B3322" s="268"/>
    </row>
    <row r="3323" spans="2:2" ht="24.95" customHeight="1" x14ac:dyDescent="0.2">
      <c r="B3323" s="268"/>
    </row>
    <row r="3324" spans="2:2" ht="24.95" customHeight="1" x14ac:dyDescent="0.2">
      <c r="B3324" s="268"/>
    </row>
    <row r="3325" spans="2:2" ht="24.95" customHeight="1" x14ac:dyDescent="0.2">
      <c r="B3325" s="268"/>
    </row>
    <row r="3326" spans="2:2" ht="24.95" customHeight="1" x14ac:dyDescent="0.2">
      <c r="B3326" s="268"/>
    </row>
    <row r="3327" spans="2:2" ht="24.95" customHeight="1" x14ac:dyDescent="0.2">
      <c r="B3327" s="268"/>
    </row>
    <row r="3328" spans="2:2" ht="24.95" customHeight="1" x14ac:dyDescent="0.2">
      <c r="B3328" s="268"/>
    </row>
    <row r="3329" spans="2:2" ht="24.95" customHeight="1" x14ac:dyDescent="0.2">
      <c r="B3329" s="268"/>
    </row>
    <row r="3330" spans="2:2" ht="24.95" customHeight="1" x14ac:dyDescent="0.2">
      <c r="B3330" s="268"/>
    </row>
    <row r="3331" spans="2:2" ht="24.95" customHeight="1" x14ac:dyDescent="0.2">
      <c r="B3331" s="268"/>
    </row>
    <row r="3332" spans="2:2" ht="24.95" customHeight="1" x14ac:dyDescent="0.2">
      <c r="B3332" s="268"/>
    </row>
    <row r="3333" spans="2:2" ht="24.95" customHeight="1" x14ac:dyDescent="0.2">
      <c r="B3333" s="268"/>
    </row>
    <row r="3334" spans="2:2" ht="24.95" customHeight="1" x14ac:dyDescent="0.2">
      <c r="B3334" s="268"/>
    </row>
    <row r="3335" spans="2:2" ht="24.95" customHeight="1" x14ac:dyDescent="0.2">
      <c r="B3335" s="268"/>
    </row>
    <row r="3336" spans="2:2" ht="24.95" customHeight="1" x14ac:dyDescent="0.2">
      <c r="B3336" s="268"/>
    </row>
    <row r="3337" spans="2:2" ht="24.95" customHeight="1" x14ac:dyDescent="0.2">
      <c r="B3337" s="268"/>
    </row>
    <row r="3338" spans="2:2" ht="24.95" customHeight="1" x14ac:dyDescent="0.2">
      <c r="B3338" s="268"/>
    </row>
    <row r="3339" spans="2:2" ht="24.95" customHeight="1" x14ac:dyDescent="0.2">
      <c r="B3339" s="268"/>
    </row>
    <row r="3340" spans="2:2" ht="24.95" customHeight="1" x14ac:dyDescent="0.2">
      <c r="B3340" s="268"/>
    </row>
    <row r="3341" spans="2:2" ht="24.95" customHeight="1" x14ac:dyDescent="0.2">
      <c r="B3341" s="268"/>
    </row>
    <row r="3342" spans="2:2" ht="24.95" customHeight="1" x14ac:dyDescent="0.2">
      <c r="B3342" s="268"/>
    </row>
    <row r="3343" spans="2:2" ht="24.95" customHeight="1" x14ac:dyDescent="0.2">
      <c r="B3343" s="268"/>
    </row>
    <row r="3344" spans="2:2" ht="24.95" customHeight="1" x14ac:dyDescent="0.2">
      <c r="B3344" s="268"/>
    </row>
    <row r="3345" spans="2:2" ht="24.95" customHeight="1" x14ac:dyDescent="0.2">
      <c r="B3345" s="268"/>
    </row>
    <row r="3346" spans="2:2" ht="24.95" customHeight="1" x14ac:dyDescent="0.2">
      <c r="B3346" s="268"/>
    </row>
    <row r="3347" spans="2:2" ht="24.95" customHeight="1" x14ac:dyDescent="0.2">
      <c r="B3347" s="268"/>
    </row>
    <row r="3348" spans="2:2" ht="24.95" customHeight="1" x14ac:dyDescent="0.2">
      <c r="B3348" s="268"/>
    </row>
    <row r="3349" spans="2:2" ht="24.95" customHeight="1" x14ac:dyDescent="0.2">
      <c r="B3349" s="268"/>
    </row>
    <row r="3350" spans="2:2" ht="24.95" customHeight="1" x14ac:dyDescent="0.2">
      <c r="B3350" s="268"/>
    </row>
    <row r="3351" spans="2:2" ht="24.95" customHeight="1" x14ac:dyDescent="0.2">
      <c r="B3351" s="268"/>
    </row>
    <row r="3352" spans="2:2" ht="24.95" customHeight="1" x14ac:dyDescent="0.2">
      <c r="B3352" s="268"/>
    </row>
    <row r="3353" spans="2:2" ht="24.95" customHeight="1" x14ac:dyDescent="0.2">
      <c r="B3353" s="268"/>
    </row>
    <row r="3354" spans="2:2" ht="24.95" customHeight="1" x14ac:dyDescent="0.2">
      <c r="B3354" s="268"/>
    </row>
    <row r="3355" spans="2:2" ht="24.95" customHeight="1" x14ac:dyDescent="0.2">
      <c r="B3355" s="268"/>
    </row>
    <row r="3356" spans="2:2" ht="24.95" customHeight="1" x14ac:dyDescent="0.2">
      <c r="B3356" s="268"/>
    </row>
    <row r="3357" spans="2:2" ht="24.95" customHeight="1" x14ac:dyDescent="0.2">
      <c r="B3357" s="268"/>
    </row>
    <row r="3358" spans="2:2" ht="24.95" customHeight="1" x14ac:dyDescent="0.2">
      <c r="B3358" s="268"/>
    </row>
    <row r="3359" spans="2:2" ht="24.95" customHeight="1" x14ac:dyDescent="0.2">
      <c r="B3359" s="268"/>
    </row>
    <row r="3360" spans="2:2" ht="24.95" customHeight="1" x14ac:dyDescent="0.2">
      <c r="B3360" s="268"/>
    </row>
    <row r="3361" spans="2:2" ht="24.95" customHeight="1" x14ac:dyDescent="0.2">
      <c r="B3361" s="268"/>
    </row>
    <row r="3362" spans="2:2" ht="24.95" customHeight="1" x14ac:dyDescent="0.2">
      <c r="B3362" s="268"/>
    </row>
    <row r="3363" spans="2:2" ht="24.95" customHeight="1" x14ac:dyDescent="0.2">
      <c r="B3363" s="268"/>
    </row>
    <row r="3364" spans="2:2" ht="24.95" customHeight="1" x14ac:dyDescent="0.2">
      <c r="B3364" s="268"/>
    </row>
    <row r="3365" spans="2:2" ht="24.95" customHeight="1" x14ac:dyDescent="0.2">
      <c r="B3365" s="268"/>
    </row>
    <row r="3366" spans="2:2" ht="24.95" customHeight="1" x14ac:dyDescent="0.2">
      <c r="B3366" s="268"/>
    </row>
    <row r="3367" spans="2:2" ht="24.95" customHeight="1" x14ac:dyDescent="0.2">
      <c r="B3367" s="268"/>
    </row>
    <row r="3368" spans="2:2" ht="24.95" customHeight="1" x14ac:dyDescent="0.2">
      <c r="B3368" s="268"/>
    </row>
    <row r="3369" spans="2:2" ht="24.95" customHeight="1" x14ac:dyDescent="0.2">
      <c r="B3369" s="268"/>
    </row>
    <row r="3370" spans="2:2" ht="24.95" customHeight="1" x14ac:dyDescent="0.2">
      <c r="B3370" s="268"/>
    </row>
    <row r="3371" spans="2:2" ht="24.95" customHeight="1" x14ac:dyDescent="0.2">
      <c r="B3371" s="268"/>
    </row>
    <row r="3372" spans="2:2" ht="24.95" customHeight="1" x14ac:dyDescent="0.2">
      <c r="B3372" s="268"/>
    </row>
    <row r="3373" spans="2:2" ht="24.95" customHeight="1" x14ac:dyDescent="0.2">
      <c r="B3373" s="268"/>
    </row>
    <row r="3374" spans="2:2" ht="24.95" customHeight="1" x14ac:dyDescent="0.2">
      <c r="B3374" s="268"/>
    </row>
    <row r="3375" spans="2:2" ht="24.95" customHeight="1" x14ac:dyDescent="0.2">
      <c r="B3375" s="268"/>
    </row>
    <row r="3376" spans="2:2" ht="24.95" customHeight="1" x14ac:dyDescent="0.2">
      <c r="B3376" s="268"/>
    </row>
    <row r="3377" spans="2:2" ht="24.95" customHeight="1" x14ac:dyDescent="0.2">
      <c r="B3377" s="268"/>
    </row>
    <row r="3378" spans="2:2" ht="24.95" customHeight="1" x14ac:dyDescent="0.2">
      <c r="B3378" s="268"/>
    </row>
    <row r="3379" spans="2:2" ht="24.95" customHeight="1" x14ac:dyDescent="0.2">
      <c r="B3379" s="268"/>
    </row>
    <row r="3380" spans="2:2" ht="24.95" customHeight="1" x14ac:dyDescent="0.2">
      <c r="B3380" s="268"/>
    </row>
    <row r="3381" spans="2:2" ht="24.95" customHeight="1" x14ac:dyDescent="0.2">
      <c r="B3381" s="268"/>
    </row>
    <row r="3382" spans="2:2" ht="24.95" customHeight="1" x14ac:dyDescent="0.2">
      <c r="B3382" s="268"/>
    </row>
    <row r="3383" spans="2:2" ht="24.95" customHeight="1" x14ac:dyDescent="0.2">
      <c r="B3383" s="268"/>
    </row>
    <row r="3384" spans="2:2" ht="24.95" customHeight="1" x14ac:dyDescent="0.2">
      <c r="B3384" s="268"/>
    </row>
    <row r="3385" spans="2:2" ht="24.95" customHeight="1" x14ac:dyDescent="0.2">
      <c r="B3385" s="268"/>
    </row>
    <row r="3386" spans="2:2" ht="24.95" customHeight="1" x14ac:dyDescent="0.2">
      <c r="B3386" s="268"/>
    </row>
    <row r="3387" spans="2:2" ht="24.95" customHeight="1" x14ac:dyDescent="0.2">
      <c r="B3387" s="268"/>
    </row>
    <row r="3388" spans="2:2" ht="24.95" customHeight="1" x14ac:dyDescent="0.2">
      <c r="B3388" s="268"/>
    </row>
    <row r="3389" spans="2:2" ht="24.95" customHeight="1" x14ac:dyDescent="0.2">
      <c r="B3389" s="268"/>
    </row>
    <row r="3390" spans="2:2" ht="24.95" customHeight="1" x14ac:dyDescent="0.2">
      <c r="B3390" s="268"/>
    </row>
    <row r="3391" spans="2:2" ht="24.95" customHeight="1" x14ac:dyDescent="0.2">
      <c r="B3391" s="268"/>
    </row>
    <row r="3392" spans="2:2" ht="24.95" customHeight="1" x14ac:dyDescent="0.2">
      <c r="B3392" s="268"/>
    </row>
    <row r="3393" spans="2:2" ht="24.95" customHeight="1" x14ac:dyDescent="0.2">
      <c r="B3393" s="268"/>
    </row>
    <row r="3394" spans="2:2" ht="24.95" customHeight="1" x14ac:dyDescent="0.2">
      <c r="B3394" s="268"/>
    </row>
    <row r="3395" spans="2:2" ht="24.95" customHeight="1" x14ac:dyDescent="0.2">
      <c r="B3395" s="268"/>
    </row>
    <row r="3396" spans="2:2" ht="24.95" customHeight="1" x14ac:dyDescent="0.2">
      <c r="B3396" s="268"/>
    </row>
    <row r="3397" spans="2:2" ht="24.95" customHeight="1" x14ac:dyDescent="0.2">
      <c r="B3397" s="268"/>
    </row>
    <row r="3398" spans="2:2" ht="24.95" customHeight="1" x14ac:dyDescent="0.2">
      <c r="B3398" s="268"/>
    </row>
    <row r="3399" spans="2:2" ht="24.95" customHeight="1" x14ac:dyDescent="0.2">
      <c r="B3399" s="268"/>
    </row>
    <row r="3400" spans="2:2" ht="24.95" customHeight="1" x14ac:dyDescent="0.2">
      <c r="B3400" s="268"/>
    </row>
    <row r="3401" spans="2:2" ht="24.95" customHeight="1" x14ac:dyDescent="0.2">
      <c r="B3401" s="268"/>
    </row>
    <row r="3402" spans="2:2" ht="24.95" customHeight="1" x14ac:dyDescent="0.2">
      <c r="B3402" s="268"/>
    </row>
    <row r="3403" spans="2:2" ht="24.95" customHeight="1" x14ac:dyDescent="0.2">
      <c r="B3403" s="268"/>
    </row>
    <row r="3404" spans="2:2" ht="24.95" customHeight="1" x14ac:dyDescent="0.2">
      <c r="B3404" s="268"/>
    </row>
    <row r="3405" spans="2:2" ht="24.95" customHeight="1" x14ac:dyDescent="0.2">
      <c r="B3405" s="268"/>
    </row>
    <row r="3406" spans="2:2" ht="24.95" customHeight="1" x14ac:dyDescent="0.2">
      <c r="B3406" s="268"/>
    </row>
    <row r="3407" spans="2:2" ht="24.95" customHeight="1" x14ac:dyDescent="0.2">
      <c r="B3407" s="268"/>
    </row>
    <row r="3408" spans="2:2" ht="24.95" customHeight="1" x14ac:dyDescent="0.2">
      <c r="B3408" s="268"/>
    </row>
    <row r="3409" spans="2:2" ht="24.95" customHeight="1" x14ac:dyDescent="0.2">
      <c r="B3409" s="268"/>
    </row>
    <row r="3410" spans="2:2" ht="24.95" customHeight="1" x14ac:dyDescent="0.2">
      <c r="B3410" s="268"/>
    </row>
    <row r="3411" spans="2:2" ht="24.95" customHeight="1" x14ac:dyDescent="0.2">
      <c r="B3411" s="268"/>
    </row>
    <row r="3412" spans="2:2" ht="24.95" customHeight="1" x14ac:dyDescent="0.2">
      <c r="B3412" s="268"/>
    </row>
    <row r="3413" spans="2:2" ht="24.95" customHeight="1" x14ac:dyDescent="0.2">
      <c r="B3413" s="268"/>
    </row>
    <row r="3414" spans="2:2" ht="24.95" customHeight="1" x14ac:dyDescent="0.2">
      <c r="B3414" s="268"/>
    </row>
    <row r="3415" spans="2:2" ht="24.95" customHeight="1" x14ac:dyDescent="0.2">
      <c r="B3415" s="268"/>
    </row>
    <row r="3416" spans="2:2" ht="24.95" customHeight="1" x14ac:dyDescent="0.2">
      <c r="B3416" s="268"/>
    </row>
    <row r="3417" spans="2:2" ht="24.95" customHeight="1" x14ac:dyDescent="0.2">
      <c r="B3417" s="268"/>
    </row>
    <row r="3418" spans="2:2" ht="24.95" customHeight="1" x14ac:dyDescent="0.2">
      <c r="B3418" s="268"/>
    </row>
    <row r="3419" spans="2:2" ht="24.95" customHeight="1" x14ac:dyDescent="0.2">
      <c r="B3419" s="268"/>
    </row>
    <row r="3420" spans="2:2" ht="24.95" customHeight="1" x14ac:dyDescent="0.2">
      <c r="B3420" s="268"/>
    </row>
    <row r="3421" spans="2:2" ht="24.95" customHeight="1" x14ac:dyDescent="0.2">
      <c r="B3421" s="268"/>
    </row>
    <row r="3422" spans="2:2" ht="24.95" customHeight="1" x14ac:dyDescent="0.2">
      <c r="B3422" s="268"/>
    </row>
    <row r="3423" spans="2:2" ht="24.95" customHeight="1" x14ac:dyDescent="0.2">
      <c r="B3423" s="268"/>
    </row>
    <row r="3424" spans="2:2" ht="24.95" customHeight="1" x14ac:dyDescent="0.2">
      <c r="B3424" s="268"/>
    </row>
    <row r="3425" spans="2:2" ht="24.95" customHeight="1" x14ac:dyDescent="0.2">
      <c r="B3425" s="268"/>
    </row>
    <row r="3426" spans="2:2" ht="24.95" customHeight="1" x14ac:dyDescent="0.2">
      <c r="B3426" s="268"/>
    </row>
    <row r="3427" spans="2:2" ht="24.95" customHeight="1" x14ac:dyDescent="0.2">
      <c r="B3427" s="268"/>
    </row>
    <row r="3428" spans="2:2" ht="24.95" customHeight="1" x14ac:dyDescent="0.2">
      <c r="B3428" s="268"/>
    </row>
    <row r="3429" spans="2:2" ht="24.95" customHeight="1" x14ac:dyDescent="0.2">
      <c r="B3429" s="268"/>
    </row>
    <row r="3430" spans="2:2" ht="24.95" customHeight="1" x14ac:dyDescent="0.2">
      <c r="B3430" s="268"/>
    </row>
    <row r="3431" spans="2:2" ht="24.95" customHeight="1" x14ac:dyDescent="0.2">
      <c r="B3431" s="268"/>
    </row>
    <row r="3432" spans="2:2" ht="24.95" customHeight="1" x14ac:dyDescent="0.2">
      <c r="B3432" s="268"/>
    </row>
    <row r="3433" spans="2:2" ht="24.95" customHeight="1" x14ac:dyDescent="0.2">
      <c r="B3433" s="268"/>
    </row>
    <row r="3434" spans="2:2" ht="24.95" customHeight="1" x14ac:dyDescent="0.2">
      <c r="B3434" s="268"/>
    </row>
    <row r="3435" spans="2:2" ht="24.95" customHeight="1" x14ac:dyDescent="0.2">
      <c r="B3435" s="268"/>
    </row>
    <row r="3436" spans="2:2" ht="24.95" customHeight="1" x14ac:dyDescent="0.2">
      <c r="B3436" s="268"/>
    </row>
    <row r="3437" spans="2:2" ht="24.95" customHeight="1" x14ac:dyDescent="0.2">
      <c r="B3437" s="268"/>
    </row>
    <row r="3438" spans="2:2" ht="24.95" customHeight="1" x14ac:dyDescent="0.2">
      <c r="B3438" s="268"/>
    </row>
    <row r="3439" spans="2:2" ht="24.95" customHeight="1" x14ac:dyDescent="0.2">
      <c r="B3439" s="268"/>
    </row>
    <row r="3440" spans="2:2" ht="24.95" customHeight="1" x14ac:dyDescent="0.2">
      <c r="B3440" s="268"/>
    </row>
    <row r="3441" spans="2:2" ht="24.95" customHeight="1" x14ac:dyDescent="0.2">
      <c r="B3441" s="268"/>
    </row>
    <row r="3442" spans="2:2" ht="24.95" customHeight="1" x14ac:dyDescent="0.2">
      <c r="B3442" s="268"/>
    </row>
    <row r="3443" spans="2:2" ht="24.95" customHeight="1" x14ac:dyDescent="0.2">
      <c r="B3443" s="268"/>
    </row>
    <row r="3444" spans="2:2" ht="24.95" customHeight="1" x14ac:dyDescent="0.2">
      <c r="B3444" s="268"/>
    </row>
    <row r="3445" spans="2:2" ht="24.95" customHeight="1" x14ac:dyDescent="0.2">
      <c r="B3445" s="268"/>
    </row>
    <row r="3446" spans="2:2" ht="24.95" customHeight="1" x14ac:dyDescent="0.2">
      <c r="B3446" s="268"/>
    </row>
    <row r="3447" spans="2:2" ht="24.95" customHeight="1" x14ac:dyDescent="0.2">
      <c r="B3447" s="268"/>
    </row>
    <row r="3448" spans="2:2" ht="24.95" customHeight="1" x14ac:dyDescent="0.2">
      <c r="B3448" s="268"/>
    </row>
    <row r="3449" spans="2:2" ht="24.95" customHeight="1" x14ac:dyDescent="0.2">
      <c r="B3449" s="268"/>
    </row>
    <row r="3450" spans="2:2" ht="24.95" customHeight="1" x14ac:dyDescent="0.2">
      <c r="B3450" s="268"/>
    </row>
    <row r="3451" spans="2:2" ht="24.95" customHeight="1" x14ac:dyDescent="0.2">
      <c r="B3451" s="268"/>
    </row>
    <row r="3452" spans="2:2" ht="24.95" customHeight="1" x14ac:dyDescent="0.2">
      <c r="B3452" s="268"/>
    </row>
    <row r="3453" spans="2:2" ht="24.95" customHeight="1" x14ac:dyDescent="0.2">
      <c r="B3453" s="268"/>
    </row>
    <row r="3454" spans="2:2" ht="24.95" customHeight="1" x14ac:dyDescent="0.2">
      <c r="B3454" s="268"/>
    </row>
    <row r="3455" spans="2:2" ht="24.95" customHeight="1" x14ac:dyDescent="0.2">
      <c r="B3455" s="268"/>
    </row>
    <row r="3456" spans="2:2" ht="24.95" customHeight="1" x14ac:dyDescent="0.2">
      <c r="B3456" s="268"/>
    </row>
    <row r="3457" spans="2:2" ht="24.95" customHeight="1" x14ac:dyDescent="0.2">
      <c r="B3457" s="268"/>
    </row>
    <row r="3458" spans="2:2" ht="24.95" customHeight="1" x14ac:dyDescent="0.2">
      <c r="B3458" s="268"/>
    </row>
    <row r="3459" spans="2:2" ht="24.95" customHeight="1" x14ac:dyDescent="0.2">
      <c r="B3459" s="268"/>
    </row>
    <row r="3460" spans="2:2" ht="24.95" customHeight="1" x14ac:dyDescent="0.2">
      <c r="B3460" s="268"/>
    </row>
    <row r="3461" spans="2:2" ht="24.95" customHeight="1" x14ac:dyDescent="0.2">
      <c r="B3461" s="268"/>
    </row>
    <row r="3462" spans="2:2" ht="24.95" customHeight="1" x14ac:dyDescent="0.2">
      <c r="B3462" s="268"/>
    </row>
    <row r="3463" spans="2:2" ht="24.95" customHeight="1" x14ac:dyDescent="0.2">
      <c r="B3463" s="268"/>
    </row>
    <row r="3464" spans="2:2" ht="24.95" customHeight="1" x14ac:dyDescent="0.2">
      <c r="B3464" s="268"/>
    </row>
    <row r="3465" spans="2:2" ht="24.95" customHeight="1" x14ac:dyDescent="0.2">
      <c r="B3465" s="268"/>
    </row>
    <row r="3466" spans="2:2" ht="24.95" customHeight="1" x14ac:dyDescent="0.2">
      <c r="B3466" s="268"/>
    </row>
    <row r="3467" spans="2:2" ht="24.95" customHeight="1" x14ac:dyDescent="0.2">
      <c r="B3467" s="268"/>
    </row>
    <row r="3468" spans="2:2" ht="24.95" customHeight="1" x14ac:dyDescent="0.2">
      <c r="B3468" s="268"/>
    </row>
    <row r="3469" spans="2:2" ht="24.95" customHeight="1" x14ac:dyDescent="0.2">
      <c r="B3469" s="268"/>
    </row>
    <row r="3470" spans="2:2" ht="24.95" customHeight="1" x14ac:dyDescent="0.2">
      <c r="B3470" s="268"/>
    </row>
    <row r="3471" spans="2:2" ht="24.95" customHeight="1" x14ac:dyDescent="0.2">
      <c r="B3471" s="268"/>
    </row>
    <row r="3472" spans="2:2" ht="24.95" customHeight="1" x14ac:dyDescent="0.2">
      <c r="B3472" s="268"/>
    </row>
    <row r="3473" spans="2:2" ht="24.95" customHeight="1" x14ac:dyDescent="0.2">
      <c r="B3473" s="268"/>
    </row>
    <row r="3474" spans="2:2" ht="24.95" customHeight="1" x14ac:dyDescent="0.2">
      <c r="B3474" s="268"/>
    </row>
    <row r="3475" spans="2:2" ht="24.95" customHeight="1" x14ac:dyDescent="0.2">
      <c r="B3475" s="268"/>
    </row>
    <row r="3476" spans="2:2" ht="24.95" customHeight="1" x14ac:dyDescent="0.2">
      <c r="B3476" s="268"/>
    </row>
    <row r="3477" spans="2:2" ht="24.95" customHeight="1" x14ac:dyDescent="0.2">
      <c r="B3477" s="268"/>
    </row>
    <row r="3478" spans="2:2" ht="24.95" customHeight="1" x14ac:dyDescent="0.2">
      <c r="B3478" s="268"/>
    </row>
    <row r="3479" spans="2:2" ht="24.95" customHeight="1" x14ac:dyDescent="0.2">
      <c r="B3479" s="268"/>
    </row>
    <row r="3480" spans="2:2" ht="24.95" customHeight="1" x14ac:dyDescent="0.2">
      <c r="B3480" s="268"/>
    </row>
    <row r="3481" spans="2:2" ht="24.95" customHeight="1" x14ac:dyDescent="0.2">
      <c r="B3481" s="268"/>
    </row>
    <row r="3482" spans="2:2" ht="24.95" customHeight="1" x14ac:dyDescent="0.2">
      <c r="B3482" s="268"/>
    </row>
    <row r="3483" spans="2:2" ht="24.95" customHeight="1" x14ac:dyDescent="0.2">
      <c r="B3483" s="268"/>
    </row>
    <row r="3484" spans="2:2" ht="24.95" customHeight="1" x14ac:dyDescent="0.2">
      <c r="B3484" s="268"/>
    </row>
    <row r="3485" spans="2:2" ht="24.95" customHeight="1" x14ac:dyDescent="0.2">
      <c r="B3485" s="268"/>
    </row>
    <row r="3486" spans="2:2" ht="24.95" customHeight="1" x14ac:dyDescent="0.2">
      <c r="B3486" s="268"/>
    </row>
    <row r="3487" spans="2:2" ht="24.95" customHeight="1" x14ac:dyDescent="0.2">
      <c r="B3487" s="268"/>
    </row>
    <row r="3488" spans="2:2" ht="24.95" customHeight="1" x14ac:dyDescent="0.2">
      <c r="B3488" s="268"/>
    </row>
    <row r="3489" spans="2:2" ht="24.95" customHeight="1" x14ac:dyDescent="0.2">
      <c r="B3489" s="268"/>
    </row>
    <row r="3490" spans="2:2" ht="24.95" customHeight="1" x14ac:dyDescent="0.2">
      <c r="B3490" s="268"/>
    </row>
    <row r="3491" spans="2:2" ht="24.95" customHeight="1" x14ac:dyDescent="0.2">
      <c r="B3491" s="268"/>
    </row>
    <row r="3492" spans="2:2" ht="24.95" customHeight="1" x14ac:dyDescent="0.2">
      <c r="B3492" s="268"/>
    </row>
    <row r="3493" spans="2:2" ht="24.95" customHeight="1" x14ac:dyDescent="0.2">
      <c r="B3493" s="268"/>
    </row>
    <row r="3494" spans="2:2" ht="24.95" customHeight="1" x14ac:dyDescent="0.2">
      <c r="B3494" s="268"/>
    </row>
    <row r="3495" spans="2:2" ht="24.95" customHeight="1" x14ac:dyDescent="0.2">
      <c r="B3495" s="268"/>
    </row>
    <row r="3496" spans="2:2" ht="24.95" customHeight="1" x14ac:dyDescent="0.2">
      <c r="B3496" s="268"/>
    </row>
    <row r="3497" spans="2:2" ht="24.95" customHeight="1" x14ac:dyDescent="0.2">
      <c r="B3497" s="268"/>
    </row>
    <row r="3498" spans="2:2" ht="24.95" customHeight="1" x14ac:dyDescent="0.2">
      <c r="B3498" s="268"/>
    </row>
    <row r="3499" spans="2:2" ht="24.95" customHeight="1" x14ac:dyDescent="0.2">
      <c r="B3499" s="268"/>
    </row>
    <row r="3500" spans="2:2" ht="24.95" customHeight="1" x14ac:dyDescent="0.2">
      <c r="B3500" s="268"/>
    </row>
    <row r="3501" spans="2:2" ht="24.95" customHeight="1" x14ac:dyDescent="0.2">
      <c r="B3501" s="268"/>
    </row>
    <row r="3502" spans="2:2" ht="24.95" customHeight="1" x14ac:dyDescent="0.2">
      <c r="B3502" s="268"/>
    </row>
    <row r="3503" spans="2:2" ht="24.95" customHeight="1" x14ac:dyDescent="0.2">
      <c r="B3503" s="268"/>
    </row>
    <row r="3504" spans="2:2" ht="24.95" customHeight="1" x14ac:dyDescent="0.2">
      <c r="B3504" s="268"/>
    </row>
    <row r="3505" spans="2:2" ht="24.95" customHeight="1" x14ac:dyDescent="0.2">
      <c r="B3505" s="268"/>
    </row>
    <row r="3506" spans="2:2" ht="24.95" customHeight="1" x14ac:dyDescent="0.2">
      <c r="B3506" s="268"/>
    </row>
    <row r="3507" spans="2:2" ht="24.95" customHeight="1" x14ac:dyDescent="0.2">
      <c r="B3507" s="268"/>
    </row>
    <row r="3508" spans="2:2" ht="24.95" customHeight="1" x14ac:dyDescent="0.2">
      <c r="B3508" s="268"/>
    </row>
    <row r="3509" spans="2:2" ht="24.95" customHeight="1" x14ac:dyDescent="0.2">
      <c r="B3509" s="268"/>
    </row>
    <row r="3510" spans="2:2" ht="24.95" customHeight="1" x14ac:dyDescent="0.2">
      <c r="B3510" s="268"/>
    </row>
    <row r="3511" spans="2:2" ht="24.95" customHeight="1" x14ac:dyDescent="0.2">
      <c r="B3511" s="268"/>
    </row>
    <row r="3512" spans="2:2" ht="24.95" customHeight="1" x14ac:dyDescent="0.2">
      <c r="B3512" s="268"/>
    </row>
    <row r="3513" spans="2:2" ht="24.95" customHeight="1" x14ac:dyDescent="0.2">
      <c r="B3513" s="268"/>
    </row>
    <row r="3514" spans="2:2" ht="24.95" customHeight="1" x14ac:dyDescent="0.2">
      <c r="B3514" s="268"/>
    </row>
    <row r="3515" spans="2:2" ht="24.95" customHeight="1" x14ac:dyDescent="0.2">
      <c r="B3515" s="268"/>
    </row>
    <row r="3516" spans="2:2" ht="24.95" customHeight="1" x14ac:dyDescent="0.2">
      <c r="B3516" s="268"/>
    </row>
    <row r="3517" spans="2:2" ht="24.95" customHeight="1" x14ac:dyDescent="0.2">
      <c r="B3517" s="268"/>
    </row>
    <row r="3518" spans="2:2" ht="24.95" customHeight="1" x14ac:dyDescent="0.2">
      <c r="B3518" s="268"/>
    </row>
    <row r="3519" spans="2:2" ht="24.95" customHeight="1" x14ac:dyDescent="0.2">
      <c r="B3519" s="268"/>
    </row>
    <row r="3520" spans="2:2" ht="24.95" customHeight="1" x14ac:dyDescent="0.2">
      <c r="B3520" s="268"/>
    </row>
    <row r="3521" spans="2:2" ht="24.95" customHeight="1" x14ac:dyDescent="0.2">
      <c r="B3521" s="268"/>
    </row>
    <row r="3522" spans="2:2" ht="24.95" customHeight="1" x14ac:dyDescent="0.2">
      <c r="B3522" s="268"/>
    </row>
    <row r="3523" spans="2:2" ht="24.95" customHeight="1" x14ac:dyDescent="0.2">
      <c r="B3523" s="268"/>
    </row>
    <row r="3524" spans="2:2" ht="24.95" customHeight="1" x14ac:dyDescent="0.2">
      <c r="B3524" s="268"/>
    </row>
    <row r="3525" spans="2:2" ht="24.95" customHeight="1" x14ac:dyDescent="0.2">
      <c r="B3525" s="268"/>
    </row>
    <row r="3526" spans="2:2" ht="24.95" customHeight="1" x14ac:dyDescent="0.2">
      <c r="B3526" s="268"/>
    </row>
    <row r="3527" spans="2:2" ht="24.95" customHeight="1" x14ac:dyDescent="0.2">
      <c r="B3527" s="268"/>
    </row>
    <row r="3528" spans="2:2" ht="24.95" customHeight="1" x14ac:dyDescent="0.2">
      <c r="B3528" s="268"/>
    </row>
    <row r="3529" spans="2:2" ht="24.95" customHeight="1" x14ac:dyDescent="0.2">
      <c r="B3529" s="268"/>
    </row>
    <row r="3530" spans="2:2" ht="24.95" customHeight="1" x14ac:dyDescent="0.2">
      <c r="B3530" s="268"/>
    </row>
    <row r="3531" spans="2:2" ht="24.95" customHeight="1" x14ac:dyDescent="0.2">
      <c r="B3531" s="268"/>
    </row>
    <row r="3532" spans="2:2" ht="24.95" customHeight="1" x14ac:dyDescent="0.2">
      <c r="B3532" s="268"/>
    </row>
    <row r="3533" spans="2:2" ht="24.95" customHeight="1" x14ac:dyDescent="0.2">
      <c r="B3533" s="268"/>
    </row>
    <row r="3534" spans="2:2" ht="24.95" customHeight="1" x14ac:dyDescent="0.2">
      <c r="B3534" s="268"/>
    </row>
    <row r="3535" spans="2:2" ht="24.95" customHeight="1" x14ac:dyDescent="0.2">
      <c r="B3535" s="268"/>
    </row>
    <row r="3536" spans="2:2" ht="24.95" customHeight="1" x14ac:dyDescent="0.2">
      <c r="B3536" s="268"/>
    </row>
    <row r="3537" spans="2:2" ht="24.95" customHeight="1" x14ac:dyDescent="0.2">
      <c r="B3537" s="268"/>
    </row>
    <row r="3538" spans="2:2" ht="24.95" customHeight="1" x14ac:dyDescent="0.2">
      <c r="B3538" s="268"/>
    </row>
    <row r="3539" spans="2:2" ht="24.95" customHeight="1" x14ac:dyDescent="0.2">
      <c r="B3539" s="268"/>
    </row>
    <row r="3540" spans="2:2" ht="24.95" customHeight="1" x14ac:dyDescent="0.2">
      <c r="B3540" s="268"/>
    </row>
    <row r="3541" spans="2:2" ht="24.95" customHeight="1" x14ac:dyDescent="0.2">
      <c r="B3541" s="268"/>
    </row>
    <row r="3542" spans="2:2" ht="24.95" customHeight="1" x14ac:dyDescent="0.2">
      <c r="B3542" s="268"/>
    </row>
    <row r="3543" spans="2:2" ht="24.95" customHeight="1" x14ac:dyDescent="0.2">
      <c r="B3543" s="268"/>
    </row>
    <row r="3544" spans="2:2" ht="24.95" customHeight="1" x14ac:dyDescent="0.2">
      <c r="B3544" s="268"/>
    </row>
    <row r="3545" spans="2:2" ht="24.95" customHeight="1" x14ac:dyDescent="0.2">
      <c r="B3545" s="268"/>
    </row>
    <row r="3546" spans="2:2" ht="24.95" customHeight="1" x14ac:dyDescent="0.2">
      <c r="B3546" s="268"/>
    </row>
    <row r="3547" spans="2:2" ht="24.95" customHeight="1" x14ac:dyDescent="0.2">
      <c r="B3547" s="268"/>
    </row>
    <row r="3548" spans="2:2" ht="24.95" customHeight="1" x14ac:dyDescent="0.2">
      <c r="B3548" s="268"/>
    </row>
    <row r="3549" spans="2:2" ht="24.95" customHeight="1" x14ac:dyDescent="0.2">
      <c r="B3549" s="268"/>
    </row>
    <row r="3550" spans="2:2" ht="24.95" customHeight="1" x14ac:dyDescent="0.2">
      <c r="B3550" s="268"/>
    </row>
    <row r="3551" spans="2:2" ht="24.95" customHeight="1" x14ac:dyDescent="0.2">
      <c r="B3551" s="268"/>
    </row>
    <row r="3552" spans="2:2" ht="24.95" customHeight="1" x14ac:dyDescent="0.2">
      <c r="B3552" s="268"/>
    </row>
    <row r="3553" spans="2:2" ht="24.95" customHeight="1" x14ac:dyDescent="0.2">
      <c r="B3553" s="268"/>
    </row>
    <row r="3554" spans="2:2" ht="24.95" customHeight="1" x14ac:dyDescent="0.2">
      <c r="B3554" s="268"/>
    </row>
    <row r="3555" spans="2:2" ht="24.95" customHeight="1" x14ac:dyDescent="0.2">
      <c r="B3555" s="268"/>
    </row>
    <row r="3556" spans="2:2" ht="24.95" customHeight="1" x14ac:dyDescent="0.2">
      <c r="B3556" s="268"/>
    </row>
    <row r="3557" spans="2:2" ht="24.95" customHeight="1" x14ac:dyDescent="0.2">
      <c r="B3557" s="268"/>
    </row>
    <row r="3558" spans="2:2" ht="24.95" customHeight="1" x14ac:dyDescent="0.2">
      <c r="B3558" s="268"/>
    </row>
    <row r="3559" spans="2:2" ht="24.95" customHeight="1" x14ac:dyDescent="0.2">
      <c r="B3559" s="268"/>
    </row>
    <row r="3560" spans="2:2" ht="24.95" customHeight="1" x14ac:dyDescent="0.2">
      <c r="B3560" s="268"/>
    </row>
    <row r="3561" spans="2:2" ht="24.95" customHeight="1" x14ac:dyDescent="0.2">
      <c r="B3561" s="268"/>
    </row>
    <row r="3562" spans="2:2" ht="24.95" customHeight="1" x14ac:dyDescent="0.2">
      <c r="B3562" s="268"/>
    </row>
    <row r="3563" spans="2:2" ht="24.95" customHeight="1" x14ac:dyDescent="0.2">
      <c r="B3563" s="268"/>
    </row>
    <row r="3564" spans="2:2" ht="24.95" customHeight="1" x14ac:dyDescent="0.2">
      <c r="B3564" s="268"/>
    </row>
    <row r="3565" spans="2:2" ht="24.95" customHeight="1" x14ac:dyDescent="0.2">
      <c r="B3565" s="268"/>
    </row>
    <row r="3566" spans="2:2" ht="24.95" customHeight="1" x14ac:dyDescent="0.2">
      <c r="B3566" s="268"/>
    </row>
    <row r="3567" spans="2:2" ht="24.95" customHeight="1" x14ac:dyDescent="0.2">
      <c r="B3567" s="268"/>
    </row>
    <row r="3568" spans="2:2" ht="24.95" customHeight="1" x14ac:dyDescent="0.2">
      <c r="B3568" s="268"/>
    </row>
    <row r="3569" spans="2:2" ht="24.95" customHeight="1" x14ac:dyDescent="0.2">
      <c r="B3569" s="268"/>
    </row>
    <row r="3570" spans="2:2" ht="24.95" customHeight="1" x14ac:dyDescent="0.2">
      <c r="B3570" s="268"/>
    </row>
    <row r="3571" spans="2:2" ht="24.95" customHeight="1" x14ac:dyDescent="0.2">
      <c r="B3571" s="268"/>
    </row>
    <row r="3572" spans="2:2" ht="24.95" customHeight="1" x14ac:dyDescent="0.2">
      <c r="B3572" s="268"/>
    </row>
    <row r="3573" spans="2:2" ht="24.95" customHeight="1" x14ac:dyDescent="0.2">
      <c r="B3573" s="268"/>
    </row>
    <row r="3574" spans="2:2" ht="24.95" customHeight="1" x14ac:dyDescent="0.2">
      <c r="B3574" s="268"/>
    </row>
    <row r="3575" spans="2:2" ht="24.95" customHeight="1" x14ac:dyDescent="0.2">
      <c r="B3575" s="268"/>
    </row>
    <row r="3576" spans="2:2" ht="24.95" customHeight="1" x14ac:dyDescent="0.2">
      <c r="B3576" s="268"/>
    </row>
    <row r="3577" spans="2:2" ht="24.95" customHeight="1" x14ac:dyDescent="0.2">
      <c r="B3577" s="268"/>
    </row>
    <row r="3578" spans="2:2" ht="24.95" customHeight="1" x14ac:dyDescent="0.2">
      <c r="B3578" s="268"/>
    </row>
    <row r="3579" spans="2:2" ht="24.95" customHeight="1" x14ac:dyDescent="0.2">
      <c r="B3579" s="268"/>
    </row>
    <row r="3580" spans="2:2" ht="24.95" customHeight="1" x14ac:dyDescent="0.2">
      <c r="B3580" s="268"/>
    </row>
    <row r="3581" spans="2:2" ht="24.95" customHeight="1" x14ac:dyDescent="0.2">
      <c r="B3581" s="268"/>
    </row>
    <row r="3582" spans="2:2" ht="24.95" customHeight="1" x14ac:dyDescent="0.2">
      <c r="B3582" s="268"/>
    </row>
    <row r="3583" spans="2:2" ht="24.95" customHeight="1" x14ac:dyDescent="0.2">
      <c r="B3583" s="268"/>
    </row>
    <row r="3584" spans="2:2" ht="24.95" customHeight="1" x14ac:dyDescent="0.2">
      <c r="B3584" s="268"/>
    </row>
    <row r="3585" spans="2:2" ht="24.95" customHeight="1" x14ac:dyDescent="0.2">
      <c r="B3585" s="268"/>
    </row>
    <row r="3586" spans="2:2" ht="24.95" customHeight="1" x14ac:dyDescent="0.2">
      <c r="B3586" s="268"/>
    </row>
    <row r="3587" spans="2:2" ht="24.95" customHeight="1" x14ac:dyDescent="0.2">
      <c r="B3587" s="268"/>
    </row>
    <row r="3588" spans="2:2" ht="24.95" customHeight="1" x14ac:dyDescent="0.2">
      <c r="B3588" s="268"/>
    </row>
    <row r="3589" spans="2:2" ht="24.95" customHeight="1" x14ac:dyDescent="0.2">
      <c r="B3589" s="268"/>
    </row>
    <row r="3590" spans="2:2" ht="24.95" customHeight="1" x14ac:dyDescent="0.2">
      <c r="B3590" s="268"/>
    </row>
    <row r="3591" spans="2:2" ht="24.95" customHeight="1" x14ac:dyDescent="0.2">
      <c r="B3591" s="268"/>
    </row>
    <row r="3592" spans="2:2" ht="24.95" customHeight="1" x14ac:dyDescent="0.2">
      <c r="B3592" s="268"/>
    </row>
    <row r="3593" spans="2:2" ht="24.95" customHeight="1" x14ac:dyDescent="0.2">
      <c r="B3593" s="268"/>
    </row>
    <row r="3594" spans="2:2" ht="24.95" customHeight="1" x14ac:dyDescent="0.2">
      <c r="B3594" s="268"/>
    </row>
    <row r="3595" spans="2:2" ht="24.95" customHeight="1" x14ac:dyDescent="0.2">
      <c r="B3595" s="268"/>
    </row>
    <row r="3596" spans="2:2" ht="24.95" customHeight="1" x14ac:dyDescent="0.2">
      <c r="B3596" s="268"/>
    </row>
    <row r="3597" spans="2:2" ht="24.95" customHeight="1" x14ac:dyDescent="0.2">
      <c r="B3597" s="268"/>
    </row>
    <row r="3598" spans="2:2" ht="24.95" customHeight="1" x14ac:dyDescent="0.2">
      <c r="B3598" s="268"/>
    </row>
    <row r="3599" spans="2:2" ht="24.95" customHeight="1" x14ac:dyDescent="0.2">
      <c r="B3599" s="268"/>
    </row>
    <row r="3600" spans="2:2" ht="24.95" customHeight="1" x14ac:dyDescent="0.2">
      <c r="B3600" s="268"/>
    </row>
    <row r="3601" spans="2:2" ht="24.95" customHeight="1" x14ac:dyDescent="0.2">
      <c r="B3601" s="268"/>
    </row>
    <row r="3602" spans="2:2" ht="24.95" customHeight="1" x14ac:dyDescent="0.2">
      <c r="B3602" s="268"/>
    </row>
    <row r="3603" spans="2:2" ht="24.95" customHeight="1" x14ac:dyDescent="0.2">
      <c r="B3603" s="268"/>
    </row>
    <row r="3604" spans="2:2" ht="24.95" customHeight="1" x14ac:dyDescent="0.2">
      <c r="B3604" s="268"/>
    </row>
    <row r="3605" spans="2:2" ht="24.95" customHeight="1" x14ac:dyDescent="0.2">
      <c r="B3605" s="268"/>
    </row>
    <row r="3606" spans="2:2" ht="24.95" customHeight="1" x14ac:dyDescent="0.2">
      <c r="B3606" s="268"/>
    </row>
    <row r="3607" spans="2:2" ht="24.95" customHeight="1" x14ac:dyDescent="0.2">
      <c r="B3607" s="268"/>
    </row>
    <row r="3608" spans="2:2" ht="24.95" customHeight="1" x14ac:dyDescent="0.2">
      <c r="B3608" s="268"/>
    </row>
    <row r="3609" spans="2:2" ht="24.95" customHeight="1" x14ac:dyDescent="0.2">
      <c r="B3609" s="268"/>
    </row>
    <row r="3610" spans="2:2" ht="24.95" customHeight="1" x14ac:dyDescent="0.2">
      <c r="B3610" s="268"/>
    </row>
    <row r="3611" spans="2:2" ht="24.95" customHeight="1" x14ac:dyDescent="0.2">
      <c r="B3611" s="268"/>
    </row>
    <row r="3612" spans="2:2" ht="24.95" customHeight="1" x14ac:dyDescent="0.2">
      <c r="B3612" s="268"/>
    </row>
    <row r="3613" spans="2:2" ht="24.95" customHeight="1" x14ac:dyDescent="0.2">
      <c r="B3613" s="268"/>
    </row>
    <row r="3614" spans="2:2" ht="24.95" customHeight="1" x14ac:dyDescent="0.2">
      <c r="B3614" s="268"/>
    </row>
    <row r="3615" spans="2:2" ht="24.95" customHeight="1" x14ac:dyDescent="0.2">
      <c r="B3615" s="268"/>
    </row>
    <row r="3616" spans="2:2" ht="24.95" customHeight="1" x14ac:dyDescent="0.2">
      <c r="B3616" s="268"/>
    </row>
    <row r="3617" spans="2:2" ht="24.95" customHeight="1" x14ac:dyDescent="0.2">
      <c r="B3617" s="268"/>
    </row>
    <row r="3618" spans="2:2" ht="24.95" customHeight="1" x14ac:dyDescent="0.2">
      <c r="B3618" s="268"/>
    </row>
    <row r="3619" spans="2:2" ht="24.95" customHeight="1" x14ac:dyDescent="0.2">
      <c r="B3619" s="268"/>
    </row>
    <row r="3620" spans="2:2" ht="24.95" customHeight="1" x14ac:dyDescent="0.2">
      <c r="B3620" s="268"/>
    </row>
    <row r="3621" spans="2:2" ht="24.95" customHeight="1" x14ac:dyDescent="0.2">
      <c r="B3621" s="268"/>
    </row>
    <row r="3622" spans="2:2" ht="24.95" customHeight="1" x14ac:dyDescent="0.2">
      <c r="B3622" s="268"/>
    </row>
    <row r="3623" spans="2:2" ht="24.95" customHeight="1" x14ac:dyDescent="0.2">
      <c r="B3623" s="268"/>
    </row>
    <row r="3624" spans="2:2" ht="24.95" customHeight="1" x14ac:dyDescent="0.2">
      <c r="B3624" s="268"/>
    </row>
    <row r="3625" spans="2:2" ht="24.95" customHeight="1" x14ac:dyDescent="0.2">
      <c r="B3625" s="268"/>
    </row>
    <row r="3626" spans="2:2" ht="24.95" customHeight="1" x14ac:dyDescent="0.2">
      <c r="B3626" s="268"/>
    </row>
    <row r="3627" spans="2:2" ht="24.95" customHeight="1" x14ac:dyDescent="0.2">
      <c r="B3627" s="268"/>
    </row>
    <row r="3628" spans="2:2" ht="24.95" customHeight="1" x14ac:dyDescent="0.2">
      <c r="B3628" s="268"/>
    </row>
    <row r="3629" spans="2:2" ht="24.95" customHeight="1" x14ac:dyDescent="0.2">
      <c r="B3629" s="268"/>
    </row>
    <row r="3630" spans="2:2" ht="24.95" customHeight="1" x14ac:dyDescent="0.2">
      <c r="B3630" s="268"/>
    </row>
    <row r="3631" spans="2:2" ht="24.95" customHeight="1" x14ac:dyDescent="0.2">
      <c r="B3631" s="268"/>
    </row>
    <row r="3632" spans="2:2" ht="24.95" customHeight="1" x14ac:dyDescent="0.2">
      <c r="B3632" s="268"/>
    </row>
    <row r="3633" spans="2:2" ht="24.95" customHeight="1" x14ac:dyDescent="0.2">
      <c r="B3633" s="268"/>
    </row>
    <row r="3634" spans="2:2" ht="24.95" customHeight="1" x14ac:dyDescent="0.2">
      <c r="B3634" s="268"/>
    </row>
    <row r="3635" spans="2:2" ht="24.95" customHeight="1" x14ac:dyDescent="0.2">
      <c r="B3635" s="268"/>
    </row>
    <row r="3636" spans="2:2" ht="24.95" customHeight="1" x14ac:dyDescent="0.2">
      <c r="B3636" s="268"/>
    </row>
    <row r="3637" spans="2:2" ht="24.95" customHeight="1" x14ac:dyDescent="0.2">
      <c r="B3637" s="268"/>
    </row>
    <row r="3638" spans="2:2" ht="24.95" customHeight="1" x14ac:dyDescent="0.2">
      <c r="B3638" s="268"/>
    </row>
    <row r="3639" spans="2:2" ht="24.95" customHeight="1" x14ac:dyDescent="0.2">
      <c r="B3639" s="268"/>
    </row>
    <row r="3640" spans="2:2" ht="24.95" customHeight="1" x14ac:dyDescent="0.2">
      <c r="B3640" s="268"/>
    </row>
    <row r="3641" spans="2:2" ht="24.95" customHeight="1" x14ac:dyDescent="0.2">
      <c r="B3641" s="268"/>
    </row>
    <row r="3642" spans="2:2" ht="24.95" customHeight="1" x14ac:dyDescent="0.2">
      <c r="B3642" s="268"/>
    </row>
    <row r="3643" spans="2:2" ht="24.95" customHeight="1" x14ac:dyDescent="0.2">
      <c r="B3643" s="268"/>
    </row>
    <row r="3644" spans="2:2" ht="24.95" customHeight="1" x14ac:dyDescent="0.2">
      <c r="B3644" s="268"/>
    </row>
    <row r="3645" spans="2:2" ht="24.95" customHeight="1" x14ac:dyDescent="0.2">
      <c r="B3645" s="268"/>
    </row>
    <row r="3646" spans="2:2" ht="24.95" customHeight="1" x14ac:dyDescent="0.2">
      <c r="B3646" s="268"/>
    </row>
    <row r="3647" spans="2:2" ht="24.95" customHeight="1" x14ac:dyDescent="0.2">
      <c r="B3647" s="268"/>
    </row>
    <row r="3648" spans="2:2" ht="24.95" customHeight="1" x14ac:dyDescent="0.2">
      <c r="B3648" s="268"/>
    </row>
    <row r="3649" spans="2:2" ht="24.95" customHeight="1" x14ac:dyDescent="0.2">
      <c r="B3649" s="268"/>
    </row>
    <row r="3650" spans="2:2" ht="24.95" customHeight="1" x14ac:dyDescent="0.2">
      <c r="B3650" s="268"/>
    </row>
    <row r="3651" spans="2:2" ht="24.95" customHeight="1" x14ac:dyDescent="0.2">
      <c r="B3651" s="268"/>
    </row>
    <row r="3652" spans="2:2" ht="24.95" customHeight="1" x14ac:dyDescent="0.2">
      <c r="B3652" s="268"/>
    </row>
    <row r="3653" spans="2:2" ht="24.95" customHeight="1" x14ac:dyDescent="0.2">
      <c r="B3653" s="268"/>
    </row>
    <row r="3654" spans="2:2" ht="24.95" customHeight="1" x14ac:dyDescent="0.2">
      <c r="B3654" s="268"/>
    </row>
    <row r="3655" spans="2:2" ht="24.95" customHeight="1" x14ac:dyDescent="0.2">
      <c r="B3655" s="268"/>
    </row>
    <row r="3656" spans="2:2" ht="24.95" customHeight="1" x14ac:dyDescent="0.2">
      <c r="B3656" s="268"/>
    </row>
    <row r="3657" spans="2:2" ht="24.95" customHeight="1" x14ac:dyDescent="0.2">
      <c r="B3657" s="268"/>
    </row>
    <row r="3658" spans="2:2" ht="24.95" customHeight="1" x14ac:dyDescent="0.2">
      <c r="B3658" s="268"/>
    </row>
    <row r="3659" spans="2:2" ht="24.95" customHeight="1" x14ac:dyDescent="0.2">
      <c r="B3659" s="268"/>
    </row>
    <row r="3660" spans="2:2" ht="24.95" customHeight="1" x14ac:dyDescent="0.2">
      <c r="B3660" s="268"/>
    </row>
    <row r="3661" spans="2:2" ht="24.95" customHeight="1" x14ac:dyDescent="0.2">
      <c r="B3661" s="268"/>
    </row>
    <row r="3662" spans="2:2" ht="24.95" customHeight="1" x14ac:dyDescent="0.2">
      <c r="B3662" s="268"/>
    </row>
    <row r="3663" spans="2:2" ht="24.95" customHeight="1" x14ac:dyDescent="0.2">
      <c r="B3663" s="268"/>
    </row>
    <row r="3664" spans="2:2" ht="24.95" customHeight="1" x14ac:dyDescent="0.2">
      <c r="B3664" s="268"/>
    </row>
    <row r="3665" spans="2:2" ht="24.95" customHeight="1" x14ac:dyDescent="0.2">
      <c r="B3665" s="268"/>
    </row>
    <row r="3666" spans="2:2" ht="24.95" customHeight="1" x14ac:dyDescent="0.2">
      <c r="B3666" s="268"/>
    </row>
    <row r="3667" spans="2:2" ht="24.95" customHeight="1" x14ac:dyDescent="0.2">
      <c r="B3667" s="268"/>
    </row>
    <row r="3668" spans="2:2" ht="24.95" customHeight="1" x14ac:dyDescent="0.2">
      <c r="B3668" s="268"/>
    </row>
    <row r="3669" spans="2:2" ht="24.95" customHeight="1" x14ac:dyDescent="0.2">
      <c r="B3669" s="268"/>
    </row>
    <row r="3670" spans="2:2" ht="24.95" customHeight="1" x14ac:dyDescent="0.2">
      <c r="B3670" s="268"/>
    </row>
    <row r="3671" spans="2:2" ht="24.95" customHeight="1" x14ac:dyDescent="0.2">
      <c r="B3671" s="268"/>
    </row>
    <row r="3672" spans="2:2" ht="24.95" customHeight="1" x14ac:dyDescent="0.2">
      <c r="B3672" s="268"/>
    </row>
    <row r="3673" spans="2:2" ht="24.95" customHeight="1" x14ac:dyDescent="0.2">
      <c r="B3673" s="268"/>
    </row>
    <row r="3674" spans="2:2" ht="24.95" customHeight="1" x14ac:dyDescent="0.2">
      <c r="B3674" s="268"/>
    </row>
    <row r="3675" spans="2:2" ht="24.95" customHeight="1" x14ac:dyDescent="0.2">
      <c r="B3675" s="268"/>
    </row>
    <row r="3676" spans="2:2" ht="24.95" customHeight="1" x14ac:dyDescent="0.2">
      <c r="B3676" s="268"/>
    </row>
    <row r="3677" spans="2:2" ht="24.95" customHeight="1" x14ac:dyDescent="0.2">
      <c r="B3677" s="268"/>
    </row>
    <row r="3678" spans="2:2" ht="24.95" customHeight="1" x14ac:dyDescent="0.2">
      <c r="B3678" s="268"/>
    </row>
    <row r="3679" spans="2:2" ht="24.95" customHeight="1" x14ac:dyDescent="0.2">
      <c r="B3679" s="268"/>
    </row>
    <row r="3680" spans="2:2" ht="24.95" customHeight="1" x14ac:dyDescent="0.2">
      <c r="B3680" s="268"/>
    </row>
    <row r="3681" spans="2:2" ht="24.95" customHeight="1" x14ac:dyDescent="0.2">
      <c r="B3681" s="268"/>
    </row>
    <row r="3682" spans="2:2" ht="24.95" customHeight="1" x14ac:dyDescent="0.2">
      <c r="B3682" s="268"/>
    </row>
    <row r="3683" spans="2:2" ht="24.95" customHeight="1" x14ac:dyDescent="0.2">
      <c r="B3683" s="268"/>
    </row>
    <row r="3684" spans="2:2" ht="24.95" customHeight="1" x14ac:dyDescent="0.2">
      <c r="B3684" s="268"/>
    </row>
    <row r="3685" spans="2:2" ht="24.95" customHeight="1" x14ac:dyDescent="0.2">
      <c r="B3685" s="268"/>
    </row>
    <row r="3686" spans="2:2" ht="24.95" customHeight="1" x14ac:dyDescent="0.2">
      <c r="B3686" s="268"/>
    </row>
    <row r="3687" spans="2:2" ht="24.95" customHeight="1" x14ac:dyDescent="0.2">
      <c r="B3687" s="268"/>
    </row>
    <row r="3688" spans="2:2" ht="24.95" customHeight="1" x14ac:dyDescent="0.2">
      <c r="B3688" s="268"/>
    </row>
    <row r="3689" spans="2:2" ht="24.95" customHeight="1" x14ac:dyDescent="0.2">
      <c r="B3689" s="268"/>
    </row>
    <row r="3690" spans="2:2" ht="24.95" customHeight="1" x14ac:dyDescent="0.2">
      <c r="B3690" s="268"/>
    </row>
    <row r="3691" spans="2:2" ht="24.95" customHeight="1" x14ac:dyDescent="0.2">
      <c r="B3691" s="268"/>
    </row>
    <row r="3692" spans="2:2" ht="24.95" customHeight="1" x14ac:dyDescent="0.2">
      <c r="B3692" s="268"/>
    </row>
    <row r="3693" spans="2:2" ht="24.95" customHeight="1" x14ac:dyDescent="0.2">
      <c r="B3693" s="268"/>
    </row>
    <row r="3694" spans="2:2" ht="24.95" customHeight="1" x14ac:dyDescent="0.2">
      <c r="B3694" s="268"/>
    </row>
    <row r="3695" spans="2:2" ht="24.95" customHeight="1" x14ac:dyDescent="0.2">
      <c r="B3695" s="268"/>
    </row>
    <row r="3696" spans="2:2" ht="24.95" customHeight="1" x14ac:dyDescent="0.2">
      <c r="B3696" s="268"/>
    </row>
    <row r="3697" spans="2:2" ht="24.95" customHeight="1" x14ac:dyDescent="0.2">
      <c r="B3697" s="268"/>
    </row>
    <row r="3698" spans="2:2" ht="24.95" customHeight="1" x14ac:dyDescent="0.2">
      <c r="B3698" s="268"/>
    </row>
    <row r="3699" spans="2:2" ht="24.95" customHeight="1" x14ac:dyDescent="0.2">
      <c r="B3699" s="268"/>
    </row>
    <row r="3700" spans="2:2" ht="24.95" customHeight="1" x14ac:dyDescent="0.2">
      <c r="B3700" s="268"/>
    </row>
    <row r="3701" spans="2:2" ht="24.95" customHeight="1" x14ac:dyDescent="0.2">
      <c r="B3701" s="268"/>
    </row>
    <row r="3702" spans="2:2" ht="24.95" customHeight="1" x14ac:dyDescent="0.2">
      <c r="B3702" s="268"/>
    </row>
    <row r="3703" spans="2:2" ht="24.95" customHeight="1" x14ac:dyDescent="0.2">
      <c r="B3703" s="268"/>
    </row>
    <row r="3704" spans="2:2" ht="24.95" customHeight="1" x14ac:dyDescent="0.2">
      <c r="B3704" s="268"/>
    </row>
    <row r="3705" spans="2:2" ht="24.95" customHeight="1" x14ac:dyDescent="0.2">
      <c r="B3705" s="268"/>
    </row>
    <row r="3706" spans="2:2" ht="24.95" customHeight="1" x14ac:dyDescent="0.2">
      <c r="B3706" s="268"/>
    </row>
    <row r="3707" spans="2:2" ht="24.95" customHeight="1" x14ac:dyDescent="0.2">
      <c r="B3707" s="268"/>
    </row>
    <row r="3708" spans="2:2" ht="24.95" customHeight="1" x14ac:dyDescent="0.2">
      <c r="B3708" s="268"/>
    </row>
    <row r="3709" spans="2:2" ht="24.95" customHeight="1" x14ac:dyDescent="0.2">
      <c r="B3709" s="268"/>
    </row>
    <row r="3710" spans="2:2" ht="24.95" customHeight="1" x14ac:dyDescent="0.2">
      <c r="B3710" s="268"/>
    </row>
    <row r="3711" spans="2:2" ht="24.95" customHeight="1" x14ac:dyDescent="0.2">
      <c r="B3711" s="268"/>
    </row>
    <row r="3712" spans="2:2" ht="24.95" customHeight="1" x14ac:dyDescent="0.2">
      <c r="B3712" s="268"/>
    </row>
    <row r="3713" spans="2:2" ht="24.95" customHeight="1" x14ac:dyDescent="0.2">
      <c r="B3713" s="268"/>
    </row>
    <row r="3714" spans="2:2" ht="24.95" customHeight="1" x14ac:dyDescent="0.2">
      <c r="B3714" s="268"/>
    </row>
    <row r="3715" spans="2:2" ht="24.95" customHeight="1" x14ac:dyDescent="0.2">
      <c r="B3715" s="268"/>
    </row>
    <row r="3716" spans="2:2" ht="24.95" customHeight="1" x14ac:dyDescent="0.2">
      <c r="B3716" s="268"/>
    </row>
    <row r="3717" spans="2:2" ht="24.95" customHeight="1" x14ac:dyDescent="0.2">
      <c r="B3717" s="268"/>
    </row>
    <row r="3718" spans="2:2" ht="24.95" customHeight="1" x14ac:dyDescent="0.2">
      <c r="B3718" s="268"/>
    </row>
    <row r="3719" spans="2:2" ht="24.95" customHeight="1" x14ac:dyDescent="0.2">
      <c r="B3719" s="268"/>
    </row>
    <row r="3720" spans="2:2" ht="24.95" customHeight="1" x14ac:dyDescent="0.2">
      <c r="B3720" s="268"/>
    </row>
    <row r="3721" spans="2:2" ht="24.95" customHeight="1" x14ac:dyDescent="0.2">
      <c r="B3721" s="268"/>
    </row>
    <row r="3722" spans="2:2" ht="24.95" customHeight="1" x14ac:dyDescent="0.2">
      <c r="B3722" s="268"/>
    </row>
    <row r="3723" spans="2:2" ht="24.95" customHeight="1" x14ac:dyDescent="0.2">
      <c r="B3723" s="268"/>
    </row>
    <row r="3724" spans="2:2" ht="24.95" customHeight="1" x14ac:dyDescent="0.2">
      <c r="B3724" s="268"/>
    </row>
    <row r="3725" spans="2:2" ht="24.95" customHeight="1" x14ac:dyDescent="0.2">
      <c r="B3725" s="268"/>
    </row>
    <row r="3726" spans="2:2" ht="24.95" customHeight="1" x14ac:dyDescent="0.2">
      <c r="B3726" s="268"/>
    </row>
    <row r="3727" spans="2:2" ht="24.95" customHeight="1" x14ac:dyDescent="0.2">
      <c r="B3727" s="268"/>
    </row>
    <row r="3728" spans="2:2" ht="24.95" customHeight="1" x14ac:dyDescent="0.2">
      <c r="B3728" s="268"/>
    </row>
    <row r="3729" spans="2:2" ht="24.95" customHeight="1" x14ac:dyDescent="0.2">
      <c r="B3729" s="268"/>
    </row>
    <row r="3730" spans="2:2" ht="24.95" customHeight="1" x14ac:dyDescent="0.2">
      <c r="B3730" s="268"/>
    </row>
    <row r="3731" spans="2:2" ht="24.95" customHeight="1" x14ac:dyDescent="0.2">
      <c r="B3731" s="268"/>
    </row>
    <row r="3732" spans="2:2" ht="24.95" customHeight="1" x14ac:dyDescent="0.2">
      <c r="B3732" s="268"/>
    </row>
    <row r="3733" spans="2:2" ht="24.95" customHeight="1" x14ac:dyDescent="0.2">
      <c r="B3733" s="268"/>
    </row>
    <row r="3734" spans="2:2" ht="24.95" customHeight="1" x14ac:dyDescent="0.2">
      <c r="B3734" s="268"/>
    </row>
    <row r="3735" spans="2:2" ht="24.95" customHeight="1" x14ac:dyDescent="0.2">
      <c r="B3735" s="268"/>
    </row>
    <row r="3736" spans="2:2" ht="24.95" customHeight="1" x14ac:dyDescent="0.2">
      <c r="B3736" s="268"/>
    </row>
    <row r="3737" spans="2:2" ht="24.95" customHeight="1" x14ac:dyDescent="0.2">
      <c r="B3737" s="268"/>
    </row>
    <row r="3738" spans="2:2" ht="24.95" customHeight="1" x14ac:dyDescent="0.2">
      <c r="B3738" s="268"/>
    </row>
    <row r="3739" spans="2:2" ht="24.95" customHeight="1" x14ac:dyDescent="0.2">
      <c r="B3739" s="268"/>
    </row>
    <row r="3740" spans="2:2" ht="24.95" customHeight="1" x14ac:dyDescent="0.2">
      <c r="B3740" s="268"/>
    </row>
    <row r="3741" spans="2:2" ht="24.95" customHeight="1" x14ac:dyDescent="0.2">
      <c r="B3741" s="268"/>
    </row>
    <row r="3742" spans="2:2" ht="24.95" customHeight="1" x14ac:dyDescent="0.2">
      <c r="B3742" s="268"/>
    </row>
    <row r="3743" spans="2:2" ht="24.95" customHeight="1" x14ac:dyDescent="0.2">
      <c r="B3743" s="268"/>
    </row>
    <row r="3744" spans="2:2" ht="24.95" customHeight="1" x14ac:dyDescent="0.2">
      <c r="B3744" s="268"/>
    </row>
    <row r="3745" spans="2:2" ht="24.95" customHeight="1" x14ac:dyDescent="0.2">
      <c r="B3745" s="268"/>
    </row>
    <row r="3746" spans="2:2" ht="24.95" customHeight="1" x14ac:dyDescent="0.2">
      <c r="B3746" s="268"/>
    </row>
    <row r="3747" spans="2:2" ht="24.95" customHeight="1" x14ac:dyDescent="0.2">
      <c r="B3747" s="268"/>
    </row>
    <row r="3748" spans="2:2" ht="24.95" customHeight="1" x14ac:dyDescent="0.2">
      <c r="B3748" s="268"/>
    </row>
    <row r="3749" spans="2:2" ht="24.95" customHeight="1" x14ac:dyDescent="0.2">
      <c r="B3749" s="268"/>
    </row>
    <row r="3750" spans="2:2" ht="24.95" customHeight="1" x14ac:dyDescent="0.2">
      <c r="B3750" s="268"/>
    </row>
    <row r="3751" spans="2:2" ht="24.95" customHeight="1" x14ac:dyDescent="0.2">
      <c r="B3751" s="268"/>
    </row>
    <row r="3752" spans="2:2" ht="24.95" customHeight="1" x14ac:dyDescent="0.2">
      <c r="B3752" s="268"/>
    </row>
    <row r="3753" spans="2:2" ht="24.95" customHeight="1" x14ac:dyDescent="0.2">
      <c r="B3753" s="268"/>
    </row>
    <row r="3754" spans="2:2" ht="24.95" customHeight="1" x14ac:dyDescent="0.2">
      <c r="B3754" s="268"/>
    </row>
    <row r="3755" spans="2:2" ht="24.95" customHeight="1" x14ac:dyDescent="0.2">
      <c r="B3755" s="268"/>
    </row>
    <row r="3756" spans="2:2" ht="24.95" customHeight="1" x14ac:dyDescent="0.2">
      <c r="B3756" s="268"/>
    </row>
    <row r="3757" spans="2:2" ht="24.95" customHeight="1" x14ac:dyDescent="0.2">
      <c r="B3757" s="268"/>
    </row>
    <row r="3758" spans="2:2" ht="24.95" customHeight="1" x14ac:dyDescent="0.2">
      <c r="B3758" s="268"/>
    </row>
    <row r="3759" spans="2:2" ht="24.95" customHeight="1" x14ac:dyDescent="0.2">
      <c r="B3759" s="268"/>
    </row>
    <row r="3760" spans="2:2" ht="24.95" customHeight="1" x14ac:dyDescent="0.2">
      <c r="B3760" s="268"/>
    </row>
    <row r="3761" spans="2:2" ht="24.95" customHeight="1" x14ac:dyDescent="0.2">
      <c r="B3761" s="268"/>
    </row>
    <row r="3762" spans="2:2" ht="24.95" customHeight="1" x14ac:dyDescent="0.2">
      <c r="B3762" s="268"/>
    </row>
    <row r="3763" spans="2:2" ht="24.95" customHeight="1" x14ac:dyDescent="0.2">
      <c r="B3763" s="268"/>
    </row>
    <row r="3764" spans="2:2" ht="24.95" customHeight="1" x14ac:dyDescent="0.2">
      <c r="B3764" s="268"/>
    </row>
    <row r="3765" spans="2:2" ht="24.95" customHeight="1" x14ac:dyDescent="0.2">
      <c r="B3765" s="268"/>
    </row>
    <row r="3766" spans="2:2" ht="24.95" customHeight="1" x14ac:dyDescent="0.2">
      <c r="B3766" s="268"/>
    </row>
    <row r="3767" spans="2:2" ht="24.95" customHeight="1" x14ac:dyDescent="0.2">
      <c r="B3767" s="268"/>
    </row>
    <row r="3768" spans="2:2" ht="24.95" customHeight="1" x14ac:dyDescent="0.2">
      <c r="B3768" s="268"/>
    </row>
    <row r="3769" spans="2:2" ht="24.95" customHeight="1" x14ac:dyDescent="0.2">
      <c r="B3769" s="268"/>
    </row>
    <row r="3770" spans="2:2" ht="24.95" customHeight="1" x14ac:dyDescent="0.2">
      <c r="B3770" s="268"/>
    </row>
    <row r="3771" spans="2:2" ht="24.95" customHeight="1" x14ac:dyDescent="0.2">
      <c r="B3771" s="268"/>
    </row>
    <row r="3772" spans="2:2" ht="24.95" customHeight="1" x14ac:dyDescent="0.2">
      <c r="B3772" s="268"/>
    </row>
    <row r="3773" spans="2:2" ht="24.95" customHeight="1" x14ac:dyDescent="0.2">
      <c r="B3773" s="268"/>
    </row>
    <row r="3774" spans="2:2" ht="24.95" customHeight="1" x14ac:dyDescent="0.2">
      <c r="B3774" s="268"/>
    </row>
    <row r="3775" spans="2:2" ht="24.95" customHeight="1" x14ac:dyDescent="0.2">
      <c r="B3775" s="268"/>
    </row>
    <row r="3776" spans="2:2" ht="24.95" customHeight="1" x14ac:dyDescent="0.2">
      <c r="B3776" s="268"/>
    </row>
    <row r="3777" spans="2:2" ht="24.95" customHeight="1" x14ac:dyDescent="0.2">
      <c r="B3777" s="268"/>
    </row>
    <row r="3778" spans="2:2" ht="24.95" customHeight="1" x14ac:dyDescent="0.2">
      <c r="B3778" s="268"/>
    </row>
    <row r="3779" spans="2:2" ht="24.95" customHeight="1" x14ac:dyDescent="0.2">
      <c r="B3779" s="268"/>
    </row>
    <row r="3780" spans="2:2" ht="24.95" customHeight="1" x14ac:dyDescent="0.2">
      <c r="B3780" s="268"/>
    </row>
    <row r="3781" spans="2:2" ht="24.95" customHeight="1" x14ac:dyDescent="0.2">
      <c r="B3781" s="268"/>
    </row>
    <row r="3782" spans="2:2" ht="24.95" customHeight="1" x14ac:dyDescent="0.2">
      <c r="B3782" s="268"/>
    </row>
    <row r="3783" spans="2:2" ht="24.95" customHeight="1" x14ac:dyDescent="0.2">
      <c r="B3783" s="268"/>
    </row>
    <row r="3784" spans="2:2" ht="24.95" customHeight="1" x14ac:dyDescent="0.2">
      <c r="B3784" s="268"/>
    </row>
    <row r="3785" spans="2:2" ht="24.95" customHeight="1" x14ac:dyDescent="0.2">
      <c r="B3785" s="268"/>
    </row>
    <row r="3786" spans="2:2" ht="24.95" customHeight="1" x14ac:dyDescent="0.2">
      <c r="B3786" s="268"/>
    </row>
    <row r="3787" spans="2:2" ht="24.95" customHeight="1" x14ac:dyDescent="0.2">
      <c r="B3787" s="268"/>
    </row>
    <row r="3788" spans="2:2" ht="24.95" customHeight="1" x14ac:dyDescent="0.2">
      <c r="B3788" s="268"/>
    </row>
    <row r="3789" spans="2:2" ht="24.95" customHeight="1" x14ac:dyDescent="0.2">
      <c r="B3789" s="268"/>
    </row>
    <row r="3790" spans="2:2" ht="24.95" customHeight="1" x14ac:dyDescent="0.2">
      <c r="B3790" s="268"/>
    </row>
    <row r="3791" spans="2:2" ht="24.95" customHeight="1" x14ac:dyDescent="0.2">
      <c r="B3791" s="268"/>
    </row>
    <row r="3792" spans="2:2" ht="24.95" customHeight="1" x14ac:dyDescent="0.2">
      <c r="B3792" s="268"/>
    </row>
    <row r="3793" spans="2:2" ht="24.95" customHeight="1" x14ac:dyDescent="0.2">
      <c r="B3793" s="268"/>
    </row>
    <row r="3794" spans="2:2" ht="24.95" customHeight="1" x14ac:dyDescent="0.2">
      <c r="B3794" s="268"/>
    </row>
    <row r="3795" spans="2:2" ht="24.95" customHeight="1" x14ac:dyDescent="0.2">
      <c r="B3795" s="268"/>
    </row>
    <row r="3796" spans="2:2" ht="24.95" customHeight="1" x14ac:dyDescent="0.2">
      <c r="B3796" s="268"/>
    </row>
    <row r="3797" spans="2:2" ht="24.95" customHeight="1" x14ac:dyDescent="0.2">
      <c r="B3797" s="268"/>
    </row>
    <row r="3798" spans="2:2" ht="24.95" customHeight="1" x14ac:dyDescent="0.2">
      <c r="B3798" s="268"/>
    </row>
    <row r="3799" spans="2:2" ht="24.95" customHeight="1" x14ac:dyDescent="0.2">
      <c r="B3799" s="268"/>
    </row>
    <row r="3800" spans="2:2" ht="24.95" customHeight="1" x14ac:dyDescent="0.2">
      <c r="B3800" s="268"/>
    </row>
    <row r="3801" spans="2:2" ht="24.95" customHeight="1" x14ac:dyDescent="0.2">
      <c r="B3801" s="268"/>
    </row>
    <row r="3802" spans="2:2" ht="24.95" customHeight="1" x14ac:dyDescent="0.2">
      <c r="B3802" s="268"/>
    </row>
    <row r="3803" spans="2:2" ht="24.95" customHeight="1" x14ac:dyDescent="0.2">
      <c r="B3803" s="268"/>
    </row>
    <row r="3804" spans="2:2" ht="24.95" customHeight="1" x14ac:dyDescent="0.2">
      <c r="B3804" s="268"/>
    </row>
    <row r="3805" spans="2:2" ht="24.95" customHeight="1" x14ac:dyDescent="0.2">
      <c r="B3805" s="268"/>
    </row>
    <row r="3806" spans="2:2" ht="24.95" customHeight="1" x14ac:dyDescent="0.2">
      <c r="B3806" s="268"/>
    </row>
    <row r="3807" spans="2:2" ht="24.95" customHeight="1" x14ac:dyDescent="0.2">
      <c r="B3807" s="268"/>
    </row>
    <row r="3808" spans="2:2" ht="24.95" customHeight="1" x14ac:dyDescent="0.2">
      <c r="B3808" s="268"/>
    </row>
    <row r="3809" spans="2:2" ht="24.95" customHeight="1" x14ac:dyDescent="0.2">
      <c r="B3809" s="268"/>
    </row>
    <row r="3810" spans="2:2" ht="24.95" customHeight="1" x14ac:dyDescent="0.2">
      <c r="B3810" s="268"/>
    </row>
    <row r="3811" spans="2:2" ht="24.95" customHeight="1" x14ac:dyDescent="0.2">
      <c r="B3811" s="268"/>
    </row>
    <row r="3812" spans="2:2" ht="24.95" customHeight="1" x14ac:dyDescent="0.2">
      <c r="B3812" s="268"/>
    </row>
    <row r="3813" spans="2:2" ht="24.95" customHeight="1" x14ac:dyDescent="0.2">
      <c r="B3813" s="268"/>
    </row>
    <row r="3814" spans="2:2" ht="24.95" customHeight="1" x14ac:dyDescent="0.2">
      <c r="B3814" s="268"/>
    </row>
    <row r="3815" spans="2:2" ht="24.95" customHeight="1" x14ac:dyDescent="0.2">
      <c r="B3815" s="268"/>
    </row>
    <row r="3816" spans="2:2" ht="24.95" customHeight="1" x14ac:dyDescent="0.2">
      <c r="B3816" s="268"/>
    </row>
    <row r="3817" spans="2:2" ht="24.95" customHeight="1" x14ac:dyDescent="0.2">
      <c r="B3817" s="268"/>
    </row>
    <row r="3818" spans="2:2" ht="24.95" customHeight="1" x14ac:dyDescent="0.2">
      <c r="B3818" s="268"/>
    </row>
    <row r="3819" spans="2:2" ht="24.95" customHeight="1" x14ac:dyDescent="0.2">
      <c r="B3819" s="268"/>
    </row>
    <row r="3820" spans="2:2" ht="24.95" customHeight="1" x14ac:dyDescent="0.2">
      <c r="B3820" s="268"/>
    </row>
    <row r="3821" spans="2:2" ht="24.95" customHeight="1" x14ac:dyDescent="0.2">
      <c r="B3821" s="268"/>
    </row>
    <row r="3822" spans="2:2" ht="24.95" customHeight="1" x14ac:dyDescent="0.2">
      <c r="B3822" s="268"/>
    </row>
    <row r="3823" spans="2:2" ht="24.95" customHeight="1" x14ac:dyDescent="0.2">
      <c r="B3823" s="268"/>
    </row>
    <row r="3824" spans="2:2" ht="24.95" customHeight="1" x14ac:dyDescent="0.2">
      <c r="B3824" s="268"/>
    </row>
    <row r="3825" spans="2:2" ht="24.95" customHeight="1" x14ac:dyDescent="0.2">
      <c r="B3825" s="268"/>
    </row>
    <row r="3826" spans="2:2" ht="24.95" customHeight="1" x14ac:dyDescent="0.2">
      <c r="B3826" s="268"/>
    </row>
    <row r="3827" spans="2:2" ht="24.95" customHeight="1" x14ac:dyDescent="0.2">
      <c r="B3827" s="268"/>
    </row>
    <row r="3828" spans="2:2" ht="24.95" customHeight="1" x14ac:dyDescent="0.2">
      <c r="B3828" s="268"/>
    </row>
    <row r="3829" spans="2:2" ht="24.95" customHeight="1" x14ac:dyDescent="0.2">
      <c r="B3829" s="268"/>
    </row>
    <row r="3830" spans="2:2" ht="24.95" customHeight="1" x14ac:dyDescent="0.2">
      <c r="B3830" s="268"/>
    </row>
    <row r="3831" spans="2:2" ht="24.95" customHeight="1" x14ac:dyDescent="0.2">
      <c r="B3831" s="268"/>
    </row>
    <row r="3832" spans="2:2" ht="24.95" customHeight="1" x14ac:dyDescent="0.2">
      <c r="B3832" s="268"/>
    </row>
    <row r="3833" spans="2:2" ht="24.95" customHeight="1" x14ac:dyDescent="0.2">
      <c r="B3833" s="268"/>
    </row>
    <row r="3834" spans="2:2" ht="24.95" customHeight="1" x14ac:dyDescent="0.2">
      <c r="B3834" s="268"/>
    </row>
    <row r="3835" spans="2:2" ht="24.95" customHeight="1" x14ac:dyDescent="0.2">
      <c r="B3835" s="268"/>
    </row>
    <row r="3836" spans="2:2" ht="24.95" customHeight="1" x14ac:dyDescent="0.2">
      <c r="B3836" s="268"/>
    </row>
    <row r="3837" spans="2:2" ht="24.95" customHeight="1" x14ac:dyDescent="0.2">
      <c r="B3837" s="268"/>
    </row>
    <row r="3838" spans="2:2" ht="24.95" customHeight="1" x14ac:dyDescent="0.2">
      <c r="B3838" s="268"/>
    </row>
    <row r="3839" spans="2:2" ht="24.95" customHeight="1" x14ac:dyDescent="0.2">
      <c r="B3839" s="268"/>
    </row>
    <row r="3840" spans="2:2" ht="24.95" customHeight="1" x14ac:dyDescent="0.2">
      <c r="B3840" s="268"/>
    </row>
    <row r="3841" spans="2:2" ht="24.95" customHeight="1" x14ac:dyDescent="0.2">
      <c r="B3841" s="268"/>
    </row>
    <row r="3842" spans="2:2" ht="24.95" customHeight="1" x14ac:dyDescent="0.2">
      <c r="B3842" s="268"/>
    </row>
    <row r="3843" spans="2:2" ht="24.95" customHeight="1" x14ac:dyDescent="0.2">
      <c r="B3843" s="268"/>
    </row>
    <row r="3844" spans="2:2" ht="24.95" customHeight="1" x14ac:dyDescent="0.2">
      <c r="B3844" s="268"/>
    </row>
    <row r="3845" spans="2:2" ht="24.95" customHeight="1" x14ac:dyDescent="0.2">
      <c r="B3845" s="268"/>
    </row>
    <row r="3846" spans="2:2" ht="24.95" customHeight="1" x14ac:dyDescent="0.2">
      <c r="B3846" s="268"/>
    </row>
    <row r="3847" spans="2:2" ht="24.95" customHeight="1" x14ac:dyDescent="0.2">
      <c r="B3847" s="268"/>
    </row>
    <row r="3848" spans="2:2" ht="24.95" customHeight="1" x14ac:dyDescent="0.2">
      <c r="B3848" s="268"/>
    </row>
    <row r="3849" spans="2:2" ht="24.95" customHeight="1" x14ac:dyDescent="0.2">
      <c r="B3849" s="268"/>
    </row>
    <row r="3850" spans="2:2" ht="24.95" customHeight="1" x14ac:dyDescent="0.2">
      <c r="B3850" s="268"/>
    </row>
    <row r="3851" spans="2:2" ht="24.95" customHeight="1" x14ac:dyDescent="0.2">
      <c r="B3851" s="268"/>
    </row>
    <row r="3852" spans="2:2" ht="24.95" customHeight="1" x14ac:dyDescent="0.2">
      <c r="B3852" s="268"/>
    </row>
    <row r="3853" spans="2:2" ht="24.95" customHeight="1" x14ac:dyDescent="0.2">
      <c r="B3853" s="268"/>
    </row>
    <row r="3854" spans="2:2" ht="24.95" customHeight="1" x14ac:dyDescent="0.2">
      <c r="B3854" s="268"/>
    </row>
    <row r="3855" spans="2:2" ht="24.95" customHeight="1" x14ac:dyDescent="0.2">
      <c r="B3855" s="268"/>
    </row>
    <row r="3856" spans="2:2" ht="24.95" customHeight="1" x14ac:dyDescent="0.2">
      <c r="B3856" s="268"/>
    </row>
    <row r="3857" spans="2:2" ht="24.95" customHeight="1" x14ac:dyDescent="0.2">
      <c r="B3857" s="268"/>
    </row>
    <row r="3858" spans="2:2" ht="24.95" customHeight="1" x14ac:dyDescent="0.2">
      <c r="B3858" s="268"/>
    </row>
    <row r="3859" spans="2:2" ht="24.95" customHeight="1" x14ac:dyDescent="0.2">
      <c r="B3859" s="268"/>
    </row>
    <row r="3860" spans="2:2" ht="24.95" customHeight="1" x14ac:dyDescent="0.2">
      <c r="B3860" s="268"/>
    </row>
    <row r="3861" spans="2:2" ht="24.95" customHeight="1" x14ac:dyDescent="0.2">
      <c r="B3861" s="268"/>
    </row>
    <row r="3862" spans="2:2" ht="24.95" customHeight="1" x14ac:dyDescent="0.2">
      <c r="B3862" s="268"/>
    </row>
    <row r="3863" spans="2:2" ht="24.95" customHeight="1" x14ac:dyDescent="0.2">
      <c r="B3863" s="268"/>
    </row>
    <row r="3864" spans="2:2" ht="24.95" customHeight="1" x14ac:dyDescent="0.2">
      <c r="B3864" s="268"/>
    </row>
    <row r="3865" spans="2:2" ht="24.95" customHeight="1" x14ac:dyDescent="0.2">
      <c r="B3865" s="268"/>
    </row>
    <row r="3866" spans="2:2" ht="24.95" customHeight="1" x14ac:dyDescent="0.2">
      <c r="B3866" s="268"/>
    </row>
    <row r="3867" spans="2:2" ht="24.95" customHeight="1" x14ac:dyDescent="0.2">
      <c r="B3867" s="268"/>
    </row>
    <row r="3868" spans="2:2" ht="24.95" customHeight="1" x14ac:dyDescent="0.2">
      <c r="B3868" s="268"/>
    </row>
    <row r="3869" spans="2:2" ht="24.95" customHeight="1" x14ac:dyDescent="0.2">
      <c r="B3869" s="268"/>
    </row>
    <row r="3870" spans="2:2" ht="24.95" customHeight="1" x14ac:dyDescent="0.2">
      <c r="B3870" s="268"/>
    </row>
    <row r="3871" spans="2:2" ht="24.95" customHeight="1" x14ac:dyDescent="0.2">
      <c r="B3871" s="268"/>
    </row>
    <row r="3872" spans="2:2" ht="24.95" customHeight="1" x14ac:dyDescent="0.2">
      <c r="B3872" s="268"/>
    </row>
    <row r="3873" spans="2:2" ht="24.95" customHeight="1" x14ac:dyDescent="0.2">
      <c r="B3873" s="268"/>
    </row>
    <row r="3874" spans="2:2" ht="24.95" customHeight="1" x14ac:dyDescent="0.2">
      <c r="B3874" s="268"/>
    </row>
    <row r="3875" spans="2:2" ht="24.95" customHeight="1" x14ac:dyDescent="0.2">
      <c r="B3875" s="268"/>
    </row>
    <row r="3876" spans="2:2" ht="24.95" customHeight="1" x14ac:dyDescent="0.2">
      <c r="B3876" s="268"/>
    </row>
    <row r="3877" spans="2:2" ht="24.95" customHeight="1" x14ac:dyDescent="0.2">
      <c r="B3877" s="268"/>
    </row>
    <row r="3878" spans="2:2" ht="24.95" customHeight="1" x14ac:dyDescent="0.2">
      <c r="B3878" s="268"/>
    </row>
    <row r="3879" spans="2:2" ht="24.95" customHeight="1" x14ac:dyDescent="0.2">
      <c r="B3879" s="268"/>
    </row>
    <row r="3880" spans="2:2" ht="24.95" customHeight="1" x14ac:dyDescent="0.2">
      <c r="B3880" s="268"/>
    </row>
    <row r="3881" spans="2:2" ht="24.95" customHeight="1" x14ac:dyDescent="0.2">
      <c r="B3881" s="268"/>
    </row>
    <row r="3882" spans="2:2" ht="24.95" customHeight="1" x14ac:dyDescent="0.2">
      <c r="B3882" s="268"/>
    </row>
    <row r="3883" spans="2:2" ht="24.95" customHeight="1" x14ac:dyDescent="0.2">
      <c r="B3883" s="268"/>
    </row>
    <row r="3884" spans="2:2" ht="24.95" customHeight="1" x14ac:dyDescent="0.2">
      <c r="B3884" s="268"/>
    </row>
    <row r="3885" spans="2:2" ht="24.95" customHeight="1" x14ac:dyDescent="0.2">
      <c r="B3885" s="268"/>
    </row>
    <row r="3886" spans="2:2" ht="24.95" customHeight="1" x14ac:dyDescent="0.2">
      <c r="B3886" s="268"/>
    </row>
    <row r="3887" spans="2:2" ht="24.95" customHeight="1" x14ac:dyDescent="0.2">
      <c r="B3887" s="268"/>
    </row>
    <row r="3888" spans="2:2" ht="24.95" customHeight="1" x14ac:dyDescent="0.2">
      <c r="B3888" s="268"/>
    </row>
    <row r="3889" spans="2:2" ht="24.95" customHeight="1" x14ac:dyDescent="0.2">
      <c r="B3889" s="268"/>
    </row>
    <row r="3890" spans="2:2" ht="24.95" customHeight="1" x14ac:dyDescent="0.2">
      <c r="B3890" s="268"/>
    </row>
    <row r="3891" spans="2:2" ht="24.95" customHeight="1" x14ac:dyDescent="0.2">
      <c r="B3891" s="268"/>
    </row>
    <row r="3892" spans="2:2" ht="24.95" customHeight="1" x14ac:dyDescent="0.2">
      <c r="B3892" s="268"/>
    </row>
    <row r="3893" spans="2:2" ht="24.95" customHeight="1" x14ac:dyDescent="0.2">
      <c r="B3893" s="268"/>
    </row>
    <row r="3894" spans="2:2" ht="24.95" customHeight="1" x14ac:dyDescent="0.2">
      <c r="B3894" s="268"/>
    </row>
    <row r="3895" spans="2:2" ht="24.95" customHeight="1" x14ac:dyDescent="0.2">
      <c r="B3895" s="268"/>
    </row>
    <row r="3896" spans="2:2" ht="24.95" customHeight="1" x14ac:dyDescent="0.2">
      <c r="B3896" s="268"/>
    </row>
    <row r="3897" spans="2:2" ht="24.95" customHeight="1" x14ac:dyDescent="0.2">
      <c r="B3897" s="268"/>
    </row>
    <row r="3898" spans="2:2" ht="24.95" customHeight="1" x14ac:dyDescent="0.2">
      <c r="B3898" s="268"/>
    </row>
    <row r="3899" spans="2:2" ht="24.95" customHeight="1" x14ac:dyDescent="0.2">
      <c r="B3899" s="268"/>
    </row>
    <row r="3900" spans="2:2" ht="24.95" customHeight="1" x14ac:dyDescent="0.2">
      <c r="B3900" s="268"/>
    </row>
    <row r="3901" spans="2:2" ht="24.95" customHeight="1" x14ac:dyDescent="0.2">
      <c r="B3901" s="268"/>
    </row>
    <row r="3902" spans="2:2" ht="24.95" customHeight="1" x14ac:dyDescent="0.2">
      <c r="B3902" s="268"/>
    </row>
    <row r="3903" spans="2:2" ht="24.95" customHeight="1" x14ac:dyDescent="0.2">
      <c r="B3903" s="268"/>
    </row>
    <row r="3904" spans="2:2" ht="24.95" customHeight="1" x14ac:dyDescent="0.2">
      <c r="B3904" s="268"/>
    </row>
    <row r="3905" spans="2:2" ht="24.95" customHeight="1" x14ac:dyDescent="0.2">
      <c r="B3905" s="268"/>
    </row>
    <row r="3906" spans="2:2" ht="24.95" customHeight="1" x14ac:dyDescent="0.2">
      <c r="B3906" s="268"/>
    </row>
    <row r="3907" spans="2:2" ht="24.95" customHeight="1" x14ac:dyDescent="0.2">
      <c r="B3907" s="268"/>
    </row>
    <row r="3908" spans="2:2" ht="24.95" customHeight="1" x14ac:dyDescent="0.2">
      <c r="B3908" s="268"/>
    </row>
    <row r="3909" spans="2:2" ht="24.95" customHeight="1" x14ac:dyDescent="0.2">
      <c r="B3909" s="268"/>
    </row>
    <row r="3910" spans="2:2" ht="24.95" customHeight="1" x14ac:dyDescent="0.2">
      <c r="B3910" s="268"/>
    </row>
    <row r="3911" spans="2:2" ht="24.95" customHeight="1" x14ac:dyDescent="0.2">
      <c r="B3911" s="268"/>
    </row>
    <row r="3912" spans="2:2" ht="24.95" customHeight="1" x14ac:dyDescent="0.2">
      <c r="B3912" s="268"/>
    </row>
    <row r="3913" spans="2:2" ht="24.95" customHeight="1" x14ac:dyDescent="0.2">
      <c r="B3913" s="268"/>
    </row>
    <row r="3914" spans="2:2" ht="24.95" customHeight="1" x14ac:dyDescent="0.2">
      <c r="B3914" s="268"/>
    </row>
    <row r="3915" spans="2:2" ht="24.95" customHeight="1" x14ac:dyDescent="0.2">
      <c r="B3915" s="268"/>
    </row>
    <row r="3916" spans="2:2" ht="24.95" customHeight="1" x14ac:dyDescent="0.2">
      <c r="B3916" s="268"/>
    </row>
    <row r="3917" spans="2:2" ht="24.95" customHeight="1" x14ac:dyDescent="0.2">
      <c r="B3917" s="268"/>
    </row>
    <row r="3918" spans="2:2" ht="24.95" customHeight="1" x14ac:dyDescent="0.2">
      <c r="B3918" s="268"/>
    </row>
    <row r="3919" spans="2:2" ht="24.95" customHeight="1" x14ac:dyDescent="0.2">
      <c r="B3919" s="268"/>
    </row>
    <row r="3920" spans="2:2" ht="24.95" customHeight="1" x14ac:dyDescent="0.2">
      <c r="B3920" s="268"/>
    </row>
    <row r="3921" spans="2:2" ht="24.95" customHeight="1" x14ac:dyDescent="0.2">
      <c r="B3921" s="268"/>
    </row>
    <row r="3922" spans="2:2" ht="24.95" customHeight="1" x14ac:dyDescent="0.2">
      <c r="B3922" s="268"/>
    </row>
    <row r="3923" spans="2:2" ht="24.95" customHeight="1" x14ac:dyDescent="0.2">
      <c r="B3923" s="268"/>
    </row>
    <row r="3924" spans="2:2" ht="24.95" customHeight="1" x14ac:dyDescent="0.2">
      <c r="B3924" s="268"/>
    </row>
    <row r="3925" spans="2:2" ht="24.95" customHeight="1" x14ac:dyDescent="0.2">
      <c r="B3925" s="268"/>
    </row>
    <row r="3926" spans="2:2" ht="24.95" customHeight="1" x14ac:dyDescent="0.2">
      <c r="B3926" s="268"/>
    </row>
    <row r="3927" spans="2:2" ht="24.95" customHeight="1" x14ac:dyDescent="0.2">
      <c r="B3927" s="268"/>
    </row>
    <row r="3928" spans="2:2" ht="24.95" customHeight="1" x14ac:dyDescent="0.2">
      <c r="B3928" s="268"/>
    </row>
    <row r="3929" spans="2:2" ht="24.95" customHeight="1" x14ac:dyDescent="0.2">
      <c r="B3929" s="268"/>
    </row>
    <row r="3930" spans="2:2" ht="24.95" customHeight="1" x14ac:dyDescent="0.2">
      <c r="B3930" s="268"/>
    </row>
    <row r="3931" spans="2:2" ht="24.95" customHeight="1" x14ac:dyDescent="0.2">
      <c r="B3931" s="268"/>
    </row>
    <row r="3932" spans="2:2" ht="24.95" customHeight="1" x14ac:dyDescent="0.2">
      <c r="B3932" s="268"/>
    </row>
    <row r="3933" spans="2:2" ht="24.95" customHeight="1" x14ac:dyDescent="0.2">
      <c r="B3933" s="268"/>
    </row>
    <row r="3934" spans="2:2" ht="24.95" customHeight="1" x14ac:dyDescent="0.2">
      <c r="B3934" s="268"/>
    </row>
    <row r="3935" spans="2:2" ht="24.95" customHeight="1" x14ac:dyDescent="0.2">
      <c r="B3935" s="268"/>
    </row>
    <row r="3936" spans="2:2" ht="24.95" customHeight="1" x14ac:dyDescent="0.2">
      <c r="B3936" s="268"/>
    </row>
    <row r="3937" spans="2:2" ht="24.95" customHeight="1" x14ac:dyDescent="0.2">
      <c r="B3937" s="268"/>
    </row>
    <row r="3938" spans="2:2" ht="24.95" customHeight="1" x14ac:dyDescent="0.2">
      <c r="B3938" s="268"/>
    </row>
    <row r="3939" spans="2:2" ht="24.95" customHeight="1" x14ac:dyDescent="0.2">
      <c r="B3939" s="268"/>
    </row>
    <row r="3940" spans="2:2" ht="24.95" customHeight="1" x14ac:dyDescent="0.2">
      <c r="B3940" s="268"/>
    </row>
    <row r="3941" spans="2:2" ht="24.95" customHeight="1" x14ac:dyDescent="0.2">
      <c r="B3941" s="268"/>
    </row>
    <row r="3942" spans="2:2" ht="24.95" customHeight="1" x14ac:dyDescent="0.2">
      <c r="B3942" s="268"/>
    </row>
    <row r="3943" spans="2:2" ht="24.95" customHeight="1" x14ac:dyDescent="0.2">
      <c r="B3943" s="268"/>
    </row>
    <row r="3944" spans="2:2" ht="24.95" customHeight="1" x14ac:dyDescent="0.2">
      <c r="B3944" s="268"/>
    </row>
    <row r="3945" spans="2:2" ht="24.95" customHeight="1" x14ac:dyDescent="0.2">
      <c r="B3945" s="268"/>
    </row>
    <row r="3946" spans="2:2" ht="24.95" customHeight="1" x14ac:dyDescent="0.2">
      <c r="B3946" s="268"/>
    </row>
    <row r="3947" spans="2:2" ht="24.95" customHeight="1" x14ac:dyDescent="0.2">
      <c r="B3947" s="268"/>
    </row>
    <row r="3948" spans="2:2" ht="24.95" customHeight="1" x14ac:dyDescent="0.2">
      <c r="B3948" s="268"/>
    </row>
    <row r="3949" spans="2:2" ht="24.95" customHeight="1" x14ac:dyDescent="0.2">
      <c r="B3949" s="268"/>
    </row>
    <row r="3950" spans="2:2" ht="24.95" customHeight="1" x14ac:dyDescent="0.2">
      <c r="B3950" s="268"/>
    </row>
    <row r="3951" spans="2:2" ht="24.95" customHeight="1" x14ac:dyDescent="0.2">
      <c r="B3951" s="268"/>
    </row>
    <row r="3952" spans="2:2" ht="24.95" customHeight="1" x14ac:dyDescent="0.2">
      <c r="B3952" s="268"/>
    </row>
    <row r="3953" spans="2:2" ht="24.95" customHeight="1" x14ac:dyDescent="0.2">
      <c r="B3953" s="268"/>
    </row>
    <row r="3954" spans="2:2" ht="24.95" customHeight="1" x14ac:dyDescent="0.2">
      <c r="B3954" s="268"/>
    </row>
    <row r="3955" spans="2:2" ht="24.95" customHeight="1" x14ac:dyDescent="0.2">
      <c r="B3955" s="268"/>
    </row>
    <row r="3956" spans="2:2" ht="24.95" customHeight="1" x14ac:dyDescent="0.2">
      <c r="B3956" s="268"/>
    </row>
    <row r="3957" spans="2:2" ht="24.95" customHeight="1" x14ac:dyDescent="0.2">
      <c r="B3957" s="268"/>
    </row>
    <row r="3958" spans="2:2" ht="24.95" customHeight="1" x14ac:dyDescent="0.2">
      <c r="B3958" s="268"/>
    </row>
    <row r="3959" spans="2:2" ht="24.95" customHeight="1" x14ac:dyDescent="0.2">
      <c r="B3959" s="268"/>
    </row>
    <row r="3960" spans="2:2" ht="24.95" customHeight="1" x14ac:dyDescent="0.2">
      <c r="B3960" s="268"/>
    </row>
    <row r="3961" spans="2:2" ht="24.95" customHeight="1" x14ac:dyDescent="0.2">
      <c r="B3961" s="268"/>
    </row>
    <row r="3962" spans="2:2" ht="24.95" customHeight="1" x14ac:dyDescent="0.2">
      <c r="B3962" s="268"/>
    </row>
    <row r="3963" spans="2:2" ht="24.95" customHeight="1" x14ac:dyDescent="0.2">
      <c r="B3963" s="268"/>
    </row>
    <row r="3964" spans="2:2" ht="24.95" customHeight="1" x14ac:dyDescent="0.2">
      <c r="B3964" s="268"/>
    </row>
    <row r="3965" spans="2:2" ht="24.95" customHeight="1" x14ac:dyDescent="0.2">
      <c r="B3965" s="268"/>
    </row>
    <row r="3966" spans="2:2" ht="24.95" customHeight="1" x14ac:dyDescent="0.2">
      <c r="B3966" s="268"/>
    </row>
    <row r="3967" spans="2:2" ht="24.95" customHeight="1" x14ac:dyDescent="0.2">
      <c r="B3967" s="268"/>
    </row>
    <row r="3968" spans="2:2" ht="24.95" customHeight="1" x14ac:dyDescent="0.2">
      <c r="B3968" s="268"/>
    </row>
    <row r="3969" spans="2:2" ht="24.95" customHeight="1" x14ac:dyDescent="0.2">
      <c r="B3969" s="268"/>
    </row>
    <row r="3970" spans="2:2" ht="24.95" customHeight="1" x14ac:dyDescent="0.2">
      <c r="B3970" s="268"/>
    </row>
    <row r="3971" spans="2:2" ht="24.95" customHeight="1" x14ac:dyDescent="0.2">
      <c r="B3971" s="268"/>
    </row>
    <row r="3972" spans="2:2" ht="24.95" customHeight="1" x14ac:dyDescent="0.2">
      <c r="B3972" s="268"/>
    </row>
    <row r="3973" spans="2:2" ht="24.95" customHeight="1" x14ac:dyDescent="0.2">
      <c r="B3973" s="268"/>
    </row>
    <row r="3974" spans="2:2" ht="24.95" customHeight="1" x14ac:dyDescent="0.2">
      <c r="B3974" s="268"/>
    </row>
    <row r="3975" spans="2:2" ht="24.95" customHeight="1" x14ac:dyDescent="0.2">
      <c r="B3975" s="268"/>
    </row>
    <row r="3976" spans="2:2" ht="24.95" customHeight="1" x14ac:dyDescent="0.2">
      <c r="B3976" s="268"/>
    </row>
    <row r="3977" spans="2:2" ht="24.95" customHeight="1" x14ac:dyDescent="0.2">
      <c r="B3977" s="268"/>
    </row>
    <row r="3978" spans="2:2" ht="24.95" customHeight="1" x14ac:dyDescent="0.2">
      <c r="B3978" s="268"/>
    </row>
    <row r="65536" spans="256:256" ht="24.95" customHeight="1" x14ac:dyDescent="0.2">
      <c r="IV65536" s="282"/>
    </row>
  </sheetData>
  <sheetProtection sheet="1" scenarios="1"/>
  <mergeCells count="2">
    <mergeCell ref="I5:M5"/>
    <mergeCell ref="I6:M6"/>
  </mergeCells>
  <pageMargins left="0.75" right="0.75" top="1" bottom="1" header="0.5" footer="0.5"/>
  <pageSetup paperSize="9" scale="70" orientation="landscape"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2:O114"/>
  <sheetViews>
    <sheetView showGridLines="0" topLeftCell="A4" zoomScale="75" zoomScaleNormal="75" workbookViewId="0">
      <pane ySplit="5" topLeftCell="A9" activePane="bottomLeft" state="frozenSplit"/>
      <selection activeCell="A4" sqref="A4"/>
      <selection pane="bottomLeft" activeCell="D13" sqref="D13"/>
    </sheetView>
  </sheetViews>
  <sheetFormatPr defaultRowHeight="15" x14ac:dyDescent="0.25"/>
  <cols>
    <col min="1" max="1" width="3.42578125" customWidth="1"/>
    <col min="2" max="2" width="17.7109375" customWidth="1"/>
    <col min="3" max="3" width="19.140625" customWidth="1"/>
    <col min="4" max="4" width="56" customWidth="1"/>
    <col min="5" max="5" width="14.85546875" bestFit="1" customWidth="1"/>
    <col min="6" max="6" width="24.7109375" customWidth="1"/>
    <col min="7" max="7" width="24.85546875" customWidth="1"/>
    <col min="8" max="8" width="18.5703125" customWidth="1"/>
    <col min="9" max="9" width="37.140625" customWidth="1"/>
    <col min="10" max="10" width="36" bestFit="1" customWidth="1"/>
    <col min="11" max="11" width="28" customWidth="1"/>
    <col min="12" max="12" width="23.42578125" customWidth="1"/>
    <col min="13" max="13" width="50.5703125" customWidth="1"/>
    <col min="14" max="14" width="16" customWidth="1"/>
    <col min="15" max="15" width="15.140625" customWidth="1"/>
    <col min="16" max="16" width="3.42578125" customWidth="1"/>
  </cols>
  <sheetData>
    <row r="2" spans="2:15" x14ac:dyDescent="0.25">
      <c r="B2" s="361" t="s">
        <v>310</v>
      </c>
      <c r="C2" s="362" t="s">
        <v>1125</v>
      </c>
    </row>
    <row r="3" spans="2:15" x14ac:dyDescent="0.25">
      <c r="B3" s="360" t="s">
        <v>311</v>
      </c>
      <c r="C3" s="362">
        <v>100</v>
      </c>
    </row>
    <row r="5" spans="2:15" x14ac:dyDescent="0.25">
      <c r="B5" s="361" t="s">
        <v>314</v>
      </c>
      <c r="C5" s="362" t="s">
        <v>411</v>
      </c>
    </row>
    <row r="7" spans="2:15" ht="21.95" customHeight="1" x14ac:dyDescent="0.25">
      <c r="C7" s="415" t="s">
        <v>405</v>
      </c>
      <c r="D7" s="416"/>
      <c r="E7" s="416"/>
      <c r="F7" s="416"/>
      <c r="G7" s="416"/>
      <c r="H7" s="416"/>
      <c r="I7" s="416"/>
      <c r="J7" s="416"/>
      <c r="K7" s="416"/>
      <c r="L7" s="416"/>
      <c r="M7" s="416"/>
      <c r="N7" s="416"/>
      <c r="O7" s="417"/>
    </row>
    <row r="8" spans="2:15" ht="45.75" thickBot="1" x14ac:dyDescent="0.3">
      <c r="B8" s="363" t="s">
        <v>216</v>
      </c>
      <c r="C8" s="382" t="s">
        <v>1126</v>
      </c>
      <c r="D8" s="382" t="s">
        <v>412</v>
      </c>
      <c r="E8" s="382" t="s">
        <v>413</v>
      </c>
      <c r="F8" s="382" t="s">
        <v>1127</v>
      </c>
      <c r="G8" s="382" t="s">
        <v>1128</v>
      </c>
      <c r="H8" s="382" t="s">
        <v>1129</v>
      </c>
      <c r="I8" s="382" t="s">
        <v>1130</v>
      </c>
      <c r="J8" s="382" t="s">
        <v>414</v>
      </c>
      <c r="K8" s="382" t="s">
        <v>1131</v>
      </c>
      <c r="L8" s="382" t="s">
        <v>1132</v>
      </c>
      <c r="M8" s="382" t="s">
        <v>1133</v>
      </c>
      <c r="N8" s="382" t="s">
        <v>1134</v>
      </c>
      <c r="O8" s="382" t="s">
        <v>1135</v>
      </c>
    </row>
    <row r="9" spans="2:15" ht="15.75" thickTop="1" x14ac:dyDescent="0.25">
      <c r="B9" s="368" t="s">
        <v>315</v>
      </c>
      <c r="C9" s="371" t="s">
        <v>415</v>
      </c>
      <c r="D9" s="364" t="s">
        <v>416</v>
      </c>
      <c r="E9" s="383">
        <v>41596</v>
      </c>
      <c r="F9" s="364" t="s">
        <v>417</v>
      </c>
      <c r="G9" s="364" t="s">
        <v>418</v>
      </c>
      <c r="H9" s="364"/>
      <c r="I9" s="364" t="s">
        <v>419</v>
      </c>
      <c r="J9" s="364" t="s">
        <v>423</v>
      </c>
      <c r="K9" s="364"/>
      <c r="L9" s="364" t="s">
        <v>420</v>
      </c>
      <c r="M9" s="364" t="s">
        <v>421</v>
      </c>
      <c r="N9" s="364" t="s">
        <v>195</v>
      </c>
      <c r="O9" s="375" t="s">
        <v>422</v>
      </c>
    </row>
    <row r="10" spans="2:15" x14ac:dyDescent="0.25">
      <c r="B10" s="369" t="s">
        <v>316</v>
      </c>
      <c r="C10" s="372" t="s">
        <v>415</v>
      </c>
      <c r="D10" s="365" t="s">
        <v>424</v>
      </c>
      <c r="E10" s="384">
        <v>41153</v>
      </c>
      <c r="F10" s="365" t="s">
        <v>425</v>
      </c>
      <c r="G10" s="365" t="s">
        <v>426</v>
      </c>
      <c r="H10" s="365" t="s">
        <v>425</v>
      </c>
      <c r="I10" s="365" t="s">
        <v>427</v>
      </c>
      <c r="J10" s="365" t="s">
        <v>430</v>
      </c>
      <c r="K10" s="365"/>
      <c r="L10" s="365" t="s">
        <v>428</v>
      </c>
      <c r="M10" s="365" t="s">
        <v>429</v>
      </c>
      <c r="N10" s="365" t="s">
        <v>195</v>
      </c>
      <c r="O10" s="376" t="s">
        <v>422</v>
      </c>
    </row>
    <row r="11" spans="2:15" x14ac:dyDescent="0.25">
      <c r="B11" s="369" t="s">
        <v>317</v>
      </c>
      <c r="C11" s="373" t="s">
        <v>431</v>
      </c>
      <c r="D11" s="366" t="s">
        <v>432</v>
      </c>
      <c r="E11" s="385">
        <v>43019</v>
      </c>
      <c r="F11" s="366" t="s">
        <v>433</v>
      </c>
      <c r="G11" s="366" t="s">
        <v>434</v>
      </c>
      <c r="H11" s="366" t="s">
        <v>433</v>
      </c>
      <c r="I11" s="366" t="s">
        <v>435</v>
      </c>
      <c r="J11" s="366" t="s">
        <v>438</v>
      </c>
      <c r="K11" s="366"/>
      <c r="L11" s="366" t="s">
        <v>436</v>
      </c>
      <c r="M11" s="366" t="s">
        <v>437</v>
      </c>
      <c r="N11" s="366" t="s">
        <v>195</v>
      </c>
      <c r="O11" s="377" t="s">
        <v>422</v>
      </c>
    </row>
    <row r="12" spans="2:15" x14ac:dyDescent="0.25">
      <c r="B12" s="369" t="s">
        <v>318</v>
      </c>
      <c r="C12" s="372" t="s">
        <v>439</v>
      </c>
      <c r="D12" s="365" t="s">
        <v>440</v>
      </c>
      <c r="E12" s="384">
        <v>41183</v>
      </c>
      <c r="F12" s="365" t="s">
        <v>441</v>
      </c>
      <c r="G12" s="365" t="s">
        <v>442</v>
      </c>
      <c r="H12" s="365" t="s">
        <v>443</v>
      </c>
      <c r="I12" s="365" t="s">
        <v>444</v>
      </c>
      <c r="J12" s="365" t="s">
        <v>447</v>
      </c>
      <c r="K12" s="365"/>
      <c r="L12" s="365" t="s">
        <v>445</v>
      </c>
      <c r="M12" s="365" t="s">
        <v>446</v>
      </c>
      <c r="N12" s="365" t="s">
        <v>195</v>
      </c>
      <c r="O12" s="376" t="s">
        <v>422</v>
      </c>
    </row>
    <row r="13" spans="2:15" x14ac:dyDescent="0.25">
      <c r="B13" s="369" t="s">
        <v>319</v>
      </c>
      <c r="C13" s="373" t="s">
        <v>439</v>
      </c>
      <c r="D13" s="366" t="s">
        <v>448</v>
      </c>
      <c r="E13" s="385">
        <v>42423</v>
      </c>
      <c r="F13" s="366" t="s">
        <v>449</v>
      </c>
      <c r="G13" s="366" t="s">
        <v>450</v>
      </c>
      <c r="H13" s="366" t="s">
        <v>449</v>
      </c>
      <c r="I13" s="366" t="s">
        <v>451</v>
      </c>
      <c r="J13" s="366" t="s">
        <v>455</v>
      </c>
      <c r="K13" s="366"/>
      <c r="L13" s="366" t="s">
        <v>452</v>
      </c>
      <c r="M13" s="366" t="s">
        <v>453</v>
      </c>
      <c r="N13" s="366" t="s">
        <v>195</v>
      </c>
      <c r="O13" s="377" t="s">
        <v>454</v>
      </c>
    </row>
    <row r="14" spans="2:15" x14ac:dyDescent="0.25">
      <c r="B14" s="369" t="s">
        <v>320</v>
      </c>
      <c r="C14" s="372" t="s">
        <v>415</v>
      </c>
      <c r="D14" s="365" t="s">
        <v>456</v>
      </c>
      <c r="E14" s="384">
        <v>42551</v>
      </c>
      <c r="F14" s="365" t="s">
        <v>457</v>
      </c>
      <c r="G14" s="365" t="s">
        <v>458</v>
      </c>
      <c r="H14" s="365" t="s">
        <v>457</v>
      </c>
      <c r="I14" s="365" t="s">
        <v>459</v>
      </c>
      <c r="J14" s="365" t="s">
        <v>462</v>
      </c>
      <c r="K14" s="365"/>
      <c r="L14" s="365" t="s">
        <v>460</v>
      </c>
      <c r="M14" s="365" t="s">
        <v>461</v>
      </c>
      <c r="N14" s="365" t="s">
        <v>195</v>
      </c>
      <c r="O14" s="376" t="s">
        <v>454</v>
      </c>
    </row>
    <row r="15" spans="2:15" x14ac:dyDescent="0.25">
      <c r="B15" s="369" t="s">
        <v>321</v>
      </c>
      <c r="C15" s="373" t="s">
        <v>415</v>
      </c>
      <c r="D15" s="366" t="s">
        <v>463</v>
      </c>
      <c r="E15" s="385">
        <v>42817</v>
      </c>
      <c r="F15" s="366" t="s">
        <v>464</v>
      </c>
      <c r="G15" s="366" t="s">
        <v>465</v>
      </c>
      <c r="H15" s="366"/>
      <c r="I15" s="366"/>
      <c r="J15" s="366" t="s">
        <v>468</v>
      </c>
      <c r="K15" s="366"/>
      <c r="L15" s="366" t="s">
        <v>466</v>
      </c>
      <c r="M15" s="366" t="s">
        <v>467</v>
      </c>
      <c r="N15" s="366" t="s">
        <v>195</v>
      </c>
      <c r="O15" s="377" t="s">
        <v>454</v>
      </c>
    </row>
    <row r="16" spans="2:15" x14ac:dyDescent="0.25">
      <c r="B16" s="369" t="s">
        <v>322</v>
      </c>
      <c r="C16" s="372" t="s">
        <v>415</v>
      </c>
      <c r="D16" s="365" t="s">
        <v>469</v>
      </c>
      <c r="E16" s="384">
        <v>42522</v>
      </c>
      <c r="F16" s="365" t="s">
        <v>470</v>
      </c>
      <c r="G16" s="365" t="s">
        <v>471</v>
      </c>
      <c r="H16" s="365" t="s">
        <v>470</v>
      </c>
      <c r="I16" s="365" t="s">
        <v>472</v>
      </c>
      <c r="J16" s="365" t="s">
        <v>475</v>
      </c>
      <c r="K16" s="365"/>
      <c r="L16" s="365" t="s">
        <v>473</v>
      </c>
      <c r="M16" s="365" t="s">
        <v>474</v>
      </c>
      <c r="N16" s="365" t="s">
        <v>195</v>
      </c>
      <c r="O16" s="376" t="s">
        <v>422</v>
      </c>
    </row>
    <row r="17" spans="2:15" x14ac:dyDescent="0.25">
      <c r="B17" s="369" t="s">
        <v>323</v>
      </c>
      <c r="C17" s="373" t="s">
        <v>415</v>
      </c>
      <c r="D17" s="366" t="s">
        <v>476</v>
      </c>
      <c r="E17" s="385">
        <v>42740</v>
      </c>
      <c r="F17" s="366" t="s">
        <v>477</v>
      </c>
      <c r="G17" s="366" t="s">
        <v>478</v>
      </c>
      <c r="H17" s="366"/>
      <c r="I17" s="366" t="s">
        <v>479</v>
      </c>
      <c r="J17" s="366" t="s">
        <v>482</v>
      </c>
      <c r="K17" s="366"/>
      <c r="L17" s="366" t="s">
        <v>480</v>
      </c>
      <c r="M17" s="366" t="s">
        <v>481</v>
      </c>
      <c r="N17" s="366" t="s">
        <v>195</v>
      </c>
      <c r="O17" s="377" t="s">
        <v>422</v>
      </c>
    </row>
    <row r="18" spans="2:15" x14ac:dyDescent="0.25">
      <c r="B18" s="369" t="s">
        <v>324</v>
      </c>
      <c r="C18" s="372" t="s">
        <v>415</v>
      </c>
      <c r="D18" s="365" t="s">
        <v>483</v>
      </c>
      <c r="E18" s="384">
        <v>42551</v>
      </c>
      <c r="F18" s="365" t="s">
        <v>484</v>
      </c>
      <c r="G18" s="365" t="s">
        <v>485</v>
      </c>
      <c r="H18" s="365" t="s">
        <v>484</v>
      </c>
      <c r="I18" s="365" t="s">
        <v>486</v>
      </c>
      <c r="J18" s="365" t="s">
        <v>489</v>
      </c>
      <c r="K18" s="365"/>
      <c r="L18" s="365" t="s">
        <v>487</v>
      </c>
      <c r="M18" s="365" t="s">
        <v>488</v>
      </c>
      <c r="N18" s="365" t="s">
        <v>195</v>
      </c>
      <c r="O18" s="376" t="s">
        <v>454</v>
      </c>
    </row>
    <row r="19" spans="2:15" x14ac:dyDescent="0.25">
      <c r="B19" s="369" t="s">
        <v>325</v>
      </c>
      <c r="C19" s="373" t="s">
        <v>439</v>
      </c>
      <c r="D19" s="366" t="s">
        <v>490</v>
      </c>
      <c r="E19" s="385">
        <v>37530</v>
      </c>
      <c r="F19" s="366" t="s">
        <v>491</v>
      </c>
      <c r="G19" s="366" t="s">
        <v>492</v>
      </c>
      <c r="H19" s="366" t="s">
        <v>491</v>
      </c>
      <c r="I19" s="366" t="s">
        <v>493</v>
      </c>
      <c r="J19" s="366" t="s">
        <v>496</v>
      </c>
      <c r="K19" s="366"/>
      <c r="L19" s="366" t="s">
        <v>494</v>
      </c>
      <c r="M19" s="366" t="s">
        <v>495</v>
      </c>
      <c r="N19" s="366" t="s">
        <v>195</v>
      </c>
      <c r="O19" s="377" t="s">
        <v>422</v>
      </c>
    </row>
    <row r="20" spans="2:15" x14ac:dyDescent="0.25">
      <c r="B20" s="369" t="s">
        <v>326</v>
      </c>
      <c r="C20" s="372" t="s">
        <v>439</v>
      </c>
      <c r="D20" s="365" t="s">
        <v>497</v>
      </c>
      <c r="E20" s="384">
        <v>42488</v>
      </c>
      <c r="F20" s="365" t="s">
        <v>498</v>
      </c>
      <c r="G20" s="365" t="s">
        <v>499</v>
      </c>
      <c r="H20" s="365" t="s">
        <v>500</v>
      </c>
      <c r="I20" s="365" t="s">
        <v>501</v>
      </c>
      <c r="J20" s="365" t="s">
        <v>504</v>
      </c>
      <c r="K20" s="365"/>
      <c r="L20" s="365" t="s">
        <v>502</v>
      </c>
      <c r="M20" s="365" t="s">
        <v>503</v>
      </c>
      <c r="N20" s="365" t="s">
        <v>195</v>
      </c>
      <c r="O20" s="376" t="s">
        <v>454</v>
      </c>
    </row>
    <row r="21" spans="2:15" x14ac:dyDescent="0.25">
      <c r="B21" s="369" t="s">
        <v>327</v>
      </c>
      <c r="C21" s="373" t="s">
        <v>439</v>
      </c>
      <c r="D21" s="366" t="s">
        <v>505</v>
      </c>
      <c r="E21" s="385">
        <v>42662</v>
      </c>
      <c r="F21" s="366" t="s">
        <v>506</v>
      </c>
      <c r="G21" s="366" t="s">
        <v>507</v>
      </c>
      <c r="H21" s="366" t="s">
        <v>508</v>
      </c>
      <c r="I21" s="366" t="s">
        <v>509</v>
      </c>
      <c r="J21" s="366" t="s">
        <v>512</v>
      </c>
      <c r="K21" s="366"/>
      <c r="L21" s="366" t="s">
        <v>510</v>
      </c>
      <c r="M21" s="366" t="s">
        <v>511</v>
      </c>
      <c r="N21" s="366" t="s">
        <v>195</v>
      </c>
      <c r="O21" s="377" t="s">
        <v>422</v>
      </c>
    </row>
    <row r="22" spans="2:15" x14ac:dyDescent="0.25">
      <c r="B22" s="369" t="s">
        <v>328</v>
      </c>
      <c r="C22" s="372" t="s">
        <v>415</v>
      </c>
      <c r="D22" s="365" t="s">
        <v>513</v>
      </c>
      <c r="E22" s="384">
        <v>41548</v>
      </c>
      <c r="F22" s="365" t="s">
        <v>514</v>
      </c>
      <c r="G22" s="365" t="s">
        <v>515</v>
      </c>
      <c r="H22" s="365" t="s">
        <v>514</v>
      </c>
      <c r="I22" s="365" t="s">
        <v>516</v>
      </c>
      <c r="J22" s="365" t="s">
        <v>519</v>
      </c>
      <c r="K22" s="365"/>
      <c r="L22" s="365" t="s">
        <v>517</v>
      </c>
      <c r="M22" s="365" t="s">
        <v>518</v>
      </c>
      <c r="N22" s="365" t="s">
        <v>195</v>
      </c>
      <c r="O22" s="376" t="s">
        <v>422</v>
      </c>
    </row>
    <row r="23" spans="2:15" x14ac:dyDescent="0.25">
      <c r="B23" s="369" t="s">
        <v>329</v>
      </c>
      <c r="C23" s="373" t="s">
        <v>415</v>
      </c>
      <c r="D23" s="366" t="s">
        <v>520</v>
      </c>
      <c r="E23" s="385">
        <v>39722</v>
      </c>
      <c r="F23" s="366" t="s">
        <v>521</v>
      </c>
      <c r="G23" s="366" t="s">
        <v>522</v>
      </c>
      <c r="H23" s="366" t="s">
        <v>521</v>
      </c>
      <c r="I23" s="366" t="s">
        <v>523</v>
      </c>
      <c r="J23" s="366" t="s">
        <v>526</v>
      </c>
      <c r="K23" s="366"/>
      <c r="L23" s="366" t="s">
        <v>524</v>
      </c>
      <c r="M23" s="366" t="s">
        <v>525</v>
      </c>
      <c r="N23" s="366" t="s">
        <v>195</v>
      </c>
      <c r="O23" s="377" t="s">
        <v>422</v>
      </c>
    </row>
    <row r="24" spans="2:15" x14ac:dyDescent="0.25">
      <c r="B24" s="369" t="s">
        <v>330</v>
      </c>
      <c r="C24" s="372" t="s">
        <v>415</v>
      </c>
      <c r="D24" s="365" t="s">
        <v>527</v>
      </c>
      <c r="E24" s="384">
        <v>41610</v>
      </c>
      <c r="F24" s="365" t="s">
        <v>528</v>
      </c>
      <c r="G24" s="365" t="s">
        <v>529</v>
      </c>
      <c r="H24" s="365" t="s">
        <v>530</v>
      </c>
      <c r="I24" s="365" t="s">
        <v>531</v>
      </c>
      <c r="J24" s="365" t="s">
        <v>534</v>
      </c>
      <c r="K24" s="365"/>
      <c r="L24" s="365" t="s">
        <v>532</v>
      </c>
      <c r="M24" s="365" t="s">
        <v>533</v>
      </c>
      <c r="N24" s="365" t="s">
        <v>195</v>
      </c>
      <c r="O24" s="376" t="s">
        <v>422</v>
      </c>
    </row>
    <row r="25" spans="2:15" x14ac:dyDescent="0.25">
      <c r="B25" s="369" t="s">
        <v>331</v>
      </c>
      <c r="C25" s="373" t="s">
        <v>439</v>
      </c>
      <c r="D25" s="366" t="s">
        <v>535</v>
      </c>
      <c r="E25" s="385">
        <v>42590</v>
      </c>
      <c r="F25" s="366" t="s">
        <v>536</v>
      </c>
      <c r="G25" s="366" t="s">
        <v>537</v>
      </c>
      <c r="H25" s="366" t="s">
        <v>536</v>
      </c>
      <c r="I25" s="366" t="s">
        <v>538</v>
      </c>
      <c r="J25" s="366" t="s">
        <v>541</v>
      </c>
      <c r="K25" s="366"/>
      <c r="L25" s="366" t="s">
        <v>539</v>
      </c>
      <c r="M25" s="366" t="s">
        <v>540</v>
      </c>
      <c r="N25" s="366" t="s">
        <v>195</v>
      </c>
      <c r="O25" s="377" t="s">
        <v>454</v>
      </c>
    </row>
    <row r="26" spans="2:15" x14ac:dyDescent="0.25">
      <c r="B26" s="369" t="s">
        <v>332</v>
      </c>
      <c r="C26" s="372" t="s">
        <v>415</v>
      </c>
      <c r="D26" s="365" t="s">
        <v>542</v>
      </c>
      <c r="E26" s="384">
        <v>36689</v>
      </c>
      <c r="F26" s="365" t="s">
        <v>543</v>
      </c>
      <c r="G26" s="365" t="s">
        <v>544</v>
      </c>
      <c r="H26" s="365"/>
      <c r="I26" s="365" t="s">
        <v>545</v>
      </c>
      <c r="J26" s="365" t="s">
        <v>548</v>
      </c>
      <c r="K26" s="365"/>
      <c r="L26" s="365" t="s">
        <v>546</v>
      </c>
      <c r="M26" s="365" t="s">
        <v>547</v>
      </c>
      <c r="N26" s="365" t="s">
        <v>195</v>
      </c>
      <c r="O26" s="376" t="s">
        <v>422</v>
      </c>
    </row>
    <row r="27" spans="2:15" x14ac:dyDescent="0.25">
      <c r="B27" s="369" t="s">
        <v>333</v>
      </c>
      <c r="C27" s="373" t="s">
        <v>415</v>
      </c>
      <c r="D27" s="366" t="s">
        <v>549</v>
      </c>
      <c r="E27" s="385">
        <v>42948</v>
      </c>
      <c r="F27" s="366" t="s">
        <v>550</v>
      </c>
      <c r="G27" s="366" t="s">
        <v>551</v>
      </c>
      <c r="H27" s="366" t="s">
        <v>552</v>
      </c>
      <c r="I27" s="366" t="s">
        <v>553</v>
      </c>
      <c r="J27" s="366" t="s">
        <v>556</v>
      </c>
      <c r="K27" s="366"/>
      <c r="L27" s="366" t="s">
        <v>554</v>
      </c>
      <c r="M27" s="366" t="s">
        <v>555</v>
      </c>
      <c r="N27" s="366" t="s">
        <v>195</v>
      </c>
      <c r="O27" s="377" t="s">
        <v>422</v>
      </c>
    </row>
    <row r="28" spans="2:15" x14ac:dyDescent="0.25">
      <c r="B28" s="369" t="s">
        <v>334</v>
      </c>
      <c r="C28" s="372" t="s">
        <v>439</v>
      </c>
      <c r="D28" s="365" t="s">
        <v>557</v>
      </c>
      <c r="E28" s="384">
        <v>42599</v>
      </c>
      <c r="F28" s="365" t="s">
        <v>558</v>
      </c>
      <c r="G28" s="365" t="s">
        <v>559</v>
      </c>
      <c r="H28" s="365" t="s">
        <v>558</v>
      </c>
      <c r="I28" s="365" t="s">
        <v>560</v>
      </c>
      <c r="J28" s="365" t="s">
        <v>563</v>
      </c>
      <c r="K28" s="365"/>
      <c r="L28" s="365" t="s">
        <v>561</v>
      </c>
      <c r="M28" s="365" t="s">
        <v>562</v>
      </c>
      <c r="N28" s="365" t="s">
        <v>195</v>
      </c>
      <c r="O28" s="376" t="s">
        <v>454</v>
      </c>
    </row>
    <row r="29" spans="2:15" x14ac:dyDescent="0.25">
      <c r="B29" s="369" t="s">
        <v>335</v>
      </c>
      <c r="C29" s="373" t="s">
        <v>415</v>
      </c>
      <c r="D29" s="366" t="s">
        <v>564</v>
      </c>
      <c r="E29" s="385">
        <v>36281</v>
      </c>
      <c r="F29" s="366" t="s">
        <v>565</v>
      </c>
      <c r="G29" s="366" t="s">
        <v>566</v>
      </c>
      <c r="H29" s="366"/>
      <c r="I29" s="366" t="s">
        <v>567</v>
      </c>
      <c r="J29" s="366" t="s">
        <v>570</v>
      </c>
      <c r="K29" s="366"/>
      <c r="L29" s="366" t="s">
        <v>568</v>
      </c>
      <c r="M29" s="366" t="s">
        <v>569</v>
      </c>
      <c r="N29" s="366" t="s">
        <v>195</v>
      </c>
      <c r="O29" s="377" t="s">
        <v>422</v>
      </c>
    </row>
    <row r="30" spans="2:15" x14ac:dyDescent="0.25">
      <c r="B30" s="369" t="s">
        <v>336</v>
      </c>
      <c r="C30" s="372" t="s">
        <v>415</v>
      </c>
      <c r="D30" s="365" t="s">
        <v>571</v>
      </c>
      <c r="E30" s="384">
        <v>42870</v>
      </c>
      <c r="F30" s="365" t="s">
        <v>572</v>
      </c>
      <c r="G30" s="365" t="s">
        <v>573</v>
      </c>
      <c r="H30" s="365" t="s">
        <v>572</v>
      </c>
      <c r="I30" s="365" t="s">
        <v>538</v>
      </c>
      <c r="J30" s="365" t="s">
        <v>576</v>
      </c>
      <c r="K30" s="365"/>
      <c r="L30" s="365" t="s">
        <v>574</v>
      </c>
      <c r="M30" s="365" t="s">
        <v>575</v>
      </c>
      <c r="N30" s="365" t="s">
        <v>195</v>
      </c>
      <c r="O30" s="376" t="s">
        <v>454</v>
      </c>
    </row>
    <row r="31" spans="2:15" x14ac:dyDescent="0.25">
      <c r="B31" s="369" t="s">
        <v>337</v>
      </c>
      <c r="C31" s="373" t="s">
        <v>415</v>
      </c>
      <c r="D31" s="366" t="s">
        <v>577</v>
      </c>
      <c r="E31" s="385">
        <v>42436</v>
      </c>
      <c r="F31" s="366" t="s">
        <v>578</v>
      </c>
      <c r="G31" s="366" t="s">
        <v>579</v>
      </c>
      <c r="H31" s="366" t="s">
        <v>578</v>
      </c>
      <c r="I31" s="366" t="s">
        <v>580</v>
      </c>
      <c r="J31" s="366" t="s">
        <v>583</v>
      </c>
      <c r="K31" s="366"/>
      <c r="L31" s="366" t="s">
        <v>581</v>
      </c>
      <c r="M31" s="366" t="s">
        <v>582</v>
      </c>
      <c r="N31" s="366" t="s">
        <v>195</v>
      </c>
      <c r="O31" s="377" t="s">
        <v>422</v>
      </c>
    </row>
    <row r="32" spans="2:15" x14ac:dyDescent="0.25">
      <c r="B32" s="369" t="s">
        <v>338</v>
      </c>
      <c r="C32" s="372" t="s">
        <v>415</v>
      </c>
      <c r="D32" s="365" t="s">
        <v>584</v>
      </c>
      <c r="E32" s="384">
        <v>42465</v>
      </c>
      <c r="F32" s="365" t="s">
        <v>585</v>
      </c>
      <c r="G32" s="365" t="s">
        <v>586</v>
      </c>
      <c r="H32" s="365" t="s">
        <v>585</v>
      </c>
      <c r="I32" s="365" t="s">
        <v>587</v>
      </c>
      <c r="J32" s="365" t="s">
        <v>590</v>
      </c>
      <c r="K32" s="365"/>
      <c r="L32" s="365" t="s">
        <v>588</v>
      </c>
      <c r="M32" s="365" t="s">
        <v>589</v>
      </c>
      <c r="N32" s="365" t="s">
        <v>195</v>
      </c>
      <c r="O32" s="376" t="s">
        <v>454</v>
      </c>
    </row>
    <row r="33" spans="2:15" x14ac:dyDescent="0.25">
      <c r="B33" s="369" t="s">
        <v>339</v>
      </c>
      <c r="C33" s="373" t="s">
        <v>439</v>
      </c>
      <c r="D33" s="366" t="s">
        <v>591</v>
      </c>
      <c r="E33" s="385">
        <v>42443</v>
      </c>
      <c r="F33" s="366" t="s">
        <v>592</v>
      </c>
      <c r="G33" s="366" t="s">
        <v>593</v>
      </c>
      <c r="H33" s="366"/>
      <c r="I33" s="366" t="s">
        <v>594</v>
      </c>
      <c r="J33" s="366" t="s">
        <v>597</v>
      </c>
      <c r="K33" s="366"/>
      <c r="L33" s="366" t="s">
        <v>595</v>
      </c>
      <c r="M33" s="366" t="s">
        <v>596</v>
      </c>
      <c r="N33" s="366" t="s">
        <v>195</v>
      </c>
      <c r="O33" s="377" t="s">
        <v>422</v>
      </c>
    </row>
    <row r="34" spans="2:15" x14ac:dyDescent="0.25">
      <c r="B34" s="369" t="s">
        <v>340</v>
      </c>
      <c r="C34" s="372" t="s">
        <v>415</v>
      </c>
      <c r="D34" s="365" t="s">
        <v>598</v>
      </c>
      <c r="E34" s="384">
        <v>42536</v>
      </c>
      <c r="F34" s="365" t="s">
        <v>599</v>
      </c>
      <c r="G34" s="365" t="s">
        <v>600</v>
      </c>
      <c r="H34" s="365"/>
      <c r="I34" s="365"/>
      <c r="J34" s="365" t="s">
        <v>603</v>
      </c>
      <c r="K34" s="365"/>
      <c r="L34" s="365" t="s">
        <v>601</v>
      </c>
      <c r="M34" s="365" t="s">
        <v>602</v>
      </c>
      <c r="N34" s="365" t="s">
        <v>195</v>
      </c>
      <c r="O34" s="376" t="s">
        <v>454</v>
      </c>
    </row>
    <row r="35" spans="2:15" x14ac:dyDescent="0.25">
      <c r="B35" s="369" t="s">
        <v>341</v>
      </c>
      <c r="C35" s="373" t="s">
        <v>415</v>
      </c>
      <c r="D35" s="366" t="s">
        <v>604</v>
      </c>
      <c r="E35" s="385">
        <v>41277</v>
      </c>
      <c r="F35" s="366" t="s">
        <v>605</v>
      </c>
      <c r="G35" s="366" t="s">
        <v>606</v>
      </c>
      <c r="H35" s="366"/>
      <c r="I35" s="366" t="s">
        <v>607</v>
      </c>
      <c r="J35" s="366" t="s">
        <v>610</v>
      </c>
      <c r="K35" s="366"/>
      <c r="L35" s="366" t="s">
        <v>608</v>
      </c>
      <c r="M35" s="366" t="s">
        <v>609</v>
      </c>
      <c r="N35" s="366" t="s">
        <v>195</v>
      </c>
      <c r="O35" s="377" t="s">
        <v>422</v>
      </c>
    </row>
    <row r="36" spans="2:15" x14ac:dyDescent="0.25">
      <c r="B36" s="369" t="s">
        <v>342</v>
      </c>
      <c r="C36" s="372" t="s">
        <v>439</v>
      </c>
      <c r="D36" s="365" t="s">
        <v>611</v>
      </c>
      <c r="E36" s="384">
        <v>42348</v>
      </c>
      <c r="F36" s="365" t="s">
        <v>612</v>
      </c>
      <c r="G36" s="365" t="s">
        <v>613</v>
      </c>
      <c r="H36" s="365" t="s">
        <v>612</v>
      </c>
      <c r="I36" s="365" t="s">
        <v>614</v>
      </c>
      <c r="J36" s="365" t="s">
        <v>617</v>
      </c>
      <c r="K36" s="365"/>
      <c r="L36" s="365" t="s">
        <v>615</v>
      </c>
      <c r="M36" s="365" t="s">
        <v>616</v>
      </c>
      <c r="N36" s="365" t="s">
        <v>195</v>
      </c>
      <c r="O36" s="376" t="s">
        <v>454</v>
      </c>
    </row>
    <row r="37" spans="2:15" x14ac:dyDescent="0.25">
      <c r="B37" s="369" t="s">
        <v>343</v>
      </c>
      <c r="C37" s="373" t="s">
        <v>415</v>
      </c>
      <c r="D37" s="366" t="s">
        <v>618</v>
      </c>
      <c r="E37" s="385">
        <v>42205</v>
      </c>
      <c r="F37" s="366" t="s">
        <v>619</v>
      </c>
      <c r="G37" s="366" t="s">
        <v>620</v>
      </c>
      <c r="H37" s="366" t="s">
        <v>619</v>
      </c>
      <c r="I37" s="366" t="s">
        <v>621</v>
      </c>
      <c r="J37" s="366" t="s">
        <v>624</v>
      </c>
      <c r="K37" s="366"/>
      <c r="L37" s="366" t="s">
        <v>622</v>
      </c>
      <c r="M37" s="366" t="s">
        <v>623</v>
      </c>
      <c r="N37" s="366" t="s">
        <v>195</v>
      </c>
      <c r="O37" s="377" t="s">
        <v>422</v>
      </c>
    </row>
    <row r="38" spans="2:15" x14ac:dyDescent="0.25">
      <c r="B38" s="369" t="s">
        <v>344</v>
      </c>
      <c r="C38" s="372" t="s">
        <v>415</v>
      </c>
      <c r="D38" s="365" t="s">
        <v>625</v>
      </c>
      <c r="E38" s="384">
        <v>40575</v>
      </c>
      <c r="F38" s="365" t="s">
        <v>626</v>
      </c>
      <c r="G38" s="365" t="s">
        <v>627</v>
      </c>
      <c r="H38" s="365" t="s">
        <v>626</v>
      </c>
      <c r="I38" s="365" t="s">
        <v>235</v>
      </c>
      <c r="J38" s="365" t="s">
        <v>630</v>
      </c>
      <c r="K38" s="365"/>
      <c r="L38" s="365" t="s">
        <v>628</v>
      </c>
      <c r="M38" s="365" t="s">
        <v>629</v>
      </c>
      <c r="N38" s="365" t="s">
        <v>195</v>
      </c>
      <c r="O38" s="376" t="s">
        <v>422</v>
      </c>
    </row>
    <row r="39" spans="2:15" x14ac:dyDescent="0.25">
      <c r="B39" s="369" t="s">
        <v>345</v>
      </c>
      <c r="C39" s="373" t="s">
        <v>415</v>
      </c>
      <c r="D39" s="366" t="s">
        <v>631</v>
      </c>
      <c r="E39" s="385">
        <v>42892</v>
      </c>
      <c r="F39" s="366" t="s">
        <v>632</v>
      </c>
      <c r="G39" s="366" t="s">
        <v>633</v>
      </c>
      <c r="H39" s="366"/>
      <c r="I39" s="366" t="s">
        <v>634</v>
      </c>
      <c r="J39" s="366" t="s">
        <v>637</v>
      </c>
      <c r="K39" s="366"/>
      <c r="L39" s="366" t="s">
        <v>635</v>
      </c>
      <c r="M39" s="366" t="s">
        <v>636</v>
      </c>
      <c r="N39" s="366" t="s">
        <v>195</v>
      </c>
      <c r="O39" s="377" t="s">
        <v>454</v>
      </c>
    </row>
    <row r="40" spans="2:15" x14ac:dyDescent="0.25">
      <c r="B40" s="369" t="s">
        <v>346</v>
      </c>
      <c r="C40" s="372" t="s">
        <v>638</v>
      </c>
      <c r="D40" s="365" t="s">
        <v>639</v>
      </c>
      <c r="E40" s="384">
        <v>42786</v>
      </c>
      <c r="F40" s="365" t="s">
        <v>640</v>
      </c>
      <c r="G40" s="365" t="s">
        <v>641</v>
      </c>
      <c r="H40" s="365"/>
      <c r="I40" s="365" t="s">
        <v>642</v>
      </c>
      <c r="J40" s="365" t="s">
        <v>645</v>
      </c>
      <c r="K40" s="365"/>
      <c r="L40" s="365" t="s">
        <v>643</v>
      </c>
      <c r="M40" s="365" t="s">
        <v>644</v>
      </c>
      <c r="N40" s="365" t="s">
        <v>195</v>
      </c>
      <c r="O40" s="376" t="s">
        <v>454</v>
      </c>
    </row>
    <row r="41" spans="2:15" x14ac:dyDescent="0.25">
      <c r="B41" s="369" t="s">
        <v>347</v>
      </c>
      <c r="C41" s="373" t="s">
        <v>439</v>
      </c>
      <c r="D41" s="366" t="s">
        <v>646</v>
      </c>
      <c r="E41" s="385">
        <v>42331</v>
      </c>
      <c r="F41" s="366" t="s">
        <v>647</v>
      </c>
      <c r="G41" s="366" t="s">
        <v>648</v>
      </c>
      <c r="H41" s="366" t="s">
        <v>647</v>
      </c>
      <c r="I41" s="366" t="s">
        <v>538</v>
      </c>
      <c r="J41" s="366" t="s">
        <v>651</v>
      </c>
      <c r="K41" s="366"/>
      <c r="L41" s="366" t="s">
        <v>649</v>
      </c>
      <c r="M41" s="366" t="s">
        <v>650</v>
      </c>
      <c r="N41" s="366" t="s">
        <v>195</v>
      </c>
      <c r="O41" s="377" t="s">
        <v>454</v>
      </c>
    </row>
    <row r="42" spans="2:15" x14ac:dyDescent="0.25">
      <c r="B42" s="369" t="s">
        <v>348</v>
      </c>
      <c r="C42" s="372" t="s">
        <v>439</v>
      </c>
      <c r="D42" s="365" t="s">
        <v>652</v>
      </c>
      <c r="E42" s="384">
        <v>41701</v>
      </c>
      <c r="F42" s="365" t="s">
        <v>653</v>
      </c>
      <c r="G42" s="365" t="s">
        <v>654</v>
      </c>
      <c r="H42" s="365"/>
      <c r="I42" s="365" t="s">
        <v>655</v>
      </c>
      <c r="J42" s="365" t="s">
        <v>658</v>
      </c>
      <c r="K42" s="365"/>
      <c r="L42" s="365" t="s">
        <v>656</v>
      </c>
      <c r="M42" s="365" t="s">
        <v>657</v>
      </c>
      <c r="N42" s="365" t="s">
        <v>195</v>
      </c>
      <c r="O42" s="376" t="s">
        <v>422</v>
      </c>
    </row>
    <row r="43" spans="2:15" x14ac:dyDescent="0.25">
      <c r="B43" s="369" t="s">
        <v>349</v>
      </c>
      <c r="C43" s="373" t="s">
        <v>415</v>
      </c>
      <c r="D43" s="366" t="s">
        <v>659</v>
      </c>
      <c r="E43" s="385">
        <v>42522</v>
      </c>
      <c r="F43" s="366" t="s">
        <v>660</v>
      </c>
      <c r="G43" s="366" t="s">
        <v>661</v>
      </c>
      <c r="H43" s="366"/>
      <c r="I43" s="366" t="s">
        <v>662</v>
      </c>
      <c r="J43" s="366" t="s">
        <v>665</v>
      </c>
      <c r="K43" s="366"/>
      <c r="L43" s="366" t="s">
        <v>663</v>
      </c>
      <c r="M43" s="366" t="s">
        <v>664</v>
      </c>
      <c r="N43" s="366" t="s">
        <v>195</v>
      </c>
      <c r="O43" s="377" t="s">
        <v>422</v>
      </c>
    </row>
    <row r="44" spans="2:15" x14ac:dyDescent="0.25">
      <c r="B44" s="369" t="s">
        <v>350</v>
      </c>
      <c r="C44" s="372" t="s">
        <v>415</v>
      </c>
      <c r="D44" s="365" t="s">
        <v>666</v>
      </c>
      <c r="E44" s="384">
        <v>42522</v>
      </c>
      <c r="F44" s="365" t="s">
        <v>667</v>
      </c>
      <c r="G44" s="365" t="s">
        <v>668</v>
      </c>
      <c r="H44" s="365"/>
      <c r="I44" s="365" t="s">
        <v>669</v>
      </c>
      <c r="J44" s="365" t="s">
        <v>672</v>
      </c>
      <c r="K44" s="365"/>
      <c r="L44" s="365" t="s">
        <v>670</v>
      </c>
      <c r="M44" s="365" t="s">
        <v>671</v>
      </c>
      <c r="N44" s="365" t="s">
        <v>195</v>
      </c>
      <c r="O44" s="376" t="s">
        <v>422</v>
      </c>
    </row>
    <row r="45" spans="2:15" x14ac:dyDescent="0.25">
      <c r="B45" s="369" t="s">
        <v>351</v>
      </c>
      <c r="C45" s="373" t="s">
        <v>673</v>
      </c>
      <c r="D45" s="366" t="s">
        <v>674</v>
      </c>
      <c r="E45" s="385">
        <v>40878</v>
      </c>
      <c r="F45" s="366" t="s">
        <v>675</v>
      </c>
      <c r="G45" s="366" t="s">
        <v>676</v>
      </c>
      <c r="H45" s="366" t="s">
        <v>675</v>
      </c>
      <c r="I45" s="366" t="s">
        <v>677</v>
      </c>
      <c r="J45" s="366" t="s">
        <v>680</v>
      </c>
      <c r="K45" s="366"/>
      <c r="L45" s="366" t="s">
        <v>678</v>
      </c>
      <c r="M45" s="366" t="s">
        <v>679</v>
      </c>
      <c r="N45" s="366" t="s">
        <v>195</v>
      </c>
      <c r="O45" s="377" t="s">
        <v>422</v>
      </c>
    </row>
    <row r="46" spans="2:15" x14ac:dyDescent="0.25">
      <c r="B46" s="369" t="s">
        <v>352</v>
      </c>
      <c r="C46" s="372" t="s">
        <v>439</v>
      </c>
      <c r="D46" s="365" t="s">
        <v>681</v>
      </c>
      <c r="E46" s="384">
        <v>42339</v>
      </c>
      <c r="F46" s="365" t="s">
        <v>682</v>
      </c>
      <c r="G46" s="365" t="s">
        <v>683</v>
      </c>
      <c r="H46" s="365" t="s">
        <v>682</v>
      </c>
      <c r="I46" s="365" t="s">
        <v>684</v>
      </c>
      <c r="J46" s="365" t="s">
        <v>496</v>
      </c>
      <c r="K46" s="365"/>
      <c r="L46" s="365" t="s">
        <v>685</v>
      </c>
      <c r="M46" s="365" t="s">
        <v>686</v>
      </c>
      <c r="N46" s="365" t="s">
        <v>195</v>
      </c>
      <c r="O46" s="376" t="s">
        <v>454</v>
      </c>
    </row>
    <row r="47" spans="2:15" x14ac:dyDescent="0.25">
      <c r="B47" s="369" t="s">
        <v>353</v>
      </c>
      <c r="C47" s="373" t="s">
        <v>439</v>
      </c>
      <c r="D47" s="366" t="s">
        <v>687</v>
      </c>
      <c r="E47" s="385">
        <v>42557</v>
      </c>
      <c r="F47" s="366" t="s">
        <v>688</v>
      </c>
      <c r="G47" s="366" t="s">
        <v>689</v>
      </c>
      <c r="H47" s="366" t="s">
        <v>690</v>
      </c>
      <c r="I47" s="366" t="s">
        <v>538</v>
      </c>
      <c r="J47" s="366" t="s">
        <v>693</v>
      </c>
      <c r="K47" s="366"/>
      <c r="L47" s="366" t="s">
        <v>691</v>
      </c>
      <c r="M47" s="366" t="s">
        <v>692</v>
      </c>
      <c r="N47" s="366" t="s">
        <v>195</v>
      </c>
      <c r="O47" s="377" t="s">
        <v>454</v>
      </c>
    </row>
    <row r="48" spans="2:15" x14ac:dyDescent="0.25">
      <c r="B48" s="369" t="s">
        <v>354</v>
      </c>
      <c r="C48" s="372" t="s">
        <v>415</v>
      </c>
      <c r="D48" s="365" t="s">
        <v>694</v>
      </c>
      <c r="E48" s="384">
        <v>41548</v>
      </c>
      <c r="F48" s="365" t="s">
        <v>695</v>
      </c>
      <c r="G48" s="365" t="s">
        <v>696</v>
      </c>
      <c r="H48" s="365" t="s">
        <v>695</v>
      </c>
      <c r="I48" s="365" t="s">
        <v>697</v>
      </c>
      <c r="J48" s="365" t="s">
        <v>700</v>
      </c>
      <c r="K48" s="365"/>
      <c r="L48" s="365" t="s">
        <v>698</v>
      </c>
      <c r="M48" s="365" t="s">
        <v>699</v>
      </c>
      <c r="N48" s="365" t="s">
        <v>195</v>
      </c>
      <c r="O48" s="376" t="s">
        <v>422</v>
      </c>
    </row>
    <row r="49" spans="2:15" x14ac:dyDescent="0.25">
      <c r="B49" s="369" t="s">
        <v>355</v>
      </c>
      <c r="C49" s="373" t="s">
        <v>439</v>
      </c>
      <c r="D49" s="366" t="s">
        <v>701</v>
      </c>
      <c r="E49" s="385">
        <v>42450</v>
      </c>
      <c r="F49" s="366" t="s">
        <v>702</v>
      </c>
      <c r="G49" s="366" t="s">
        <v>703</v>
      </c>
      <c r="H49" s="366" t="s">
        <v>702</v>
      </c>
      <c r="I49" s="366" t="s">
        <v>704</v>
      </c>
      <c r="J49" s="366" t="s">
        <v>707</v>
      </c>
      <c r="K49" s="366"/>
      <c r="L49" s="366" t="s">
        <v>705</v>
      </c>
      <c r="M49" s="366" t="s">
        <v>706</v>
      </c>
      <c r="N49" s="366" t="s">
        <v>195</v>
      </c>
      <c r="O49" s="377" t="s">
        <v>454</v>
      </c>
    </row>
    <row r="50" spans="2:15" x14ac:dyDescent="0.25">
      <c r="B50" s="369" t="s">
        <v>356</v>
      </c>
      <c r="C50" s="372" t="s">
        <v>415</v>
      </c>
      <c r="D50" s="365" t="s">
        <v>708</v>
      </c>
      <c r="E50" s="384">
        <v>43009</v>
      </c>
      <c r="F50" s="365" t="s">
        <v>709</v>
      </c>
      <c r="G50" s="365" t="s">
        <v>710</v>
      </c>
      <c r="H50" s="365"/>
      <c r="I50" s="365" t="s">
        <v>711</v>
      </c>
      <c r="J50" s="365" t="s">
        <v>714</v>
      </c>
      <c r="K50" s="365"/>
      <c r="L50" s="365" t="s">
        <v>712</v>
      </c>
      <c r="M50" s="365" t="s">
        <v>713</v>
      </c>
      <c r="N50" s="365" t="s">
        <v>195</v>
      </c>
      <c r="O50" s="376" t="s">
        <v>422</v>
      </c>
    </row>
    <row r="51" spans="2:15" x14ac:dyDescent="0.25">
      <c r="B51" s="369" t="s">
        <v>357</v>
      </c>
      <c r="C51" s="373" t="s">
        <v>439</v>
      </c>
      <c r="D51" s="366" t="s">
        <v>715</v>
      </c>
      <c r="E51" s="385">
        <v>42317</v>
      </c>
      <c r="F51" s="366" t="s">
        <v>716</v>
      </c>
      <c r="G51" s="366" t="s">
        <v>717</v>
      </c>
      <c r="H51" s="366" t="s">
        <v>718</v>
      </c>
      <c r="I51" s="366" t="s">
        <v>719</v>
      </c>
      <c r="J51" s="366" t="s">
        <v>722</v>
      </c>
      <c r="K51" s="366"/>
      <c r="L51" s="366" t="s">
        <v>720</v>
      </c>
      <c r="M51" s="366" t="s">
        <v>721</v>
      </c>
      <c r="N51" s="366" t="s">
        <v>195</v>
      </c>
      <c r="O51" s="377" t="s">
        <v>454</v>
      </c>
    </row>
    <row r="52" spans="2:15" x14ac:dyDescent="0.25">
      <c r="B52" s="369" t="s">
        <v>358</v>
      </c>
      <c r="C52" s="372" t="s">
        <v>439</v>
      </c>
      <c r="D52" s="365" t="s">
        <v>723</v>
      </c>
      <c r="E52" s="384">
        <v>41334</v>
      </c>
      <c r="F52" s="365" t="s">
        <v>724</v>
      </c>
      <c r="G52" s="365" t="s">
        <v>725</v>
      </c>
      <c r="H52" s="365" t="s">
        <v>724</v>
      </c>
      <c r="I52" s="365" t="s">
        <v>726</v>
      </c>
      <c r="J52" s="365" t="s">
        <v>729</v>
      </c>
      <c r="K52" s="365"/>
      <c r="L52" s="365" t="s">
        <v>727</v>
      </c>
      <c r="M52" s="365" t="s">
        <v>728</v>
      </c>
      <c r="N52" s="365" t="s">
        <v>195</v>
      </c>
      <c r="O52" s="376" t="s">
        <v>422</v>
      </c>
    </row>
    <row r="53" spans="2:15" x14ac:dyDescent="0.25">
      <c r="B53" s="369" t="s">
        <v>359</v>
      </c>
      <c r="C53" s="373" t="s">
        <v>415</v>
      </c>
      <c r="D53" s="366" t="s">
        <v>730</v>
      </c>
      <c r="E53" s="385">
        <v>42645</v>
      </c>
      <c r="F53" s="366" t="s">
        <v>731</v>
      </c>
      <c r="G53" s="366" t="s">
        <v>732</v>
      </c>
      <c r="H53" s="366"/>
      <c r="I53" s="366" t="s">
        <v>733</v>
      </c>
      <c r="J53" s="366" t="s">
        <v>736</v>
      </c>
      <c r="K53" s="366"/>
      <c r="L53" s="366" t="s">
        <v>734</v>
      </c>
      <c r="M53" s="366" t="s">
        <v>735</v>
      </c>
      <c r="N53" s="366" t="s">
        <v>195</v>
      </c>
      <c r="O53" s="377" t="s">
        <v>454</v>
      </c>
    </row>
    <row r="54" spans="2:15" x14ac:dyDescent="0.25">
      <c r="B54" s="369" t="s">
        <v>360</v>
      </c>
      <c r="C54" s="372" t="s">
        <v>415</v>
      </c>
      <c r="D54" s="365" t="s">
        <v>737</v>
      </c>
      <c r="E54" s="384">
        <v>39454</v>
      </c>
      <c r="F54" s="365" t="s">
        <v>738</v>
      </c>
      <c r="G54" s="365" t="s">
        <v>739</v>
      </c>
      <c r="H54" s="365" t="s">
        <v>740</v>
      </c>
      <c r="I54" s="365" t="s">
        <v>741</v>
      </c>
      <c r="J54" s="365" t="s">
        <v>744</v>
      </c>
      <c r="K54" s="365"/>
      <c r="L54" s="365" t="s">
        <v>742</v>
      </c>
      <c r="M54" s="365" t="s">
        <v>743</v>
      </c>
      <c r="N54" s="365" t="s">
        <v>195</v>
      </c>
      <c r="O54" s="376" t="s">
        <v>422</v>
      </c>
    </row>
    <row r="55" spans="2:15" x14ac:dyDescent="0.25">
      <c r="B55" s="369" t="s">
        <v>361</v>
      </c>
      <c r="C55" s="373" t="s">
        <v>638</v>
      </c>
      <c r="D55" s="366" t="s">
        <v>745</v>
      </c>
      <c r="E55" s="385">
        <v>42802</v>
      </c>
      <c r="F55" s="366" t="s">
        <v>746</v>
      </c>
      <c r="G55" s="366" t="s">
        <v>747</v>
      </c>
      <c r="H55" s="366"/>
      <c r="I55" s="366"/>
      <c r="J55" s="366" t="s">
        <v>750</v>
      </c>
      <c r="K55" s="366"/>
      <c r="L55" s="366" t="s">
        <v>748</v>
      </c>
      <c r="M55" s="366" t="s">
        <v>749</v>
      </c>
      <c r="N55" s="366" t="s">
        <v>195</v>
      </c>
      <c r="O55" s="377" t="s">
        <v>454</v>
      </c>
    </row>
    <row r="56" spans="2:15" x14ac:dyDescent="0.25">
      <c r="B56" s="369" t="s">
        <v>362</v>
      </c>
      <c r="C56" s="372" t="s">
        <v>415</v>
      </c>
      <c r="D56" s="365" t="s">
        <v>751</v>
      </c>
      <c r="E56" s="384">
        <v>42536</v>
      </c>
      <c r="F56" s="365" t="s">
        <v>464</v>
      </c>
      <c r="G56" s="365" t="s">
        <v>752</v>
      </c>
      <c r="H56" s="365"/>
      <c r="I56" s="365" t="s">
        <v>753</v>
      </c>
      <c r="J56" s="365" t="s">
        <v>756</v>
      </c>
      <c r="K56" s="365"/>
      <c r="L56" s="365" t="s">
        <v>754</v>
      </c>
      <c r="M56" s="365" t="s">
        <v>755</v>
      </c>
      <c r="N56" s="365" t="s">
        <v>195</v>
      </c>
      <c r="O56" s="376" t="s">
        <v>454</v>
      </c>
    </row>
    <row r="57" spans="2:15" x14ac:dyDescent="0.25">
      <c r="B57" s="369" t="s">
        <v>363</v>
      </c>
      <c r="C57" s="373" t="s">
        <v>415</v>
      </c>
      <c r="D57" s="366" t="s">
        <v>757</v>
      </c>
      <c r="E57" s="385">
        <v>36409</v>
      </c>
      <c r="F57" s="366" t="s">
        <v>758</v>
      </c>
      <c r="G57" s="366" t="s">
        <v>759</v>
      </c>
      <c r="H57" s="366" t="s">
        <v>758</v>
      </c>
      <c r="I57" s="366" t="s">
        <v>760</v>
      </c>
      <c r="J57" s="366" t="s">
        <v>763</v>
      </c>
      <c r="K57" s="366"/>
      <c r="L57" s="366" t="s">
        <v>761</v>
      </c>
      <c r="M57" s="366" t="s">
        <v>762</v>
      </c>
      <c r="N57" s="366" t="s">
        <v>195</v>
      </c>
      <c r="O57" s="377" t="s">
        <v>422</v>
      </c>
    </row>
    <row r="58" spans="2:15" x14ac:dyDescent="0.25">
      <c r="B58" s="369" t="s">
        <v>364</v>
      </c>
      <c r="C58" s="372" t="s">
        <v>415</v>
      </c>
      <c r="D58" s="365" t="s">
        <v>764</v>
      </c>
      <c r="E58" s="384">
        <v>35100</v>
      </c>
      <c r="F58" s="365" t="s">
        <v>765</v>
      </c>
      <c r="G58" s="365" t="s">
        <v>766</v>
      </c>
      <c r="H58" s="365" t="s">
        <v>765</v>
      </c>
      <c r="I58" s="365" t="s">
        <v>767</v>
      </c>
      <c r="J58" s="365" t="s">
        <v>770</v>
      </c>
      <c r="K58" s="365"/>
      <c r="L58" s="365" t="s">
        <v>768</v>
      </c>
      <c r="M58" s="365" t="s">
        <v>769</v>
      </c>
      <c r="N58" s="365" t="s">
        <v>195</v>
      </c>
      <c r="O58" s="376" t="s">
        <v>422</v>
      </c>
    </row>
    <row r="59" spans="2:15" x14ac:dyDescent="0.25">
      <c r="B59" s="369" t="s">
        <v>365</v>
      </c>
      <c r="C59" s="373" t="s">
        <v>439</v>
      </c>
      <c r="D59" s="366" t="s">
        <v>771</v>
      </c>
      <c r="E59" s="385">
        <v>42443</v>
      </c>
      <c r="F59" s="366" t="s">
        <v>772</v>
      </c>
      <c r="G59" s="366" t="s">
        <v>773</v>
      </c>
      <c r="H59" s="366" t="s">
        <v>772</v>
      </c>
      <c r="I59" s="366" t="s">
        <v>774</v>
      </c>
      <c r="J59" s="366" t="s">
        <v>777</v>
      </c>
      <c r="K59" s="366"/>
      <c r="L59" s="366" t="s">
        <v>775</v>
      </c>
      <c r="M59" s="366" t="s">
        <v>776</v>
      </c>
      <c r="N59" s="366" t="s">
        <v>195</v>
      </c>
      <c r="O59" s="377" t="s">
        <v>454</v>
      </c>
    </row>
    <row r="60" spans="2:15" x14ac:dyDescent="0.25">
      <c r="B60" s="369" t="s">
        <v>366</v>
      </c>
      <c r="C60" s="372" t="s">
        <v>415</v>
      </c>
      <c r="D60" s="365" t="s">
        <v>778</v>
      </c>
      <c r="E60" s="384">
        <v>41701</v>
      </c>
      <c r="F60" s="365" t="s">
        <v>779</v>
      </c>
      <c r="G60" s="365" t="s">
        <v>780</v>
      </c>
      <c r="H60" s="365"/>
      <c r="I60" s="365" t="s">
        <v>781</v>
      </c>
      <c r="J60" s="365" t="s">
        <v>714</v>
      </c>
      <c r="K60" s="365"/>
      <c r="L60" s="365" t="s">
        <v>782</v>
      </c>
      <c r="M60" s="365" t="s">
        <v>783</v>
      </c>
      <c r="N60" s="365" t="s">
        <v>195</v>
      </c>
      <c r="O60" s="376" t="s">
        <v>454</v>
      </c>
    </row>
    <row r="61" spans="2:15" x14ac:dyDescent="0.25">
      <c r="B61" s="369" t="s">
        <v>367</v>
      </c>
      <c r="C61" s="373" t="s">
        <v>415</v>
      </c>
      <c r="D61" s="366" t="s">
        <v>784</v>
      </c>
      <c r="E61" s="385">
        <v>39022</v>
      </c>
      <c r="F61" s="366" t="s">
        <v>785</v>
      </c>
      <c r="G61" s="366" t="s">
        <v>786</v>
      </c>
      <c r="H61" s="366" t="s">
        <v>787</v>
      </c>
      <c r="I61" s="366" t="s">
        <v>788</v>
      </c>
      <c r="J61" s="366" t="s">
        <v>791</v>
      </c>
      <c r="K61" s="366"/>
      <c r="L61" s="366" t="s">
        <v>789</v>
      </c>
      <c r="M61" s="366" t="s">
        <v>790</v>
      </c>
      <c r="N61" s="366" t="s">
        <v>195</v>
      </c>
      <c r="O61" s="377" t="s">
        <v>422</v>
      </c>
    </row>
    <row r="62" spans="2:15" x14ac:dyDescent="0.25">
      <c r="B62" s="369" t="s">
        <v>368</v>
      </c>
      <c r="C62" s="372" t="s">
        <v>415</v>
      </c>
      <c r="D62" s="365" t="s">
        <v>792</v>
      </c>
      <c r="E62" s="384">
        <v>41426</v>
      </c>
      <c r="F62" s="365" t="s">
        <v>793</v>
      </c>
      <c r="G62" s="365" t="s">
        <v>794</v>
      </c>
      <c r="H62" s="365" t="s">
        <v>793</v>
      </c>
      <c r="I62" s="365" t="s">
        <v>795</v>
      </c>
      <c r="J62" s="365" t="s">
        <v>798</v>
      </c>
      <c r="K62" s="365"/>
      <c r="L62" s="365" t="s">
        <v>796</v>
      </c>
      <c r="M62" s="365" t="s">
        <v>797</v>
      </c>
      <c r="N62" s="365" t="s">
        <v>195</v>
      </c>
      <c r="O62" s="376" t="s">
        <v>422</v>
      </c>
    </row>
    <row r="63" spans="2:15" x14ac:dyDescent="0.25">
      <c r="B63" s="369" t="s">
        <v>369</v>
      </c>
      <c r="C63" s="373" t="s">
        <v>415</v>
      </c>
      <c r="D63" s="366" t="s">
        <v>799</v>
      </c>
      <c r="E63" s="385">
        <v>42551</v>
      </c>
      <c r="F63" s="366" t="s">
        <v>800</v>
      </c>
      <c r="G63" s="366" t="s">
        <v>800</v>
      </c>
      <c r="H63" s="366" t="s">
        <v>800</v>
      </c>
      <c r="I63" s="366" t="s">
        <v>801</v>
      </c>
      <c r="J63" s="366" t="s">
        <v>804</v>
      </c>
      <c r="K63" s="366"/>
      <c r="L63" s="366" t="s">
        <v>802</v>
      </c>
      <c r="M63" s="366" t="s">
        <v>803</v>
      </c>
      <c r="N63" s="366" t="s">
        <v>195</v>
      </c>
      <c r="O63" s="377" t="s">
        <v>454</v>
      </c>
    </row>
    <row r="64" spans="2:15" x14ac:dyDescent="0.25">
      <c r="B64" s="369" t="s">
        <v>370</v>
      </c>
      <c r="C64" s="372" t="s">
        <v>439</v>
      </c>
      <c r="D64" s="365" t="s">
        <v>805</v>
      </c>
      <c r="E64" s="384">
        <v>40357</v>
      </c>
      <c r="F64" s="365" t="s">
        <v>806</v>
      </c>
      <c r="G64" s="365" t="s">
        <v>807</v>
      </c>
      <c r="H64" s="365" t="s">
        <v>808</v>
      </c>
      <c r="I64" s="365" t="s">
        <v>809</v>
      </c>
      <c r="J64" s="365" t="s">
        <v>541</v>
      </c>
      <c r="K64" s="365"/>
      <c r="L64" s="365" t="s">
        <v>810</v>
      </c>
      <c r="M64" s="365" t="s">
        <v>811</v>
      </c>
      <c r="N64" s="365" t="s">
        <v>195</v>
      </c>
      <c r="O64" s="376" t="s">
        <v>422</v>
      </c>
    </row>
    <row r="65" spans="2:15" x14ac:dyDescent="0.25">
      <c r="B65" s="369" t="s">
        <v>371</v>
      </c>
      <c r="C65" s="373" t="s">
        <v>415</v>
      </c>
      <c r="D65" s="366" t="s">
        <v>812</v>
      </c>
      <c r="E65" s="385">
        <v>40560</v>
      </c>
      <c r="F65" s="366" t="s">
        <v>813</v>
      </c>
      <c r="G65" s="366" t="s">
        <v>814</v>
      </c>
      <c r="H65" s="366"/>
      <c r="I65" s="366" t="s">
        <v>815</v>
      </c>
      <c r="J65" s="366" t="s">
        <v>818</v>
      </c>
      <c r="K65" s="366"/>
      <c r="L65" s="366" t="s">
        <v>816</v>
      </c>
      <c r="M65" s="366" t="s">
        <v>817</v>
      </c>
      <c r="N65" s="366" t="s">
        <v>195</v>
      </c>
      <c r="O65" s="377" t="s">
        <v>422</v>
      </c>
    </row>
    <row r="66" spans="2:15" x14ac:dyDescent="0.25">
      <c r="B66" s="369" t="s">
        <v>372</v>
      </c>
      <c r="C66" s="372" t="s">
        <v>415</v>
      </c>
      <c r="D66" s="365" t="s">
        <v>819</v>
      </c>
      <c r="E66" s="384">
        <v>42339</v>
      </c>
      <c r="F66" s="365" t="s">
        <v>820</v>
      </c>
      <c r="G66" s="365" t="s">
        <v>821</v>
      </c>
      <c r="H66" s="365" t="s">
        <v>820</v>
      </c>
      <c r="I66" s="365" t="s">
        <v>822</v>
      </c>
      <c r="J66" s="365" t="s">
        <v>825</v>
      </c>
      <c r="K66" s="365"/>
      <c r="L66" s="365" t="s">
        <v>823</v>
      </c>
      <c r="M66" s="365" t="s">
        <v>824</v>
      </c>
      <c r="N66" s="365" t="s">
        <v>195</v>
      </c>
      <c r="O66" s="376" t="s">
        <v>422</v>
      </c>
    </row>
    <row r="67" spans="2:15" x14ac:dyDescent="0.25">
      <c r="B67" s="369" t="s">
        <v>373</v>
      </c>
      <c r="C67" s="373" t="s">
        <v>415</v>
      </c>
      <c r="D67" s="366" t="s">
        <v>826</v>
      </c>
      <c r="E67" s="385">
        <v>42653</v>
      </c>
      <c r="F67" s="366" t="s">
        <v>827</v>
      </c>
      <c r="G67" s="366" t="s">
        <v>828</v>
      </c>
      <c r="H67" s="366" t="s">
        <v>829</v>
      </c>
      <c r="I67" s="366" t="s">
        <v>830</v>
      </c>
      <c r="J67" s="366" t="s">
        <v>833</v>
      </c>
      <c r="K67" s="366"/>
      <c r="L67" s="366" t="s">
        <v>831</v>
      </c>
      <c r="M67" s="366" t="s">
        <v>832</v>
      </c>
      <c r="N67" s="366" t="s">
        <v>195</v>
      </c>
      <c r="O67" s="377" t="s">
        <v>454</v>
      </c>
    </row>
    <row r="68" spans="2:15" x14ac:dyDescent="0.25">
      <c r="B68" s="369" t="s">
        <v>374</v>
      </c>
      <c r="C68" s="372" t="s">
        <v>415</v>
      </c>
      <c r="D68" s="365" t="s">
        <v>834</v>
      </c>
      <c r="E68" s="384">
        <v>42744</v>
      </c>
      <c r="F68" s="365" t="s">
        <v>835</v>
      </c>
      <c r="G68" s="365" t="s">
        <v>661</v>
      </c>
      <c r="H68" s="365"/>
      <c r="I68" s="365"/>
      <c r="J68" s="365" t="s">
        <v>838</v>
      </c>
      <c r="K68" s="365"/>
      <c r="L68" s="365" t="s">
        <v>836</v>
      </c>
      <c r="M68" s="365" t="s">
        <v>837</v>
      </c>
      <c r="N68" s="365" t="s">
        <v>195</v>
      </c>
      <c r="O68" s="376" t="s">
        <v>454</v>
      </c>
    </row>
    <row r="69" spans="2:15" x14ac:dyDescent="0.25">
      <c r="B69" s="369" t="s">
        <v>375</v>
      </c>
      <c r="C69" s="373" t="s">
        <v>439</v>
      </c>
      <c r="D69" s="366" t="s">
        <v>839</v>
      </c>
      <c r="E69" s="385">
        <v>42736</v>
      </c>
      <c r="F69" s="366" t="s">
        <v>840</v>
      </c>
      <c r="G69" s="366" t="s">
        <v>841</v>
      </c>
      <c r="H69" s="366" t="s">
        <v>842</v>
      </c>
      <c r="I69" s="366" t="s">
        <v>843</v>
      </c>
      <c r="J69" s="366" t="s">
        <v>846</v>
      </c>
      <c r="K69" s="366"/>
      <c r="L69" s="366" t="s">
        <v>844</v>
      </c>
      <c r="M69" s="366" t="s">
        <v>845</v>
      </c>
      <c r="N69" s="366" t="s">
        <v>195</v>
      </c>
      <c r="O69" s="377" t="s">
        <v>454</v>
      </c>
    </row>
    <row r="70" spans="2:15" x14ac:dyDescent="0.25">
      <c r="B70" s="369" t="s">
        <v>376</v>
      </c>
      <c r="C70" s="372" t="s">
        <v>638</v>
      </c>
      <c r="D70" s="365" t="s">
        <v>847</v>
      </c>
      <c r="E70" s="384">
        <v>41484</v>
      </c>
      <c r="F70" s="365" t="s">
        <v>848</v>
      </c>
      <c r="G70" s="365" t="s">
        <v>849</v>
      </c>
      <c r="H70" s="365"/>
      <c r="I70" s="365" t="s">
        <v>850</v>
      </c>
      <c r="J70" s="365" t="s">
        <v>853</v>
      </c>
      <c r="K70" s="365"/>
      <c r="L70" s="365" t="s">
        <v>851</v>
      </c>
      <c r="M70" s="365" t="s">
        <v>852</v>
      </c>
      <c r="N70" s="365" t="s">
        <v>195</v>
      </c>
      <c r="O70" s="376" t="s">
        <v>422</v>
      </c>
    </row>
    <row r="71" spans="2:15" x14ac:dyDescent="0.25">
      <c r="B71" s="369" t="s">
        <v>377</v>
      </c>
      <c r="C71" s="373" t="s">
        <v>439</v>
      </c>
      <c r="D71" s="366" t="s">
        <v>854</v>
      </c>
      <c r="E71" s="385">
        <v>41967</v>
      </c>
      <c r="F71" s="366" t="s">
        <v>855</v>
      </c>
      <c r="G71" s="366" t="s">
        <v>856</v>
      </c>
      <c r="H71" s="366" t="s">
        <v>855</v>
      </c>
      <c r="I71" s="366" t="s">
        <v>857</v>
      </c>
      <c r="J71" s="366" t="s">
        <v>860</v>
      </c>
      <c r="K71" s="366"/>
      <c r="L71" s="366" t="s">
        <v>858</v>
      </c>
      <c r="M71" s="366" t="s">
        <v>859</v>
      </c>
      <c r="N71" s="366" t="s">
        <v>195</v>
      </c>
      <c r="O71" s="377" t="s">
        <v>422</v>
      </c>
    </row>
    <row r="72" spans="2:15" x14ac:dyDescent="0.25">
      <c r="B72" s="369" t="s">
        <v>378</v>
      </c>
      <c r="C72" s="372" t="s">
        <v>415</v>
      </c>
      <c r="D72" s="365" t="s">
        <v>861</v>
      </c>
      <c r="E72" s="384">
        <v>41414</v>
      </c>
      <c r="F72" s="365" t="s">
        <v>862</v>
      </c>
      <c r="G72" s="365" t="s">
        <v>863</v>
      </c>
      <c r="H72" s="365"/>
      <c r="I72" s="365" t="s">
        <v>864</v>
      </c>
      <c r="J72" s="365" t="s">
        <v>867</v>
      </c>
      <c r="K72" s="365"/>
      <c r="L72" s="365" t="s">
        <v>865</v>
      </c>
      <c r="M72" s="365" t="s">
        <v>866</v>
      </c>
      <c r="N72" s="365" t="s">
        <v>195</v>
      </c>
      <c r="O72" s="376" t="s">
        <v>422</v>
      </c>
    </row>
    <row r="73" spans="2:15" x14ac:dyDescent="0.25">
      <c r="B73" s="369" t="s">
        <v>379</v>
      </c>
      <c r="C73" s="373" t="s">
        <v>415</v>
      </c>
      <c r="D73" s="366" t="s">
        <v>868</v>
      </c>
      <c r="E73" s="385">
        <v>41115</v>
      </c>
      <c r="F73" s="366" t="s">
        <v>869</v>
      </c>
      <c r="G73" s="366" t="s">
        <v>870</v>
      </c>
      <c r="H73" s="366"/>
      <c r="I73" s="366" t="s">
        <v>871</v>
      </c>
      <c r="J73" s="366" t="s">
        <v>853</v>
      </c>
      <c r="K73" s="366"/>
      <c r="L73" s="366" t="s">
        <v>872</v>
      </c>
      <c r="M73" s="366" t="s">
        <v>873</v>
      </c>
      <c r="N73" s="366" t="s">
        <v>195</v>
      </c>
      <c r="O73" s="377" t="s">
        <v>422</v>
      </c>
    </row>
    <row r="74" spans="2:15" x14ac:dyDescent="0.25">
      <c r="B74" s="369" t="s">
        <v>380</v>
      </c>
      <c r="C74" s="372" t="s">
        <v>415</v>
      </c>
      <c r="D74" s="365" t="s">
        <v>874</v>
      </c>
      <c r="E74" s="384">
        <v>42795</v>
      </c>
      <c r="F74" s="365" t="s">
        <v>875</v>
      </c>
      <c r="G74" s="365" t="s">
        <v>876</v>
      </c>
      <c r="H74" s="365" t="s">
        <v>877</v>
      </c>
      <c r="I74" s="365" t="s">
        <v>878</v>
      </c>
      <c r="J74" s="365" t="s">
        <v>881</v>
      </c>
      <c r="K74" s="365"/>
      <c r="L74" s="365" t="s">
        <v>879</v>
      </c>
      <c r="M74" s="365" t="s">
        <v>880</v>
      </c>
      <c r="N74" s="365" t="s">
        <v>195</v>
      </c>
      <c r="O74" s="376" t="s">
        <v>422</v>
      </c>
    </row>
    <row r="75" spans="2:15" x14ac:dyDescent="0.25">
      <c r="B75" s="369" t="s">
        <v>381</v>
      </c>
      <c r="C75" s="373" t="s">
        <v>415</v>
      </c>
      <c r="D75" s="366" t="s">
        <v>882</v>
      </c>
      <c r="E75" s="385">
        <v>36083</v>
      </c>
      <c r="F75" s="366" t="s">
        <v>883</v>
      </c>
      <c r="G75" s="366" t="s">
        <v>884</v>
      </c>
      <c r="H75" s="366"/>
      <c r="I75" s="366" t="s">
        <v>885</v>
      </c>
      <c r="J75" s="366" t="s">
        <v>888</v>
      </c>
      <c r="K75" s="366"/>
      <c r="L75" s="366" t="s">
        <v>886</v>
      </c>
      <c r="M75" s="366" t="s">
        <v>887</v>
      </c>
      <c r="N75" s="366" t="s">
        <v>195</v>
      </c>
      <c r="O75" s="377" t="s">
        <v>422</v>
      </c>
    </row>
    <row r="76" spans="2:15" x14ac:dyDescent="0.25">
      <c r="B76" s="369" t="s">
        <v>382</v>
      </c>
      <c r="C76" s="372" t="s">
        <v>415</v>
      </c>
      <c r="D76" s="365" t="s">
        <v>889</v>
      </c>
      <c r="E76" s="384">
        <v>35065</v>
      </c>
      <c r="F76" s="365" t="s">
        <v>890</v>
      </c>
      <c r="G76" s="365" t="s">
        <v>891</v>
      </c>
      <c r="H76" s="365" t="s">
        <v>890</v>
      </c>
      <c r="I76" s="365" t="s">
        <v>892</v>
      </c>
      <c r="J76" s="365" t="s">
        <v>895</v>
      </c>
      <c r="K76" s="365"/>
      <c r="L76" s="365" t="s">
        <v>893</v>
      </c>
      <c r="M76" s="365" t="s">
        <v>894</v>
      </c>
      <c r="N76" s="365" t="s">
        <v>195</v>
      </c>
      <c r="O76" s="376" t="s">
        <v>422</v>
      </c>
    </row>
    <row r="77" spans="2:15" x14ac:dyDescent="0.25">
      <c r="B77" s="369" t="s">
        <v>383</v>
      </c>
      <c r="C77" s="373" t="s">
        <v>415</v>
      </c>
      <c r="D77" s="366" t="s">
        <v>896</v>
      </c>
      <c r="E77" s="385">
        <v>42800</v>
      </c>
      <c r="F77" s="366" t="s">
        <v>897</v>
      </c>
      <c r="G77" s="366" t="s">
        <v>898</v>
      </c>
      <c r="H77" s="366"/>
      <c r="I77" s="366" t="s">
        <v>899</v>
      </c>
      <c r="J77" s="366" t="s">
        <v>902</v>
      </c>
      <c r="K77" s="366"/>
      <c r="L77" s="366" t="s">
        <v>900</v>
      </c>
      <c r="M77" s="366" t="s">
        <v>901</v>
      </c>
      <c r="N77" s="366" t="s">
        <v>195</v>
      </c>
      <c r="O77" s="377" t="s">
        <v>422</v>
      </c>
    </row>
    <row r="78" spans="2:15" x14ac:dyDescent="0.25">
      <c r="B78" s="369" t="s">
        <v>384</v>
      </c>
      <c r="C78" s="372" t="s">
        <v>415</v>
      </c>
      <c r="D78" s="365" t="s">
        <v>903</v>
      </c>
      <c r="E78" s="384">
        <v>42750</v>
      </c>
      <c r="F78" s="365" t="s">
        <v>904</v>
      </c>
      <c r="G78" s="365" t="s">
        <v>905</v>
      </c>
      <c r="H78" s="365" t="s">
        <v>906</v>
      </c>
      <c r="I78" s="365" t="s">
        <v>907</v>
      </c>
      <c r="J78" s="365" t="s">
        <v>910</v>
      </c>
      <c r="K78" s="365"/>
      <c r="L78" s="365" t="s">
        <v>908</v>
      </c>
      <c r="M78" s="365" t="s">
        <v>909</v>
      </c>
      <c r="N78" s="365" t="s">
        <v>195</v>
      </c>
      <c r="O78" s="376" t="s">
        <v>422</v>
      </c>
    </row>
    <row r="79" spans="2:15" x14ac:dyDescent="0.25">
      <c r="B79" s="369" t="s">
        <v>385</v>
      </c>
      <c r="C79" s="373" t="s">
        <v>439</v>
      </c>
      <c r="D79" s="366" t="s">
        <v>911</v>
      </c>
      <c r="E79" s="385">
        <v>42662</v>
      </c>
      <c r="F79" s="366" t="s">
        <v>912</v>
      </c>
      <c r="G79" s="366" t="s">
        <v>913</v>
      </c>
      <c r="H79" s="366"/>
      <c r="I79" s="366"/>
      <c r="J79" s="366" t="s">
        <v>916</v>
      </c>
      <c r="K79" s="366"/>
      <c r="L79" s="366" t="s">
        <v>914</v>
      </c>
      <c r="M79" s="366" t="s">
        <v>915</v>
      </c>
      <c r="N79" s="366" t="s">
        <v>195</v>
      </c>
      <c r="O79" s="377" t="s">
        <v>454</v>
      </c>
    </row>
    <row r="80" spans="2:15" x14ac:dyDescent="0.25">
      <c r="B80" s="369" t="s">
        <v>386</v>
      </c>
      <c r="C80" s="372" t="s">
        <v>439</v>
      </c>
      <c r="D80" s="365" t="s">
        <v>917</v>
      </c>
      <c r="E80" s="384">
        <v>42592</v>
      </c>
      <c r="F80" s="365" t="s">
        <v>918</v>
      </c>
      <c r="G80" s="365" t="s">
        <v>919</v>
      </c>
      <c r="H80" s="365" t="s">
        <v>918</v>
      </c>
      <c r="I80" s="365" t="s">
        <v>614</v>
      </c>
      <c r="J80" s="365" t="s">
        <v>922</v>
      </c>
      <c r="K80" s="365"/>
      <c r="L80" s="365" t="s">
        <v>920</v>
      </c>
      <c r="M80" s="365" t="s">
        <v>921</v>
      </c>
      <c r="N80" s="365" t="s">
        <v>195</v>
      </c>
      <c r="O80" s="376" t="s">
        <v>454</v>
      </c>
    </row>
    <row r="81" spans="2:15" x14ac:dyDescent="0.25">
      <c r="B81" s="369" t="s">
        <v>387</v>
      </c>
      <c r="C81" s="373" t="s">
        <v>415</v>
      </c>
      <c r="D81" s="366" t="s">
        <v>923</v>
      </c>
      <c r="E81" s="385">
        <v>42551</v>
      </c>
      <c r="F81" s="366" t="s">
        <v>924</v>
      </c>
      <c r="G81" s="366" t="s">
        <v>925</v>
      </c>
      <c r="H81" s="366" t="s">
        <v>924</v>
      </c>
      <c r="I81" s="366" t="s">
        <v>926</v>
      </c>
      <c r="J81" s="366" t="s">
        <v>929</v>
      </c>
      <c r="K81" s="366"/>
      <c r="L81" s="366" t="s">
        <v>927</v>
      </c>
      <c r="M81" s="366" t="s">
        <v>928</v>
      </c>
      <c r="N81" s="366" t="s">
        <v>195</v>
      </c>
      <c r="O81" s="377" t="s">
        <v>454</v>
      </c>
    </row>
    <row r="82" spans="2:15" x14ac:dyDescent="0.25">
      <c r="B82" s="369" t="s">
        <v>388</v>
      </c>
      <c r="C82" s="372" t="s">
        <v>415</v>
      </c>
      <c r="D82" s="365" t="s">
        <v>930</v>
      </c>
      <c r="E82" s="384">
        <v>42522</v>
      </c>
      <c r="F82" s="365" t="s">
        <v>931</v>
      </c>
      <c r="G82" s="365" t="s">
        <v>932</v>
      </c>
      <c r="H82" s="365"/>
      <c r="I82" s="365" t="s">
        <v>669</v>
      </c>
      <c r="J82" s="365" t="s">
        <v>935</v>
      </c>
      <c r="K82" s="365"/>
      <c r="L82" s="365" t="s">
        <v>933</v>
      </c>
      <c r="M82" s="365" t="s">
        <v>934</v>
      </c>
      <c r="N82" s="365" t="s">
        <v>195</v>
      </c>
      <c r="O82" s="376" t="s">
        <v>422</v>
      </c>
    </row>
    <row r="83" spans="2:15" x14ac:dyDescent="0.25">
      <c r="B83" s="369" t="s">
        <v>389</v>
      </c>
      <c r="C83" s="373" t="s">
        <v>439</v>
      </c>
      <c r="D83" s="366" t="s">
        <v>936</v>
      </c>
      <c r="E83" s="385">
        <v>42902</v>
      </c>
      <c r="F83" s="366" t="s">
        <v>937</v>
      </c>
      <c r="G83" s="366" t="s">
        <v>938</v>
      </c>
      <c r="H83" s="366" t="s">
        <v>937</v>
      </c>
      <c r="I83" s="366" t="s">
        <v>939</v>
      </c>
      <c r="J83" s="366" t="s">
        <v>942</v>
      </c>
      <c r="K83" s="366"/>
      <c r="L83" s="366" t="s">
        <v>940</v>
      </c>
      <c r="M83" s="366" t="s">
        <v>941</v>
      </c>
      <c r="N83" s="366" t="s">
        <v>195</v>
      </c>
      <c r="O83" s="377" t="s">
        <v>454</v>
      </c>
    </row>
    <row r="84" spans="2:15" x14ac:dyDescent="0.25">
      <c r="B84" s="369" t="s">
        <v>390</v>
      </c>
      <c r="C84" s="372" t="s">
        <v>415</v>
      </c>
      <c r="D84" s="365" t="s">
        <v>943</v>
      </c>
      <c r="E84" s="384">
        <v>41148</v>
      </c>
      <c r="F84" s="365" t="s">
        <v>944</v>
      </c>
      <c r="G84" s="365" t="s">
        <v>945</v>
      </c>
      <c r="H84" s="365" t="s">
        <v>944</v>
      </c>
      <c r="I84" s="365" t="s">
        <v>607</v>
      </c>
      <c r="J84" s="365" t="s">
        <v>948</v>
      </c>
      <c r="K84" s="365"/>
      <c r="L84" s="365" t="s">
        <v>946</v>
      </c>
      <c r="M84" s="365" t="s">
        <v>947</v>
      </c>
      <c r="N84" s="365" t="s">
        <v>195</v>
      </c>
      <c r="O84" s="376" t="s">
        <v>422</v>
      </c>
    </row>
    <row r="85" spans="2:15" x14ac:dyDescent="0.25">
      <c r="B85" s="369" t="s">
        <v>391</v>
      </c>
      <c r="C85" s="373" t="s">
        <v>439</v>
      </c>
      <c r="D85" s="366" t="s">
        <v>949</v>
      </c>
      <c r="E85" s="385">
        <v>42291</v>
      </c>
      <c r="F85" s="366" t="s">
        <v>950</v>
      </c>
      <c r="G85" s="366" t="s">
        <v>951</v>
      </c>
      <c r="H85" s="366" t="s">
        <v>950</v>
      </c>
      <c r="I85" s="366" t="s">
        <v>952</v>
      </c>
      <c r="J85" s="366" t="s">
        <v>955</v>
      </c>
      <c r="K85" s="366"/>
      <c r="L85" s="366" t="s">
        <v>953</v>
      </c>
      <c r="M85" s="366" t="s">
        <v>954</v>
      </c>
      <c r="N85" s="366" t="s">
        <v>195</v>
      </c>
      <c r="O85" s="377" t="s">
        <v>454</v>
      </c>
    </row>
    <row r="86" spans="2:15" x14ac:dyDescent="0.25">
      <c r="B86" s="369" t="s">
        <v>392</v>
      </c>
      <c r="C86" s="372" t="s">
        <v>415</v>
      </c>
      <c r="D86" s="365" t="s">
        <v>956</v>
      </c>
      <c r="E86" s="384">
        <v>36290</v>
      </c>
      <c r="F86" s="365" t="s">
        <v>957</v>
      </c>
      <c r="G86" s="365" t="s">
        <v>958</v>
      </c>
      <c r="H86" s="365"/>
      <c r="I86" s="365" t="s">
        <v>959</v>
      </c>
      <c r="J86" s="365" t="s">
        <v>962</v>
      </c>
      <c r="K86" s="365"/>
      <c r="L86" s="365" t="s">
        <v>960</v>
      </c>
      <c r="M86" s="365" t="s">
        <v>961</v>
      </c>
      <c r="N86" s="365" t="s">
        <v>195</v>
      </c>
      <c r="O86" s="376" t="s">
        <v>422</v>
      </c>
    </row>
    <row r="87" spans="2:15" x14ac:dyDescent="0.25">
      <c r="B87" s="369" t="s">
        <v>393</v>
      </c>
      <c r="C87" s="373" t="s">
        <v>439</v>
      </c>
      <c r="D87" s="366" t="s">
        <v>963</v>
      </c>
      <c r="E87" s="385">
        <v>42515</v>
      </c>
      <c r="F87" s="366" t="s">
        <v>964</v>
      </c>
      <c r="G87" s="366" t="s">
        <v>965</v>
      </c>
      <c r="H87" s="366" t="s">
        <v>964</v>
      </c>
      <c r="I87" s="366" t="s">
        <v>966</v>
      </c>
      <c r="J87" s="366" t="s">
        <v>969</v>
      </c>
      <c r="K87" s="366"/>
      <c r="L87" s="366" t="s">
        <v>967</v>
      </c>
      <c r="M87" s="366" t="s">
        <v>968</v>
      </c>
      <c r="N87" s="366" t="s">
        <v>195</v>
      </c>
      <c r="O87" s="377" t="s">
        <v>454</v>
      </c>
    </row>
    <row r="88" spans="2:15" x14ac:dyDescent="0.25">
      <c r="B88" s="369" t="s">
        <v>394</v>
      </c>
      <c r="C88" s="372" t="s">
        <v>415</v>
      </c>
      <c r="D88" s="365" t="s">
        <v>970</v>
      </c>
      <c r="E88" s="384">
        <v>42744</v>
      </c>
      <c r="F88" s="365" t="s">
        <v>971</v>
      </c>
      <c r="G88" s="365" t="s">
        <v>972</v>
      </c>
      <c r="H88" s="365"/>
      <c r="I88" s="365" t="s">
        <v>973</v>
      </c>
      <c r="J88" s="365" t="s">
        <v>976</v>
      </c>
      <c r="K88" s="365"/>
      <c r="L88" s="365" t="s">
        <v>974</v>
      </c>
      <c r="M88" s="365" t="s">
        <v>975</v>
      </c>
      <c r="N88" s="365" t="s">
        <v>195</v>
      </c>
      <c r="O88" s="376" t="s">
        <v>454</v>
      </c>
    </row>
    <row r="89" spans="2:15" x14ac:dyDescent="0.25">
      <c r="B89" s="369" t="s">
        <v>395</v>
      </c>
      <c r="C89" s="373" t="s">
        <v>439</v>
      </c>
      <c r="D89" s="366" t="s">
        <v>977</v>
      </c>
      <c r="E89" s="385">
        <v>41549</v>
      </c>
      <c r="F89" s="366" t="s">
        <v>978</v>
      </c>
      <c r="G89" s="366" t="s">
        <v>979</v>
      </c>
      <c r="H89" s="366" t="s">
        <v>978</v>
      </c>
      <c r="I89" s="366" t="s">
        <v>980</v>
      </c>
      <c r="J89" s="366" t="s">
        <v>983</v>
      </c>
      <c r="K89" s="366"/>
      <c r="L89" s="366" t="s">
        <v>981</v>
      </c>
      <c r="M89" s="366" t="s">
        <v>982</v>
      </c>
      <c r="N89" s="366" t="s">
        <v>195</v>
      </c>
      <c r="O89" s="377" t="s">
        <v>454</v>
      </c>
    </row>
    <row r="90" spans="2:15" x14ac:dyDescent="0.25">
      <c r="B90" s="369" t="s">
        <v>396</v>
      </c>
      <c r="C90" s="372" t="s">
        <v>415</v>
      </c>
      <c r="D90" s="365" t="s">
        <v>984</v>
      </c>
      <c r="E90" s="384">
        <v>42625</v>
      </c>
      <c r="F90" s="365" t="s">
        <v>653</v>
      </c>
      <c r="G90" s="365" t="s">
        <v>985</v>
      </c>
      <c r="H90" s="365" t="s">
        <v>653</v>
      </c>
      <c r="I90" s="365" t="s">
        <v>986</v>
      </c>
      <c r="J90" s="365" t="s">
        <v>989</v>
      </c>
      <c r="K90" s="365"/>
      <c r="L90" s="365" t="s">
        <v>987</v>
      </c>
      <c r="M90" s="365" t="s">
        <v>988</v>
      </c>
      <c r="N90" s="365" t="s">
        <v>195</v>
      </c>
      <c r="O90" s="376" t="s">
        <v>454</v>
      </c>
    </row>
    <row r="91" spans="2:15" x14ac:dyDescent="0.25">
      <c r="B91" s="369" t="s">
        <v>397</v>
      </c>
      <c r="C91" s="373" t="s">
        <v>415</v>
      </c>
      <c r="D91" s="366" t="s">
        <v>990</v>
      </c>
      <c r="E91" s="385">
        <v>42684</v>
      </c>
      <c r="F91" s="366" t="s">
        <v>991</v>
      </c>
      <c r="G91" s="366" t="s">
        <v>992</v>
      </c>
      <c r="H91" s="366" t="s">
        <v>993</v>
      </c>
      <c r="I91" s="366" t="s">
        <v>538</v>
      </c>
      <c r="J91" s="366" t="s">
        <v>996</v>
      </c>
      <c r="K91" s="366"/>
      <c r="L91" s="366" t="s">
        <v>994</v>
      </c>
      <c r="M91" s="366" t="s">
        <v>995</v>
      </c>
      <c r="N91" s="366" t="s">
        <v>195</v>
      </c>
      <c r="O91" s="377" t="s">
        <v>454</v>
      </c>
    </row>
    <row r="92" spans="2:15" x14ac:dyDescent="0.25">
      <c r="B92" s="369" t="s">
        <v>398</v>
      </c>
      <c r="C92" s="372" t="s">
        <v>415</v>
      </c>
      <c r="D92" s="365" t="s">
        <v>997</v>
      </c>
      <c r="E92" s="384">
        <v>42835</v>
      </c>
      <c r="F92" s="365" t="s">
        <v>998</v>
      </c>
      <c r="G92" s="365" t="s">
        <v>999</v>
      </c>
      <c r="H92" s="365"/>
      <c r="I92" s="365" t="s">
        <v>1000</v>
      </c>
      <c r="J92" s="365" t="s">
        <v>1003</v>
      </c>
      <c r="K92" s="365"/>
      <c r="L92" s="365" t="s">
        <v>1001</v>
      </c>
      <c r="M92" s="365" t="s">
        <v>1002</v>
      </c>
      <c r="N92" s="365" t="s">
        <v>195</v>
      </c>
      <c r="O92" s="376" t="s">
        <v>422</v>
      </c>
    </row>
    <row r="93" spans="2:15" x14ac:dyDescent="0.25">
      <c r="B93" s="369" t="s">
        <v>1011</v>
      </c>
      <c r="C93" s="373" t="s">
        <v>415</v>
      </c>
      <c r="D93" s="366" t="s">
        <v>1004</v>
      </c>
      <c r="E93" s="385">
        <v>41897</v>
      </c>
      <c r="F93" s="366" t="s">
        <v>1005</v>
      </c>
      <c r="G93" s="366" t="s">
        <v>1006</v>
      </c>
      <c r="H93" s="366"/>
      <c r="I93" s="366" t="s">
        <v>1007</v>
      </c>
      <c r="J93" s="366" t="s">
        <v>1010</v>
      </c>
      <c r="K93" s="366"/>
      <c r="L93" s="366" t="s">
        <v>1008</v>
      </c>
      <c r="M93" s="366" t="s">
        <v>1009</v>
      </c>
      <c r="N93" s="366" t="s">
        <v>195</v>
      </c>
      <c r="O93" s="377" t="s">
        <v>422</v>
      </c>
    </row>
    <row r="94" spans="2:15" x14ac:dyDescent="0.25">
      <c r="B94" s="369" t="s">
        <v>1019</v>
      </c>
      <c r="C94" s="372" t="s">
        <v>439</v>
      </c>
      <c r="D94" s="365" t="s">
        <v>1012</v>
      </c>
      <c r="E94" s="384">
        <v>42723</v>
      </c>
      <c r="F94" s="365" t="s">
        <v>1013</v>
      </c>
      <c r="G94" s="365" t="s">
        <v>1014</v>
      </c>
      <c r="H94" s="365" t="s">
        <v>1013</v>
      </c>
      <c r="I94" s="365" t="s">
        <v>1015</v>
      </c>
      <c r="J94" s="365" t="s">
        <v>1018</v>
      </c>
      <c r="K94" s="365"/>
      <c r="L94" s="365" t="s">
        <v>1016</v>
      </c>
      <c r="M94" s="365" t="s">
        <v>1017</v>
      </c>
      <c r="N94" s="365" t="s">
        <v>195</v>
      </c>
      <c r="O94" s="376" t="s">
        <v>454</v>
      </c>
    </row>
    <row r="95" spans="2:15" x14ac:dyDescent="0.25">
      <c r="B95" s="369" t="s">
        <v>1026</v>
      </c>
      <c r="C95" s="373" t="s">
        <v>415</v>
      </c>
      <c r="D95" s="366" t="s">
        <v>1020</v>
      </c>
      <c r="E95" s="385">
        <v>42431</v>
      </c>
      <c r="F95" s="366" t="s">
        <v>1021</v>
      </c>
      <c r="G95" s="366" t="s">
        <v>1022</v>
      </c>
      <c r="H95" s="366"/>
      <c r="I95" s="366"/>
      <c r="J95" s="366" t="s">
        <v>1025</v>
      </c>
      <c r="K95" s="366"/>
      <c r="L95" s="366" t="s">
        <v>1023</v>
      </c>
      <c r="M95" s="366" t="s">
        <v>1024</v>
      </c>
      <c r="N95" s="366" t="s">
        <v>195</v>
      </c>
      <c r="O95" s="377" t="s">
        <v>454</v>
      </c>
    </row>
    <row r="96" spans="2:15" x14ac:dyDescent="0.25">
      <c r="B96" s="369" t="s">
        <v>1034</v>
      </c>
      <c r="C96" s="372" t="s">
        <v>439</v>
      </c>
      <c r="D96" s="365" t="s">
        <v>1027</v>
      </c>
      <c r="E96" s="384">
        <v>42716</v>
      </c>
      <c r="F96" s="365" t="s">
        <v>1028</v>
      </c>
      <c r="G96" s="365" t="s">
        <v>1029</v>
      </c>
      <c r="H96" s="365" t="s">
        <v>1028</v>
      </c>
      <c r="I96" s="365" t="s">
        <v>1030</v>
      </c>
      <c r="J96" s="365" t="s">
        <v>1033</v>
      </c>
      <c r="K96" s="365"/>
      <c r="L96" s="365" t="s">
        <v>1031</v>
      </c>
      <c r="M96" s="365" t="s">
        <v>1032</v>
      </c>
      <c r="N96" s="365" t="s">
        <v>195</v>
      </c>
      <c r="O96" s="376" t="s">
        <v>454</v>
      </c>
    </row>
    <row r="97" spans="2:15" x14ac:dyDescent="0.25">
      <c r="B97" s="369" t="s">
        <v>1041</v>
      </c>
      <c r="C97" s="373" t="s">
        <v>439</v>
      </c>
      <c r="D97" s="366" t="s">
        <v>1035</v>
      </c>
      <c r="E97" s="385">
        <v>42696</v>
      </c>
      <c r="F97" s="366" t="s">
        <v>1036</v>
      </c>
      <c r="G97" s="366" t="s">
        <v>1037</v>
      </c>
      <c r="H97" s="366"/>
      <c r="I97" s="366"/>
      <c r="J97" s="366" t="s">
        <v>1040</v>
      </c>
      <c r="K97" s="366"/>
      <c r="L97" s="366" t="s">
        <v>1038</v>
      </c>
      <c r="M97" s="366" t="s">
        <v>1039</v>
      </c>
      <c r="N97" s="366" t="s">
        <v>195</v>
      </c>
      <c r="O97" s="377" t="s">
        <v>454</v>
      </c>
    </row>
    <row r="98" spans="2:15" x14ac:dyDescent="0.25">
      <c r="B98" s="369" t="s">
        <v>1049</v>
      </c>
      <c r="C98" s="372" t="s">
        <v>415</v>
      </c>
      <c r="D98" s="365" t="s">
        <v>1042</v>
      </c>
      <c r="E98" s="384">
        <v>39097</v>
      </c>
      <c r="F98" s="365" t="s">
        <v>1043</v>
      </c>
      <c r="G98" s="365" t="s">
        <v>1044</v>
      </c>
      <c r="H98" s="365"/>
      <c r="I98" s="365" t="s">
        <v>1045</v>
      </c>
      <c r="J98" s="365" t="s">
        <v>1048</v>
      </c>
      <c r="K98" s="365"/>
      <c r="L98" s="365" t="s">
        <v>1046</v>
      </c>
      <c r="M98" s="365" t="s">
        <v>1047</v>
      </c>
      <c r="N98" s="365" t="s">
        <v>195</v>
      </c>
      <c r="O98" s="376" t="s">
        <v>422</v>
      </c>
    </row>
    <row r="99" spans="2:15" x14ac:dyDescent="0.25">
      <c r="B99" s="369" t="s">
        <v>1057</v>
      </c>
      <c r="C99" s="373" t="s">
        <v>439</v>
      </c>
      <c r="D99" s="366" t="s">
        <v>1050</v>
      </c>
      <c r="E99" s="385">
        <v>42396</v>
      </c>
      <c r="F99" s="366" t="s">
        <v>1051</v>
      </c>
      <c r="G99" s="366" t="s">
        <v>1052</v>
      </c>
      <c r="H99" s="366" t="s">
        <v>1051</v>
      </c>
      <c r="I99" s="366" t="s">
        <v>1053</v>
      </c>
      <c r="J99" s="366" t="s">
        <v>1056</v>
      </c>
      <c r="K99" s="366"/>
      <c r="L99" s="366" t="s">
        <v>1054</v>
      </c>
      <c r="M99" s="366" t="s">
        <v>1055</v>
      </c>
      <c r="N99" s="366" t="s">
        <v>195</v>
      </c>
      <c r="O99" s="377" t="s">
        <v>454</v>
      </c>
    </row>
    <row r="100" spans="2:15" x14ac:dyDescent="0.25">
      <c r="B100" s="369" t="s">
        <v>1065</v>
      </c>
      <c r="C100" s="372" t="s">
        <v>439</v>
      </c>
      <c r="D100" s="365" t="s">
        <v>1058</v>
      </c>
      <c r="E100" s="384">
        <v>42877</v>
      </c>
      <c r="F100" s="365" t="s">
        <v>1059</v>
      </c>
      <c r="G100" s="365" t="s">
        <v>661</v>
      </c>
      <c r="H100" s="365" t="s">
        <v>1060</v>
      </c>
      <c r="I100" s="365" t="s">
        <v>1061</v>
      </c>
      <c r="J100" s="365" t="s">
        <v>1064</v>
      </c>
      <c r="K100" s="365"/>
      <c r="L100" s="365" t="s">
        <v>1062</v>
      </c>
      <c r="M100" s="365" t="s">
        <v>1063</v>
      </c>
      <c r="N100" s="365" t="s">
        <v>195</v>
      </c>
      <c r="O100" s="376" t="s">
        <v>422</v>
      </c>
    </row>
    <row r="101" spans="2:15" x14ac:dyDescent="0.25">
      <c r="B101" s="369" t="s">
        <v>1073</v>
      </c>
      <c r="C101" s="373" t="s">
        <v>415</v>
      </c>
      <c r="D101" s="366" t="s">
        <v>1066</v>
      </c>
      <c r="E101" s="385">
        <v>32752</v>
      </c>
      <c r="F101" s="366" t="s">
        <v>1067</v>
      </c>
      <c r="G101" s="366" t="s">
        <v>1068</v>
      </c>
      <c r="H101" s="366" t="s">
        <v>1069</v>
      </c>
      <c r="I101" s="366" t="s">
        <v>1070</v>
      </c>
      <c r="J101" s="366" t="s">
        <v>1070</v>
      </c>
      <c r="K101" s="366"/>
      <c r="L101" s="366" t="s">
        <v>1071</v>
      </c>
      <c r="M101" s="366" t="s">
        <v>1072</v>
      </c>
      <c r="N101" s="366" t="s">
        <v>195</v>
      </c>
      <c r="O101" s="377" t="s">
        <v>422</v>
      </c>
    </row>
    <row r="102" spans="2:15" x14ac:dyDescent="0.25">
      <c r="B102" s="369" t="s">
        <v>1080</v>
      </c>
      <c r="C102" s="372" t="s">
        <v>415</v>
      </c>
      <c r="D102" s="365" t="s">
        <v>1074</v>
      </c>
      <c r="E102" s="384">
        <v>42968</v>
      </c>
      <c r="F102" s="365" t="s">
        <v>1075</v>
      </c>
      <c r="G102" s="365" t="s">
        <v>1076</v>
      </c>
      <c r="H102" s="365"/>
      <c r="I102" s="365" t="s">
        <v>1077</v>
      </c>
      <c r="J102" s="365" t="s">
        <v>496</v>
      </c>
      <c r="K102" s="365"/>
      <c r="L102" s="365" t="s">
        <v>1078</v>
      </c>
      <c r="M102" s="365" t="s">
        <v>1079</v>
      </c>
      <c r="N102" s="365" t="s">
        <v>195</v>
      </c>
      <c r="O102" s="376" t="s">
        <v>422</v>
      </c>
    </row>
    <row r="103" spans="2:15" x14ac:dyDescent="0.25">
      <c r="B103" s="369" t="s">
        <v>1088</v>
      </c>
      <c r="C103" s="373" t="s">
        <v>415</v>
      </c>
      <c r="D103" s="366" t="s">
        <v>1081</v>
      </c>
      <c r="E103" s="385">
        <v>40101</v>
      </c>
      <c r="F103" s="366" t="s">
        <v>1082</v>
      </c>
      <c r="G103" s="366" t="s">
        <v>1083</v>
      </c>
      <c r="H103" s="366" t="s">
        <v>1082</v>
      </c>
      <c r="I103" s="366" t="s">
        <v>1084</v>
      </c>
      <c r="J103" s="366" t="s">
        <v>1087</v>
      </c>
      <c r="K103" s="366"/>
      <c r="L103" s="366" t="s">
        <v>1085</v>
      </c>
      <c r="M103" s="366" t="s">
        <v>1086</v>
      </c>
      <c r="N103" s="366" t="s">
        <v>195</v>
      </c>
      <c r="O103" s="377" t="s">
        <v>422</v>
      </c>
    </row>
    <row r="104" spans="2:15" x14ac:dyDescent="0.25">
      <c r="B104" s="369" t="s">
        <v>1096</v>
      </c>
      <c r="C104" s="372" t="s">
        <v>415</v>
      </c>
      <c r="D104" s="365" t="s">
        <v>1089</v>
      </c>
      <c r="E104" s="384">
        <v>42744</v>
      </c>
      <c r="F104" s="365" t="s">
        <v>1090</v>
      </c>
      <c r="G104" s="365" t="s">
        <v>1091</v>
      </c>
      <c r="H104" s="365" t="s">
        <v>1090</v>
      </c>
      <c r="I104" s="365" t="s">
        <v>1092</v>
      </c>
      <c r="J104" s="365" t="s">
        <v>1095</v>
      </c>
      <c r="K104" s="365"/>
      <c r="L104" s="365" t="s">
        <v>1093</v>
      </c>
      <c r="M104" s="365" t="s">
        <v>1094</v>
      </c>
      <c r="N104" s="365" t="s">
        <v>195</v>
      </c>
      <c r="O104" s="376" t="s">
        <v>454</v>
      </c>
    </row>
    <row r="105" spans="2:15" x14ac:dyDescent="0.25">
      <c r="B105" s="369" t="s">
        <v>1102</v>
      </c>
      <c r="C105" s="373" t="s">
        <v>415</v>
      </c>
      <c r="D105" s="366" t="s">
        <v>1097</v>
      </c>
      <c r="E105" s="385">
        <v>42801</v>
      </c>
      <c r="F105" s="366" t="s">
        <v>1098</v>
      </c>
      <c r="G105" s="366" t="s">
        <v>1099</v>
      </c>
      <c r="H105" s="366"/>
      <c r="I105" s="366"/>
      <c r="J105" s="366" t="s">
        <v>637</v>
      </c>
      <c r="K105" s="366"/>
      <c r="L105" s="366" t="s">
        <v>1100</v>
      </c>
      <c r="M105" s="366" t="s">
        <v>1101</v>
      </c>
      <c r="N105" s="366" t="s">
        <v>195</v>
      </c>
      <c r="O105" s="377" t="s">
        <v>454</v>
      </c>
    </row>
    <row r="106" spans="2:15" x14ac:dyDescent="0.25">
      <c r="B106" s="369" t="s">
        <v>1109</v>
      </c>
      <c r="C106" s="372" t="s">
        <v>439</v>
      </c>
      <c r="D106" s="365" t="s">
        <v>1103</v>
      </c>
      <c r="E106" s="384">
        <v>42779</v>
      </c>
      <c r="F106" s="365" t="s">
        <v>1104</v>
      </c>
      <c r="G106" s="365" t="s">
        <v>1105</v>
      </c>
      <c r="H106" s="365" t="s">
        <v>1104</v>
      </c>
      <c r="I106" s="365" t="s">
        <v>1053</v>
      </c>
      <c r="J106" s="365" t="s">
        <v>1108</v>
      </c>
      <c r="K106" s="365"/>
      <c r="L106" s="365" t="s">
        <v>1106</v>
      </c>
      <c r="M106" s="365" t="s">
        <v>1107</v>
      </c>
      <c r="N106" s="365" t="s">
        <v>195</v>
      </c>
      <c r="O106" s="376" t="s">
        <v>454</v>
      </c>
    </row>
    <row r="107" spans="2:15" x14ac:dyDescent="0.25">
      <c r="B107" s="369" t="s">
        <v>1115</v>
      </c>
      <c r="C107" s="373" t="s">
        <v>439</v>
      </c>
      <c r="D107" s="366" t="s">
        <v>1110</v>
      </c>
      <c r="E107" s="385">
        <v>42787</v>
      </c>
      <c r="F107" s="366" t="s">
        <v>1111</v>
      </c>
      <c r="G107" s="366" t="s">
        <v>1112</v>
      </c>
      <c r="H107" s="366"/>
      <c r="I107" s="366" t="s">
        <v>642</v>
      </c>
      <c r="J107" s="366" t="s">
        <v>645</v>
      </c>
      <c r="K107" s="366"/>
      <c r="L107" s="366" t="s">
        <v>1113</v>
      </c>
      <c r="M107" s="366" t="s">
        <v>1114</v>
      </c>
      <c r="N107" s="366" t="s">
        <v>195</v>
      </c>
      <c r="O107" s="377" t="s">
        <v>454</v>
      </c>
    </row>
    <row r="108" spans="2:15" ht="15.75" thickBot="1" x14ac:dyDescent="0.3">
      <c r="B108" s="370" t="s">
        <v>1123</v>
      </c>
      <c r="C108" s="374" t="s">
        <v>415</v>
      </c>
      <c r="D108" s="367" t="s">
        <v>1116</v>
      </c>
      <c r="E108" s="386">
        <v>42912</v>
      </c>
      <c r="F108" s="367" t="s">
        <v>1117</v>
      </c>
      <c r="G108" s="367" t="s">
        <v>1118</v>
      </c>
      <c r="H108" s="367"/>
      <c r="I108" s="367" t="s">
        <v>1119</v>
      </c>
      <c r="J108" s="367" t="s">
        <v>1122</v>
      </c>
      <c r="K108" s="367"/>
      <c r="L108" s="367" t="s">
        <v>1120</v>
      </c>
      <c r="M108" s="367" t="s">
        <v>1121</v>
      </c>
      <c r="N108" s="367" t="s">
        <v>195</v>
      </c>
      <c r="O108" s="378" t="s">
        <v>454</v>
      </c>
    </row>
    <row r="109" spans="2:15" ht="15.75" thickTop="1" x14ac:dyDescent="0.25"/>
    <row r="110" spans="2:15" x14ac:dyDescent="0.25">
      <c r="B110" s="155" t="s">
        <v>1136</v>
      </c>
    </row>
    <row r="112" spans="2:15" x14ac:dyDescent="0.25">
      <c r="B112" s="361" t="s">
        <v>399</v>
      </c>
      <c r="C112" s="379" t="s">
        <v>409</v>
      </c>
    </row>
    <row r="113" spans="2:3" x14ac:dyDescent="0.25">
      <c r="B113" s="380" t="s">
        <v>400</v>
      </c>
      <c r="C113" s="362" t="s">
        <v>1124</v>
      </c>
    </row>
    <row r="114" spans="2:3" x14ac:dyDescent="0.25">
      <c r="B114" s="360" t="s">
        <v>402</v>
      </c>
      <c r="C114" s="381" t="s">
        <v>403</v>
      </c>
    </row>
  </sheetData>
  <autoFilter ref="B8:O108"/>
  <mergeCells count="1">
    <mergeCell ref="C7:O7"/>
  </mergeCells>
  <printOptions horizontalCentered="1"/>
  <pageMargins left="0.7" right="0.7" top="0.75" bottom="0.75" header="0.3" footer="0.3"/>
  <pageSetup scale="31" fitToHeight="0" orientation="landscape" r:id="rId1"/>
  <headerFooter>
    <oddHeader>&amp;C- &amp;A -&amp;Lemps&amp;Rn/a on dell_prod</oddHeader>
    <oddFooter>&amp;L&amp;F&amp;C&amp;D &amp;T&amp;Rpg.&amp;P / &amp;N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2:R107"/>
  <sheetViews>
    <sheetView showGridLines="0" tabSelected="1" topLeftCell="A8" zoomScale="75" zoomScaleNormal="75" workbookViewId="0">
      <pane ySplit="5" topLeftCell="A13" activePane="bottomLeft" state="frozenSplit"/>
      <selection activeCell="A8" sqref="A8"/>
      <selection pane="bottomLeft" activeCell="B12" sqref="B12:R97"/>
    </sheetView>
  </sheetViews>
  <sheetFormatPr defaultRowHeight="15" x14ac:dyDescent="0.25"/>
  <cols>
    <col min="1" max="1" width="3.42578125" customWidth="1"/>
    <col min="2" max="2" width="17.7109375" customWidth="1"/>
    <col min="3" max="3" width="37.42578125" customWidth="1"/>
    <col min="4" max="4" width="30" customWidth="1"/>
    <col min="5" max="5" width="16.7109375" customWidth="1"/>
    <col min="6" max="6" width="17.42578125" customWidth="1"/>
    <col min="7" max="7" width="54.85546875" customWidth="1"/>
    <col min="8" max="8" width="14.85546875" bestFit="1" customWidth="1"/>
    <col min="9" max="9" width="18.42578125" bestFit="1" customWidth="1"/>
    <col min="10" max="10" width="26.28515625" bestFit="1" customWidth="1"/>
    <col min="11" max="11" width="18.5703125" bestFit="1" customWidth="1"/>
    <col min="12" max="12" width="35.5703125" bestFit="1" customWidth="1"/>
    <col min="13" max="13" width="31" bestFit="1" customWidth="1"/>
    <col min="14" max="14" width="21.85546875" bestFit="1" customWidth="1"/>
    <col min="15" max="15" width="23.42578125" bestFit="1" customWidth="1"/>
    <col min="16" max="16" width="37.7109375" bestFit="1" customWidth="1"/>
    <col min="17" max="17" width="16" bestFit="1" customWidth="1"/>
    <col min="18" max="18" width="15.140625" bestFit="1" customWidth="1"/>
    <col min="19" max="19" width="3.42578125" customWidth="1"/>
  </cols>
  <sheetData>
    <row r="2" spans="2:18" x14ac:dyDescent="0.25">
      <c r="B2" s="361" t="s">
        <v>310</v>
      </c>
      <c r="C2" s="362" t="s">
        <v>1393</v>
      </c>
    </row>
    <row r="3" spans="2:18" x14ac:dyDescent="0.25">
      <c r="B3" s="360" t="s">
        <v>312</v>
      </c>
      <c r="C3" s="362" t="s">
        <v>313</v>
      </c>
    </row>
    <row r="5" spans="2:18" x14ac:dyDescent="0.25">
      <c r="B5" s="360" t="s">
        <v>404</v>
      </c>
      <c r="C5" s="362" t="s">
        <v>1394</v>
      </c>
    </row>
    <row r="7" spans="2:18" x14ac:dyDescent="0.25">
      <c r="B7" s="361" t="s">
        <v>310</v>
      </c>
      <c r="C7" s="362" t="s">
        <v>1395</v>
      </c>
    </row>
    <row r="8" spans="2:18" ht="21.95" customHeight="1" x14ac:dyDescent="0.25"/>
    <row r="9" spans="2:18" x14ac:dyDescent="0.25">
      <c r="B9" s="361" t="s">
        <v>314</v>
      </c>
      <c r="C9" s="362" t="s">
        <v>307</v>
      </c>
    </row>
    <row r="11" spans="2:18" ht="21.95" customHeight="1" x14ac:dyDescent="0.25">
      <c r="C11" s="415" t="s">
        <v>1327</v>
      </c>
      <c r="D11" s="416"/>
      <c r="E11" s="417"/>
      <c r="F11" s="415" t="s">
        <v>405</v>
      </c>
      <c r="G11" s="416"/>
      <c r="H11" s="416"/>
      <c r="I11" s="416"/>
      <c r="J11" s="416"/>
      <c r="K11" s="416"/>
      <c r="L11" s="416"/>
      <c r="M11" s="416"/>
      <c r="N11" s="416"/>
      <c r="O11" s="416"/>
      <c r="P11" s="416"/>
      <c r="Q11" s="416"/>
      <c r="R11" s="417"/>
    </row>
    <row r="12" spans="2:18" ht="45.75" thickBot="1" x14ac:dyDescent="0.3">
      <c r="B12" s="363" t="s">
        <v>216</v>
      </c>
      <c r="C12" s="382" t="s">
        <v>1138</v>
      </c>
      <c r="D12" s="382" t="s">
        <v>1139</v>
      </c>
      <c r="E12" s="382" t="s">
        <v>1140</v>
      </c>
      <c r="F12" s="382" t="s">
        <v>1396</v>
      </c>
      <c r="G12" s="382" t="s">
        <v>412</v>
      </c>
      <c r="H12" s="382" t="s">
        <v>413</v>
      </c>
      <c r="I12" s="382" t="s">
        <v>1397</v>
      </c>
      <c r="J12" s="382" t="s">
        <v>1398</v>
      </c>
      <c r="K12" s="382" t="s">
        <v>1399</v>
      </c>
      <c r="L12" s="382" t="s">
        <v>1400</v>
      </c>
      <c r="M12" s="382" t="s">
        <v>414</v>
      </c>
      <c r="N12" s="382" t="s">
        <v>1401</v>
      </c>
      <c r="O12" s="382" t="s">
        <v>1402</v>
      </c>
      <c r="P12" s="382" t="s">
        <v>1403</v>
      </c>
      <c r="Q12" s="382" t="s">
        <v>1404</v>
      </c>
      <c r="R12" s="382" t="s">
        <v>1405</v>
      </c>
    </row>
    <row r="13" spans="2:18" ht="15.75" thickTop="1" x14ac:dyDescent="0.25">
      <c r="B13" s="368" t="s">
        <v>1147</v>
      </c>
      <c r="C13" s="397" t="s">
        <v>36</v>
      </c>
      <c r="D13" s="387" t="s">
        <v>232</v>
      </c>
      <c r="E13" s="402" t="s">
        <v>237</v>
      </c>
      <c r="F13" s="407" t="s">
        <v>415</v>
      </c>
      <c r="G13" s="388" t="s">
        <v>1141</v>
      </c>
      <c r="H13" s="389">
        <v>42645</v>
      </c>
      <c r="I13" s="388" t="s">
        <v>1142</v>
      </c>
      <c r="J13" s="388" t="s">
        <v>1143</v>
      </c>
      <c r="K13" s="388"/>
      <c r="L13" s="388" t="s">
        <v>1144</v>
      </c>
      <c r="M13" s="388" t="s">
        <v>736</v>
      </c>
      <c r="N13" s="388"/>
      <c r="O13" s="388" t="s">
        <v>1145</v>
      </c>
      <c r="P13" s="388" t="s">
        <v>1146</v>
      </c>
      <c r="Q13" s="388" t="s">
        <v>195</v>
      </c>
      <c r="R13" s="409" t="s">
        <v>454</v>
      </c>
    </row>
    <row r="14" spans="2:18" x14ac:dyDescent="0.25">
      <c r="B14" s="369" t="s">
        <v>1148</v>
      </c>
      <c r="C14" s="398" t="s">
        <v>36</v>
      </c>
      <c r="D14" s="390" t="s">
        <v>6</v>
      </c>
      <c r="E14" s="403" t="s">
        <v>46</v>
      </c>
      <c r="F14" s="399" t="s">
        <v>415</v>
      </c>
      <c r="G14" s="391" t="s">
        <v>1141</v>
      </c>
      <c r="H14" s="392">
        <v>42645</v>
      </c>
      <c r="I14" s="391" t="s">
        <v>1142</v>
      </c>
      <c r="J14" s="391" t="s">
        <v>1143</v>
      </c>
      <c r="K14" s="391"/>
      <c r="L14" s="391" t="s">
        <v>1144</v>
      </c>
      <c r="M14" s="391" t="s">
        <v>736</v>
      </c>
      <c r="N14" s="391"/>
      <c r="O14" s="391" t="s">
        <v>1145</v>
      </c>
      <c r="P14" s="391" t="s">
        <v>1146</v>
      </c>
      <c r="Q14" s="391" t="s">
        <v>195</v>
      </c>
      <c r="R14" s="404" t="s">
        <v>454</v>
      </c>
    </row>
    <row r="15" spans="2:18" x14ac:dyDescent="0.25">
      <c r="B15" s="369" t="s">
        <v>1149</v>
      </c>
      <c r="C15" s="399" t="s">
        <v>239</v>
      </c>
      <c r="D15" s="391" t="s">
        <v>232</v>
      </c>
      <c r="E15" s="404" t="s">
        <v>237</v>
      </c>
      <c r="F15" s="408"/>
      <c r="G15" s="393"/>
      <c r="H15" s="393"/>
      <c r="I15" s="393"/>
      <c r="J15" s="393"/>
      <c r="K15" s="393"/>
      <c r="L15" s="393"/>
      <c r="M15" s="393"/>
      <c r="N15" s="393"/>
      <c r="O15" s="393"/>
      <c r="P15" s="393"/>
      <c r="Q15" s="393"/>
      <c r="R15" s="410"/>
    </row>
    <row r="16" spans="2:18" x14ac:dyDescent="0.25">
      <c r="B16" s="369" t="s">
        <v>1155</v>
      </c>
      <c r="C16" s="398" t="s">
        <v>133</v>
      </c>
      <c r="D16" s="390" t="s">
        <v>135</v>
      </c>
      <c r="E16" s="403" t="s">
        <v>46</v>
      </c>
      <c r="F16" s="398" t="s">
        <v>415</v>
      </c>
      <c r="G16" s="390" t="s">
        <v>1150</v>
      </c>
      <c r="H16" s="394">
        <v>42646</v>
      </c>
      <c r="I16" s="390" t="s">
        <v>1151</v>
      </c>
      <c r="J16" s="390" t="s">
        <v>1152</v>
      </c>
      <c r="K16" s="390"/>
      <c r="L16" s="390"/>
      <c r="M16" s="390" t="s">
        <v>736</v>
      </c>
      <c r="N16" s="390"/>
      <c r="O16" s="390" t="s">
        <v>1153</v>
      </c>
      <c r="P16" s="390" t="s">
        <v>1154</v>
      </c>
      <c r="Q16" s="390" t="s">
        <v>195</v>
      </c>
      <c r="R16" s="403" t="s">
        <v>454</v>
      </c>
    </row>
    <row r="17" spans="2:18" x14ac:dyDescent="0.25">
      <c r="B17" s="369" t="s">
        <v>1156</v>
      </c>
      <c r="C17" s="399" t="s">
        <v>265</v>
      </c>
      <c r="D17" s="391" t="s">
        <v>236</v>
      </c>
      <c r="E17" s="404" t="s">
        <v>237</v>
      </c>
      <c r="F17" s="408"/>
      <c r="G17" s="393"/>
      <c r="H17" s="393"/>
      <c r="I17" s="393"/>
      <c r="J17" s="393"/>
      <c r="K17" s="393"/>
      <c r="L17" s="393"/>
      <c r="M17" s="393"/>
      <c r="N17" s="393"/>
      <c r="O17" s="393"/>
      <c r="P17" s="393"/>
      <c r="Q17" s="393"/>
      <c r="R17" s="410"/>
    </row>
    <row r="18" spans="2:18" x14ac:dyDescent="0.25">
      <c r="B18" s="369" t="s">
        <v>1163</v>
      </c>
      <c r="C18" s="398" t="s">
        <v>240</v>
      </c>
      <c r="D18" s="390" t="s">
        <v>236</v>
      </c>
      <c r="E18" s="403" t="s">
        <v>237</v>
      </c>
      <c r="F18" s="399" t="s">
        <v>415</v>
      </c>
      <c r="G18" s="391" t="s">
        <v>1157</v>
      </c>
      <c r="H18" s="392">
        <v>36557</v>
      </c>
      <c r="I18" s="391" t="s">
        <v>1158</v>
      </c>
      <c r="J18" s="391" t="s">
        <v>1159</v>
      </c>
      <c r="K18" s="391"/>
      <c r="L18" s="391" t="s">
        <v>704</v>
      </c>
      <c r="M18" s="391" t="s">
        <v>1160</v>
      </c>
      <c r="N18" s="391"/>
      <c r="O18" s="391" t="s">
        <v>1161</v>
      </c>
      <c r="P18" s="391" t="s">
        <v>1162</v>
      </c>
      <c r="Q18" s="391" t="s">
        <v>195</v>
      </c>
      <c r="R18" s="404" t="s">
        <v>422</v>
      </c>
    </row>
    <row r="19" spans="2:18" x14ac:dyDescent="0.25">
      <c r="B19" s="369" t="s">
        <v>1169</v>
      </c>
      <c r="C19" s="399" t="s">
        <v>18</v>
      </c>
      <c r="D19" s="391" t="s">
        <v>232</v>
      </c>
      <c r="E19" s="404" t="s">
        <v>237</v>
      </c>
      <c r="F19" s="398" t="s">
        <v>415</v>
      </c>
      <c r="G19" s="390" t="s">
        <v>1164</v>
      </c>
      <c r="H19" s="394">
        <v>42996</v>
      </c>
      <c r="I19" s="390" t="s">
        <v>1165</v>
      </c>
      <c r="J19" s="390" t="s">
        <v>1166</v>
      </c>
      <c r="K19" s="390"/>
      <c r="L19" s="390"/>
      <c r="M19" s="390" t="s">
        <v>637</v>
      </c>
      <c r="N19" s="390"/>
      <c r="O19" s="390" t="s">
        <v>1167</v>
      </c>
      <c r="P19" s="390" t="s">
        <v>1168</v>
      </c>
      <c r="Q19" s="390" t="s">
        <v>195</v>
      </c>
      <c r="R19" s="403" t="s">
        <v>454</v>
      </c>
    </row>
    <row r="20" spans="2:18" x14ac:dyDescent="0.25">
      <c r="B20" s="369" t="s">
        <v>1170</v>
      </c>
      <c r="C20" s="398" t="s">
        <v>18</v>
      </c>
      <c r="D20" s="390" t="s">
        <v>131</v>
      </c>
      <c r="E20" s="403" t="s">
        <v>46</v>
      </c>
      <c r="F20" s="399" t="s">
        <v>415</v>
      </c>
      <c r="G20" s="391" t="s">
        <v>1164</v>
      </c>
      <c r="H20" s="392">
        <v>42996</v>
      </c>
      <c r="I20" s="391" t="s">
        <v>1165</v>
      </c>
      <c r="J20" s="391" t="s">
        <v>1166</v>
      </c>
      <c r="K20" s="391"/>
      <c r="L20" s="391"/>
      <c r="M20" s="391" t="s">
        <v>637</v>
      </c>
      <c r="N20" s="391"/>
      <c r="O20" s="391" t="s">
        <v>1167</v>
      </c>
      <c r="P20" s="391" t="s">
        <v>1168</v>
      </c>
      <c r="Q20" s="391" t="s">
        <v>195</v>
      </c>
      <c r="R20" s="404" t="s">
        <v>454</v>
      </c>
    </row>
    <row r="21" spans="2:18" x14ac:dyDescent="0.25">
      <c r="B21" s="369" t="s">
        <v>1171</v>
      </c>
      <c r="C21" s="399" t="s">
        <v>248</v>
      </c>
      <c r="D21" s="391" t="s">
        <v>232</v>
      </c>
      <c r="E21" s="404" t="s">
        <v>139</v>
      </c>
      <c r="F21" s="408"/>
      <c r="G21" s="393"/>
      <c r="H21" s="393"/>
      <c r="I21" s="393"/>
      <c r="J21" s="393"/>
      <c r="K21" s="393"/>
      <c r="L21" s="393"/>
      <c r="M21" s="393"/>
      <c r="N21" s="393"/>
      <c r="O21" s="393"/>
      <c r="P21" s="393"/>
      <c r="Q21" s="393"/>
      <c r="R21" s="410"/>
    </row>
    <row r="22" spans="2:18" x14ac:dyDescent="0.25">
      <c r="B22" s="369" t="s">
        <v>1177</v>
      </c>
      <c r="C22" s="398" t="s">
        <v>24</v>
      </c>
      <c r="D22" s="390" t="s">
        <v>4</v>
      </c>
      <c r="E22" s="403" t="s">
        <v>47</v>
      </c>
      <c r="F22" s="398" t="s">
        <v>415</v>
      </c>
      <c r="G22" s="390" t="s">
        <v>1172</v>
      </c>
      <c r="H22" s="394">
        <v>42738</v>
      </c>
      <c r="I22" s="390" t="s">
        <v>1173</v>
      </c>
      <c r="J22" s="390" t="s">
        <v>1174</v>
      </c>
      <c r="K22" s="390"/>
      <c r="L22" s="390"/>
      <c r="M22" s="390" t="s">
        <v>736</v>
      </c>
      <c r="N22" s="390"/>
      <c r="O22" s="390" t="s">
        <v>1175</v>
      </c>
      <c r="P22" s="390" t="s">
        <v>1176</v>
      </c>
      <c r="Q22" s="390" t="s">
        <v>195</v>
      </c>
      <c r="R22" s="403" t="s">
        <v>454</v>
      </c>
    </row>
    <row r="23" spans="2:18" x14ac:dyDescent="0.25">
      <c r="B23" s="369" t="s">
        <v>1411</v>
      </c>
      <c r="C23" s="399" t="s">
        <v>26</v>
      </c>
      <c r="D23" s="391" t="s">
        <v>5</v>
      </c>
      <c r="E23" s="404" t="s">
        <v>47</v>
      </c>
      <c r="F23" s="399" t="s">
        <v>415</v>
      </c>
      <c r="G23" s="391" t="s">
        <v>1406</v>
      </c>
      <c r="H23" s="392">
        <v>42963</v>
      </c>
      <c r="I23" s="391" t="s">
        <v>1407</v>
      </c>
      <c r="J23" s="391" t="s">
        <v>1408</v>
      </c>
      <c r="K23" s="391"/>
      <c r="L23" s="391"/>
      <c r="M23" s="391" t="s">
        <v>637</v>
      </c>
      <c r="N23" s="391"/>
      <c r="O23" s="391" t="s">
        <v>1409</v>
      </c>
      <c r="P23" s="391" t="s">
        <v>1410</v>
      </c>
      <c r="Q23" s="391" t="s">
        <v>195</v>
      </c>
      <c r="R23" s="404" t="s">
        <v>454</v>
      </c>
    </row>
    <row r="24" spans="2:18" x14ac:dyDescent="0.25">
      <c r="B24" s="369" t="s">
        <v>1183</v>
      </c>
      <c r="C24" s="398" t="s">
        <v>125</v>
      </c>
      <c r="D24" s="390" t="s">
        <v>1</v>
      </c>
      <c r="E24" s="403" t="s">
        <v>47</v>
      </c>
      <c r="F24" s="398" t="s">
        <v>415</v>
      </c>
      <c r="G24" s="390" t="s">
        <v>1178</v>
      </c>
      <c r="H24" s="394">
        <v>42621</v>
      </c>
      <c r="I24" s="390" t="s">
        <v>1179</v>
      </c>
      <c r="J24" s="390" t="s">
        <v>1180</v>
      </c>
      <c r="K24" s="390"/>
      <c r="L24" s="390"/>
      <c r="M24" s="390" t="s">
        <v>736</v>
      </c>
      <c r="N24" s="390"/>
      <c r="O24" s="390" t="s">
        <v>1181</v>
      </c>
      <c r="P24" s="390" t="s">
        <v>1182</v>
      </c>
      <c r="Q24" s="390" t="s">
        <v>195</v>
      </c>
      <c r="R24" s="403" t="s">
        <v>454</v>
      </c>
    </row>
    <row r="25" spans="2:18" x14ac:dyDescent="0.25">
      <c r="B25" s="369" t="s">
        <v>1184</v>
      </c>
      <c r="C25" s="399" t="s">
        <v>125</v>
      </c>
      <c r="D25" s="391" t="s">
        <v>230</v>
      </c>
      <c r="E25" s="404" t="s">
        <v>139</v>
      </c>
      <c r="F25" s="399" t="s">
        <v>415</v>
      </c>
      <c r="G25" s="391" t="s">
        <v>1178</v>
      </c>
      <c r="H25" s="392">
        <v>42621</v>
      </c>
      <c r="I25" s="391" t="s">
        <v>1179</v>
      </c>
      <c r="J25" s="391" t="s">
        <v>1180</v>
      </c>
      <c r="K25" s="391"/>
      <c r="L25" s="391"/>
      <c r="M25" s="391" t="s">
        <v>736</v>
      </c>
      <c r="N25" s="391"/>
      <c r="O25" s="391" t="s">
        <v>1181</v>
      </c>
      <c r="P25" s="391" t="s">
        <v>1182</v>
      </c>
      <c r="Q25" s="391" t="s">
        <v>195</v>
      </c>
      <c r="R25" s="404" t="s">
        <v>454</v>
      </c>
    </row>
    <row r="26" spans="2:18" x14ac:dyDescent="0.25">
      <c r="B26" s="369" t="s">
        <v>1191</v>
      </c>
      <c r="C26" s="398" t="s">
        <v>14</v>
      </c>
      <c r="D26" s="390" t="s">
        <v>1</v>
      </c>
      <c r="E26" s="403" t="s">
        <v>46</v>
      </c>
      <c r="F26" s="398" t="s">
        <v>415</v>
      </c>
      <c r="G26" s="390" t="s">
        <v>1185</v>
      </c>
      <c r="H26" s="394">
        <v>43013</v>
      </c>
      <c r="I26" s="390" t="s">
        <v>1186</v>
      </c>
      <c r="J26" s="390" t="s">
        <v>1187</v>
      </c>
      <c r="K26" s="390"/>
      <c r="L26" s="390" t="s">
        <v>1188</v>
      </c>
      <c r="M26" s="390" t="s">
        <v>637</v>
      </c>
      <c r="N26" s="390"/>
      <c r="O26" s="390" t="s">
        <v>1189</v>
      </c>
      <c r="P26" s="390" t="s">
        <v>1190</v>
      </c>
      <c r="Q26" s="390" t="s">
        <v>195</v>
      </c>
      <c r="R26" s="403" t="s">
        <v>454</v>
      </c>
    </row>
    <row r="27" spans="2:18" x14ac:dyDescent="0.25">
      <c r="B27" s="369" t="s">
        <v>1192</v>
      </c>
      <c r="C27" s="399" t="s">
        <v>244</v>
      </c>
      <c r="D27" s="391" t="s">
        <v>231</v>
      </c>
      <c r="E27" s="404" t="s">
        <v>237</v>
      </c>
      <c r="F27" s="408"/>
      <c r="G27" s="393"/>
      <c r="H27" s="393"/>
      <c r="I27" s="393"/>
      <c r="J27" s="393"/>
      <c r="K27" s="393"/>
      <c r="L27" s="393"/>
      <c r="M27" s="393"/>
      <c r="N27" s="393"/>
      <c r="O27" s="393"/>
      <c r="P27" s="393"/>
      <c r="Q27" s="393"/>
      <c r="R27" s="410"/>
    </row>
    <row r="28" spans="2:18" x14ac:dyDescent="0.25">
      <c r="B28" s="369" t="s">
        <v>1418</v>
      </c>
      <c r="C28" s="398" t="s">
        <v>38</v>
      </c>
      <c r="D28" s="390" t="s">
        <v>231</v>
      </c>
      <c r="E28" s="403" t="s">
        <v>237</v>
      </c>
      <c r="F28" s="399" t="s">
        <v>415</v>
      </c>
      <c r="G28" s="391" t="s">
        <v>1412</v>
      </c>
      <c r="H28" s="392">
        <v>42515</v>
      </c>
      <c r="I28" s="391" t="s">
        <v>1413</v>
      </c>
      <c r="J28" s="391" t="s">
        <v>1414</v>
      </c>
      <c r="K28" s="391"/>
      <c r="L28" s="391" t="s">
        <v>1415</v>
      </c>
      <c r="M28" s="391" t="s">
        <v>736</v>
      </c>
      <c r="N28" s="391"/>
      <c r="O28" s="391" t="s">
        <v>1416</v>
      </c>
      <c r="P28" s="391" t="s">
        <v>1417</v>
      </c>
      <c r="Q28" s="391" t="s">
        <v>195</v>
      </c>
      <c r="R28" s="404" t="s">
        <v>454</v>
      </c>
    </row>
    <row r="29" spans="2:18" x14ac:dyDescent="0.25">
      <c r="B29" s="369" t="s">
        <v>1419</v>
      </c>
      <c r="C29" s="399" t="s">
        <v>38</v>
      </c>
      <c r="D29" s="391" t="s">
        <v>6</v>
      </c>
      <c r="E29" s="404" t="s">
        <v>46</v>
      </c>
      <c r="F29" s="398" t="s">
        <v>415</v>
      </c>
      <c r="G29" s="390" t="s">
        <v>1412</v>
      </c>
      <c r="H29" s="394">
        <v>42515</v>
      </c>
      <c r="I29" s="390" t="s">
        <v>1413</v>
      </c>
      <c r="J29" s="390" t="s">
        <v>1414</v>
      </c>
      <c r="K29" s="390"/>
      <c r="L29" s="390" t="s">
        <v>1415</v>
      </c>
      <c r="M29" s="390" t="s">
        <v>736</v>
      </c>
      <c r="N29" s="390"/>
      <c r="O29" s="390" t="s">
        <v>1416</v>
      </c>
      <c r="P29" s="390" t="s">
        <v>1417</v>
      </c>
      <c r="Q29" s="390" t="s">
        <v>195</v>
      </c>
      <c r="R29" s="403" t="s">
        <v>454</v>
      </c>
    </row>
    <row r="30" spans="2:18" x14ac:dyDescent="0.25">
      <c r="B30" s="369" t="s">
        <v>1193</v>
      </c>
      <c r="C30" s="398" t="s">
        <v>23</v>
      </c>
      <c r="D30" s="390" t="s">
        <v>5</v>
      </c>
      <c r="E30" s="403" t="s">
        <v>47</v>
      </c>
      <c r="F30" s="408"/>
      <c r="G30" s="393"/>
      <c r="H30" s="393"/>
      <c r="I30" s="393"/>
      <c r="J30" s="393"/>
      <c r="K30" s="393"/>
      <c r="L30" s="393"/>
      <c r="M30" s="393"/>
      <c r="N30" s="393"/>
      <c r="O30" s="393"/>
      <c r="P30" s="393"/>
      <c r="Q30" s="393"/>
      <c r="R30" s="410"/>
    </row>
    <row r="31" spans="2:18" x14ac:dyDescent="0.25">
      <c r="B31" s="369" t="s">
        <v>1199</v>
      </c>
      <c r="C31" s="399" t="s">
        <v>251</v>
      </c>
      <c r="D31" s="391" t="s">
        <v>232</v>
      </c>
      <c r="E31" s="404" t="s">
        <v>139</v>
      </c>
      <c r="F31" s="399" t="s">
        <v>415</v>
      </c>
      <c r="G31" s="391" t="s">
        <v>1194</v>
      </c>
      <c r="H31" s="392">
        <v>42996</v>
      </c>
      <c r="I31" s="391" t="s">
        <v>1195</v>
      </c>
      <c r="J31" s="391" t="s">
        <v>1196</v>
      </c>
      <c r="K31" s="391"/>
      <c r="L31" s="391"/>
      <c r="M31" s="391" t="s">
        <v>637</v>
      </c>
      <c r="N31" s="391"/>
      <c r="O31" s="391" t="s">
        <v>1197</v>
      </c>
      <c r="P31" s="391" t="s">
        <v>1198</v>
      </c>
      <c r="Q31" s="391" t="s">
        <v>195</v>
      </c>
      <c r="R31" s="404" t="s">
        <v>454</v>
      </c>
    </row>
    <row r="32" spans="2:18" x14ac:dyDescent="0.25">
      <c r="B32" s="369" t="s">
        <v>1206</v>
      </c>
      <c r="C32" s="398" t="s">
        <v>247</v>
      </c>
      <c r="D32" s="390" t="s">
        <v>232</v>
      </c>
      <c r="E32" s="403" t="s">
        <v>139</v>
      </c>
      <c r="F32" s="398" t="s">
        <v>415</v>
      </c>
      <c r="G32" s="390" t="s">
        <v>1200</v>
      </c>
      <c r="H32" s="394">
        <v>42996</v>
      </c>
      <c r="I32" s="390" t="s">
        <v>1201</v>
      </c>
      <c r="J32" s="390" t="s">
        <v>1202</v>
      </c>
      <c r="K32" s="390"/>
      <c r="L32" s="390" t="s">
        <v>1203</v>
      </c>
      <c r="M32" s="390" t="s">
        <v>637</v>
      </c>
      <c r="N32" s="390"/>
      <c r="O32" s="390" t="s">
        <v>1204</v>
      </c>
      <c r="P32" s="390" t="s">
        <v>1205</v>
      </c>
      <c r="Q32" s="390" t="s">
        <v>195</v>
      </c>
      <c r="R32" s="403" t="s">
        <v>454</v>
      </c>
    </row>
    <row r="33" spans="2:18" x14ac:dyDescent="0.25">
      <c r="B33" s="369" t="s">
        <v>1212</v>
      </c>
      <c r="C33" s="399" t="s">
        <v>124</v>
      </c>
      <c r="D33" s="391" t="s">
        <v>232</v>
      </c>
      <c r="E33" s="404" t="s">
        <v>139</v>
      </c>
      <c r="F33" s="399" t="s">
        <v>415</v>
      </c>
      <c r="G33" s="391" t="s">
        <v>1207</v>
      </c>
      <c r="H33" s="392">
        <v>42738</v>
      </c>
      <c r="I33" s="391" t="s">
        <v>1208</v>
      </c>
      <c r="J33" s="391" t="s">
        <v>1209</v>
      </c>
      <c r="K33" s="391"/>
      <c r="L33" s="391"/>
      <c r="M33" s="391" t="s">
        <v>736</v>
      </c>
      <c r="N33" s="391"/>
      <c r="O33" s="391" t="s">
        <v>1210</v>
      </c>
      <c r="P33" s="391" t="s">
        <v>1211</v>
      </c>
      <c r="Q33" s="391" t="s">
        <v>195</v>
      </c>
      <c r="R33" s="404" t="s">
        <v>454</v>
      </c>
    </row>
    <row r="34" spans="2:18" x14ac:dyDescent="0.25">
      <c r="B34" s="369" t="s">
        <v>1213</v>
      </c>
      <c r="C34" s="398" t="s">
        <v>124</v>
      </c>
      <c r="D34" s="390" t="s">
        <v>4</v>
      </c>
      <c r="E34" s="403" t="s">
        <v>47</v>
      </c>
      <c r="F34" s="398" t="s">
        <v>415</v>
      </c>
      <c r="G34" s="390" t="s">
        <v>1207</v>
      </c>
      <c r="H34" s="394">
        <v>42738</v>
      </c>
      <c r="I34" s="390" t="s">
        <v>1208</v>
      </c>
      <c r="J34" s="390" t="s">
        <v>1209</v>
      </c>
      <c r="K34" s="390"/>
      <c r="L34" s="390"/>
      <c r="M34" s="390" t="s">
        <v>736</v>
      </c>
      <c r="N34" s="390"/>
      <c r="O34" s="390" t="s">
        <v>1210</v>
      </c>
      <c r="P34" s="390" t="s">
        <v>1211</v>
      </c>
      <c r="Q34" s="390" t="s">
        <v>195</v>
      </c>
      <c r="R34" s="403" t="s">
        <v>454</v>
      </c>
    </row>
    <row r="35" spans="2:18" x14ac:dyDescent="0.25">
      <c r="B35" s="369" t="s">
        <v>1219</v>
      </c>
      <c r="C35" s="399" t="s">
        <v>19</v>
      </c>
      <c r="D35" s="391" t="s">
        <v>235</v>
      </c>
      <c r="E35" s="404" t="s">
        <v>237</v>
      </c>
      <c r="F35" s="399" t="s">
        <v>415</v>
      </c>
      <c r="G35" s="391" t="s">
        <v>1214</v>
      </c>
      <c r="H35" s="392">
        <v>42927</v>
      </c>
      <c r="I35" s="391" t="s">
        <v>835</v>
      </c>
      <c r="J35" s="391" t="s">
        <v>1215</v>
      </c>
      <c r="K35" s="391"/>
      <c r="L35" s="391" t="s">
        <v>1216</v>
      </c>
      <c r="M35" s="391" t="s">
        <v>637</v>
      </c>
      <c r="N35" s="391"/>
      <c r="O35" s="391" t="s">
        <v>1217</v>
      </c>
      <c r="P35" s="391" t="s">
        <v>1218</v>
      </c>
      <c r="Q35" s="391" t="s">
        <v>195</v>
      </c>
      <c r="R35" s="404" t="s">
        <v>454</v>
      </c>
    </row>
    <row r="36" spans="2:18" x14ac:dyDescent="0.25">
      <c r="B36" s="369" t="s">
        <v>1220</v>
      </c>
      <c r="C36" s="398" t="s">
        <v>19</v>
      </c>
      <c r="D36" s="390" t="s">
        <v>131</v>
      </c>
      <c r="E36" s="403" t="s">
        <v>46</v>
      </c>
      <c r="F36" s="398" t="s">
        <v>415</v>
      </c>
      <c r="G36" s="390" t="s">
        <v>1214</v>
      </c>
      <c r="H36" s="394">
        <v>42927</v>
      </c>
      <c r="I36" s="390" t="s">
        <v>835</v>
      </c>
      <c r="J36" s="390" t="s">
        <v>1215</v>
      </c>
      <c r="K36" s="390"/>
      <c r="L36" s="390" t="s">
        <v>1216</v>
      </c>
      <c r="M36" s="390" t="s">
        <v>637</v>
      </c>
      <c r="N36" s="390"/>
      <c r="O36" s="390" t="s">
        <v>1217</v>
      </c>
      <c r="P36" s="390" t="s">
        <v>1218</v>
      </c>
      <c r="Q36" s="390" t="s">
        <v>195</v>
      </c>
      <c r="R36" s="403" t="s">
        <v>454</v>
      </c>
    </row>
    <row r="37" spans="2:18" x14ac:dyDescent="0.25">
      <c r="B37" s="369" t="s">
        <v>1424</v>
      </c>
      <c r="C37" s="399" t="s">
        <v>22</v>
      </c>
      <c r="D37" s="391" t="s">
        <v>234</v>
      </c>
      <c r="E37" s="404" t="s">
        <v>237</v>
      </c>
      <c r="F37" s="399" t="s">
        <v>415</v>
      </c>
      <c r="G37" s="391" t="s">
        <v>1420</v>
      </c>
      <c r="H37" s="392">
        <v>42912</v>
      </c>
      <c r="I37" s="391" t="s">
        <v>835</v>
      </c>
      <c r="J37" s="391" t="s">
        <v>1421</v>
      </c>
      <c r="K37" s="391"/>
      <c r="L37" s="391"/>
      <c r="M37" s="391" t="s">
        <v>736</v>
      </c>
      <c r="N37" s="391"/>
      <c r="O37" s="391" t="s">
        <v>1422</v>
      </c>
      <c r="P37" s="391" t="s">
        <v>1423</v>
      </c>
      <c r="Q37" s="391" t="s">
        <v>195</v>
      </c>
      <c r="R37" s="404" t="s">
        <v>454</v>
      </c>
    </row>
    <row r="38" spans="2:18" x14ac:dyDescent="0.25">
      <c r="B38" s="369" t="s">
        <v>1425</v>
      </c>
      <c r="C38" s="398" t="s">
        <v>22</v>
      </c>
      <c r="D38" s="390" t="s">
        <v>3</v>
      </c>
      <c r="E38" s="403" t="s">
        <v>46</v>
      </c>
      <c r="F38" s="398" t="s">
        <v>415</v>
      </c>
      <c r="G38" s="390" t="s">
        <v>1420</v>
      </c>
      <c r="H38" s="394">
        <v>42912</v>
      </c>
      <c r="I38" s="390" t="s">
        <v>835</v>
      </c>
      <c r="J38" s="390" t="s">
        <v>1421</v>
      </c>
      <c r="K38" s="390"/>
      <c r="L38" s="390"/>
      <c r="M38" s="390" t="s">
        <v>736</v>
      </c>
      <c r="N38" s="390"/>
      <c r="O38" s="390" t="s">
        <v>1422</v>
      </c>
      <c r="P38" s="390" t="s">
        <v>1423</v>
      </c>
      <c r="Q38" s="390" t="s">
        <v>195</v>
      </c>
      <c r="R38" s="403" t="s">
        <v>454</v>
      </c>
    </row>
    <row r="39" spans="2:18" x14ac:dyDescent="0.25">
      <c r="B39" s="369" t="s">
        <v>1432</v>
      </c>
      <c r="C39" s="399" t="s">
        <v>121</v>
      </c>
      <c r="D39" s="391" t="s">
        <v>1</v>
      </c>
      <c r="E39" s="404" t="s">
        <v>47</v>
      </c>
      <c r="F39" s="399" t="s">
        <v>439</v>
      </c>
      <c r="G39" s="391" t="s">
        <v>1426</v>
      </c>
      <c r="H39" s="392">
        <v>42859</v>
      </c>
      <c r="I39" s="391" t="s">
        <v>1427</v>
      </c>
      <c r="J39" s="391" t="s">
        <v>1428</v>
      </c>
      <c r="K39" s="391"/>
      <c r="L39" s="391" t="s">
        <v>1429</v>
      </c>
      <c r="M39" s="391" t="s">
        <v>637</v>
      </c>
      <c r="N39" s="391"/>
      <c r="O39" s="391" t="s">
        <v>1430</v>
      </c>
      <c r="P39" s="391" t="s">
        <v>1431</v>
      </c>
      <c r="Q39" s="391" t="s">
        <v>195</v>
      </c>
      <c r="R39" s="404" t="s">
        <v>454</v>
      </c>
    </row>
    <row r="40" spans="2:18" x14ac:dyDescent="0.25">
      <c r="B40" s="369" t="s">
        <v>1437</v>
      </c>
      <c r="C40" s="398" t="s">
        <v>262</v>
      </c>
      <c r="D40" s="390" t="s">
        <v>235</v>
      </c>
      <c r="E40" s="403" t="s">
        <v>139</v>
      </c>
      <c r="F40" s="398" t="s">
        <v>415</v>
      </c>
      <c r="G40" s="390" t="s">
        <v>1433</v>
      </c>
      <c r="H40" s="394">
        <v>42797</v>
      </c>
      <c r="I40" s="390" t="s">
        <v>660</v>
      </c>
      <c r="J40" s="390" t="s">
        <v>1434</v>
      </c>
      <c r="K40" s="390"/>
      <c r="L40" s="390"/>
      <c r="M40" s="390" t="s">
        <v>637</v>
      </c>
      <c r="N40" s="390"/>
      <c r="O40" s="390" t="s">
        <v>1435</v>
      </c>
      <c r="P40" s="390" t="s">
        <v>1436</v>
      </c>
      <c r="Q40" s="390" t="s">
        <v>195</v>
      </c>
      <c r="R40" s="403" t="s">
        <v>454</v>
      </c>
    </row>
    <row r="41" spans="2:18" x14ac:dyDescent="0.25">
      <c r="B41" s="369" t="s">
        <v>1226</v>
      </c>
      <c r="C41" s="399" t="s">
        <v>260</v>
      </c>
      <c r="D41" s="391" t="s">
        <v>235</v>
      </c>
      <c r="E41" s="404" t="s">
        <v>237</v>
      </c>
      <c r="F41" s="399" t="s">
        <v>415</v>
      </c>
      <c r="G41" s="391" t="s">
        <v>1221</v>
      </c>
      <c r="H41" s="392">
        <v>42775</v>
      </c>
      <c r="I41" s="391" t="s">
        <v>1222</v>
      </c>
      <c r="J41" s="391" t="s">
        <v>1223</v>
      </c>
      <c r="K41" s="391"/>
      <c r="L41" s="391"/>
      <c r="M41" s="391" t="s">
        <v>736</v>
      </c>
      <c r="N41" s="391"/>
      <c r="O41" s="391" t="s">
        <v>1224</v>
      </c>
      <c r="P41" s="391" t="s">
        <v>1225</v>
      </c>
      <c r="Q41" s="391" t="s">
        <v>195</v>
      </c>
      <c r="R41" s="404" t="s">
        <v>454</v>
      </c>
    </row>
    <row r="42" spans="2:18" x14ac:dyDescent="0.25">
      <c r="B42" s="369" t="s">
        <v>1231</v>
      </c>
      <c r="C42" s="398" t="s">
        <v>37</v>
      </c>
      <c r="D42" s="390" t="s">
        <v>232</v>
      </c>
      <c r="E42" s="403" t="s">
        <v>237</v>
      </c>
      <c r="F42" s="398" t="s">
        <v>415</v>
      </c>
      <c r="G42" s="390" t="s">
        <v>1227</v>
      </c>
      <c r="H42" s="394">
        <v>42645</v>
      </c>
      <c r="I42" s="390" t="s">
        <v>1222</v>
      </c>
      <c r="J42" s="390" t="s">
        <v>1228</v>
      </c>
      <c r="K42" s="390"/>
      <c r="L42" s="390"/>
      <c r="M42" s="390" t="s">
        <v>736</v>
      </c>
      <c r="N42" s="390"/>
      <c r="O42" s="390" t="s">
        <v>1229</v>
      </c>
      <c r="P42" s="390" t="s">
        <v>1230</v>
      </c>
      <c r="Q42" s="390" t="s">
        <v>195</v>
      </c>
      <c r="R42" s="403" t="s">
        <v>454</v>
      </c>
    </row>
    <row r="43" spans="2:18" x14ac:dyDescent="0.25">
      <c r="B43" s="369" t="s">
        <v>1232</v>
      </c>
      <c r="C43" s="399" t="s">
        <v>37</v>
      </c>
      <c r="D43" s="391" t="s">
        <v>6</v>
      </c>
      <c r="E43" s="404" t="s">
        <v>46</v>
      </c>
      <c r="F43" s="399" t="s">
        <v>415</v>
      </c>
      <c r="G43" s="391" t="s">
        <v>1227</v>
      </c>
      <c r="H43" s="392">
        <v>42645</v>
      </c>
      <c r="I43" s="391" t="s">
        <v>1222</v>
      </c>
      <c r="J43" s="391" t="s">
        <v>1228</v>
      </c>
      <c r="K43" s="391"/>
      <c r="L43" s="391"/>
      <c r="M43" s="391" t="s">
        <v>736</v>
      </c>
      <c r="N43" s="391"/>
      <c r="O43" s="391" t="s">
        <v>1229</v>
      </c>
      <c r="P43" s="391" t="s">
        <v>1230</v>
      </c>
      <c r="Q43" s="391" t="s">
        <v>195</v>
      </c>
      <c r="R43" s="404" t="s">
        <v>454</v>
      </c>
    </row>
    <row r="44" spans="2:18" x14ac:dyDescent="0.25">
      <c r="B44" s="369" t="s">
        <v>1238</v>
      </c>
      <c r="C44" s="398" t="s">
        <v>241</v>
      </c>
      <c r="D44" s="390" t="s">
        <v>230</v>
      </c>
      <c r="E44" s="403" t="s">
        <v>139</v>
      </c>
      <c r="F44" s="398" t="s">
        <v>415</v>
      </c>
      <c r="G44" s="390" t="s">
        <v>1233</v>
      </c>
      <c r="H44" s="394">
        <v>42690</v>
      </c>
      <c r="I44" s="390" t="s">
        <v>1234</v>
      </c>
      <c r="J44" s="390" t="s">
        <v>465</v>
      </c>
      <c r="K44" s="390"/>
      <c r="L44" s="390" t="s">
        <v>1235</v>
      </c>
      <c r="M44" s="390" t="s">
        <v>736</v>
      </c>
      <c r="N44" s="390"/>
      <c r="O44" s="390" t="s">
        <v>1236</v>
      </c>
      <c r="P44" s="390" t="s">
        <v>1237</v>
      </c>
      <c r="Q44" s="390" t="s">
        <v>195</v>
      </c>
      <c r="R44" s="403" t="s">
        <v>454</v>
      </c>
    </row>
    <row r="45" spans="2:18" x14ac:dyDescent="0.25">
      <c r="B45" s="369" t="s">
        <v>1239</v>
      </c>
      <c r="C45" s="399" t="s">
        <v>241</v>
      </c>
      <c r="D45" s="391" t="s">
        <v>230</v>
      </c>
      <c r="E45" s="404" t="s">
        <v>139</v>
      </c>
      <c r="F45" s="399" t="s">
        <v>415</v>
      </c>
      <c r="G45" s="391" t="s">
        <v>1233</v>
      </c>
      <c r="H45" s="392">
        <v>42690</v>
      </c>
      <c r="I45" s="391" t="s">
        <v>1234</v>
      </c>
      <c r="J45" s="391" t="s">
        <v>465</v>
      </c>
      <c r="K45" s="391"/>
      <c r="L45" s="391" t="s">
        <v>1235</v>
      </c>
      <c r="M45" s="391" t="s">
        <v>736</v>
      </c>
      <c r="N45" s="391"/>
      <c r="O45" s="391" t="s">
        <v>1236</v>
      </c>
      <c r="P45" s="391" t="s">
        <v>1237</v>
      </c>
      <c r="Q45" s="391" t="s">
        <v>195</v>
      </c>
      <c r="R45" s="404" t="s">
        <v>454</v>
      </c>
    </row>
    <row r="46" spans="2:18" x14ac:dyDescent="0.25">
      <c r="B46" s="369" t="s">
        <v>1246</v>
      </c>
      <c r="C46" s="398" t="s">
        <v>10</v>
      </c>
      <c r="D46" s="390" t="s">
        <v>1</v>
      </c>
      <c r="E46" s="403" t="s">
        <v>46</v>
      </c>
      <c r="F46" s="398" t="s">
        <v>415</v>
      </c>
      <c r="G46" s="390" t="s">
        <v>1240</v>
      </c>
      <c r="H46" s="394">
        <v>42477</v>
      </c>
      <c r="I46" s="390" t="s">
        <v>1241</v>
      </c>
      <c r="J46" s="390" t="s">
        <v>1242</v>
      </c>
      <c r="K46" s="390"/>
      <c r="L46" s="390" t="s">
        <v>1243</v>
      </c>
      <c r="M46" s="390" t="s">
        <v>736</v>
      </c>
      <c r="N46" s="390"/>
      <c r="O46" s="390" t="s">
        <v>1244</v>
      </c>
      <c r="P46" s="390" t="s">
        <v>1245</v>
      </c>
      <c r="Q46" s="390" t="s">
        <v>195</v>
      </c>
      <c r="R46" s="403" t="s">
        <v>454</v>
      </c>
    </row>
    <row r="47" spans="2:18" x14ac:dyDescent="0.25">
      <c r="B47" s="369" t="s">
        <v>1247</v>
      </c>
      <c r="C47" s="399" t="s">
        <v>10</v>
      </c>
      <c r="D47" s="391" t="s">
        <v>230</v>
      </c>
      <c r="E47" s="404" t="s">
        <v>237</v>
      </c>
      <c r="F47" s="399" t="s">
        <v>415</v>
      </c>
      <c r="G47" s="391" t="s">
        <v>1240</v>
      </c>
      <c r="H47" s="392">
        <v>42477</v>
      </c>
      <c r="I47" s="391" t="s">
        <v>1241</v>
      </c>
      <c r="J47" s="391" t="s">
        <v>1242</v>
      </c>
      <c r="K47" s="391"/>
      <c r="L47" s="391" t="s">
        <v>1243</v>
      </c>
      <c r="M47" s="391" t="s">
        <v>736</v>
      </c>
      <c r="N47" s="391"/>
      <c r="O47" s="391" t="s">
        <v>1244</v>
      </c>
      <c r="P47" s="391" t="s">
        <v>1245</v>
      </c>
      <c r="Q47" s="391" t="s">
        <v>195</v>
      </c>
      <c r="R47" s="404" t="s">
        <v>454</v>
      </c>
    </row>
    <row r="48" spans="2:18" x14ac:dyDescent="0.25">
      <c r="B48" s="369" t="s">
        <v>1248</v>
      </c>
      <c r="C48" s="398" t="s">
        <v>238</v>
      </c>
      <c r="D48" s="390" t="s">
        <v>230</v>
      </c>
      <c r="E48" s="403" t="s">
        <v>237</v>
      </c>
      <c r="F48" s="408"/>
      <c r="G48" s="393"/>
      <c r="H48" s="393"/>
      <c r="I48" s="393"/>
      <c r="J48" s="393"/>
      <c r="K48" s="393"/>
      <c r="L48" s="393"/>
      <c r="M48" s="393"/>
      <c r="N48" s="393"/>
      <c r="O48" s="393"/>
      <c r="P48" s="393"/>
      <c r="Q48" s="393"/>
      <c r="R48" s="410"/>
    </row>
    <row r="49" spans="2:18" x14ac:dyDescent="0.25">
      <c r="B49" s="369" t="s">
        <v>1249</v>
      </c>
      <c r="C49" s="399" t="s">
        <v>40</v>
      </c>
      <c r="D49" s="391" t="s">
        <v>135</v>
      </c>
      <c r="E49" s="404" t="s">
        <v>46</v>
      </c>
      <c r="F49" s="408"/>
      <c r="G49" s="393"/>
      <c r="H49" s="393"/>
      <c r="I49" s="393"/>
      <c r="J49" s="393"/>
      <c r="K49" s="393"/>
      <c r="L49" s="393"/>
      <c r="M49" s="393"/>
      <c r="N49" s="393"/>
      <c r="O49" s="393"/>
      <c r="P49" s="393"/>
      <c r="Q49" s="393"/>
      <c r="R49" s="410"/>
    </row>
    <row r="50" spans="2:18" x14ac:dyDescent="0.25">
      <c r="B50" s="369" t="s">
        <v>1250</v>
      </c>
      <c r="C50" s="398" t="s">
        <v>31</v>
      </c>
      <c r="D50" s="390" t="s">
        <v>232</v>
      </c>
      <c r="E50" s="403" t="s">
        <v>139</v>
      </c>
      <c r="F50" s="408"/>
      <c r="G50" s="393"/>
      <c r="H50" s="393"/>
      <c r="I50" s="393"/>
      <c r="J50" s="393"/>
      <c r="K50" s="393"/>
      <c r="L50" s="393"/>
      <c r="M50" s="393"/>
      <c r="N50" s="393"/>
      <c r="O50" s="393"/>
      <c r="P50" s="393"/>
      <c r="Q50" s="393"/>
      <c r="R50" s="410"/>
    </row>
    <row r="51" spans="2:18" x14ac:dyDescent="0.25">
      <c r="B51" s="369" t="s">
        <v>1251</v>
      </c>
      <c r="C51" s="399" t="s">
        <v>31</v>
      </c>
      <c r="D51" s="391" t="s">
        <v>5</v>
      </c>
      <c r="E51" s="404" t="s">
        <v>47</v>
      </c>
      <c r="F51" s="408"/>
      <c r="G51" s="393"/>
      <c r="H51" s="393"/>
      <c r="I51" s="393"/>
      <c r="J51" s="393"/>
      <c r="K51" s="393"/>
      <c r="L51" s="393"/>
      <c r="M51" s="393"/>
      <c r="N51" s="393"/>
      <c r="O51" s="393"/>
      <c r="P51" s="393"/>
      <c r="Q51" s="393"/>
      <c r="R51" s="410"/>
    </row>
    <row r="52" spans="2:18" x14ac:dyDescent="0.25">
      <c r="B52" s="369" t="s">
        <v>1252</v>
      </c>
      <c r="C52" s="398" t="s">
        <v>263</v>
      </c>
      <c r="D52" s="390" t="s">
        <v>236</v>
      </c>
      <c r="E52" s="403" t="s">
        <v>139</v>
      </c>
      <c r="F52" s="408"/>
      <c r="G52" s="393"/>
      <c r="H52" s="393"/>
      <c r="I52" s="393"/>
      <c r="J52" s="393"/>
      <c r="K52" s="393"/>
      <c r="L52" s="393"/>
      <c r="M52" s="393"/>
      <c r="N52" s="393"/>
      <c r="O52" s="393"/>
      <c r="P52" s="393"/>
      <c r="Q52" s="393"/>
      <c r="R52" s="410"/>
    </row>
    <row r="53" spans="2:18" x14ac:dyDescent="0.25">
      <c r="B53" s="369" t="s">
        <v>1445</v>
      </c>
      <c r="C53" s="399" t="s">
        <v>15</v>
      </c>
      <c r="D53" s="391" t="s">
        <v>1</v>
      </c>
      <c r="E53" s="404" t="s">
        <v>47</v>
      </c>
      <c r="F53" s="398" t="s">
        <v>638</v>
      </c>
      <c r="G53" s="390" t="s">
        <v>1438</v>
      </c>
      <c r="H53" s="394">
        <v>42878</v>
      </c>
      <c r="I53" s="390" t="s">
        <v>1439</v>
      </c>
      <c r="J53" s="390" t="s">
        <v>1440</v>
      </c>
      <c r="K53" s="390"/>
      <c r="L53" s="390" t="s">
        <v>1441</v>
      </c>
      <c r="M53" s="390" t="s">
        <v>1442</v>
      </c>
      <c r="N53" s="390"/>
      <c r="O53" s="390" t="s">
        <v>1443</v>
      </c>
      <c r="P53" s="390" t="s">
        <v>1444</v>
      </c>
      <c r="Q53" s="390" t="s">
        <v>195</v>
      </c>
      <c r="R53" s="403" t="s">
        <v>454</v>
      </c>
    </row>
    <row r="54" spans="2:18" x14ac:dyDescent="0.25">
      <c r="B54" s="369" t="s">
        <v>1451</v>
      </c>
      <c r="C54" s="398" t="s">
        <v>246</v>
      </c>
      <c r="D54" s="390" t="s">
        <v>232</v>
      </c>
      <c r="E54" s="403" t="s">
        <v>139</v>
      </c>
      <c r="F54" s="399" t="s">
        <v>415</v>
      </c>
      <c r="G54" s="391" t="s">
        <v>1446</v>
      </c>
      <c r="H54" s="392">
        <v>42644</v>
      </c>
      <c r="I54" s="391" t="s">
        <v>464</v>
      </c>
      <c r="J54" s="391" t="s">
        <v>1447</v>
      </c>
      <c r="K54" s="391"/>
      <c r="L54" s="391"/>
      <c r="M54" s="391" t="s">
        <v>1448</v>
      </c>
      <c r="N54" s="391"/>
      <c r="O54" s="391" t="s">
        <v>1449</v>
      </c>
      <c r="P54" s="391" t="s">
        <v>1450</v>
      </c>
      <c r="Q54" s="391" t="s">
        <v>195</v>
      </c>
      <c r="R54" s="404" t="s">
        <v>454</v>
      </c>
    </row>
    <row r="55" spans="2:18" x14ac:dyDescent="0.25">
      <c r="B55" s="369" t="s">
        <v>1253</v>
      </c>
      <c r="C55" s="399" t="s">
        <v>264</v>
      </c>
      <c r="D55" s="391" t="s">
        <v>236</v>
      </c>
      <c r="E55" s="404" t="s">
        <v>237</v>
      </c>
      <c r="F55" s="408"/>
      <c r="G55" s="393"/>
      <c r="H55" s="393"/>
      <c r="I55" s="393"/>
      <c r="J55" s="393"/>
      <c r="K55" s="393"/>
      <c r="L55" s="393"/>
      <c r="M55" s="393"/>
      <c r="N55" s="393"/>
      <c r="O55" s="393"/>
      <c r="P55" s="393"/>
      <c r="Q55" s="393"/>
      <c r="R55" s="410"/>
    </row>
    <row r="56" spans="2:18" x14ac:dyDescent="0.25">
      <c r="B56" s="369" t="s">
        <v>1254</v>
      </c>
      <c r="C56" s="398" t="s">
        <v>257</v>
      </c>
      <c r="D56" s="390" t="s">
        <v>234</v>
      </c>
      <c r="E56" s="403" t="s">
        <v>237</v>
      </c>
      <c r="F56" s="408"/>
      <c r="G56" s="393"/>
      <c r="H56" s="393"/>
      <c r="I56" s="393"/>
      <c r="J56" s="393"/>
      <c r="K56" s="393"/>
      <c r="L56" s="393"/>
      <c r="M56" s="393"/>
      <c r="N56" s="393"/>
      <c r="O56" s="393"/>
      <c r="P56" s="393"/>
      <c r="Q56" s="393"/>
      <c r="R56" s="410"/>
    </row>
    <row r="57" spans="2:18" x14ac:dyDescent="0.25">
      <c r="B57" s="369" t="s">
        <v>1457</v>
      </c>
      <c r="C57" s="399" t="s">
        <v>11</v>
      </c>
      <c r="D57" s="391" t="s">
        <v>1</v>
      </c>
      <c r="E57" s="404" t="s">
        <v>46</v>
      </c>
      <c r="F57" s="398" t="s">
        <v>415</v>
      </c>
      <c r="G57" s="390" t="s">
        <v>1452</v>
      </c>
      <c r="H57" s="394">
        <v>42645</v>
      </c>
      <c r="I57" s="390" t="s">
        <v>1453</v>
      </c>
      <c r="J57" s="390" t="s">
        <v>661</v>
      </c>
      <c r="K57" s="390"/>
      <c r="L57" s="390" t="s">
        <v>1454</v>
      </c>
      <c r="M57" s="390" t="s">
        <v>736</v>
      </c>
      <c r="N57" s="390"/>
      <c r="O57" s="390" t="s">
        <v>1455</v>
      </c>
      <c r="P57" s="390" t="s">
        <v>1456</v>
      </c>
      <c r="Q57" s="390" t="s">
        <v>195</v>
      </c>
      <c r="R57" s="403" t="s">
        <v>454</v>
      </c>
    </row>
    <row r="58" spans="2:18" x14ac:dyDescent="0.25">
      <c r="B58" s="369" t="s">
        <v>1458</v>
      </c>
      <c r="C58" s="398" t="s">
        <v>11</v>
      </c>
      <c r="D58" s="390" t="s">
        <v>230</v>
      </c>
      <c r="E58" s="403" t="s">
        <v>237</v>
      </c>
      <c r="F58" s="399" t="s">
        <v>415</v>
      </c>
      <c r="G58" s="391" t="s">
        <v>1452</v>
      </c>
      <c r="H58" s="392">
        <v>42645</v>
      </c>
      <c r="I58" s="391" t="s">
        <v>1453</v>
      </c>
      <c r="J58" s="391" t="s">
        <v>661</v>
      </c>
      <c r="K58" s="391"/>
      <c r="L58" s="391" t="s">
        <v>1454</v>
      </c>
      <c r="M58" s="391" t="s">
        <v>736</v>
      </c>
      <c r="N58" s="391"/>
      <c r="O58" s="391" t="s">
        <v>1455</v>
      </c>
      <c r="P58" s="391" t="s">
        <v>1456</v>
      </c>
      <c r="Q58" s="391" t="s">
        <v>195</v>
      </c>
      <c r="R58" s="404" t="s">
        <v>454</v>
      </c>
    </row>
    <row r="59" spans="2:18" x14ac:dyDescent="0.25">
      <c r="B59" s="369" t="s">
        <v>1261</v>
      </c>
      <c r="C59" s="399" t="s">
        <v>25</v>
      </c>
      <c r="D59" s="391" t="s">
        <v>6</v>
      </c>
      <c r="E59" s="404" t="s">
        <v>46</v>
      </c>
      <c r="F59" s="398" t="s">
        <v>415</v>
      </c>
      <c r="G59" s="390" t="s">
        <v>1255</v>
      </c>
      <c r="H59" s="394">
        <v>42645</v>
      </c>
      <c r="I59" s="390" t="s">
        <v>1256</v>
      </c>
      <c r="J59" s="390" t="s">
        <v>1257</v>
      </c>
      <c r="K59" s="390"/>
      <c r="L59" s="390" t="s">
        <v>1258</v>
      </c>
      <c r="M59" s="390" t="s">
        <v>736</v>
      </c>
      <c r="N59" s="390"/>
      <c r="O59" s="390" t="s">
        <v>1259</v>
      </c>
      <c r="P59" s="390" t="s">
        <v>1260</v>
      </c>
      <c r="Q59" s="390" t="s">
        <v>195</v>
      </c>
      <c r="R59" s="403" t="s">
        <v>454</v>
      </c>
    </row>
    <row r="60" spans="2:18" x14ac:dyDescent="0.25">
      <c r="B60" s="369" t="s">
        <v>1262</v>
      </c>
      <c r="C60" s="398" t="s">
        <v>253</v>
      </c>
      <c r="D60" s="390" t="s">
        <v>232</v>
      </c>
      <c r="E60" s="403" t="s">
        <v>237</v>
      </c>
      <c r="F60" s="408"/>
      <c r="G60" s="393"/>
      <c r="H60" s="393"/>
      <c r="I60" s="393"/>
      <c r="J60" s="393"/>
      <c r="K60" s="393"/>
      <c r="L60" s="393"/>
      <c r="M60" s="393"/>
      <c r="N60" s="393"/>
      <c r="O60" s="393"/>
      <c r="P60" s="393"/>
      <c r="Q60" s="393"/>
      <c r="R60" s="410"/>
    </row>
    <row r="61" spans="2:18" x14ac:dyDescent="0.25">
      <c r="B61" s="369" t="s">
        <v>1268</v>
      </c>
      <c r="C61" s="399" t="s">
        <v>30</v>
      </c>
      <c r="D61" s="391" t="s">
        <v>5</v>
      </c>
      <c r="E61" s="404" t="s">
        <v>46</v>
      </c>
      <c r="F61" s="399" t="s">
        <v>638</v>
      </c>
      <c r="G61" s="391" t="s">
        <v>1263</v>
      </c>
      <c r="H61" s="392">
        <v>42646</v>
      </c>
      <c r="I61" s="391" t="s">
        <v>1264</v>
      </c>
      <c r="J61" s="391" t="s">
        <v>1265</v>
      </c>
      <c r="K61" s="391"/>
      <c r="L61" s="391"/>
      <c r="M61" s="391" t="s">
        <v>736</v>
      </c>
      <c r="N61" s="391"/>
      <c r="O61" s="391" t="s">
        <v>1266</v>
      </c>
      <c r="P61" s="391" t="s">
        <v>1267</v>
      </c>
      <c r="Q61" s="391" t="s">
        <v>195</v>
      </c>
      <c r="R61" s="404" t="s">
        <v>454</v>
      </c>
    </row>
    <row r="62" spans="2:18" x14ac:dyDescent="0.25">
      <c r="B62" s="369" t="s">
        <v>1465</v>
      </c>
      <c r="C62" s="398" t="s">
        <v>17</v>
      </c>
      <c r="D62" s="390" t="s">
        <v>131</v>
      </c>
      <c r="E62" s="403" t="s">
        <v>46</v>
      </c>
      <c r="F62" s="398" t="s">
        <v>415</v>
      </c>
      <c r="G62" s="390" t="s">
        <v>1459</v>
      </c>
      <c r="H62" s="394">
        <v>42845</v>
      </c>
      <c r="I62" s="390" t="s">
        <v>1460</v>
      </c>
      <c r="J62" s="390" t="s">
        <v>1461</v>
      </c>
      <c r="K62" s="390"/>
      <c r="L62" s="390" t="s">
        <v>1462</v>
      </c>
      <c r="M62" s="390" t="s">
        <v>736</v>
      </c>
      <c r="N62" s="390"/>
      <c r="O62" s="390" t="s">
        <v>1463</v>
      </c>
      <c r="P62" s="390" t="s">
        <v>1464</v>
      </c>
      <c r="Q62" s="390" t="s">
        <v>195</v>
      </c>
      <c r="R62" s="403" t="s">
        <v>454</v>
      </c>
    </row>
    <row r="63" spans="2:18" x14ac:dyDescent="0.25">
      <c r="B63" s="369" t="s">
        <v>1466</v>
      </c>
      <c r="C63" s="399" t="s">
        <v>245</v>
      </c>
      <c r="D63" s="391" t="s">
        <v>232</v>
      </c>
      <c r="E63" s="404" t="s">
        <v>237</v>
      </c>
      <c r="F63" s="399" t="s">
        <v>415</v>
      </c>
      <c r="G63" s="391" t="s">
        <v>1459</v>
      </c>
      <c r="H63" s="392">
        <v>42845</v>
      </c>
      <c r="I63" s="391" t="s">
        <v>1460</v>
      </c>
      <c r="J63" s="391" t="s">
        <v>1461</v>
      </c>
      <c r="K63" s="391"/>
      <c r="L63" s="391" t="s">
        <v>1462</v>
      </c>
      <c r="M63" s="391" t="s">
        <v>736</v>
      </c>
      <c r="N63" s="391"/>
      <c r="O63" s="391" t="s">
        <v>1463</v>
      </c>
      <c r="P63" s="391" t="s">
        <v>1464</v>
      </c>
      <c r="Q63" s="391" t="s">
        <v>195</v>
      </c>
      <c r="R63" s="404" t="s">
        <v>454</v>
      </c>
    </row>
    <row r="64" spans="2:18" x14ac:dyDescent="0.25">
      <c r="B64" s="369" t="s">
        <v>1276</v>
      </c>
      <c r="C64" s="400" t="s">
        <v>250</v>
      </c>
      <c r="D64" s="395" t="s">
        <v>232</v>
      </c>
      <c r="E64" s="405" t="s">
        <v>237</v>
      </c>
      <c r="F64" s="398" t="s">
        <v>439</v>
      </c>
      <c r="G64" s="390" t="s">
        <v>1269</v>
      </c>
      <c r="H64" s="394">
        <v>42461</v>
      </c>
      <c r="I64" s="390" t="s">
        <v>1270</v>
      </c>
      <c r="J64" s="390" t="s">
        <v>1271</v>
      </c>
      <c r="K64" s="390"/>
      <c r="L64" s="390" t="s">
        <v>1272</v>
      </c>
      <c r="M64" s="390" t="s">
        <v>1273</v>
      </c>
      <c r="N64" s="390"/>
      <c r="O64" s="390" t="s">
        <v>1274</v>
      </c>
      <c r="P64" s="390" t="s">
        <v>1275</v>
      </c>
      <c r="Q64" s="390" t="s">
        <v>195</v>
      </c>
      <c r="R64" s="403" t="s">
        <v>454</v>
      </c>
    </row>
    <row r="65" spans="2:18" x14ac:dyDescent="0.25">
      <c r="B65" s="369" t="s">
        <v>1280</v>
      </c>
      <c r="C65" s="401" t="s">
        <v>250</v>
      </c>
      <c r="D65" s="396" t="s">
        <v>232</v>
      </c>
      <c r="E65" s="406" t="s">
        <v>237</v>
      </c>
      <c r="F65" s="463" t="s">
        <v>415</v>
      </c>
      <c r="G65" s="456" t="s">
        <v>1277</v>
      </c>
      <c r="H65" s="457">
        <v>42996</v>
      </c>
      <c r="I65" s="456" t="s">
        <v>1270</v>
      </c>
      <c r="J65" s="456" t="s">
        <v>1271</v>
      </c>
      <c r="K65" s="456"/>
      <c r="L65" s="456" t="s">
        <v>704</v>
      </c>
      <c r="M65" s="456" t="s">
        <v>637</v>
      </c>
      <c r="N65" s="456"/>
      <c r="O65" s="456" t="s">
        <v>1278</v>
      </c>
      <c r="P65" s="456" t="s">
        <v>1279</v>
      </c>
      <c r="Q65" s="456" t="s">
        <v>195</v>
      </c>
      <c r="R65" s="464" t="s">
        <v>454</v>
      </c>
    </row>
    <row r="66" spans="2:18" x14ac:dyDescent="0.25">
      <c r="B66" s="369" t="s">
        <v>1281</v>
      </c>
      <c r="C66" s="399" t="s">
        <v>21</v>
      </c>
      <c r="D66" s="391" t="s">
        <v>3</v>
      </c>
      <c r="E66" s="404" t="s">
        <v>46</v>
      </c>
      <c r="F66" s="408"/>
      <c r="G66" s="393"/>
      <c r="H66" s="393"/>
      <c r="I66" s="393"/>
      <c r="J66" s="393"/>
      <c r="K66" s="393"/>
      <c r="L66" s="393"/>
      <c r="M66" s="393"/>
      <c r="N66" s="393"/>
      <c r="O66" s="393"/>
      <c r="P66" s="393"/>
      <c r="Q66" s="393"/>
      <c r="R66" s="410"/>
    </row>
    <row r="67" spans="2:18" x14ac:dyDescent="0.25">
      <c r="B67" s="369" t="s">
        <v>1282</v>
      </c>
      <c r="C67" s="398" t="s">
        <v>255</v>
      </c>
      <c r="D67" s="390" t="s">
        <v>233</v>
      </c>
      <c r="E67" s="403" t="s">
        <v>139</v>
      </c>
      <c r="F67" s="408"/>
      <c r="G67" s="393"/>
      <c r="H67" s="393"/>
      <c r="I67" s="393"/>
      <c r="J67" s="393"/>
      <c r="K67" s="393"/>
      <c r="L67" s="393"/>
      <c r="M67" s="393"/>
      <c r="N67" s="393"/>
      <c r="O67" s="393"/>
      <c r="P67" s="393"/>
      <c r="Q67" s="393"/>
      <c r="R67" s="410"/>
    </row>
    <row r="68" spans="2:18" x14ac:dyDescent="0.25">
      <c r="B68" s="369" t="s">
        <v>1283</v>
      </c>
      <c r="C68" s="399" t="s">
        <v>181</v>
      </c>
      <c r="D68" s="391" t="s">
        <v>5</v>
      </c>
      <c r="E68" s="404" t="s">
        <v>47</v>
      </c>
      <c r="F68" s="408"/>
      <c r="G68" s="393"/>
      <c r="H68" s="393"/>
      <c r="I68" s="393"/>
      <c r="J68" s="393"/>
      <c r="K68" s="393"/>
      <c r="L68" s="393"/>
      <c r="M68" s="393"/>
      <c r="N68" s="393"/>
      <c r="O68" s="393"/>
      <c r="P68" s="393"/>
      <c r="Q68" s="393"/>
      <c r="R68" s="410"/>
    </row>
    <row r="69" spans="2:18" x14ac:dyDescent="0.25">
      <c r="B69" s="369" t="s">
        <v>1284</v>
      </c>
      <c r="C69" s="398" t="s">
        <v>33</v>
      </c>
      <c r="D69" s="390" t="s">
        <v>5</v>
      </c>
      <c r="E69" s="403" t="s">
        <v>46</v>
      </c>
      <c r="F69" s="408"/>
      <c r="G69" s="393"/>
      <c r="H69" s="393"/>
      <c r="I69" s="393"/>
      <c r="J69" s="393"/>
      <c r="K69" s="393"/>
      <c r="L69" s="393"/>
      <c r="M69" s="393"/>
      <c r="N69" s="393"/>
      <c r="O69" s="393"/>
      <c r="P69" s="393"/>
      <c r="Q69" s="393"/>
      <c r="R69" s="410"/>
    </row>
    <row r="70" spans="2:18" x14ac:dyDescent="0.25">
      <c r="B70" s="369" t="s">
        <v>1467</v>
      </c>
      <c r="C70" s="399" t="s">
        <v>261</v>
      </c>
      <c r="D70" s="391" t="s">
        <v>235</v>
      </c>
      <c r="E70" s="404" t="s">
        <v>237</v>
      </c>
      <c r="F70" s="398" t="s">
        <v>415</v>
      </c>
      <c r="G70" s="390" t="s">
        <v>625</v>
      </c>
      <c r="H70" s="394">
        <v>40575</v>
      </c>
      <c r="I70" s="390" t="s">
        <v>626</v>
      </c>
      <c r="J70" s="390" t="s">
        <v>627</v>
      </c>
      <c r="K70" s="390" t="s">
        <v>626</v>
      </c>
      <c r="L70" s="390" t="s">
        <v>235</v>
      </c>
      <c r="M70" s="390" t="s">
        <v>630</v>
      </c>
      <c r="N70" s="390"/>
      <c r="O70" s="390" t="s">
        <v>628</v>
      </c>
      <c r="P70" s="390" t="s">
        <v>629</v>
      </c>
      <c r="Q70" s="390" t="s">
        <v>195</v>
      </c>
      <c r="R70" s="403" t="s">
        <v>422</v>
      </c>
    </row>
    <row r="71" spans="2:18" x14ac:dyDescent="0.25">
      <c r="B71" s="369" t="s">
        <v>1285</v>
      </c>
      <c r="C71" s="398" t="s">
        <v>243</v>
      </c>
      <c r="D71" s="390" t="s">
        <v>231</v>
      </c>
      <c r="E71" s="403" t="s">
        <v>237</v>
      </c>
      <c r="F71" s="408"/>
      <c r="G71" s="393"/>
      <c r="H71" s="393"/>
      <c r="I71" s="393"/>
      <c r="J71" s="393"/>
      <c r="K71" s="393"/>
      <c r="L71" s="393"/>
      <c r="M71" s="393"/>
      <c r="N71" s="393"/>
      <c r="O71" s="393"/>
      <c r="P71" s="393"/>
      <c r="Q71" s="393"/>
      <c r="R71" s="410"/>
    </row>
    <row r="72" spans="2:18" x14ac:dyDescent="0.25">
      <c r="B72" s="369" t="s">
        <v>1292</v>
      </c>
      <c r="C72" s="399" t="s">
        <v>242</v>
      </c>
      <c r="D72" s="391" t="s">
        <v>230</v>
      </c>
      <c r="E72" s="404" t="s">
        <v>237</v>
      </c>
      <c r="F72" s="399" t="s">
        <v>415</v>
      </c>
      <c r="G72" s="391" t="s">
        <v>1286</v>
      </c>
      <c r="H72" s="392">
        <v>43005</v>
      </c>
      <c r="I72" s="391" t="s">
        <v>1287</v>
      </c>
      <c r="J72" s="391" t="s">
        <v>1288</v>
      </c>
      <c r="K72" s="391"/>
      <c r="L72" s="391" t="s">
        <v>1289</v>
      </c>
      <c r="M72" s="391" t="s">
        <v>637</v>
      </c>
      <c r="N72" s="391"/>
      <c r="O72" s="391" t="s">
        <v>1290</v>
      </c>
      <c r="P72" s="391" t="s">
        <v>1291</v>
      </c>
      <c r="Q72" s="391" t="s">
        <v>195</v>
      </c>
      <c r="R72" s="404" t="s">
        <v>454</v>
      </c>
    </row>
    <row r="73" spans="2:18" x14ac:dyDescent="0.25">
      <c r="B73" s="369" t="s">
        <v>1298</v>
      </c>
      <c r="C73" s="398" t="s">
        <v>28</v>
      </c>
      <c r="D73" s="390" t="s">
        <v>232</v>
      </c>
      <c r="E73" s="403" t="s">
        <v>237</v>
      </c>
      <c r="F73" s="398" t="s">
        <v>415</v>
      </c>
      <c r="G73" s="390" t="s">
        <v>1293</v>
      </c>
      <c r="H73" s="394">
        <v>42635</v>
      </c>
      <c r="I73" s="390" t="s">
        <v>1294</v>
      </c>
      <c r="J73" s="390" t="s">
        <v>1295</v>
      </c>
      <c r="K73" s="390"/>
      <c r="L73" s="390"/>
      <c r="M73" s="390" t="s">
        <v>736</v>
      </c>
      <c r="N73" s="390"/>
      <c r="O73" s="390" t="s">
        <v>1296</v>
      </c>
      <c r="P73" s="390" t="s">
        <v>1297</v>
      </c>
      <c r="Q73" s="390" t="s">
        <v>195</v>
      </c>
      <c r="R73" s="403" t="s">
        <v>454</v>
      </c>
    </row>
    <row r="74" spans="2:18" x14ac:dyDescent="0.25">
      <c r="B74" s="369" t="s">
        <v>1299</v>
      </c>
      <c r="C74" s="399" t="s">
        <v>28</v>
      </c>
      <c r="D74" s="391" t="s">
        <v>4</v>
      </c>
      <c r="E74" s="404" t="s">
        <v>46</v>
      </c>
      <c r="F74" s="399" t="s">
        <v>415</v>
      </c>
      <c r="G74" s="391" t="s">
        <v>1293</v>
      </c>
      <c r="H74" s="392">
        <v>42635</v>
      </c>
      <c r="I74" s="391" t="s">
        <v>1294</v>
      </c>
      <c r="J74" s="391" t="s">
        <v>1295</v>
      </c>
      <c r="K74" s="391"/>
      <c r="L74" s="391"/>
      <c r="M74" s="391" t="s">
        <v>736</v>
      </c>
      <c r="N74" s="391"/>
      <c r="O74" s="391" t="s">
        <v>1296</v>
      </c>
      <c r="P74" s="391" t="s">
        <v>1297</v>
      </c>
      <c r="Q74" s="391" t="s">
        <v>195</v>
      </c>
      <c r="R74" s="404" t="s">
        <v>454</v>
      </c>
    </row>
    <row r="75" spans="2:18" x14ac:dyDescent="0.25">
      <c r="B75" s="369" t="s">
        <v>1300</v>
      </c>
      <c r="C75" s="398" t="s">
        <v>29</v>
      </c>
      <c r="D75" s="390" t="s">
        <v>5</v>
      </c>
      <c r="E75" s="403" t="s">
        <v>46</v>
      </c>
      <c r="F75" s="408"/>
      <c r="G75" s="393"/>
      <c r="H75" s="393"/>
      <c r="I75" s="393"/>
      <c r="J75" s="393"/>
      <c r="K75" s="393"/>
      <c r="L75" s="393"/>
      <c r="M75" s="393"/>
      <c r="N75" s="393"/>
      <c r="O75" s="393"/>
      <c r="P75" s="393"/>
      <c r="Q75" s="393"/>
      <c r="R75" s="410"/>
    </row>
    <row r="76" spans="2:18" x14ac:dyDescent="0.25">
      <c r="B76" s="369" t="s">
        <v>1474</v>
      </c>
      <c r="C76" s="399" t="s">
        <v>16</v>
      </c>
      <c r="D76" s="391" t="s">
        <v>232</v>
      </c>
      <c r="E76" s="404" t="s">
        <v>237</v>
      </c>
      <c r="F76" s="398" t="s">
        <v>415</v>
      </c>
      <c r="G76" s="390" t="s">
        <v>1468</v>
      </c>
      <c r="H76" s="394">
        <v>42996</v>
      </c>
      <c r="I76" s="390" t="s">
        <v>1469</v>
      </c>
      <c r="J76" s="390" t="s">
        <v>1470</v>
      </c>
      <c r="K76" s="390"/>
      <c r="L76" s="390" t="s">
        <v>1471</v>
      </c>
      <c r="M76" s="390" t="s">
        <v>637</v>
      </c>
      <c r="N76" s="390"/>
      <c r="O76" s="390" t="s">
        <v>1472</v>
      </c>
      <c r="P76" s="390" t="s">
        <v>1473</v>
      </c>
      <c r="Q76" s="390" t="s">
        <v>195</v>
      </c>
      <c r="R76" s="403" t="s">
        <v>454</v>
      </c>
    </row>
    <row r="77" spans="2:18" x14ac:dyDescent="0.25">
      <c r="B77" s="369" t="s">
        <v>1475</v>
      </c>
      <c r="C77" s="398" t="s">
        <v>16</v>
      </c>
      <c r="D77" s="390" t="s">
        <v>131</v>
      </c>
      <c r="E77" s="403" t="s">
        <v>46</v>
      </c>
      <c r="F77" s="399" t="s">
        <v>415</v>
      </c>
      <c r="G77" s="391" t="s">
        <v>1468</v>
      </c>
      <c r="H77" s="392">
        <v>42996</v>
      </c>
      <c r="I77" s="391" t="s">
        <v>1469</v>
      </c>
      <c r="J77" s="391" t="s">
        <v>1470</v>
      </c>
      <c r="K77" s="391"/>
      <c r="L77" s="391" t="s">
        <v>1471</v>
      </c>
      <c r="M77" s="391" t="s">
        <v>637</v>
      </c>
      <c r="N77" s="391"/>
      <c r="O77" s="391" t="s">
        <v>1472</v>
      </c>
      <c r="P77" s="391" t="s">
        <v>1473</v>
      </c>
      <c r="Q77" s="391" t="s">
        <v>195</v>
      </c>
      <c r="R77" s="404" t="s">
        <v>454</v>
      </c>
    </row>
    <row r="78" spans="2:18" x14ac:dyDescent="0.25">
      <c r="B78" s="369" t="s">
        <v>1482</v>
      </c>
      <c r="C78" s="399" t="s">
        <v>254</v>
      </c>
      <c r="D78" s="391" t="s">
        <v>233</v>
      </c>
      <c r="E78" s="404" t="s">
        <v>237</v>
      </c>
      <c r="F78" s="398" t="s">
        <v>415</v>
      </c>
      <c r="G78" s="390" t="s">
        <v>1476</v>
      </c>
      <c r="H78" s="394">
        <v>42948</v>
      </c>
      <c r="I78" s="390" t="s">
        <v>1477</v>
      </c>
      <c r="J78" s="390" t="s">
        <v>1478</v>
      </c>
      <c r="K78" s="390"/>
      <c r="L78" s="390" t="s">
        <v>1479</v>
      </c>
      <c r="M78" s="390" t="s">
        <v>637</v>
      </c>
      <c r="N78" s="390"/>
      <c r="O78" s="390" t="s">
        <v>1480</v>
      </c>
      <c r="P78" s="390" t="s">
        <v>1481</v>
      </c>
      <c r="Q78" s="390" t="s">
        <v>195</v>
      </c>
      <c r="R78" s="403" t="s">
        <v>454</v>
      </c>
    </row>
    <row r="79" spans="2:18" x14ac:dyDescent="0.25">
      <c r="B79" s="369" t="s">
        <v>1307</v>
      </c>
      <c r="C79" s="398" t="s">
        <v>27</v>
      </c>
      <c r="D79" s="390" t="s">
        <v>4</v>
      </c>
      <c r="E79" s="403" t="s">
        <v>47</v>
      </c>
      <c r="F79" s="399" t="s">
        <v>415</v>
      </c>
      <c r="G79" s="391" t="s">
        <v>1301</v>
      </c>
      <c r="H79" s="392">
        <v>42738</v>
      </c>
      <c r="I79" s="391" t="s">
        <v>1302</v>
      </c>
      <c r="J79" s="391" t="s">
        <v>1303</v>
      </c>
      <c r="K79" s="391"/>
      <c r="L79" s="391"/>
      <c r="M79" s="391" t="s">
        <v>1304</v>
      </c>
      <c r="N79" s="391"/>
      <c r="O79" s="391" t="s">
        <v>1305</v>
      </c>
      <c r="P79" s="391" t="s">
        <v>1306</v>
      </c>
      <c r="Q79" s="391" t="s">
        <v>195</v>
      </c>
      <c r="R79" s="404" t="s">
        <v>454</v>
      </c>
    </row>
    <row r="80" spans="2:18" x14ac:dyDescent="0.25">
      <c r="B80" s="369" t="s">
        <v>1308</v>
      </c>
      <c r="C80" s="399" t="s">
        <v>32</v>
      </c>
      <c r="D80" s="391" t="s">
        <v>5</v>
      </c>
      <c r="E80" s="404" t="s">
        <v>47</v>
      </c>
      <c r="F80" s="408"/>
      <c r="G80" s="393"/>
      <c r="H80" s="393"/>
      <c r="I80" s="393"/>
      <c r="J80" s="393"/>
      <c r="K80" s="393"/>
      <c r="L80" s="393"/>
      <c r="M80" s="393"/>
      <c r="N80" s="393"/>
      <c r="O80" s="393"/>
      <c r="P80" s="393"/>
      <c r="Q80" s="393"/>
      <c r="R80" s="410"/>
    </row>
    <row r="81" spans="2:18" x14ac:dyDescent="0.25">
      <c r="B81" s="369" t="s">
        <v>1314</v>
      </c>
      <c r="C81" s="398" t="s">
        <v>258</v>
      </c>
      <c r="D81" s="390" t="s">
        <v>234</v>
      </c>
      <c r="E81" s="403" t="s">
        <v>139</v>
      </c>
      <c r="F81" s="398" t="s">
        <v>415</v>
      </c>
      <c r="G81" s="390" t="s">
        <v>1309</v>
      </c>
      <c r="H81" s="394">
        <v>42993</v>
      </c>
      <c r="I81" s="390" t="s">
        <v>1310</v>
      </c>
      <c r="J81" s="390" t="s">
        <v>1311</v>
      </c>
      <c r="K81" s="390"/>
      <c r="L81" s="390"/>
      <c r="M81" s="390" t="s">
        <v>637</v>
      </c>
      <c r="N81" s="390"/>
      <c r="O81" s="390" t="s">
        <v>1312</v>
      </c>
      <c r="P81" s="390" t="s">
        <v>1313</v>
      </c>
      <c r="Q81" s="390" t="s">
        <v>195</v>
      </c>
      <c r="R81" s="403" t="s">
        <v>454</v>
      </c>
    </row>
    <row r="82" spans="2:18" x14ac:dyDescent="0.25">
      <c r="B82" s="369" t="s">
        <v>1315</v>
      </c>
      <c r="C82" s="399" t="s">
        <v>252</v>
      </c>
      <c r="D82" s="391" t="s">
        <v>232</v>
      </c>
      <c r="E82" s="404" t="s">
        <v>139</v>
      </c>
      <c r="F82" s="408"/>
      <c r="G82" s="393"/>
      <c r="H82" s="393"/>
      <c r="I82" s="393"/>
      <c r="J82" s="393"/>
      <c r="K82" s="393"/>
      <c r="L82" s="393"/>
      <c r="M82" s="393"/>
      <c r="N82" s="393"/>
      <c r="O82" s="393"/>
      <c r="P82" s="393"/>
      <c r="Q82" s="393"/>
      <c r="R82" s="410"/>
    </row>
    <row r="83" spans="2:18" x14ac:dyDescent="0.25">
      <c r="B83" s="369" t="s">
        <v>1316</v>
      </c>
      <c r="C83" s="398" t="s">
        <v>256</v>
      </c>
      <c r="D83" s="390" t="s">
        <v>233</v>
      </c>
      <c r="E83" s="403" t="s">
        <v>139</v>
      </c>
      <c r="F83" s="408"/>
      <c r="G83" s="393"/>
      <c r="H83" s="393"/>
      <c r="I83" s="393"/>
      <c r="J83" s="393"/>
      <c r="K83" s="393"/>
      <c r="L83" s="393"/>
      <c r="M83" s="393"/>
      <c r="N83" s="393"/>
      <c r="O83" s="393"/>
      <c r="P83" s="393"/>
      <c r="Q83" s="393"/>
      <c r="R83" s="410"/>
    </row>
    <row r="84" spans="2:18" x14ac:dyDescent="0.25">
      <c r="B84" s="369" t="s">
        <v>1322</v>
      </c>
      <c r="C84" s="399" t="s">
        <v>259</v>
      </c>
      <c r="D84" s="391" t="s">
        <v>235</v>
      </c>
      <c r="E84" s="404" t="s">
        <v>237</v>
      </c>
      <c r="F84" s="399" t="s">
        <v>415</v>
      </c>
      <c r="G84" s="391" t="s">
        <v>1317</v>
      </c>
      <c r="H84" s="392">
        <v>40196</v>
      </c>
      <c r="I84" s="391" t="s">
        <v>1318</v>
      </c>
      <c r="J84" s="391" t="s">
        <v>1319</v>
      </c>
      <c r="K84" s="391" t="s">
        <v>1318</v>
      </c>
      <c r="L84" s="391" t="s">
        <v>973</v>
      </c>
      <c r="M84" s="391" t="s">
        <v>1160</v>
      </c>
      <c r="N84" s="391"/>
      <c r="O84" s="391" t="s">
        <v>1320</v>
      </c>
      <c r="P84" s="391" t="s">
        <v>1321</v>
      </c>
      <c r="Q84" s="391" t="s">
        <v>195</v>
      </c>
      <c r="R84" s="404" t="s">
        <v>422</v>
      </c>
    </row>
    <row r="85" spans="2:18" x14ac:dyDescent="0.25">
      <c r="B85" s="369" t="s">
        <v>1489</v>
      </c>
      <c r="C85" s="398" t="s">
        <v>39</v>
      </c>
      <c r="D85" s="390" t="s">
        <v>135</v>
      </c>
      <c r="E85" s="403" t="s">
        <v>46</v>
      </c>
      <c r="F85" s="398" t="s">
        <v>415</v>
      </c>
      <c r="G85" s="390" t="s">
        <v>1483</v>
      </c>
      <c r="H85" s="394">
        <v>42635</v>
      </c>
      <c r="I85" s="390" t="s">
        <v>1484</v>
      </c>
      <c r="J85" s="390" t="s">
        <v>1485</v>
      </c>
      <c r="K85" s="390"/>
      <c r="L85" s="390" t="s">
        <v>1486</v>
      </c>
      <c r="M85" s="390" t="s">
        <v>736</v>
      </c>
      <c r="N85" s="390"/>
      <c r="O85" s="390" t="s">
        <v>1487</v>
      </c>
      <c r="P85" s="390" t="s">
        <v>1488</v>
      </c>
      <c r="Q85" s="390" t="s">
        <v>195</v>
      </c>
      <c r="R85" s="403" t="s">
        <v>454</v>
      </c>
    </row>
    <row r="86" spans="2:18" x14ac:dyDescent="0.25">
      <c r="B86" s="369" t="s">
        <v>1490</v>
      </c>
      <c r="C86" s="399" t="s">
        <v>249</v>
      </c>
      <c r="D86" s="391" t="s">
        <v>232</v>
      </c>
      <c r="E86" s="404" t="s">
        <v>237</v>
      </c>
      <c r="F86" s="399" t="s">
        <v>415</v>
      </c>
      <c r="G86" s="391" t="s">
        <v>1483</v>
      </c>
      <c r="H86" s="392">
        <v>42635</v>
      </c>
      <c r="I86" s="391" t="s">
        <v>1484</v>
      </c>
      <c r="J86" s="391" t="s">
        <v>1485</v>
      </c>
      <c r="K86" s="391"/>
      <c r="L86" s="391" t="s">
        <v>1486</v>
      </c>
      <c r="M86" s="391" t="s">
        <v>736</v>
      </c>
      <c r="N86" s="391"/>
      <c r="O86" s="391" t="s">
        <v>1487</v>
      </c>
      <c r="P86" s="391" t="s">
        <v>1488</v>
      </c>
      <c r="Q86" s="391" t="s">
        <v>195</v>
      </c>
      <c r="R86" s="404" t="s">
        <v>454</v>
      </c>
    </row>
    <row r="87" spans="2:18" x14ac:dyDescent="0.25">
      <c r="B87" s="369" t="s">
        <v>1497</v>
      </c>
      <c r="C87" s="398" t="s">
        <v>13</v>
      </c>
      <c r="D87" s="390" t="s">
        <v>1</v>
      </c>
      <c r="E87" s="403" t="s">
        <v>46</v>
      </c>
      <c r="F87" s="398" t="s">
        <v>415</v>
      </c>
      <c r="G87" s="390" t="s">
        <v>1491</v>
      </c>
      <c r="H87" s="394">
        <v>42758</v>
      </c>
      <c r="I87" s="390" t="s">
        <v>1492</v>
      </c>
      <c r="J87" s="390" t="s">
        <v>1493</v>
      </c>
      <c r="K87" s="390"/>
      <c r="L87" s="390" t="s">
        <v>1494</v>
      </c>
      <c r="M87" s="390" t="s">
        <v>736</v>
      </c>
      <c r="N87" s="390"/>
      <c r="O87" s="390" t="s">
        <v>1495</v>
      </c>
      <c r="P87" s="390" t="s">
        <v>1496</v>
      </c>
      <c r="Q87" s="390" t="s">
        <v>195</v>
      </c>
      <c r="R87" s="403" t="s">
        <v>454</v>
      </c>
    </row>
    <row r="88" spans="2:18" x14ac:dyDescent="0.25">
      <c r="B88" s="369" t="s">
        <v>1498</v>
      </c>
      <c r="C88" s="399" t="s">
        <v>13</v>
      </c>
      <c r="D88" s="391" t="s">
        <v>231</v>
      </c>
      <c r="E88" s="404" t="s">
        <v>237</v>
      </c>
      <c r="F88" s="399" t="s">
        <v>415</v>
      </c>
      <c r="G88" s="391" t="s">
        <v>1491</v>
      </c>
      <c r="H88" s="392">
        <v>42758</v>
      </c>
      <c r="I88" s="391" t="s">
        <v>1492</v>
      </c>
      <c r="J88" s="391" t="s">
        <v>1493</v>
      </c>
      <c r="K88" s="391"/>
      <c r="L88" s="391" t="s">
        <v>1494</v>
      </c>
      <c r="M88" s="391" t="s">
        <v>736</v>
      </c>
      <c r="N88" s="391"/>
      <c r="O88" s="391" t="s">
        <v>1495</v>
      </c>
      <c r="P88" s="391" t="s">
        <v>1496</v>
      </c>
      <c r="Q88" s="391" t="s">
        <v>195</v>
      </c>
      <c r="R88" s="404" t="s">
        <v>454</v>
      </c>
    </row>
    <row r="89" spans="2:18" x14ac:dyDescent="0.25">
      <c r="B89" s="369" t="s">
        <v>1499</v>
      </c>
      <c r="C89" s="398" t="s">
        <v>35</v>
      </c>
      <c r="D89" s="390" t="s">
        <v>232</v>
      </c>
      <c r="E89" s="403" t="s">
        <v>237</v>
      </c>
      <c r="F89" s="398" t="s">
        <v>415</v>
      </c>
      <c r="G89" s="390" t="s">
        <v>730</v>
      </c>
      <c r="H89" s="394">
        <v>42645</v>
      </c>
      <c r="I89" s="390" t="s">
        <v>731</v>
      </c>
      <c r="J89" s="390" t="s">
        <v>732</v>
      </c>
      <c r="K89" s="390"/>
      <c r="L89" s="390" t="s">
        <v>733</v>
      </c>
      <c r="M89" s="390" t="s">
        <v>736</v>
      </c>
      <c r="N89" s="390"/>
      <c r="O89" s="390" t="s">
        <v>734</v>
      </c>
      <c r="P89" s="390" t="s">
        <v>735</v>
      </c>
      <c r="Q89" s="390" t="s">
        <v>195</v>
      </c>
      <c r="R89" s="403" t="s">
        <v>454</v>
      </c>
    </row>
    <row r="90" spans="2:18" x14ac:dyDescent="0.25">
      <c r="B90" s="369" t="s">
        <v>1500</v>
      </c>
      <c r="C90" s="399" t="s">
        <v>35</v>
      </c>
      <c r="D90" s="391" t="s">
        <v>6</v>
      </c>
      <c r="E90" s="404" t="s">
        <v>46</v>
      </c>
      <c r="F90" s="399" t="s">
        <v>415</v>
      </c>
      <c r="G90" s="391" t="s">
        <v>730</v>
      </c>
      <c r="H90" s="392">
        <v>42645</v>
      </c>
      <c r="I90" s="391" t="s">
        <v>731</v>
      </c>
      <c r="J90" s="391" t="s">
        <v>732</v>
      </c>
      <c r="K90" s="391"/>
      <c r="L90" s="391" t="s">
        <v>733</v>
      </c>
      <c r="M90" s="391" t="s">
        <v>736</v>
      </c>
      <c r="N90" s="391"/>
      <c r="O90" s="391" t="s">
        <v>734</v>
      </c>
      <c r="P90" s="391" t="s">
        <v>735</v>
      </c>
      <c r="Q90" s="391" t="s">
        <v>195</v>
      </c>
      <c r="R90" s="404" t="s">
        <v>454</v>
      </c>
    </row>
    <row r="91" spans="2:18" x14ac:dyDescent="0.25">
      <c r="B91" s="369" t="s">
        <v>1508</v>
      </c>
      <c r="C91" s="398" t="s">
        <v>284</v>
      </c>
      <c r="D91" s="390" t="s">
        <v>232</v>
      </c>
      <c r="E91" s="403" t="s">
        <v>139</v>
      </c>
      <c r="F91" s="398" t="s">
        <v>415</v>
      </c>
      <c r="G91" s="390" t="s">
        <v>1501</v>
      </c>
      <c r="H91" s="394">
        <v>42917</v>
      </c>
      <c r="I91" s="390" t="s">
        <v>1502</v>
      </c>
      <c r="J91" s="390" t="s">
        <v>1503</v>
      </c>
      <c r="K91" s="390" t="s">
        <v>1504</v>
      </c>
      <c r="L91" s="390" t="s">
        <v>878</v>
      </c>
      <c r="M91" s="390" t="s">
        <v>1505</v>
      </c>
      <c r="N91" s="390"/>
      <c r="O91" s="390" t="s">
        <v>1506</v>
      </c>
      <c r="P91" s="390" t="s">
        <v>1507</v>
      </c>
      <c r="Q91" s="390" t="s">
        <v>195</v>
      </c>
      <c r="R91" s="403" t="s">
        <v>454</v>
      </c>
    </row>
    <row r="92" spans="2:18" x14ac:dyDescent="0.25">
      <c r="B92" s="369" t="s">
        <v>1323</v>
      </c>
      <c r="C92" s="399" t="s">
        <v>20</v>
      </c>
      <c r="D92" s="391" t="s">
        <v>3</v>
      </c>
      <c r="E92" s="404" t="s">
        <v>46</v>
      </c>
      <c r="F92" s="408"/>
      <c r="G92" s="393"/>
      <c r="H92" s="393"/>
      <c r="I92" s="393"/>
      <c r="J92" s="393"/>
      <c r="K92" s="393"/>
      <c r="L92" s="393"/>
      <c r="M92" s="393"/>
      <c r="N92" s="393"/>
      <c r="O92" s="393"/>
      <c r="P92" s="393"/>
      <c r="Q92" s="393"/>
      <c r="R92" s="410"/>
    </row>
    <row r="93" spans="2:18" x14ac:dyDescent="0.25">
      <c r="B93" s="369" t="s">
        <v>1324</v>
      </c>
      <c r="C93" s="398" t="s">
        <v>20</v>
      </c>
      <c r="D93" s="390" t="s">
        <v>131</v>
      </c>
      <c r="E93" s="403" t="s">
        <v>46</v>
      </c>
      <c r="F93" s="408"/>
      <c r="G93" s="393"/>
      <c r="H93" s="393"/>
      <c r="I93" s="393"/>
      <c r="J93" s="393"/>
      <c r="K93" s="393"/>
      <c r="L93" s="393"/>
      <c r="M93" s="393"/>
      <c r="N93" s="393"/>
      <c r="O93" s="393"/>
      <c r="P93" s="393"/>
      <c r="Q93" s="393"/>
      <c r="R93" s="410"/>
    </row>
    <row r="94" spans="2:18" x14ac:dyDescent="0.25">
      <c r="B94" s="369" t="s">
        <v>1325</v>
      </c>
      <c r="C94" s="399" t="s">
        <v>12</v>
      </c>
      <c r="D94" s="391" t="s">
        <v>1</v>
      </c>
      <c r="E94" s="404" t="s">
        <v>46</v>
      </c>
      <c r="F94" s="408"/>
      <c r="G94" s="393"/>
      <c r="H94" s="393"/>
      <c r="I94" s="393"/>
      <c r="J94" s="393"/>
      <c r="K94" s="393"/>
      <c r="L94" s="393"/>
      <c r="M94" s="393"/>
      <c r="N94" s="393"/>
      <c r="O94" s="393"/>
      <c r="P94" s="393"/>
      <c r="Q94" s="393"/>
      <c r="R94" s="410"/>
    </row>
    <row r="95" spans="2:18" x14ac:dyDescent="0.25">
      <c r="B95" s="369" t="s">
        <v>1326</v>
      </c>
      <c r="C95" s="398" t="s">
        <v>12</v>
      </c>
      <c r="D95" s="390" t="s">
        <v>230</v>
      </c>
      <c r="E95" s="403" t="s">
        <v>237</v>
      </c>
      <c r="F95" s="408"/>
      <c r="G95" s="393"/>
      <c r="H95" s="393"/>
      <c r="I95" s="393"/>
      <c r="J95" s="393"/>
      <c r="K95" s="393"/>
      <c r="L95" s="393"/>
      <c r="M95" s="393"/>
      <c r="N95" s="393"/>
      <c r="O95" s="393"/>
      <c r="P95" s="393"/>
      <c r="Q95" s="393"/>
      <c r="R95" s="410"/>
    </row>
    <row r="96" spans="2:18" x14ac:dyDescent="0.25">
      <c r="B96" s="369" t="s">
        <v>1513</v>
      </c>
      <c r="C96" s="399" t="s">
        <v>34</v>
      </c>
      <c r="D96" s="391" t="s">
        <v>232</v>
      </c>
      <c r="E96" s="404" t="s">
        <v>237</v>
      </c>
      <c r="F96" s="399" t="s">
        <v>415</v>
      </c>
      <c r="G96" s="391" t="s">
        <v>1509</v>
      </c>
      <c r="H96" s="392">
        <v>42644</v>
      </c>
      <c r="I96" s="391" t="s">
        <v>758</v>
      </c>
      <c r="J96" s="391" t="s">
        <v>1510</v>
      </c>
      <c r="K96" s="391"/>
      <c r="L96" s="391"/>
      <c r="M96" s="391" t="s">
        <v>736</v>
      </c>
      <c r="N96" s="391"/>
      <c r="O96" s="391" t="s">
        <v>1511</v>
      </c>
      <c r="P96" s="391" t="s">
        <v>1512</v>
      </c>
      <c r="Q96" s="391" t="s">
        <v>195</v>
      </c>
      <c r="R96" s="404" t="s">
        <v>454</v>
      </c>
    </row>
    <row r="97" spans="2:18" ht="15.75" thickBot="1" x14ac:dyDescent="0.3">
      <c r="B97" s="460" t="s">
        <v>1514</v>
      </c>
      <c r="C97" s="461" t="s">
        <v>34</v>
      </c>
      <c r="D97" s="458" t="s">
        <v>6</v>
      </c>
      <c r="E97" s="462" t="s">
        <v>46</v>
      </c>
      <c r="F97" s="461" t="s">
        <v>415</v>
      </c>
      <c r="G97" s="458" t="s">
        <v>1509</v>
      </c>
      <c r="H97" s="459">
        <v>42644</v>
      </c>
      <c r="I97" s="458" t="s">
        <v>758</v>
      </c>
      <c r="J97" s="458" t="s">
        <v>1510</v>
      </c>
      <c r="K97" s="458"/>
      <c r="L97" s="458"/>
      <c r="M97" s="458" t="s">
        <v>736</v>
      </c>
      <c r="N97" s="458"/>
      <c r="O97" s="458" t="s">
        <v>1511</v>
      </c>
      <c r="P97" s="458" t="s">
        <v>1512</v>
      </c>
      <c r="Q97" s="458" t="s">
        <v>195</v>
      </c>
      <c r="R97" s="462" t="s">
        <v>454</v>
      </c>
    </row>
    <row r="98" spans="2:18" ht="15.75" thickTop="1" x14ac:dyDescent="0.25"/>
    <row r="99" spans="2:18" x14ac:dyDescent="0.25">
      <c r="B99" s="155" t="s">
        <v>1515</v>
      </c>
    </row>
    <row r="101" spans="2:18" x14ac:dyDescent="0.25">
      <c r="B101" s="361" t="s">
        <v>406</v>
      </c>
      <c r="C101" s="379" t="s">
        <v>407</v>
      </c>
    </row>
    <row r="102" spans="2:18" x14ac:dyDescent="0.25">
      <c r="B102" s="380" t="s">
        <v>400</v>
      </c>
      <c r="C102" s="362" t="s">
        <v>401</v>
      </c>
    </row>
    <row r="103" spans="2:18" x14ac:dyDescent="0.25">
      <c r="B103" s="360" t="s">
        <v>402</v>
      </c>
      <c r="C103" s="381" t="s">
        <v>403</v>
      </c>
    </row>
    <row r="105" spans="2:18" x14ac:dyDescent="0.25">
      <c r="B105" s="361" t="s">
        <v>408</v>
      </c>
      <c r="C105" s="379" t="s">
        <v>409</v>
      </c>
    </row>
    <row r="106" spans="2:18" x14ac:dyDescent="0.25">
      <c r="B106" s="380" t="s">
        <v>400</v>
      </c>
      <c r="C106" s="362" t="s">
        <v>1124</v>
      </c>
    </row>
    <row r="107" spans="2:18" x14ac:dyDescent="0.25">
      <c r="B107" s="360" t="s">
        <v>402</v>
      </c>
      <c r="C107" s="381" t="s">
        <v>403</v>
      </c>
    </row>
  </sheetData>
  <autoFilter ref="B12:R97"/>
  <mergeCells count="2">
    <mergeCell ref="C11:E11"/>
    <mergeCell ref="F11:R11"/>
  </mergeCells>
  <printOptions horizontalCentered="1"/>
  <pageMargins left="0.7" right="0.7" top="0.75" bottom="0.75" header="0.3" footer="0.3"/>
  <pageSetup scale="27" fitToHeight="0" orientation="landscape" r:id="rId1"/>
  <headerFooter>
    <oddHeader>&amp;C- &amp;A -&amp;LMembers | emps&amp;Rn/a on dell_prod</oddHeader>
    <oddFooter>&amp;L&amp;F&amp;C&amp;D &amp;T&amp;Rpg.&amp;P /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Kennismatrix"/>
  <dimension ref="A1:BF974"/>
  <sheetViews>
    <sheetView showGridLines="0" zoomScale="90" zoomScaleNormal="90" workbookViewId="0">
      <pane ySplit="2" topLeftCell="A15" activePane="bottomLeft" state="frozen"/>
      <selection pane="bottomLeft" sqref="A1:C3"/>
    </sheetView>
  </sheetViews>
  <sheetFormatPr defaultRowHeight="12" x14ac:dyDescent="0.2"/>
  <cols>
    <col min="1" max="1" width="11.5703125" style="6" customWidth="1"/>
    <col min="2" max="2" width="6.140625" style="6" customWidth="1"/>
    <col min="3" max="3" width="28.7109375" style="42" bestFit="1" customWidth="1"/>
    <col min="4" max="40" width="3.7109375" style="6" customWidth="1"/>
    <col min="41" max="41" width="1.140625" style="6" customWidth="1"/>
    <col min="42" max="42" width="3.7109375" style="43" customWidth="1"/>
    <col min="43" max="43" width="3.7109375" style="44" customWidth="1"/>
    <col min="44" max="44" width="3.7109375" style="45" customWidth="1"/>
    <col min="45" max="45" width="3.7109375" style="46" customWidth="1"/>
    <col min="46" max="46" width="3.7109375" style="47" customWidth="1"/>
    <col min="47" max="47" width="1" style="2" customWidth="1"/>
    <col min="48" max="52" width="3.7109375" style="6" customWidth="1"/>
    <col min="53" max="53" width="1.140625" style="2" customWidth="1"/>
    <col min="54" max="57" width="3.7109375" style="6" customWidth="1"/>
    <col min="58" max="58" width="3.5703125" style="6" customWidth="1"/>
    <col min="59" max="16384" width="9.140625" style="6"/>
  </cols>
  <sheetData>
    <row r="1" spans="1:58" s="3" customFormat="1" ht="45" customHeight="1" x14ac:dyDescent="0.2">
      <c r="A1" s="424" t="s">
        <v>0</v>
      </c>
      <c r="B1" s="424"/>
      <c r="C1" s="425"/>
      <c r="D1" s="418" t="s">
        <v>1</v>
      </c>
      <c r="E1" s="419"/>
      <c r="F1" s="419"/>
      <c r="G1" s="419"/>
      <c r="H1" s="419"/>
      <c r="I1" s="419"/>
      <c r="J1" s="419"/>
      <c r="K1" s="420"/>
      <c r="L1" s="418" t="s">
        <v>131</v>
      </c>
      <c r="M1" s="419"/>
      <c r="N1" s="419"/>
      <c r="O1" s="419"/>
      <c r="P1" s="420"/>
      <c r="Q1" s="418" t="s">
        <v>3</v>
      </c>
      <c r="R1" s="419"/>
      <c r="S1" s="420"/>
      <c r="T1" s="418" t="s">
        <v>4</v>
      </c>
      <c r="U1" s="419"/>
      <c r="V1" s="419"/>
      <c r="W1" s="420"/>
      <c r="X1" s="418" t="s">
        <v>5</v>
      </c>
      <c r="Y1" s="419"/>
      <c r="Z1" s="419"/>
      <c r="AA1" s="419"/>
      <c r="AB1" s="419"/>
      <c r="AC1" s="419"/>
      <c r="AD1" s="419"/>
      <c r="AE1" s="420"/>
      <c r="AF1" s="419" t="s">
        <v>6</v>
      </c>
      <c r="AG1" s="419"/>
      <c r="AH1" s="419"/>
      <c r="AI1" s="419"/>
      <c r="AJ1" s="419"/>
      <c r="AK1" s="420"/>
      <c r="AL1" s="418" t="s">
        <v>135</v>
      </c>
      <c r="AM1" s="419"/>
      <c r="AN1" s="420"/>
      <c r="AO1" s="1"/>
      <c r="AP1" s="421" t="s">
        <v>7</v>
      </c>
      <c r="AQ1" s="422"/>
      <c r="AR1" s="422"/>
      <c r="AS1" s="422"/>
      <c r="AT1" s="423"/>
      <c r="AU1" s="2"/>
      <c r="AV1" s="421" t="s">
        <v>8</v>
      </c>
      <c r="AW1" s="422"/>
      <c r="AX1" s="422"/>
      <c r="AY1" s="422"/>
      <c r="AZ1" s="423"/>
      <c r="BA1" s="2"/>
      <c r="BB1" s="421" t="s">
        <v>119</v>
      </c>
      <c r="BC1" s="422"/>
      <c r="BD1" s="422"/>
      <c r="BE1" s="422"/>
      <c r="BF1" s="423"/>
    </row>
    <row r="2" spans="1:58" s="5" customFormat="1" ht="84.75" thickBot="1" x14ac:dyDescent="0.25">
      <c r="A2" s="4" t="s">
        <v>9</v>
      </c>
      <c r="C2" s="231" t="s">
        <v>216</v>
      </c>
      <c r="D2" s="131" t="s">
        <v>10</v>
      </c>
      <c r="E2" s="75" t="s">
        <v>11</v>
      </c>
      <c r="F2" s="75" t="s">
        <v>12</v>
      </c>
      <c r="G2" s="75" t="s">
        <v>13</v>
      </c>
      <c r="H2" s="75" t="s">
        <v>14</v>
      </c>
      <c r="I2" s="75" t="s">
        <v>125</v>
      </c>
      <c r="J2" s="75" t="s">
        <v>121</v>
      </c>
      <c r="K2" s="73" t="s">
        <v>15</v>
      </c>
      <c r="L2" s="131" t="s">
        <v>16</v>
      </c>
      <c r="M2" s="75" t="s">
        <v>17</v>
      </c>
      <c r="N2" s="166" t="s">
        <v>18</v>
      </c>
      <c r="O2" s="75" t="s">
        <v>19</v>
      </c>
      <c r="P2" s="132" t="s">
        <v>20</v>
      </c>
      <c r="Q2" s="170" t="s">
        <v>21</v>
      </c>
      <c r="R2" s="75" t="s">
        <v>22</v>
      </c>
      <c r="S2" s="132" t="s">
        <v>20</v>
      </c>
      <c r="T2" s="133" t="s">
        <v>28</v>
      </c>
      <c r="U2" s="134" t="s">
        <v>24</v>
      </c>
      <c r="V2" s="167" t="s">
        <v>27</v>
      </c>
      <c r="W2" s="70" t="s">
        <v>124</v>
      </c>
      <c r="X2" s="133" t="s">
        <v>33</v>
      </c>
      <c r="Y2" s="134" t="s">
        <v>29</v>
      </c>
      <c r="Z2" s="134" t="s">
        <v>30</v>
      </c>
      <c r="AA2" s="167" t="s">
        <v>181</v>
      </c>
      <c r="AB2" s="134" t="s">
        <v>26</v>
      </c>
      <c r="AC2" s="134" t="s">
        <v>31</v>
      </c>
      <c r="AD2" s="134" t="s">
        <v>32</v>
      </c>
      <c r="AE2" s="168" t="s">
        <v>23</v>
      </c>
      <c r="AF2" s="134" t="s">
        <v>34</v>
      </c>
      <c r="AG2" s="134" t="s">
        <v>25</v>
      </c>
      <c r="AH2" s="134" t="s">
        <v>35</v>
      </c>
      <c r="AI2" s="134" t="s">
        <v>38</v>
      </c>
      <c r="AJ2" s="134" t="s">
        <v>36</v>
      </c>
      <c r="AK2" s="70" t="s">
        <v>37</v>
      </c>
      <c r="AL2" s="135" t="s">
        <v>133</v>
      </c>
      <c r="AM2" s="134" t="s">
        <v>39</v>
      </c>
      <c r="AN2" s="168" t="s">
        <v>40</v>
      </c>
      <c r="AO2" s="1"/>
      <c r="AP2" s="81" t="s">
        <v>41</v>
      </c>
      <c r="AQ2" s="82" t="s">
        <v>42</v>
      </c>
      <c r="AR2" s="83" t="s">
        <v>43</v>
      </c>
      <c r="AS2" s="84" t="s">
        <v>44</v>
      </c>
      <c r="AT2" s="85" t="s">
        <v>45</v>
      </c>
      <c r="AU2" s="2"/>
      <c r="AV2" s="86" t="s">
        <v>41</v>
      </c>
      <c r="AW2" s="82" t="s">
        <v>42</v>
      </c>
      <c r="AX2" s="87" t="s">
        <v>43</v>
      </c>
      <c r="AY2" s="84" t="s">
        <v>44</v>
      </c>
      <c r="AZ2" s="85" t="s">
        <v>45</v>
      </c>
      <c r="BA2" s="2"/>
      <c r="BB2" s="86" t="s">
        <v>41</v>
      </c>
      <c r="BC2" s="82" t="s">
        <v>42</v>
      </c>
      <c r="BD2" s="87" t="s">
        <v>43</v>
      </c>
      <c r="BE2" s="84" t="s">
        <v>44</v>
      </c>
      <c r="BF2" s="85" t="s">
        <v>45</v>
      </c>
    </row>
    <row r="3" spans="1:58" s="5" customFormat="1" ht="18" customHeight="1" thickBot="1" x14ac:dyDescent="0.25">
      <c r="B3" s="3"/>
      <c r="C3" s="100" t="s">
        <v>126</v>
      </c>
      <c r="D3" s="266" t="s">
        <v>46</v>
      </c>
      <c r="E3" s="266" t="s">
        <v>46</v>
      </c>
      <c r="F3" s="266" t="s">
        <v>46</v>
      </c>
      <c r="G3" s="266" t="s">
        <v>46</v>
      </c>
      <c r="H3" s="266" t="s">
        <v>46</v>
      </c>
      <c r="I3" s="266" t="s">
        <v>47</v>
      </c>
      <c r="J3" s="266" t="s">
        <v>47</v>
      </c>
      <c r="K3" s="267" t="s">
        <v>47</v>
      </c>
      <c r="L3" s="266" t="s">
        <v>46</v>
      </c>
      <c r="M3" s="266" t="s">
        <v>46</v>
      </c>
      <c r="N3" s="266" t="s">
        <v>46</v>
      </c>
      <c r="O3" s="266" t="s">
        <v>46</v>
      </c>
      <c r="P3" s="266" t="s">
        <v>46</v>
      </c>
      <c r="Q3" s="266" t="s">
        <v>46</v>
      </c>
      <c r="R3" s="266" t="s">
        <v>46</v>
      </c>
      <c r="S3" s="266" t="s">
        <v>46</v>
      </c>
      <c r="T3" s="266" t="s">
        <v>46</v>
      </c>
      <c r="U3" s="266" t="s">
        <v>47</v>
      </c>
      <c r="V3" s="266" t="s">
        <v>47</v>
      </c>
      <c r="W3" s="266" t="s">
        <v>47</v>
      </c>
      <c r="X3" s="266" t="s">
        <v>46</v>
      </c>
      <c r="Y3" s="266" t="s">
        <v>46</v>
      </c>
      <c r="Z3" s="266" t="s">
        <v>46</v>
      </c>
      <c r="AA3" s="266" t="s">
        <v>47</v>
      </c>
      <c r="AB3" s="266" t="s">
        <v>47</v>
      </c>
      <c r="AC3" s="266" t="s">
        <v>47</v>
      </c>
      <c r="AD3" s="266" t="s">
        <v>47</v>
      </c>
      <c r="AE3" s="266" t="s">
        <v>47</v>
      </c>
      <c r="AF3" s="266" t="s">
        <v>46</v>
      </c>
      <c r="AG3" s="266" t="s">
        <v>46</v>
      </c>
      <c r="AH3" s="266" t="s">
        <v>46</v>
      </c>
      <c r="AI3" s="266" t="s">
        <v>46</v>
      </c>
      <c r="AJ3" s="266" t="s">
        <v>46</v>
      </c>
      <c r="AK3" s="266" t="s">
        <v>46</v>
      </c>
      <c r="AL3" s="266" t="s">
        <v>46</v>
      </c>
      <c r="AM3" s="266" t="s">
        <v>46</v>
      </c>
      <c r="AN3" s="266" t="s">
        <v>46</v>
      </c>
      <c r="AO3" s="97"/>
    </row>
    <row r="4" spans="1:58" x14ac:dyDescent="0.2">
      <c r="B4" s="426" t="s">
        <v>48</v>
      </c>
      <c r="C4" s="58" t="s">
        <v>49</v>
      </c>
      <c r="D4" s="59" t="s">
        <v>137</v>
      </c>
      <c r="E4" s="127" t="s">
        <v>137</v>
      </c>
      <c r="F4" s="127" t="s">
        <v>150</v>
      </c>
      <c r="G4" s="127" t="s">
        <v>147</v>
      </c>
      <c r="H4" s="127" t="s">
        <v>147</v>
      </c>
      <c r="I4" s="117"/>
      <c r="J4" s="76"/>
      <c r="K4" s="164"/>
      <c r="L4" s="59" t="s">
        <v>136</v>
      </c>
      <c r="M4" s="127" t="s">
        <v>136</v>
      </c>
      <c r="N4" s="60"/>
      <c r="O4" s="60"/>
      <c r="P4" s="61"/>
      <c r="Q4" s="59"/>
      <c r="R4" s="127" t="s">
        <v>136</v>
      </c>
      <c r="S4" s="61"/>
      <c r="T4" s="59"/>
      <c r="U4" s="60" t="s">
        <v>136</v>
      </c>
      <c r="V4" s="60"/>
      <c r="W4" s="61" t="s">
        <v>147</v>
      </c>
      <c r="X4" s="59" t="s">
        <v>138</v>
      </c>
      <c r="Y4" s="127" t="s">
        <v>148</v>
      </c>
      <c r="Z4" s="120" t="s">
        <v>136</v>
      </c>
      <c r="AA4" s="60"/>
      <c r="AB4" s="127" t="s">
        <v>147</v>
      </c>
      <c r="AC4" s="127" t="s">
        <v>138</v>
      </c>
      <c r="AD4" s="127" t="s">
        <v>150</v>
      </c>
      <c r="AE4" s="61"/>
      <c r="AF4" s="67" t="s">
        <v>137</v>
      </c>
      <c r="AG4" s="60"/>
      <c r="AH4" s="127"/>
      <c r="AI4" s="60" t="s">
        <v>136</v>
      </c>
      <c r="AJ4" s="127"/>
      <c r="AK4" s="128"/>
      <c r="AL4" s="59"/>
      <c r="AM4" s="59"/>
      <c r="AN4" s="113"/>
      <c r="AO4" s="1"/>
      <c r="AP4" s="88" t="str">
        <f t="shared" ref="AP4:AP34" si="0">IF(COUNTIF(D4:AN4,"O")&gt;0,COUNTIF(D4:AN4,"O"),"")</f>
        <v/>
      </c>
      <c r="AQ4" s="89">
        <f t="shared" ref="AQ4:AQ34" si="1">IF(COUNTIF(D4:AN4,"j")&gt;0,COUNTIF(D4:AN4,"J"),"")</f>
        <v>10</v>
      </c>
      <c r="AR4" s="90">
        <f t="shared" ref="AR4:AR34" si="2">IF(COUNTIF(D4:AN4,"M")&gt;0,COUNTIF(D4:AN4,"M"),"")</f>
        <v>4</v>
      </c>
      <c r="AS4" s="91">
        <f t="shared" ref="AS4:AS34" si="3">IF(COUNTIF(D4:AN4,"S")&gt;0,COUNTIF(D4:AN4,"S"),"")</f>
        <v>4</v>
      </c>
      <c r="AT4" s="92" t="str">
        <f t="shared" ref="AT4:AT34" si="4">IF(COUNTIF(D4:AN4,"E")&gt;0,COUNTIF(D4:AN4,"E"),"")</f>
        <v/>
      </c>
      <c r="AU4" s="17"/>
      <c r="AV4" s="93"/>
      <c r="AW4" s="89"/>
      <c r="AX4" s="90"/>
      <c r="AY4" s="91"/>
      <c r="AZ4" s="92"/>
      <c r="BA4" s="17"/>
      <c r="BB4" s="93" t="str">
        <f>IF(AP4="","",AP4-AV4)</f>
        <v/>
      </c>
      <c r="BC4" s="89">
        <f t="shared" ref="BC4:BF18" si="5">IF(AQ4="","",AQ4-AW4)</f>
        <v>10</v>
      </c>
      <c r="BD4" s="90">
        <f t="shared" si="5"/>
        <v>4</v>
      </c>
      <c r="BE4" s="91">
        <f t="shared" si="5"/>
        <v>4</v>
      </c>
      <c r="BF4" s="92" t="str">
        <f t="shared" si="5"/>
        <v/>
      </c>
    </row>
    <row r="5" spans="1:58" x14ac:dyDescent="0.2">
      <c r="B5" s="427"/>
      <c r="C5" s="51" t="s">
        <v>54</v>
      </c>
      <c r="D5" s="48" t="s">
        <v>137</v>
      </c>
      <c r="E5" s="125" t="s">
        <v>138</v>
      </c>
      <c r="F5" s="125" t="s">
        <v>150</v>
      </c>
      <c r="G5" s="125" t="s">
        <v>148</v>
      </c>
      <c r="H5" s="125" t="s">
        <v>148</v>
      </c>
      <c r="I5" s="118"/>
      <c r="J5" s="77"/>
      <c r="K5" s="126" t="s">
        <v>136</v>
      </c>
      <c r="L5" s="48" t="s">
        <v>136</v>
      </c>
      <c r="M5" s="125" t="s">
        <v>136</v>
      </c>
      <c r="N5" s="49"/>
      <c r="O5" s="49"/>
      <c r="P5" s="50"/>
      <c r="Q5" s="48"/>
      <c r="R5" s="125"/>
      <c r="S5" s="50"/>
      <c r="T5" s="48" t="s">
        <v>137</v>
      </c>
      <c r="U5" s="49" t="s">
        <v>136</v>
      </c>
      <c r="V5" s="49"/>
      <c r="W5" s="50" t="s">
        <v>147</v>
      </c>
      <c r="X5" s="48" t="s">
        <v>138</v>
      </c>
      <c r="Y5" s="125" t="s">
        <v>150</v>
      </c>
      <c r="Z5" s="121" t="s">
        <v>137</v>
      </c>
      <c r="AA5" s="49"/>
      <c r="AB5" s="125" t="s">
        <v>147</v>
      </c>
      <c r="AC5" s="125" t="s">
        <v>138</v>
      </c>
      <c r="AD5" s="125" t="s">
        <v>150</v>
      </c>
      <c r="AE5" s="50"/>
      <c r="AF5" s="68" t="s">
        <v>138</v>
      </c>
      <c r="AG5" s="49" t="s">
        <v>137</v>
      </c>
      <c r="AH5" s="125" t="s">
        <v>138</v>
      </c>
      <c r="AI5" s="49" t="s">
        <v>138</v>
      </c>
      <c r="AJ5" s="125" t="s">
        <v>138</v>
      </c>
      <c r="AK5" s="126" t="s">
        <v>138</v>
      </c>
      <c r="AL5" s="48" t="s">
        <v>148</v>
      </c>
      <c r="AM5" s="48"/>
      <c r="AN5" s="114"/>
      <c r="AO5" s="1"/>
      <c r="AP5" s="7" t="str">
        <f t="shared" si="0"/>
        <v/>
      </c>
      <c r="AQ5" s="8">
        <f t="shared" si="1"/>
        <v>6</v>
      </c>
      <c r="AR5" s="9">
        <f t="shared" si="2"/>
        <v>7</v>
      </c>
      <c r="AS5" s="10">
        <f t="shared" si="3"/>
        <v>11</v>
      </c>
      <c r="AT5" s="11" t="str">
        <f t="shared" si="4"/>
        <v/>
      </c>
      <c r="AU5" s="17"/>
      <c r="AV5" s="79"/>
      <c r="AW5" s="8"/>
      <c r="AX5" s="9"/>
      <c r="AY5" s="10"/>
      <c r="AZ5" s="11"/>
      <c r="BA5" s="17"/>
      <c r="BB5" s="79" t="str">
        <f t="shared" ref="BB5:BB69" si="6">IF(AP5="","",AP5-AV5)</f>
        <v/>
      </c>
      <c r="BC5" s="8">
        <f t="shared" si="5"/>
        <v>6</v>
      </c>
      <c r="BD5" s="9">
        <f t="shared" si="5"/>
        <v>7</v>
      </c>
      <c r="BE5" s="10">
        <f t="shared" si="5"/>
        <v>11</v>
      </c>
      <c r="BF5" s="11" t="str">
        <f t="shared" si="5"/>
        <v/>
      </c>
    </row>
    <row r="6" spans="1:58" x14ac:dyDescent="0.2">
      <c r="B6" s="427"/>
      <c r="C6" s="51" t="s">
        <v>51</v>
      </c>
      <c r="D6" s="48" t="s">
        <v>137</v>
      </c>
      <c r="E6" s="125" t="s">
        <v>137</v>
      </c>
      <c r="F6" s="125" t="s">
        <v>149</v>
      </c>
      <c r="G6" s="125" t="s">
        <v>148</v>
      </c>
      <c r="H6" s="125" t="s">
        <v>147</v>
      </c>
      <c r="I6" s="118"/>
      <c r="J6" s="77"/>
      <c r="K6" s="126" t="s">
        <v>136</v>
      </c>
      <c r="L6" s="48" t="s">
        <v>144</v>
      </c>
      <c r="M6" s="125" t="s">
        <v>137</v>
      </c>
      <c r="N6" s="49"/>
      <c r="O6" s="49"/>
      <c r="P6" s="50"/>
      <c r="Q6" s="48"/>
      <c r="R6" s="125"/>
      <c r="S6" s="50"/>
      <c r="T6" s="48" t="s">
        <v>139</v>
      </c>
      <c r="U6" s="49" t="s">
        <v>137</v>
      </c>
      <c r="V6" s="49"/>
      <c r="W6" s="50" t="s">
        <v>148</v>
      </c>
      <c r="X6" s="48" t="s">
        <v>138</v>
      </c>
      <c r="Y6" s="125" t="s">
        <v>47</v>
      </c>
      <c r="Z6" s="121" t="s">
        <v>137</v>
      </c>
      <c r="AA6" s="49"/>
      <c r="AB6" s="125" t="s">
        <v>147</v>
      </c>
      <c r="AC6" s="125" t="s">
        <v>137</v>
      </c>
      <c r="AD6" s="125" t="s">
        <v>150</v>
      </c>
      <c r="AE6" s="50"/>
      <c r="AF6" s="68" t="s">
        <v>139</v>
      </c>
      <c r="AG6" s="49" t="s">
        <v>137</v>
      </c>
      <c r="AH6" s="125" t="s">
        <v>138</v>
      </c>
      <c r="AI6" s="49" t="s">
        <v>139</v>
      </c>
      <c r="AJ6" s="125" t="s">
        <v>138</v>
      </c>
      <c r="AK6" s="126" t="s">
        <v>138</v>
      </c>
      <c r="AL6" s="48" t="s">
        <v>150</v>
      </c>
      <c r="AM6" s="48" t="s">
        <v>148</v>
      </c>
      <c r="AN6" s="114"/>
      <c r="AO6" s="1"/>
      <c r="AP6" s="7">
        <f t="shared" si="0"/>
        <v>2</v>
      </c>
      <c r="AQ6" s="8">
        <f t="shared" si="1"/>
        <v>3</v>
      </c>
      <c r="AR6" s="9">
        <f t="shared" si="2"/>
        <v>10</v>
      </c>
      <c r="AS6" s="10">
        <f t="shared" si="3"/>
        <v>6</v>
      </c>
      <c r="AT6" s="11">
        <f t="shared" si="4"/>
        <v>4</v>
      </c>
      <c r="AU6" s="17"/>
      <c r="AV6" s="79"/>
      <c r="AW6" s="8"/>
      <c r="AX6" s="9"/>
      <c r="AY6" s="10"/>
      <c r="AZ6" s="11"/>
      <c r="BA6" s="17"/>
      <c r="BB6" s="79">
        <f t="shared" si="6"/>
        <v>2</v>
      </c>
      <c r="BC6" s="8">
        <f t="shared" si="5"/>
        <v>3</v>
      </c>
      <c r="BD6" s="9">
        <f t="shared" si="5"/>
        <v>10</v>
      </c>
      <c r="BE6" s="10">
        <f t="shared" si="5"/>
        <v>6</v>
      </c>
      <c r="BF6" s="11">
        <f t="shared" si="5"/>
        <v>4</v>
      </c>
    </row>
    <row r="7" spans="1:58" ht="12.75" thickBot="1" x14ac:dyDescent="0.25">
      <c r="B7" s="427"/>
      <c r="C7" s="51" t="s">
        <v>52</v>
      </c>
      <c r="D7" s="48" t="s">
        <v>137</v>
      </c>
      <c r="E7" s="125" t="s">
        <v>137</v>
      </c>
      <c r="F7" s="125" t="s">
        <v>149</v>
      </c>
      <c r="G7" s="125" t="s">
        <v>147</v>
      </c>
      <c r="H7" s="125" t="s">
        <v>147</v>
      </c>
      <c r="I7" s="118"/>
      <c r="J7" s="77"/>
      <c r="K7" s="126"/>
      <c r="L7" s="48" t="s">
        <v>144</v>
      </c>
      <c r="M7" s="125" t="s">
        <v>138</v>
      </c>
      <c r="N7" s="49"/>
      <c r="O7" s="49"/>
      <c r="P7" s="50"/>
      <c r="Q7" s="48"/>
      <c r="R7" s="125"/>
      <c r="S7" s="50"/>
      <c r="T7" s="48" t="s">
        <v>138</v>
      </c>
      <c r="U7" s="49" t="s">
        <v>137</v>
      </c>
      <c r="V7" s="49"/>
      <c r="W7" s="50" t="s">
        <v>147</v>
      </c>
      <c r="X7" s="48" t="s">
        <v>138</v>
      </c>
      <c r="Y7" s="125" t="s">
        <v>47</v>
      </c>
      <c r="Z7" s="121" t="s">
        <v>137</v>
      </c>
      <c r="AA7" s="49"/>
      <c r="AB7" s="125" t="s">
        <v>147</v>
      </c>
      <c r="AC7" s="125" t="s">
        <v>137</v>
      </c>
      <c r="AD7" s="125" t="s">
        <v>150</v>
      </c>
      <c r="AE7" s="50"/>
      <c r="AF7" s="68" t="s">
        <v>139</v>
      </c>
      <c r="AG7" s="49" t="s">
        <v>136</v>
      </c>
      <c r="AH7" s="125" t="s">
        <v>136</v>
      </c>
      <c r="AI7" s="49" t="s">
        <v>139</v>
      </c>
      <c r="AJ7" s="125" t="s">
        <v>136</v>
      </c>
      <c r="AK7" s="126" t="s">
        <v>136</v>
      </c>
      <c r="AL7" s="48" t="s">
        <v>147</v>
      </c>
      <c r="AM7" s="48"/>
      <c r="AN7" s="114"/>
      <c r="AO7" s="1"/>
      <c r="AP7" s="7">
        <f t="shared" si="0"/>
        <v>2</v>
      </c>
      <c r="AQ7" s="8">
        <f t="shared" si="1"/>
        <v>9</v>
      </c>
      <c r="AR7" s="9">
        <f t="shared" si="2"/>
        <v>5</v>
      </c>
      <c r="AS7" s="10">
        <f t="shared" si="3"/>
        <v>4</v>
      </c>
      <c r="AT7" s="11">
        <f t="shared" si="4"/>
        <v>3</v>
      </c>
      <c r="AU7" s="17"/>
      <c r="AV7" s="79"/>
      <c r="AW7" s="8"/>
      <c r="AX7" s="9"/>
      <c r="AY7" s="10"/>
      <c r="AZ7" s="11"/>
      <c r="BA7" s="17"/>
      <c r="BB7" s="79">
        <f t="shared" si="6"/>
        <v>2</v>
      </c>
      <c r="BC7" s="8">
        <f t="shared" si="5"/>
        <v>9</v>
      </c>
      <c r="BD7" s="9">
        <f t="shared" si="5"/>
        <v>5</v>
      </c>
      <c r="BE7" s="10">
        <f t="shared" si="5"/>
        <v>4</v>
      </c>
      <c r="BF7" s="11">
        <f t="shared" si="5"/>
        <v>3</v>
      </c>
    </row>
    <row r="8" spans="1:58" x14ac:dyDescent="0.2">
      <c r="B8" s="427"/>
      <c r="C8" s="51" t="s">
        <v>53</v>
      </c>
      <c r="D8" s="48" t="s">
        <v>137</v>
      </c>
      <c r="E8" s="125" t="s">
        <v>136</v>
      </c>
      <c r="F8" s="125" t="s">
        <v>149</v>
      </c>
      <c r="G8" s="125" t="s">
        <v>147</v>
      </c>
      <c r="H8" s="125" t="s">
        <v>147</v>
      </c>
      <c r="I8" s="118"/>
      <c r="J8" s="77"/>
      <c r="K8" s="126" t="s">
        <v>136</v>
      </c>
      <c r="L8" s="48" t="s">
        <v>144</v>
      </c>
      <c r="M8" s="125"/>
      <c r="N8" s="49"/>
      <c r="O8" s="49"/>
      <c r="P8" s="50"/>
      <c r="Q8" s="48"/>
      <c r="R8" s="125"/>
      <c r="S8" s="50"/>
      <c r="T8" s="48" t="s">
        <v>147</v>
      </c>
      <c r="U8" s="49" t="s">
        <v>136</v>
      </c>
      <c r="V8" s="49"/>
      <c r="W8" s="50" t="s">
        <v>147</v>
      </c>
      <c r="X8" s="48"/>
      <c r="Y8" s="125"/>
      <c r="Z8" s="125"/>
      <c r="AA8" s="49"/>
      <c r="AB8" s="125"/>
      <c r="AC8" s="125"/>
      <c r="AD8" s="125" t="s">
        <v>150</v>
      </c>
      <c r="AE8" s="50"/>
      <c r="AF8" s="68" t="s">
        <v>144</v>
      </c>
      <c r="AG8" s="49"/>
      <c r="AH8" s="125"/>
      <c r="AI8" s="49" t="s">
        <v>138</v>
      </c>
      <c r="AJ8" s="127"/>
      <c r="AK8" s="126"/>
      <c r="AL8" s="48" t="s">
        <v>147</v>
      </c>
      <c r="AM8" s="48"/>
      <c r="AN8" s="114"/>
      <c r="AO8" s="1"/>
      <c r="AP8" s="7">
        <f t="shared" si="0"/>
        <v>3</v>
      </c>
      <c r="AQ8" s="8">
        <f t="shared" si="1"/>
        <v>8</v>
      </c>
      <c r="AR8" s="9">
        <f t="shared" si="2"/>
        <v>1</v>
      </c>
      <c r="AS8" s="10">
        <f t="shared" si="3"/>
        <v>2</v>
      </c>
      <c r="AT8" s="11" t="str">
        <f t="shared" si="4"/>
        <v/>
      </c>
      <c r="AU8" s="17"/>
      <c r="AV8" s="79"/>
      <c r="AW8" s="8"/>
      <c r="AX8" s="9"/>
      <c r="AY8" s="10"/>
      <c r="AZ8" s="11"/>
      <c r="BA8" s="17"/>
      <c r="BB8" s="79">
        <f t="shared" si="6"/>
        <v>3</v>
      </c>
      <c r="BC8" s="8">
        <f t="shared" si="5"/>
        <v>8</v>
      </c>
      <c r="BD8" s="9">
        <f t="shared" si="5"/>
        <v>1</v>
      </c>
      <c r="BE8" s="10">
        <f t="shared" si="5"/>
        <v>2</v>
      </c>
      <c r="BF8" s="11" t="str">
        <f t="shared" si="5"/>
        <v/>
      </c>
    </row>
    <row r="9" spans="1:58" x14ac:dyDescent="0.2">
      <c r="B9" s="427"/>
      <c r="C9" s="51" t="s">
        <v>50</v>
      </c>
      <c r="D9" s="48"/>
      <c r="E9" s="125" t="s">
        <v>139</v>
      </c>
      <c r="F9" s="125" t="s">
        <v>150</v>
      </c>
      <c r="G9" s="125" t="s">
        <v>148</v>
      </c>
      <c r="H9" s="125" t="s">
        <v>148</v>
      </c>
      <c r="I9" s="118"/>
      <c r="J9" s="77"/>
      <c r="K9" s="126" t="s">
        <v>136</v>
      </c>
      <c r="L9" s="48" t="s">
        <v>138</v>
      </c>
      <c r="M9" s="125" t="s">
        <v>144</v>
      </c>
      <c r="N9" s="49"/>
      <c r="O9" s="49"/>
      <c r="P9" s="50"/>
      <c r="Q9" s="48"/>
      <c r="R9" s="125"/>
      <c r="S9" s="50"/>
      <c r="T9" s="48"/>
      <c r="U9" s="49"/>
      <c r="V9" s="49"/>
      <c r="W9" s="50"/>
      <c r="X9" s="48" t="s">
        <v>136</v>
      </c>
      <c r="Y9" s="125" t="s">
        <v>147</v>
      </c>
      <c r="Z9" s="121" t="s">
        <v>136</v>
      </c>
      <c r="AA9" s="49"/>
      <c r="AB9" s="125"/>
      <c r="AC9" s="125"/>
      <c r="AD9" s="125" t="s">
        <v>150</v>
      </c>
      <c r="AE9" s="50"/>
      <c r="AF9" s="68" t="s">
        <v>136</v>
      </c>
      <c r="AG9" s="49" t="s">
        <v>138</v>
      </c>
      <c r="AH9" s="125" t="s">
        <v>139</v>
      </c>
      <c r="AI9" s="49"/>
      <c r="AJ9" s="125" t="s">
        <v>139</v>
      </c>
      <c r="AK9" s="126" t="s">
        <v>139</v>
      </c>
      <c r="AL9" s="48"/>
      <c r="AM9" s="48"/>
      <c r="AN9" s="114"/>
      <c r="AO9" s="1"/>
      <c r="AP9" s="7">
        <f t="shared" si="0"/>
        <v>1</v>
      </c>
      <c r="AQ9" s="8">
        <f t="shared" si="1"/>
        <v>5</v>
      </c>
      <c r="AR9" s="9">
        <f t="shared" si="2"/>
        <v>2</v>
      </c>
      <c r="AS9" s="10">
        <f t="shared" si="3"/>
        <v>4</v>
      </c>
      <c r="AT9" s="11">
        <f t="shared" si="4"/>
        <v>4</v>
      </c>
      <c r="AU9" s="17"/>
      <c r="AV9" s="79"/>
      <c r="AW9" s="8"/>
      <c r="AX9" s="9"/>
      <c r="AY9" s="10"/>
      <c r="AZ9" s="11"/>
      <c r="BA9" s="17"/>
      <c r="BB9" s="79">
        <f t="shared" si="6"/>
        <v>1</v>
      </c>
      <c r="BC9" s="8">
        <f t="shared" si="5"/>
        <v>5</v>
      </c>
      <c r="BD9" s="9">
        <f t="shared" si="5"/>
        <v>2</v>
      </c>
      <c r="BE9" s="10">
        <f t="shared" si="5"/>
        <v>4</v>
      </c>
      <c r="BF9" s="11">
        <f t="shared" si="5"/>
        <v>4</v>
      </c>
    </row>
    <row r="10" spans="1:58" ht="12.75" thickBot="1" x14ac:dyDescent="0.25">
      <c r="B10" s="427"/>
      <c r="C10" s="51" t="s">
        <v>55</v>
      </c>
      <c r="D10" s="48" t="s">
        <v>137</v>
      </c>
      <c r="E10" s="125" t="s">
        <v>139</v>
      </c>
      <c r="F10" s="125" t="s">
        <v>150</v>
      </c>
      <c r="G10" s="125" t="s">
        <v>148</v>
      </c>
      <c r="H10" s="125" t="s">
        <v>148</v>
      </c>
      <c r="I10" s="118"/>
      <c r="J10" s="77"/>
      <c r="K10" s="126"/>
      <c r="L10" s="48" t="s">
        <v>144</v>
      </c>
      <c r="M10" s="125" t="s">
        <v>137</v>
      </c>
      <c r="N10" s="49"/>
      <c r="O10" s="49"/>
      <c r="P10" s="50"/>
      <c r="Q10" s="48"/>
      <c r="R10" s="125"/>
      <c r="S10" s="50"/>
      <c r="T10" s="48" t="s">
        <v>148</v>
      </c>
      <c r="U10" s="49"/>
      <c r="V10" s="49"/>
      <c r="W10" s="50"/>
      <c r="X10" s="48" t="s">
        <v>138</v>
      </c>
      <c r="Y10" s="125" t="s">
        <v>150</v>
      </c>
      <c r="Z10" s="121" t="s">
        <v>138</v>
      </c>
      <c r="AA10" s="49"/>
      <c r="AB10" s="125" t="s">
        <v>147</v>
      </c>
      <c r="AC10" s="125" t="s">
        <v>138</v>
      </c>
      <c r="AD10" s="125" t="s">
        <v>150</v>
      </c>
      <c r="AE10" s="50"/>
      <c r="AF10" s="68" t="s">
        <v>138</v>
      </c>
      <c r="AG10" s="49" t="s">
        <v>137</v>
      </c>
      <c r="AH10" s="125" t="s">
        <v>139</v>
      </c>
      <c r="AI10" s="49" t="s">
        <v>138</v>
      </c>
      <c r="AJ10" s="125" t="s">
        <v>139</v>
      </c>
      <c r="AK10" s="126" t="s">
        <v>139</v>
      </c>
      <c r="AL10" s="48"/>
      <c r="AM10" s="48"/>
      <c r="AN10" s="114"/>
      <c r="AO10" s="1"/>
      <c r="AP10" s="7">
        <f t="shared" si="0"/>
        <v>1</v>
      </c>
      <c r="AQ10" s="8">
        <f t="shared" si="1"/>
        <v>1</v>
      </c>
      <c r="AR10" s="9">
        <f t="shared" si="2"/>
        <v>6</v>
      </c>
      <c r="AS10" s="10">
        <f t="shared" si="3"/>
        <v>8</v>
      </c>
      <c r="AT10" s="11">
        <f t="shared" si="4"/>
        <v>4</v>
      </c>
      <c r="AU10" s="17"/>
      <c r="AV10" s="79"/>
      <c r="AW10" s="8"/>
      <c r="AX10" s="9"/>
      <c r="AY10" s="10"/>
      <c r="AZ10" s="11"/>
      <c r="BA10" s="17"/>
      <c r="BB10" s="79">
        <f t="shared" si="6"/>
        <v>1</v>
      </c>
      <c r="BC10" s="8">
        <f t="shared" si="5"/>
        <v>1</v>
      </c>
      <c r="BD10" s="9">
        <f t="shared" si="5"/>
        <v>6</v>
      </c>
      <c r="BE10" s="10">
        <f t="shared" si="5"/>
        <v>8</v>
      </c>
      <c r="BF10" s="11">
        <f t="shared" si="5"/>
        <v>4</v>
      </c>
    </row>
    <row r="11" spans="1:58" x14ac:dyDescent="0.2">
      <c r="B11" s="427"/>
      <c r="C11" s="51" t="s">
        <v>56</v>
      </c>
      <c r="D11" s="48"/>
      <c r="E11" s="125" t="s">
        <v>136</v>
      </c>
      <c r="F11" s="125" t="s">
        <v>147</v>
      </c>
      <c r="G11" s="125" t="s">
        <v>147</v>
      </c>
      <c r="H11" s="125" t="s">
        <v>147</v>
      </c>
      <c r="I11" s="118"/>
      <c r="J11" s="77"/>
      <c r="K11" s="126"/>
      <c r="L11" s="48" t="s">
        <v>144</v>
      </c>
      <c r="M11" s="125" t="s">
        <v>144</v>
      </c>
      <c r="N11" s="49"/>
      <c r="O11" s="49"/>
      <c r="P11" s="50"/>
      <c r="Q11" s="48"/>
      <c r="R11" s="125"/>
      <c r="S11" s="50"/>
      <c r="T11" s="48"/>
      <c r="U11" s="49"/>
      <c r="V11" s="49"/>
      <c r="W11" s="50"/>
      <c r="X11" s="48"/>
      <c r="Y11" s="125"/>
      <c r="Z11" s="125"/>
      <c r="AA11" s="125"/>
      <c r="AB11" s="125" t="s">
        <v>149</v>
      </c>
      <c r="AC11" s="125" t="s">
        <v>144</v>
      </c>
      <c r="AD11" s="125" t="s">
        <v>147</v>
      </c>
      <c r="AE11" s="50"/>
      <c r="AF11" s="68" t="s">
        <v>144</v>
      </c>
      <c r="AG11" s="49"/>
      <c r="AH11" s="125"/>
      <c r="AI11" s="49" t="s">
        <v>144</v>
      </c>
      <c r="AJ11" s="127"/>
      <c r="AK11" s="126"/>
      <c r="AL11" s="48"/>
      <c r="AM11" s="48" t="s">
        <v>147</v>
      </c>
      <c r="AN11" s="114"/>
      <c r="AO11" s="1"/>
      <c r="AP11" s="7">
        <f t="shared" si="0"/>
        <v>6</v>
      </c>
      <c r="AQ11" s="8">
        <f t="shared" si="1"/>
        <v>6</v>
      </c>
      <c r="AR11" s="9" t="str">
        <f t="shared" si="2"/>
        <v/>
      </c>
      <c r="AS11" s="10" t="str">
        <f t="shared" si="3"/>
        <v/>
      </c>
      <c r="AT11" s="11" t="str">
        <f t="shared" si="4"/>
        <v/>
      </c>
      <c r="AU11" s="17"/>
      <c r="AV11" s="79"/>
      <c r="AW11" s="8"/>
      <c r="AX11" s="9"/>
      <c r="AY11" s="10"/>
      <c r="AZ11" s="11"/>
      <c r="BA11" s="17"/>
      <c r="BB11" s="79">
        <f t="shared" si="6"/>
        <v>6</v>
      </c>
      <c r="BC11" s="8">
        <f t="shared" si="5"/>
        <v>6</v>
      </c>
      <c r="BD11" s="9" t="str">
        <f t="shared" si="5"/>
        <v/>
      </c>
      <c r="BE11" s="10" t="str">
        <f t="shared" si="5"/>
        <v/>
      </c>
      <c r="BF11" s="11" t="str">
        <f t="shared" si="5"/>
        <v/>
      </c>
    </row>
    <row r="12" spans="1:58" x14ac:dyDescent="0.2">
      <c r="B12" s="427"/>
      <c r="C12" s="51" t="s">
        <v>57</v>
      </c>
      <c r="D12" s="48" t="s">
        <v>137</v>
      </c>
      <c r="E12" s="125" t="s">
        <v>144</v>
      </c>
      <c r="F12" s="125" t="s">
        <v>149</v>
      </c>
      <c r="G12" s="125" t="s">
        <v>147</v>
      </c>
      <c r="H12" s="125" t="s">
        <v>147</v>
      </c>
      <c r="I12" s="118"/>
      <c r="J12" s="77"/>
      <c r="K12" s="126" t="s">
        <v>136</v>
      </c>
      <c r="L12" s="48" t="s">
        <v>144</v>
      </c>
      <c r="M12" s="125" t="s">
        <v>144</v>
      </c>
      <c r="N12" s="49"/>
      <c r="O12" s="49"/>
      <c r="P12" s="50"/>
      <c r="Q12" s="48"/>
      <c r="R12" s="125"/>
      <c r="S12" s="50"/>
      <c r="T12" s="48"/>
      <c r="U12" s="49"/>
      <c r="V12" s="49"/>
      <c r="W12" s="50"/>
      <c r="X12" s="48"/>
      <c r="Y12" s="125"/>
      <c r="Z12" s="125"/>
      <c r="AA12" s="125"/>
      <c r="AB12" s="125"/>
      <c r="AC12" s="125"/>
      <c r="AD12" s="125" t="s">
        <v>147</v>
      </c>
      <c r="AE12" s="50"/>
      <c r="AF12" s="68" t="s">
        <v>144</v>
      </c>
      <c r="AG12" s="49"/>
      <c r="AH12" s="125"/>
      <c r="AI12" s="49"/>
      <c r="AJ12" s="125"/>
      <c r="AK12" s="126"/>
      <c r="AL12" s="48"/>
      <c r="AM12" s="48"/>
      <c r="AN12" s="114"/>
      <c r="AO12" s="1"/>
      <c r="AP12" s="7">
        <f t="shared" si="0"/>
        <v>5</v>
      </c>
      <c r="AQ12" s="8">
        <f t="shared" si="1"/>
        <v>4</v>
      </c>
      <c r="AR12" s="9">
        <f t="shared" si="2"/>
        <v>1</v>
      </c>
      <c r="AS12" s="10" t="str">
        <f t="shared" si="3"/>
        <v/>
      </c>
      <c r="AT12" s="11" t="str">
        <f t="shared" si="4"/>
        <v/>
      </c>
      <c r="AU12" s="17"/>
      <c r="AV12" s="79"/>
      <c r="AW12" s="8"/>
      <c r="AX12" s="9"/>
      <c r="AY12" s="10"/>
      <c r="AZ12" s="11"/>
      <c r="BA12" s="17"/>
      <c r="BB12" s="79">
        <f t="shared" si="6"/>
        <v>5</v>
      </c>
      <c r="BC12" s="8">
        <f t="shared" si="5"/>
        <v>4</v>
      </c>
      <c r="BD12" s="9">
        <f t="shared" si="5"/>
        <v>1</v>
      </c>
      <c r="BE12" s="10" t="str">
        <f t="shared" si="5"/>
        <v/>
      </c>
      <c r="BF12" s="11" t="str">
        <f t="shared" si="5"/>
        <v/>
      </c>
    </row>
    <row r="13" spans="1:58" x14ac:dyDescent="0.2">
      <c r="B13" s="427"/>
      <c r="C13" s="51" t="s">
        <v>58</v>
      </c>
      <c r="D13" s="48" t="s">
        <v>138</v>
      </c>
      <c r="E13" s="125" t="s">
        <v>137</v>
      </c>
      <c r="F13" s="125" t="s">
        <v>147</v>
      </c>
      <c r="G13" s="125" t="s">
        <v>150</v>
      </c>
      <c r="H13" s="125" t="s">
        <v>147</v>
      </c>
      <c r="I13" s="118"/>
      <c r="J13" s="77"/>
      <c r="K13" s="126" t="s">
        <v>136</v>
      </c>
      <c r="L13" s="48" t="s">
        <v>138</v>
      </c>
      <c r="M13" s="125" t="s">
        <v>136</v>
      </c>
      <c r="N13" s="49"/>
      <c r="O13" s="49"/>
      <c r="P13" s="50"/>
      <c r="Q13" s="48"/>
      <c r="R13" s="125"/>
      <c r="S13" s="50"/>
      <c r="T13" s="48"/>
      <c r="U13" s="49"/>
      <c r="V13" s="49"/>
      <c r="W13" s="50"/>
      <c r="X13" s="48"/>
      <c r="Y13" s="125"/>
      <c r="Z13" s="121" t="s">
        <v>136</v>
      </c>
      <c r="AA13" s="49"/>
      <c r="AB13" s="125"/>
      <c r="AC13" s="125"/>
      <c r="AD13" s="125" t="s">
        <v>148</v>
      </c>
      <c r="AE13" s="50"/>
      <c r="AF13" s="68"/>
      <c r="AG13" s="49"/>
      <c r="AH13" s="125" t="s">
        <v>138</v>
      </c>
      <c r="AI13" s="49"/>
      <c r="AJ13" s="125" t="s">
        <v>138</v>
      </c>
      <c r="AK13" s="126" t="s">
        <v>138</v>
      </c>
      <c r="AL13" s="48"/>
      <c r="AM13" s="48"/>
      <c r="AN13" s="114"/>
      <c r="AO13" s="1"/>
      <c r="AP13" s="7" t="str">
        <f t="shared" si="0"/>
        <v/>
      </c>
      <c r="AQ13" s="8">
        <f t="shared" si="1"/>
        <v>5</v>
      </c>
      <c r="AR13" s="9">
        <f t="shared" si="2"/>
        <v>2</v>
      </c>
      <c r="AS13" s="10">
        <f t="shared" si="3"/>
        <v>6</v>
      </c>
      <c r="AT13" s="11" t="str">
        <f t="shared" si="4"/>
        <v/>
      </c>
      <c r="AU13" s="17"/>
      <c r="AV13" s="79"/>
      <c r="AW13" s="8"/>
      <c r="AX13" s="9"/>
      <c r="AY13" s="10"/>
      <c r="AZ13" s="11"/>
      <c r="BA13" s="17"/>
      <c r="BB13" s="79" t="str">
        <f t="shared" si="6"/>
        <v/>
      </c>
      <c r="BC13" s="8">
        <f t="shared" si="5"/>
        <v>5</v>
      </c>
      <c r="BD13" s="9">
        <f t="shared" si="5"/>
        <v>2</v>
      </c>
      <c r="BE13" s="10">
        <f t="shared" si="5"/>
        <v>6</v>
      </c>
      <c r="BF13" s="11" t="str">
        <f t="shared" si="5"/>
        <v/>
      </c>
    </row>
    <row r="14" spans="1:58" x14ac:dyDescent="0.2">
      <c r="B14" s="427"/>
      <c r="C14" s="51" t="s">
        <v>59</v>
      </c>
      <c r="D14" s="48" t="s">
        <v>138</v>
      </c>
      <c r="E14" s="125" t="s">
        <v>138</v>
      </c>
      <c r="F14" s="125" t="s">
        <v>149</v>
      </c>
      <c r="G14" s="125" t="s">
        <v>148</v>
      </c>
      <c r="H14" s="125" t="s">
        <v>147</v>
      </c>
      <c r="I14" s="118"/>
      <c r="J14" s="77"/>
      <c r="K14" s="126"/>
      <c r="L14" s="48" t="s">
        <v>137</v>
      </c>
      <c r="M14" s="125" t="s">
        <v>137</v>
      </c>
      <c r="N14" s="49"/>
      <c r="O14" s="49"/>
      <c r="P14" s="50"/>
      <c r="Q14" s="48"/>
      <c r="R14" s="125"/>
      <c r="S14" s="50"/>
      <c r="T14" s="48"/>
      <c r="U14" s="49"/>
      <c r="V14" s="49"/>
      <c r="W14" s="50"/>
      <c r="X14" s="48" t="s">
        <v>138</v>
      </c>
      <c r="Y14" s="125" t="s">
        <v>150</v>
      </c>
      <c r="Z14" s="121" t="s">
        <v>138</v>
      </c>
      <c r="AA14" s="49"/>
      <c r="AB14" s="125" t="s">
        <v>148</v>
      </c>
      <c r="AC14" s="125" t="s">
        <v>139</v>
      </c>
      <c r="AD14" s="125" t="s">
        <v>148</v>
      </c>
      <c r="AE14" s="50"/>
      <c r="AF14" s="68" t="s">
        <v>138</v>
      </c>
      <c r="AG14" s="49"/>
      <c r="AH14" s="125" t="s">
        <v>138</v>
      </c>
      <c r="AI14" s="49" t="s">
        <v>138</v>
      </c>
      <c r="AJ14" s="125" t="s">
        <v>138</v>
      </c>
      <c r="AK14" s="126" t="s">
        <v>138</v>
      </c>
      <c r="AL14" s="48"/>
      <c r="AM14" s="48"/>
      <c r="AN14" s="114"/>
      <c r="AO14" s="1"/>
      <c r="AP14" s="7">
        <f t="shared" si="0"/>
        <v>1</v>
      </c>
      <c r="AQ14" s="8">
        <f t="shared" si="1"/>
        <v>1</v>
      </c>
      <c r="AR14" s="9">
        <f t="shared" si="2"/>
        <v>5</v>
      </c>
      <c r="AS14" s="10">
        <f t="shared" si="3"/>
        <v>10</v>
      </c>
      <c r="AT14" s="11">
        <f t="shared" si="4"/>
        <v>1</v>
      </c>
      <c r="AU14" s="17"/>
      <c r="AV14" s="79"/>
      <c r="AW14" s="8"/>
      <c r="AX14" s="9"/>
      <c r="AY14" s="10"/>
      <c r="AZ14" s="11"/>
      <c r="BA14" s="17"/>
      <c r="BB14" s="79">
        <f t="shared" si="6"/>
        <v>1</v>
      </c>
      <c r="BC14" s="8">
        <f t="shared" si="5"/>
        <v>1</v>
      </c>
      <c r="BD14" s="9">
        <f t="shared" si="5"/>
        <v>5</v>
      </c>
      <c r="BE14" s="10">
        <f t="shared" si="5"/>
        <v>10</v>
      </c>
      <c r="BF14" s="11">
        <f t="shared" si="5"/>
        <v>1</v>
      </c>
    </row>
    <row r="15" spans="1:58" x14ac:dyDescent="0.2">
      <c r="B15" s="427"/>
      <c r="C15" s="51" t="s">
        <v>60</v>
      </c>
      <c r="D15" s="48" t="s">
        <v>138</v>
      </c>
      <c r="E15" s="125" t="s">
        <v>137</v>
      </c>
      <c r="F15" s="125" t="s">
        <v>148</v>
      </c>
      <c r="G15" s="125" t="s">
        <v>148</v>
      </c>
      <c r="H15" s="125" t="s">
        <v>148</v>
      </c>
      <c r="I15" s="118"/>
      <c r="J15" s="77"/>
      <c r="K15" s="126" t="s">
        <v>136</v>
      </c>
      <c r="L15" s="48" t="s">
        <v>138</v>
      </c>
      <c r="M15" s="125" t="s">
        <v>137</v>
      </c>
      <c r="N15" s="49"/>
      <c r="O15" s="49"/>
      <c r="P15" s="50"/>
      <c r="Q15" s="48"/>
      <c r="R15" s="125"/>
      <c r="S15" s="50"/>
      <c r="T15" s="48"/>
      <c r="U15" s="49"/>
      <c r="V15" s="49"/>
      <c r="W15" s="50"/>
      <c r="X15" s="48" t="s">
        <v>137</v>
      </c>
      <c r="Y15" s="125"/>
      <c r="Z15" s="121" t="s">
        <v>138</v>
      </c>
      <c r="AA15" s="49"/>
      <c r="AB15" s="125" t="s">
        <v>147</v>
      </c>
      <c r="AC15" s="125" t="s">
        <v>138</v>
      </c>
      <c r="AD15" s="125" t="s">
        <v>150</v>
      </c>
      <c r="AE15" s="50"/>
      <c r="AF15" s="68" t="s">
        <v>138</v>
      </c>
      <c r="AG15" s="49"/>
      <c r="AH15" s="125" t="s">
        <v>138</v>
      </c>
      <c r="AI15" s="49" t="s">
        <v>138</v>
      </c>
      <c r="AJ15" s="125" t="s">
        <v>138</v>
      </c>
      <c r="AK15" s="126" t="s">
        <v>138</v>
      </c>
      <c r="AL15" s="48"/>
      <c r="AM15" s="48"/>
      <c r="AN15" s="114"/>
      <c r="AO15" s="1"/>
      <c r="AP15" s="7" t="str">
        <f t="shared" si="0"/>
        <v/>
      </c>
      <c r="AQ15" s="8">
        <f t="shared" si="1"/>
        <v>2</v>
      </c>
      <c r="AR15" s="9">
        <f t="shared" si="2"/>
        <v>6</v>
      </c>
      <c r="AS15" s="10">
        <f t="shared" si="3"/>
        <v>10</v>
      </c>
      <c r="AT15" s="11" t="str">
        <f t="shared" si="4"/>
        <v/>
      </c>
      <c r="AU15" s="17"/>
      <c r="AV15" s="79"/>
      <c r="AW15" s="8"/>
      <c r="AX15" s="9"/>
      <c r="AY15" s="10"/>
      <c r="AZ15" s="11"/>
      <c r="BA15" s="17"/>
      <c r="BB15" s="79" t="str">
        <f t="shared" si="6"/>
        <v/>
      </c>
      <c r="BC15" s="8">
        <f t="shared" si="5"/>
        <v>2</v>
      </c>
      <c r="BD15" s="9">
        <f t="shared" si="5"/>
        <v>6</v>
      </c>
      <c r="BE15" s="10">
        <f t="shared" si="5"/>
        <v>10</v>
      </c>
      <c r="BF15" s="11" t="str">
        <f t="shared" si="5"/>
        <v/>
      </c>
    </row>
    <row r="16" spans="1:58" x14ac:dyDescent="0.2">
      <c r="B16" s="427"/>
      <c r="C16" s="51" t="s">
        <v>61</v>
      </c>
      <c r="D16" s="48" t="s">
        <v>136</v>
      </c>
      <c r="E16" s="125" t="s">
        <v>136</v>
      </c>
      <c r="F16" s="125" t="s">
        <v>147</v>
      </c>
      <c r="G16" s="125" t="s">
        <v>147</v>
      </c>
      <c r="H16" s="125" t="s">
        <v>147</v>
      </c>
      <c r="I16" s="118"/>
      <c r="J16" s="77"/>
      <c r="K16" s="126"/>
      <c r="L16" s="48" t="s">
        <v>136</v>
      </c>
      <c r="M16" s="125" t="s">
        <v>136</v>
      </c>
      <c r="N16" s="49"/>
      <c r="O16" s="49"/>
      <c r="P16" s="50"/>
      <c r="Q16" s="48"/>
      <c r="R16" s="125"/>
      <c r="S16" s="50"/>
      <c r="T16" s="48" t="s">
        <v>137</v>
      </c>
      <c r="U16" s="49"/>
      <c r="V16" s="49"/>
      <c r="W16" s="50"/>
      <c r="X16" s="48" t="s">
        <v>137</v>
      </c>
      <c r="Y16" s="125" t="s">
        <v>150</v>
      </c>
      <c r="Z16" s="121" t="s">
        <v>138</v>
      </c>
      <c r="AA16" s="49"/>
      <c r="AB16" s="125" t="s">
        <v>147</v>
      </c>
      <c r="AC16" s="125" t="s">
        <v>137</v>
      </c>
      <c r="AD16" s="125" t="s">
        <v>148</v>
      </c>
      <c r="AE16" s="50"/>
      <c r="AF16" s="68" t="s">
        <v>138</v>
      </c>
      <c r="AG16" s="49"/>
      <c r="AH16" s="125" t="s">
        <v>136</v>
      </c>
      <c r="AI16" s="49" t="s">
        <v>138</v>
      </c>
      <c r="AJ16" s="125" t="s">
        <v>136</v>
      </c>
      <c r="AK16" s="126" t="s">
        <v>136</v>
      </c>
      <c r="AL16" s="48"/>
      <c r="AM16" s="48"/>
      <c r="AN16" s="114"/>
      <c r="AO16" s="1"/>
      <c r="AP16" s="7" t="str">
        <f t="shared" si="0"/>
        <v/>
      </c>
      <c r="AQ16" s="8">
        <f t="shared" si="1"/>
        <v>11</v>
      </c>
      <c r="AR16" s="9">
        <f t="shared" si="2"/>
        <v>4</v>
      </c>
      <c r="AS16" s="10">
        <f t="shared" si="3"/>
        <v>4</v>
      </c>
      <c r="AT16" s="11" t="str">
        <f t="shared" si="4"/>
        <v/>
      </c>
      <c r="AU16" s="17"/>
      <c r="AV16" s="79"/>
      <c r="AW16" s="8"/>
      <c r="AX16" s="9"/>
      <c r="AY16" s="10"/>
      <c r="AZ16" s="11"/>
      <c r="BA16" s="17"/>
      <c r="BB16" s="79" t="str">
        <f t="shared" si="6"/>
        <v/>
      </c>
      <c r="BC16" s="8">
        <f t="shared" si="5"/>
        <v>11</v>
      </c>
      <c r="BD16" s="9">
        <f t="shared" si="5"/>
        <v>4</v>
      </c>
      <c r="BE16" s="10">
        <f t="shared" si="5"/>
        <v>4</v>
      </c>
      <c r="BF16" s="11" t="str">
        <f t="shared" si="5"/>
        <v/>
      </c>
    </row>
    <row r="17" spans="2:58" ht="12.75" thickBot="1" x14ac:dyDescent="0.25">
      <c r="B17" s="428"/>
      <c r="C17" s="123"/>
      <c r="D17" s="63"/>
      <c r="E17" s="129"/>
      <c r="F17" s="129"/>
      <c r="G17" s="129"/>
      <c r="H17" s="129"/>
      <c r="I17" s="119"/>
      <c r="J17" s="78"/>
      <c r="K17" s="165"/>
      <c r="L17" s="63"/>
      <c r="M17" s="129"/>
      <c r="N17" s="64"/>
      <c r="O17" s="64"/>
      <c r="P17" s="65"/>
      <c r="Q17" s="63"/>
      <c r="R17" s="129"/>
      <c r="S17" s="65"/>
      <c r="T17" s="63"/>
      <c r="U17" s="64"/>
      <c r="V17" s="64"/>
      <c r="W17" s="65"/>
      <c r="X17" s="63"/>
      <c r="Y17" s="129"/>
      <c r="Z17" s="129"/>
      <c r="AA17" s="64"/>
      <c r="AB17" s="129"/>
      <c r="AC17" s="129"/>
      <c r="AD17" s="129"/>
      <c r="AE17" s="65"/>
      <c r="AF17" s="69"/>
      <c r="AG17" s="64"/>
      <c r="AH17" s="129"/>
      <c r="AI17" s="64"/>
      <c r="AJ17" s="129"/>
      <c r="AK17" s="130"/>
      <c r="AL17" s="63"/>
      <c r="AM17" s="63"/>
      <c r="AN17" s="115"/>
      <c r="AO17" s="1"/>
      <c r="AP17" s="12" t="str">
        <f t="shared" si="0"/>
        <v/>
      </c>
      <c r="AQ17" s="13" t="str">
        <f t="shared" si="1"/>
        <v/>
      </c>
      <c r="AR17" s="14" t="str">
        <f t="shared" si="2"/>
        <v/>
      </c>
      <c r="AS17" s="15" t="str">
        <f t="shared" si="3"/>
        <v/>
      </c>
      <c r="AT17" s="16" t="str">
        <f t="shared" si="4"/>
        <v/>
      </c>
      <c r="AU17" s="17"/>
      <c r="AV17" s="80"/>
      <c r="AW17" s="13"/>
      <c r="AX17" s="14"/>
      <c r="AY17" s="15"/>
      <c r="AZ17" s="16"/>
      <c r="BA17" s="17"/>
      <c r="BB17" s="80" t="str">
        <f t="shared" si="6"/>
        <v/>
      </c>
      <c r="BC17" s="13" t="str">
        <f t="shared" si="5"/>
        <v/>
      </c>
      <c r="BD17" s="14" t="str">
        <f t="shared" si="5"/>
        <v/>
      </c>
      <c r="BE17" s="15" t="str">
        <f t="shared" si="5"/>
        <v/>
      </c>
      <c r="BF17" s="16" t="str">
        <f t="shared" si="5"/>
        <v/>
      </c>
    </row>
    <row r="18" spans="2:58" x14ac:dyDescent="0.2">
      <c r="B18" s="426" t="s">
        <v>62</v>
      </c>
      <c r="C18" s="58" t="s">
        <v>63</v>
      </c>
      <c r="D18" s="59" t="s">
        <v>137</v>
      </c>
      <c r="E18" s="127" t="s">
        <v>138</v>
      </c>
      <c r="F18" s="127" t="s">
        <v>150</v>
      </c>
      <c r="G18" s="127" t="s">
        <v>47</v>
      </c>
      <c r="H18" s="127" t="s">
        <v>47</v>
      </c>
      <c r="I18" s="117" t="s">
        <v>148</v>
      </c>
      <c r="J18" s="76" t="s">
        <v>138</v>
      </c>
      <c r="K18" s="164" t="s">
        <v>138</v>
      </c>
      <c r="L18" s="59" t="s">
        <v>137</v>
      </c>
      <c r="M18" s="127" t="s">
        <v>137</v>
      </c>
      <c r="N18" s="60"/>
      <c r="O18" s="60" t="s">
        <v>136</v>
      </c>
      <c r="P18" s="61"/>
      <c r="Q18" s="59"/>
      <c r="R18" s="127" t="s">
        <v>137</v>
      </c>
      <c r="S18" s="61"/>
      <c r="T18" s="59" t="s">
        <v>136</v>
      </c>
      <c r="U18" s="60" t="s">
        <v>137</v>
      </c>
      <c r="V18" s="60"/>
      <c r="W18" s="61" t="s">
        <v>149</v>
      </c>
      <c r="X18" s="59" t="s">
        <v>137</v>
      </c>
      <c r="Y18" s="127"/>
      <c r="Z18" s="120" t="s">
        <v>137</v>
      </c>
      <c r="AA18" s="60"/>
      <c r="AB18" s="127" t="s">
        <v>149</v>
      </c>
      <c r="AC18" s="127" t="s">
        <v>137</v>
      </c>
      <c r="AD18" s="127" t="s">
        <v>148</v>
      </c>
      <c r="AE18" s="61"/>
      <c r="AF18" s="67" t="s">
        <v>137</v>
      </c>
      <c r="AG18" s="60" t="s">
        <v>137</v>
      </c>
      <c r="AH18" s="127" t="s">
        <v>137</v>
      </c>
      <c r="AI18" s="60" t="s">
        <v>137</v>
      </c>
      <c r="AJ18" s="127" t="s">
        <v>139</v>
      </c>
      <c r="AK18" s="128" t="s">
        <v>138</v>
      </c>
      <c r="AL18" s="59"/>
      <c r="AM18" s="59" t="s">
        <v>148</v>
      </c>
      <c r="AN18" s="113"/>
      <c r="AO18" s="1"/>
      <c r="AP18" s="56">
        <f t="shared" si="0"/>
        <v>2</v>
      </c>
      <c r="AQ18" s="101">
        <f t="shared" si="1"/>
        <v>2</v>
      </c>
      <c r="AR18" s="102">
        <f t="shared" si="2"/>
        <v>15</v>
      </c>
      <c r="AS18" s="103">
        <f t="shared" si="3"/>
        <v>5</v>
      </c>
      <c r="AT18" s="104">
        <f t="shared" si="4"/>
        <v>3</v>
      </c>
      <c r="AU18" s="17"/>
      <c r="AV18" s="105"/>
      <c r="AW18" s="101"/>
      <c r="AX18" s="102"/>
      <c r="AY18" s="103"/>
      <c r="AZ18" s="104"/>
      <c r="BA18" s="17"/>
      <c r="BB18" s="105">
        <f t="shared" si="6"/>
        <v>2</v>
      </c>
      <c r="BC18" s="101">
        <f t="shared" si="5"/>
        <v>2</v>
      </c>
      <c r="BD18" s="102">
        <f t="shared" si="5"/>
        <v>15</v>
      </c>
      <c r="BE18" s="103">
        <f t="shared" si="5"/>
        <v>5</v>
      </c>
      <c r="BF18" s="104">
        <f t="shared" si="5"/>
        <v>3</v>
      </c>
    </row>
    <row r="19" spans="2:58" x14ac:dyDescent="0.2">
      <c r="B19" s="427"/>
      <c r="C19" s="51" t="s">
        <v>118</v>
      </c>
      <c r="D19" s="48" t="s">
        <v>137</v>
      </c>
      <c r="E19" s="125" t="s">
        <v>138</v>
      </c>
      <c r="F19" s="125" t="s">
        <v>150</v>
      </c>
      <c r="G19" s="125" t="s">
        <v>47</v>
      </c>
      <c r="H19" s="125" t="s">
        <v>150</v>
      </c>
      <c r="I19" s="118" t="s">
        <v>147</v>
      </c>
      <c r="J19" s="77" t="s">
        <v>138</v>
      </c>
      <c r="K19" s="126" t="s">
        <v>138</v>
      </c>
      <c r="L19" s="48" t="s">
        <v>137</v>
      </c>
      <c r="M19" s="125" t="s">
        <v>137</v>
      </c>
      <c r="N19" s="49"/>
      <c r="O19" s="49" t="s">
        <v>137</v>
      </c>
      <c r="P19" s="50"/>
      <c r="Q19" s="48"/>
      <c r="R19" s="125" t="s">
        <v>137</v>
      </c>
      <c r="S19" s="50"/>
      <c r="T19" s="48" t="s">
        <v>137</v>
      </c>
      <c r="U19" s="49" t="s">
        <v>137</v>
      </c>
      <c r="V19" s="49"/>
      <c r="W19" s="50" t="s">
        <v>149</v>
      </c>
      <c r="X19" s="48" t="s">
        <v>137</v>
      </c>
      <c r="Y19" s="125"/>
      <c r="Z19" s="121" t="s">
        <v>137</v>
      </c>
      <c r="AA19" s="49"/>
      <c r="AB19" s="125" t="s">
        <v>149</v>
      </c>
      <c r="AC19" s="125" t="s">
        <v>137</v>
      </c>
      <c r="AD19" s="125" t="s">
        <v>150</v>
      </c>
      <c r="AE19" s="50"/>
      <c r="AF19" s="68" t="s">
        <v>139</v>
      </c>
      <c r="AG19" s="49" t="s">
        <v>137</v>
      </c>
      <c r="AH19" s="125" t="s">
        <v>138</v>
      </c>
      <c r="AI19" s="49" t="s">
        <v>139</v>
      </c>
      <c r="AJ19" s="125" t="s">
        <v>138</v>
      </c>
      <c r="AK19" s="126" t="s">
        <v>138</v>
      </c>
      <c r="AL19" s="48"/>
      <c r="AM19" s="48" t="s">
        <v>150</v>
      </c>
      <c r="AN19" s="114"/>
      <c r="AO19" s="1"/>
      <c r="AP19" s="7">
        <f t="shared" si="0"/>
        <v>2</v>
      </c>
      <c r="AQ19" s="8">
        <f t="shared" si="1"/>
        <v>1</v>
      </c>
      <c r="AR19" s="9">
        <f t="shared" si="2"/>
        <v>11</v>
      </c>
      <c r="AS19" s="10">
        <f t="shared" si="3"/>
        <v>10</v>
      </c>
      <c r="AT19" s="11">
        <f t="shared" si="4"/>
        <v>3</v>
      </c>
      <c r="AU19" s="17"/>
      <c r="AV19" s="79"/>
      <c r="AW19" s="8"/>
      <c r="AX19" s="9"/>
      <c r="AY19" s="10"/>
      <c r="AZ19" s="11"/>
      <c r="BA19" s="17"/>
      <c r="BB19" s="79">
        <f t="shared" si="6"/>
        <v>2</v>
      </c>
      <c r="BC19" s="8">
        <f t="shared" ref="BC19:BC74" si="7">IF(AQ19="","",AQ19-AW19)</f>
        <v>1</v>
      </c>
      <c r="BD19" s="9">
        <f t="shared" ref="BD19:BD74" si="8">IF(AR19="","",AR19-AX19)</f>
        <v>11</v>
      </c>
      <c r="BE19" s="10">
        <f t="shared" ref="BE19:BE74" si="9">IF(AS19="","",AS19-AY19)</f>
        <v>10</v>
      </c>
      <c r="BF19" s="11">
        <f t="shared" ref="BF19:BF74" si="10">IF(AT19="","",AT19-AZ19)</f>
        <v>3</v>
      </c>
    </row>
    <row r="20" spans="2:58" x14ac:dyDescent="0.2">
      <c r="B20" s="427"/>
      <c r="C20" s="51" t="s">
        <v>64</v>
      </c>
      <c r="D20" s="48" t="s">
        <v>138</v>
      </c>
      <c r="E20" s="125" t="s">
        <v>138</v>
      </c>
      <c r="F20" s="125" t="s">
        <v>150</v>
      </c>
      <c r="G20" s="125" t="s">
        <v>47</v>
      </c>
      <c r="H20" s="125" t="s">
        <v>47</v>
      </c>
      <c r="I20" s="118" t="s">
        <v>149</v>
      </c>
      <c r="J20" s="77" t="s">
        <v>137</v>
      </c>
      <c r="K20" s="126" t="s">
        <v>138</v>
      </c>
      <c r="L20" s="48" t="s">
        <v>136</v>
      </c>
      <c r="M20" s="125" t="s">
        <v>144</v>
      </c>
      <c r="N20" s="49"/>
      <c r="O20" s="49" t="s">
        <v>137</v>
      </c>
      <c r="P20" s="50"/>
      <c r="Q20" s="48"/>
      <c r="R20" s="125" t="s">
        <v>137</v>
      </c>
      <c r="S20" s="50"/>
      <c r="T20" s="48" t="s">
        <v>136</v>
      </c>
      <c r="U20" s="49"/>
      <c r="V20" s="49"/>
      <c r="W20" s="50"/>
      <c r="X20" s="48" t="s">
        <v>136</v>
      </c>
      <c r="Y20" s="125"/>
      <c r="Z20" s="121" t="s">
        <v>136</v>
      </c>
      <c r="AA20" s="49"/>
      <c r="AB20" s="125"/>
      <c r="AC20" s="125" t="s">
        <v>137</v>
      </c>
      <c r="AD20" s="125" t="s">
        <v>150</v>
      </c>
      <c r="AE20" s="50"/>
      <c r="AF20" s="68" t="s">
        <v>137</v>
      </c>
      <c r="AG20" s="49" t="s">
        <v>137</v>
      </c>
      <c r="AH20" s="125" t="s">
        <v>138</v>
      </c>
      <c r="AI20" s="49"/>
      <c r="AJ20" s="125" t="s">
        <v>138</v>
      </c>
      <c r="AK20" s="126" t="s">
        <v>139</v>
      </c>
      <c r="AL20" s="48"/>
      <c r="AM20" s="48" t="s">
        <v>148</v>
      </c>
      <c r="AN20" s="114"/>
      <c r="AO20" s="1"/>
      <c r="AP20" s="7">
        <f t="shared" si="0"/>
        <v>2</v>
      </c>
      <c r="AQ20" s="8">
        <f t="shared" si="1"/>
        <v>4</v>
      </c>
      <c r="AR20" s="9">
        <f t="shared" si="2"/>
        <v>7</v>
      </c>
      <c r="AS20" s="10">
        <f t="shared" si="3"/>
        <v>7</v>
      </c>
      <c r="AT20" s="11">
        <f t="shared" si="4"/>
        <v>3</v>
      </c>
      <c r="AU20" s="17"/>
      <c r="AV20" s="79"/>
      <c r="AW20" s="8"/>
      <c r="AX20" s="9"/>
      <c r="AY20" s="10"/>
      <c r="AZ20" s="11"/>
      <c r="BA20" s="17"/>
      <c r="BB20" s="79">
        <f t="shared" si="6"/>
        <v>2</v>
      </c>
      <c r="BC20" s="8">
        <f t="shared" si="7"/>
        <v>4</v>
      </c>
      <c r="BD20" s="9">
        <f t="shared" si="8"/>
        <v>7</v>
      </c>
      <c r="BE20" s="10">
        <f t="shared" si="9"/>
        <v>7</v>
      </c>
      <c r="BF20" s="11">
        <f t="shared" si="10"/>
        <v>3</v>
      </c>
    </row>
    <row r="21" spans="2:58" x14ac:dyDescent="0.2">
      <c r="B21" s="427"/>
      <c r="C21" s="51" t="s">
        <v>65</v>
      </c>
      <c r="D21" s="48" t="s">
        <v>137</v>
      </c>
      <c r="E21" s="125" t="s">
        <v>137</v>
      </c>
      <c r="F21" s="125" t="s">
        <v>148</v>
      </c>
      <c r="G21" s="125" t="s">
        <v>147</v>
      </c>
      <c r="H21" s="125" t="s">
        <v>147</v>
      </c>
      <c r="I21" s="118"/>
      <c r="J21" s="77" t="s">
        <v>136</v>
      </c>
      <c r="K21" s="126" t="s">
        <v>136</v>
      </c>
      <c r="L21" s="48" t="s">
        <v>136</v>
      </c>
      <c r="M21" s="125" t="s">
        <v>144</v>
      </c>
      <c r="N21" s="49"/>
      <c r="O21" s="49" t="s">
        <v>136</v>
      </c>
      <c r="P21" s="50"/>
      <c r="Q21" s="48"/>
      <c r="R21" s="125"/>
      <c r="S21" s="50"/>
      <c r="T21" s="48"/>
      <c r="U21" s="49" t="s">
        <v>138</v>
      </c>
      <c r="V21" s="49"/>
      <c r="W21" s="50" t="s">
        <v>147</v>
      </c>
      <c r="X21" s="48"/>
      <c r="Y21" s="125"/>
      <c r="Z21" s="121" t="s">
        <v>137</v>
      </c>
      <c r="AA21" s="49"/>
      <c r="AB21" s="125" t="s">
        <v>147</v>
      </c>
      <c r="AC21" s="125" t="s">
        <v>137</v>
      </c>
      <c r="AD21" s="125" t="s">
        <v>150</v>
      </c>
      <c r="AE21" s="50"/>
      <c r="AF21" s="68" t="s">
        <v>139</v>
      </c>
      <c r="AG21" s="49"/>
      <c r="AH21" s="125" t="s">
        <v>136</v>
      </c>
      <c r="AI21" s="49"/>
      <c r="AJ21" s="125" t="s">
        <v>138</v>
      </c>
      <c r="AK21" s="126" t="s">
        <v>136</v>
      </c>
      <c r="AL21" s="48"/>
      <c r="AM21" s="48" t="s">
        <v>147</v>
      </c>
      <c r="AN21" s="114"/>
      <c r="AO21" s="1"/>
      <c r="AP21" s="7">
        <f t="shared" si="0"/>
        <v>1</v>
      </c>
      <c r="AQ21" s="8">
        <f t="shared" si="1"/>
        <v>11</v>
      </c>
      <c r="AR21" s="9">
        <f t="shared" si="2"/>
        <v>5</v>
      </c>
      <c r="AS21" s="10">
        <f t="shared" si="3"/>
        <v>3</v>
      </c>
      <c r="AT21" s="11">
        <f t="shared" si="4"/>
        <v>1</v>
      </c>
      <c r="AU21" s="17"/>
      <c r="AV21" s="79"/>
      <c r="AW21" s="8"/>
      <c r="AX21" s="9"/>
      <c r="AY21" s="10"/>
      <c r="AZ21" s="11"/>
      <c r="BA21" s="17"/>
      <c r="BB21" s="79">
        <f t="shared" si="6"/>
        <v>1</v>
      </c>
      <c r="BC21" s="8">
        <f t="shared" si="7"/>
        <v>11</v>
      </c>
      <c r="BD21" s="9">
        <f t="shared" si="8"/>
        <v>5</v>
      </c>
      <c r="BE21" s="10">
        <f t="shared" si="9"/>
        <v>3</v>
      </c>
      <c r="BF21" s="11">
        <f t="shared" si="10"/>
        <v>1</v>
      </c>
    </row>
    <row r="22" spans="2:58" x14ac:dyDescent="0.2">
      <c r="B22" s="427"/>
      <c r="C22" s="51" t="s">
        <v>66</v>
      </c>
      <c r="D22" s="48" t="s">
        <v>139</v>
      </c>
      <c r="E22" s="125" t="s">
        <v>138</v>
      </c>
      <c r="F22" s="125" t="s">
        <v>148</v>
      </c>
      <c r="G22" s="125" t="s">
        <v>150</v>
      </c>
      <c r="H22" s="125" t="s">
        <v>147</v>
      </c>
      <c r="I22" s="118" t="s">
        <v>147</v>
      </c>
      <c r="J22" s="77" t="s">
        <v>136</v>
      </c>
      <c r="K22" s="126" t="s">
        <v>137</v>
      </c>
      <c r="L22" s="48" t="s">
        <v>137</v>
      </c>
      <c r="M22" s="125" t="s">
        <v>136</v>
      </c>
      <c r="N22" s="49"/>
      <c r="O22" s="49" t="s">
        <v>136</v>
      </c>
      <c r="P22" s="50"/>
      <c r="Q22" s="48"/>
      <c r="R22" s="125"/>
      <c r="S22" s="50"/>
      <c r="T22" s="48" t="s">
        <v>136</v>
      </c>
      <c r="U22" s="48"/>
      <c r="V22" s="49"/>
      <c r="W22" s="50" t="s">
        <v>149</v>
      </c>
      <c r="X22" s="48" t="s">
        <v>136</v>
      </c>
      <c r="Y22" s="125"/>
      <c r="Z22" s="121" t="s">
        <v>136</v>
      </c>
      <c r="AA22" s="49"/>
      <c r="AB22" s="125"/>
      <c r="AC22" s="125" t="s">
        <v>136</v>
      </c>
      <c r="AD22" s="125" t="s">
        <v>150</v>
      </c>
      <c r="AE22" s="50"/>
      <c r="AF22" s="68" t="s">
        <v>137</v>
      </c>
      <c r="AG22" s="49"/>
      <c r="AH22" s="125" t="s">
        <v>138</v>
      </c>
      <c r="AI22" s="49" t="s">
        <v>139</v>
      </c>
      <c r="AJ22" s="125" t="s">
        <v>138</v>
      </c>
      <c r="AK22" s="126" t="s">
        <v>138</v>
      </c>
      <c r="AL22" s="48"/>
      <c r="AM22" s="48" t="s">
        <v>147</v>
      </c>
      <c r="AN22" s="114"/>
      <c r="AO22" s="1"/>
      <c r="AP22" s="7">
        <f t="shared" si="0"/>
        <v>1</v>
      </c>
      <c r="AQ22" s="8">
        <f t="shared" si="1"/>
        <v>10</v>
      </c>
      <c r="AR22" s="9">
        <f t="shared" si="2"/>
        <v>4</v>
      </c>
      <c r="AS22" s="10">
        <f t="shared" si="3"/>
        <v>6</v>
      </c>
      <c r="AT22" s="11">
        <f t="shared" si="4"/>
        <v>2</v>
      </c>
      <c r="AU22" s="17"/>
      <c r="AV22" s="79"/>
      <c r="AW22" s="8"/>
      <c r="AX22" s="9"/>
      <c r="AY22" s="10"/>
      <c r="AZ22" s="11"/>
      <c r="BA22" s="17"/>
      <c r="BB22" s="79">
        <f t="shared" si="6"/>
        <v>1</v>
      </c>
      <c r="BC22" s="8">
        <f t="shared" si="7"/>
        <v>10</v>
      </c>
      <c r="BD22" s="9">
        <f t="shared" si="8"/>
        <v>4</v>
      </c>
      <c r="BE22" s="10">
        <f t="shared" si="9"/>
        <v>6</v>
      </c>
      <c r="BF22" s="11">
        <f t="shared" si="10"/>
        <v>2</v>
      </c>
    </row>
    <row r="23" spans="2:58" x14ac:dyDescent="0.2">
      <c r="B23" s="427"/>
      <c r="C23" s="51" t="s">
        <v>67</v>
      </c>
      <c r="D23" s="48" t="s">
        <v>137</v>
      </c>
      <c r="E23" s="125" t="s">
        <v>137</v>
      </c>
      <c r="F23" s="125" t="s">
        <v>148</v>
      </c>
      <c r="G23" s="125" t="s">
        <v>148</v>
      </c>
      <c r="H23" s="125" t="s">
        <v>150</v>
      </c>
      <c r="I23" s="118"/>
      <c r="J23" s="77"/>
      <c r="K23" s="126" t="s">
        <v>137</v>
      </c>
      <c r="L23" s="48" t="s">
        <v>137</v>
      </c>
      <c r="M23" s="125" t="s">
        <v>136</v>
      </c>
      <c r="N23" s="49"/>
      <c r="O23" s="49" t="s">
        <v>136</v>
      </c>
      <c r="P23" s="50"/>
      <c r="Q23" s="48"/>
      <c r="R23" s="125"/>
      <c r="S23" s="50"/>
      <c r="T23" s="48"/>
      <c r="U23" s="48"/>
      <c r="V23" s="49"/>
      <c r="W23" s="50"/>
      <c r="X23" s="48"/>
      <c r="Y23" s="125"/>
      <c r="Z23" s="121" t="s">
        <v>137</v>
      </c>
      <c r="AA23" s="49"/>
      <c r="AB23" s="125"/>
      <c r="AC23" s="125" t="s">
        <v>136</v>
      </c>
      <c r="AD23" s="125" t="s">
        <v>150</v>
      </c>
      <c r="AE23" s="50"/>
      <c r="AF23" s="68" t="s">
        <v>138</v>
      </c>
      <c r="AG23" s="49"/>
      <c r="AH23" s="125" t="s">
        <v>137</v>
      </c>
      <c r="AI23" s="49" t="s">
        <v>138</v>
      </c>
      <c r="AJ23" s="125" t="s">
        <v>138</v>
      </c>
      <c r="AK23" s="126" t="s">
        <v>137</v>
      </c>
      <c r="AL23" s="48"/>
      <c r="AM23" s="48" t="s">
        <v>147</v>
      </c>
      <c r="AN23" s="114"/>
      <c r="AO23" s="1"/>
      <c r="AP23" s="7" t="str">
        <f t="shared" si="0"/>
        <v/>
      </c>
      <c r="AQ23" s="8">
        <f t="shared" si="1"/>
        <v>4</v>
      </c>
      <c r="AR23" s="9">
        <f t="shared" si="2"/>
        <v>9</v>
      </c>
      <c r="AS23" s="10">
        <f t="shared" si="3"/>
        <v>5</v>
      </c>
      <c r="AT23" s="11" t="str">
        <f t="shared" si="4"/>
        <v/>
      </c>
      <c r="AU23" s="17"/>
      <c r="AV23" s="79"/>
      <c r="AW23" s="8"/>
      <c r="AX23" s="9"/>
      <c r="AY23" s="10"/>
      <c r="AZ23" s="11"/>
      <c r="BA23" s="17"/>
      <c r="BB23" s="79" t="str">
        <f t="shared" si="6"/>
        <v/>
      </c>
      <c r="BC23" s="8">
        <f t="shared" si="7"/>
        <v>4</v>
      </c>
      <c r="BD23" s="9">
        <f t="shared" si="8"/>
        <v>9</v>
      </c>
      <c r="BE23" s="10">
        <f t="shared" si="9"/>
        <v>5</v>
      </c>
      <c r="BF23" s="11" t="str">
        <f t="shared" si="10"/>
        <v/>
      </c>
    </row>
    <row r="24" spans="2:58" x14ac:dyDescent="0.2">
      <c r="B24" s="427"/>
      <c r="C24" s="51" t="s">
        <v>68</v>
      </c>
      <c r="D24" s="48" t="s">
        <v>137</v>
      </c>
      <c r="E24" s="125" t="s">
        <v>137</v>
      </c>
      <c r="F24" s="125" t="s">
        <v>150</v>
      </c>
      <c r="G24" s="125" t="s">
        <v>47</v>
      </c>
      <c r="H24" s="125" t="s">
        <v>150</v>
      </c>
      <c r="I24" s="118"/>
      <c r="J24" s="77"/>
      <c r="K24" s="126" t="s">
        <v>138</v>
      </c>
      <c r="L24" s="48" t="s">
        <v>136</v>
      </c>
      <c r="M24" s="125"/>
      <c r="N24" s="49"/>
      <c r="O24" s="49" t="s">
        <v>136</v>
      </c>
      <c r="P24" s="50"/>
      <c r="Q24" s="48"/>
      <c r="R24" s="125"/>
      <c r="S24" s="50"/>
      <c r="T24" s="48" t="s">
        <v>138</v>
      </c>
      <c r="U24" s="49" t="s">
        <v>136</v>
      </c>
      <c r="V24" s="49"/>
      <c r="W24" s="50" t="s">
        <v>149</v>
      </c>
      <c r="X24" s="48" t="s">
        <v>137</v>
      </c>
      <c r="Y24" s="125" t="s">
        <v>47</v>
      </c>
      <c r="Z24" s="121" t="s">
        <v>136</v>
      </c>
      <c r="AA24" s="49"/>
      <c r="AB24" s="125" t="s">
        <v>148</v>
      </c>
      <c r="AC24" s="125" t="s">
        <v>136</v>
      </c>
      <c r="AD24" s="125" t="s">
        <v>150</v>
      </c>
      <c r="AE24" s="50"/>
      <c r="AF24" s="68" t="s">
        <v>138</v>
      </c>
      <c r="AG24" s="49"/>
      <c r="AH24" s="125" t="s">
        <v>137</v>
      </c>
      <c r="AI24" s="49" t="s">
        <v>139</v>
      </c>
      <c r="AJ24" s="125" t="s">
        <v>137</v>
      </c>
      <c r="AK24" s="126" t="s">
        <v>137</v>
      </c>
      <c r="AL24" s="48"/>
      <c r="AM24" s="48" t="s">
        <v>148</v>
      </c>
      <c r="AN24" s="114"/>
      <c r="AO24" s="1"/>
      <c r="AP24" s="7">
        <f t="shared" si="0"/>
        <v>1</v>
      </c>
      <c r="AQ24" s="8">
        <f t="shared" si="1"/>
        <v>5</v>
      </c>
      <c r="AR24" s="9">
        <f t="shared" si="2"/>
        <v>8</v>
      </c>
      <c r="AS24" s="10">
        <f t="shared" si="3"/>
        <v>6</v>
      </c>
      <c r="AT24" s="11">
        <f t="shared" si="4"/>
        <v>3</v>
      </c>
      <c r="AU24" s="17"/>
      <c r="AV24" s="79"/>
      <c r="AW24" s="8"/>
      <c r="AX24" s="9"/>
      <c r="AY24" s="10"/>
      <c r="AZ24" s="11"/>
      <c r="BA24" s="17"/>
      <c r="BB24" s="79">
        <f t="shared" si="6"/>
        <v>1</v>
      </c>
      <c r="BC24" s="8">
        <f t="shared" si="7"/>
        <v>5</v>
      </c>
      <c r="BD24" s="9">
        <f t="shared" si="8"/>
        <v>8</v>
      </c>
      <c r="BE24" s="10">
        <f t="shared" si="9"/>
        <v>6</v>
      </c>
      <c r="BF24" s="11">
        <f t="shared" si="10"/>
        <v>3</v>
      </c>
    </row>
    <row r="25" spans="2:58" x14ac:dyDescent="0.2">
      <c r="B25" s="427"/>
      <c r="C25" s="51" t="s">
        <v>69</v>
      </c>
      <c r="D25" s="48" t="s">
        <v>137</v>
      </c>
      <c r="E25" s="125" t="s">
        <v>137</v>
      </c>
      <c r="F25" s="125" t="s">
        <v>148</v>
      </c>
      <c r="G25" s="125" t="s">
        <v>150</v>
      </c>
      <c r="H25" s="125" t="s">
        <v>150</v>
      </c>
      <c r="I25" s="118"/>
      <c r="J25" s="77"/>
      <c r="K25" s="126" t="s">
        <v>137</v>
      </c>
      <c r="L25" s="48" t="s">
        <v>136</v>
      </c>
      <c r="M25" s="125"/>
      <c r="N25" s="49"/>
      <c r="O25" s="49" t="s">
        <v>136</v>
      </c>
      <c r="P25" s="50"/>
      <c r="Q25" s="48"/>
      <c r="R25" s="125"/>
      <c r="S25" s="50"/>
      <c r="T25" s="48" t="s">
        <v>147</v>
      </c>
      <c r="U25" s="49" t="s">
        <v>136</v>
      </c>
      <c r="V25" s="49"/>
      <c r="W25" s="50" t="s">
        <v>147</v>
      </c>
      <c r="X25" s="48"/>
      <c r="Y25" s="125" t="s">
        <v>150</v>
      </c>
      <c r="Z25" s="121" t="s">
        <v>136</v>
      </c>
      <c r="AA25" s="49"/>
      <c r="AB25" s="125"/>
      <c r="AC25" s="125" t="s">
        <v>136</v>
      </c>
      <c r="AD25" s="125" t="s">
        <v>150</v>
      </c>
      <c r="AE25" s="50"/>
      <c r="AF25" s="68" t="s">
        <v>137</v>
      </c>
      <c r="AG25" s="49"/>
      <c r="AH25" s="125" t="s">
        <v>136</v>
      </c>
      <c r="AI25" s="49" t="s">
        <v>138</v>
      </c>
      <c r="AJ25" s="125" t="s">
        <v>136</v>
      </c>
      <c r="AK25" s="126" t="s">
        <v>136</v>
      </c>
      <c r="AL25" s="48"/>
      <c r="AM25" s="48" t="s">
        <v>147</v>
      </c>
      <c r="AN25" s="114"/>
      <c r="AO25" s="1"/>
      <c r="AP25" s="7" t="str">
        <f t="shared" si="0"/>
        <v/>
      </c>
      <c r="AQ25" s="8">
        <f t="shared" si="1"/>
        <v>11</v>
      </c>
      <c r="AR25" s="9">
        <f t="shared" si="2"/>
        <v>5</v>
      </c>
      <c r="AS25" s="10">
        <f t="shared" si="3"/>
        <v>5</v>
      </c>
      <c r="AT25" s="11" t="str">
        <f t="shared" si="4"/>
        <v/>
      </c>
      <c r="AU25" s="17"/>
      <c r="AV25" s="79"/>
      <c r="AW25" s="8"/>
      <c r="AX25" s="9"/>
      <c r="AY25" s="10"/>
      <c r="AZ25" s="11"/>
      <c r="BA25" s="17"/>
      <c r="BB25" s="79" t="str">
        <f t="shared" si="6"/>
        <v/>
      </c>
      <c r="BC25" s="8">
        <f t="shared" si="7"/>
        <v>11</v>
      </c>
      <c r="BD25" s="9">
        <f t="shared" si="8"/>
        <v>5</v>
      </c>
      <c r="BE25" s="10">
        <f t="shared" si="9"/>
        <v>5</v>
      </c>
      <c r="BF25" s="11" t="str">
        <f t="shared" si="10"/>
        <v/>
      </c>
    </row>
    <row r="26" spans="2:58" x14ac:dyDescent="0.2">
      <c r="B26" s="427"/>
      <c r="C26" s="51" t="s">
        <v>75</v>
      </c>
      <c r="D26" s="48" t="s">
        <v>137</v>
      </c>
      <c r="E26" s="125" t="s">
        <v>139</v>
      </c>
      <c r="F26" s="125" t="s">
        <v>150</v>
      </c>
      <c r="G26" s="125" t="s">
        <v>150</v>
      </c>
      <c r="H26" s="125" t="s">
        <v>150</v>
      </c>
      <c r="I26" s="118"/>
      <c r="J26" s="77" t="s">
        <v>138</v>
      </c>
      <c r="K26" s="126" t="s">
        <v>138</v>
      </c>
      <c r="L26" s="48" t="s">
        <v>136</v>
      </c>
      <c r="M26" s="125"/>
      <c r="N26" s="49"/>
      <c r="O26" s="49" t="s">
        <v>136</v>
      </c>
      <c r="P26" s="50"/>
      <c r="Q26" s="48"/>
      <c r="R26" s="125" t="s">
        <v>136</v>
      </c>
      <c r="S26" s="50"/>
      <c r="T26" s="48" t="s">
        <v>148</v>
      </c>
      <c r="U26" s="49" t="s">
        <v>137</v>
      </c>
      <c r="V26" s="49"/>
      <c r="W26" s="50" t="s">
        <v>147</v>
      </c>
      <c r="X26" s="48" t="s">
        <v>138</v>
      </c>
      <c r="Y26" s="125"/>
      <c r="Z26" s="121" t="s">
        <v>138</v>
      </c>
      <c r="AA26" s="49"/>
      <c r="AB26" s="125" t="s">
        <v>147</v>
      </c>
      <c r="AC26" s="125" t="s">
        <v>139</v>
      </c>
      <c r="AD26" s="125" t="s">
        <v>47</v>
      </c>
      <c r="AE26" s="50"/>
      <c r="AF26" s="68" t="s">
        <v>139</v>
      </c>
      <c r="AG26" s="49" t="s">
        <v>137</v>
      </c>
      <c r="AH26" s="125" t="s">
        <v>139</v>
      </c>
      <c r="AI26" s="49" t="s">
        <v>138</v>
      </c>
      <c r="AJ26" s="125" t="s">
        <v>139</v>
      </c>
      <c r="AK26" s="126" t="s">
        <v>139</v>
      </c>
      <c r="AL26" s="48"/>
      <c r="AM26" s="48" t="s">
        <v>148</v>
      </c>
      <c r="AN26" s="114"/>
      <c r="AO26" s="1"/>
      <c r="AP26" s="7" t="str">
        <f t="shared" si="0"/>
        <v/>
      </c>
      <c r="AQ26" s="8">
        <f t="shared" si="1"/>
        <v>5</v>
      </c>
      <c r="AR26" s="9">
        <f t="shared" si="2"/>
        <v>5</v>
      </c>
      <c r="AS26" s="10">
        <f t="shared" si="3"/>
        <v>8</v>
      </c>
      <c r="AT26" s="11">
        <f t="shared" si="4"/>
        <v>7</v>
      </c>
      <c r="AU26" s="17"/>
      <c r="AV26" s="79"/>
      <c r="AW26" s="8"/>
      <c r="AX26" s="9"/>
      <c r="AY26" s="10"/>
      <c r="AZ26" s="11"/>
      <c r="BA26" s="17"/>
      <c r="BB26" s="79" t="str">
        <f t="shared" ref="BB26" si="11">IF(AP26="","",AP26-AV26)</f>
        <v/>
      </c>
      <c r="BC26" s="8">
        <f t="shared" ref="BC26" si="12">IF(AQ26="","",AQ26-AW26)</f>
        <v>5</v>
      </c>
      <c r="BD26" s="9">
        <f t="shared" ref="BD26" si="13">IF(AR26="","",AR26-AX26)</f>
        <v>5</v>
      </c>
      <c r="BE26" s="10">
        <f t="shared" ref="BE26" si="14">IF(AS26="","",AS26-AY26)</f>
        <v>8</v>
      </c>
      <c r="BF26" s="11">
        <f t="shared" ref="BF26" si="15">IF(AT26="","",AT26-AZ26)</f>
        <v>7</v>
      </c>
    </row>
    <row r="27" spans="2:58" ht="12.75" thickBot="1" x14ac:dyDescent="0.25">
      <c r="B27" s="428"/>
      <c r="C27" s="62"/>
      <c r="D27" s="63"/>
      <c r="E27" s="129"/>
      <c r="F27" s="129"/>
      <c r="G27" s="129"/>
      <c r="H27" s="129"/>
      <c r="I27" s="119"/>
      <c r="J27" s="78"/>
      <c r="K27" s="130"/>
      <c r="L27" s="63"/>
      <c r="M27" s="129"/>
      <c r="N27" s="64"/>
      <c r="O27" s="64"/>
      <c r="P27" s="65"/>
      <c r="Q27" s="63"/>
      <c r="R27" s="129"/>
      <c r="S27" s="65"/>
      <c r="T27" s="63"/>
      <c r="U27" s="64"/>
      <c r="V27" s="64"/>
      <c r="W27" s="65"/>
      <c r="X27" s="63"/>
      <c r="Y27" s="129"/>
      <c r="Z27" s="129"/>
      <c r="AA27" s="64"/>
      <c r="AB27" s="129"/>
      <c r="AC27" s="129"/>
      <c r="AD27" s="129"/>
      <c r="AE27" s="65"/>
      <c r="AF27" s="69"/>
      <c r="AG27" s="64"/>
      <c r="AH27" s="129"/>
      <c r="AI27" s="64"/>
      <c r="AJ27" s="129"/>
      <c r="AK27" s="130"/>
      <c r="AL27" s="63"/>
      <c r="AM27" s="63"/>
      <c r="AN27" s="115"/>
      <c r="AO27" s="1"/>
      <c r="AP27" s="12" t="str">
        <f t="shared" si="0"/>
        <v/>
      </c>
      <c r="AQ27" s="13" t="str">
        <f t="shared" si="1"/>
        <v/>
      </c>
      <c r="AR27" s="14" t="str">
        <f t="shared" si="2"/>
        <v/>
      </c>
      <c r="AS27" s="15" t="str">
        <f t="shared" si="3"/>
        <v/>
      </c>
      <c r="AT27" s="16" t="str">
        <f t="shared" si="4"/>
        <v/>
      </c>
      <c r="AU27" s="17"/>
      <c r="AV27" s="80"/>
      <c r="AW27" s="13"/>
      <c r="AX27" s="14"/>
      <c r="AY27" s="15"/>
      <c r="AZ27" s="16"/>
      <c r="BA27" s="17"/>
      <c r="BB27" s="80" t="str">
        <f t="shared" si="6"/>
        <v/>
      </c>
      <c r="BC27" s="13" t="str">
        <f t="shared" si="7"/>
        <v/>
      </c>
      <c r="BD27" s="14" t="str">
        <f t="shared" si="8"/>
        <v/>
      </c>
      <c r="BE27" s="15" t="str">
        <f t="shared" si="9"/>
        <v/>
      </c>
      <c r="BF27" s="16" t="str">
        <f t="shared" si="10"/>
        <v/>
      </c>
    </row>
    <row r="28" spans="2:58" x14ac:dyDescent="0.2">
      <c r="B28" s="426" t="s">
        <v>70</v>
      </c>
      <c r="C28" s="66" t="s">
        <v>71</v>
      </c>
      <c r="D28" s="59" t="s">
        <v>137</v>
      </c>
      <c r="E28" s="127" t="s">
        <v>138</v>
      </c>
      <c r="F28" s="127" t="s">
        <v>150</v>
      </c>
      <c r="G28" s="127" t="s">
        <v>150</v>
      </c>
      <c r="H28" s="127" t="s">
        <v>150</v>
      </c>
      <c r="I28" s="117" t="s">
        <v>148</v>
      </c>
      <c r="J28" s="76" t="s">
        <v>137</v>
      </c>
      <c r="K28" s="128" t="s">
        <v>139</v>
      </c>
      <c r="L28" s="59" t="s">
        <v>137</v>
      </c>
      <c r="M28" s="127" t="s">
        <v>137</v>
      </c>
      <c r="N28" s="60"/>
      <c r="O28" s="60" t="s">
        <v>138</v>
      </c>
      <c r="P28" s="61"/>
      <c r="Q28" s="59"/>
      <c r="R28" s="127" t="s">
        <v>137</v>
      </c>
      <c r="S28" s="61"/>
      <c r="T28" s="59" t="s">
        <v>147</v>
      </c>
      <c r="U28" s="60" t="s">
        <v>138</v>
      </c>
      <c r="V28" s="60"/>
      <c r="W28" s="61" t="s">
        <v>149</v>
      </c>
      <c r="X28" s="59" t="s">
        <v>136</v>
      </c>
      <c r="Y28" s="127" t="s">
        <v>150</v>
      </c>
      <c r="Z28" s="120" t="s">
        <v>136</v>
      </c>
      <c r="AA28" s="60"/>
      <c r="AB28" s="127"/>
      <c r="AC28" s="127" t="s">
        <v>138</v>
      </c>
      <c r="AD28" s="127" t="s">
        <v>148</v>
      </c>
      <c r="AE28" s="61"/>
      <c r="AF28" s="67" t="s">
        <v>137</v>
      </c>
      <c r="AG28" s="60" t="s">
        <v>137</v>
      </c>
      <c r="AH28" s="127" t="s">
        <v>138</v>
      </c>
      <c r="AI28" s="60" t="s">
        <v>138</v>
      </c>
      <c r="AJ28" s="127" t="s">
        <v>138</v>
      </c>
      <c r="AK28" s="128" t="s">
        <v>138</v>
      </c>
      <c r="AL28" s="59" t="s">
        <v>147</v>
      </c>
      <c r="AM28" s="59" t="s">
        <v>148</v>
      </c>
      <c r="AN28" s="113"/>
      <c r="AO28" s="1"/>
      <c r="AP28" s="56">
        <f t="shared" si="0"/>
        <v>1</v>
      </c>
      <c r="AQ28" s="101">
        <f t="shared" si="1"/>
        <v>4</v>
      </c>
      <c r="AR28" s="102">
        <f t="shared" si="2"/>
        <v>10</v>
      </c>
      <c r="AS28" s="103">
        <f t="shared" si="3"/>
        <v>12</v>
      </c>
      <c r="AT28" s="104">
        <f t="shared" si="4"/>
        <v>1</v>
      </c>
      <c r="AU28" s="17"/>
      <c r="AV28" s="105"/>
      <c r="AW28" s="101"/>
      <c r="AX28" s="102"/>
      <c r="AY28" s="103"/>
      <c r="AZ28" s="104"/>
      <c r="BA28" s="17"/>
      <c r="BB28" s="105">
        <f t="shared" si="6"/>
        <v>1</v>
      </c>
      <c r="BC28" s="101">
        <f t="shared" si="7"/>
        <v>4</v>
      </c>
      <c r="BD28" s="102">
        <f t="shared" si="8"/>
        <v>10</v>
      </c>
      <c r="BE28" s="103">
        <f t="shared" si="9"/>
        <v>12</v>
      </c>
      <c r="BF28" s="104">
        <f t="shared" si="10"/>
        <v>1</v>
      </c>
    </row>
    <row r="29" spans="2:58" x14ac:dyDescent="0.2">
      <c r="B29" s="427"/>
      <c r="C29" s="52" t="s">
        <v>72</v>
      </c>
      <c r="D29" s="48" t="s">
        <v>136</v>
      </c>
      <c r="E29" s="125" t="s">
        <v>136</v>
      </c>
      <c r="F29" s="125" t="s">
        <v>149</v>
      </c>
      <c r="G29" s="125" t="s">
        <v>148</v>
      </c>
      <c r="H29" s="125" t="s">
        <v>148</v>
      </c>
      <c r="I29" s="118"/>
      <c r="J29" s="77" t="s">
        <v>136</v>
      </c>
      <c r="K29" s="126" t="s">
        <v>137</v>
      </c>
      <c r="L29" s="48" t="s">
        <v>138</v>
      </c>
      <c r="M29" s="125" t="s">
        <v>136</v>
      </c>
      <c r="N29" s="49"/>
      <c r="O29" s="49" t="s">
        <v>136</v>
      </c>
      <c r="P29" s="50"/>
      <c r="Q29" s="48"/>
      <c r="R29" s="125"/>
      <c r="S29" s="50"/>
      <c r="T29" s="48"/>
      <c r="U29" s="49" t="s">
        <v>138</v>
      </c>
      <c r="V29" s="49"/>
      <c r="W29" s="50"/>
      <c r="X29" s="48" t="s">
        <v>136</v>
      </c>
      <c r="Y29" s="125" t="s">
        <v>148</v>
      </c>
      <c r="Z29" s="125"/>
      <c r="AA29" s="49"/>
      <c r="AB29" s="125"/>
      <c r="AC29" s="125"/>
      <c r="AD29" s="125" t="s">
        <v>148</v>
      </c>
      <c r="AE29" s="50"/>
      <c r="AF29" s="68" t="s">
        <v>136</v>
      </c>
      <c r="AG29" s="49"/>
      <c r="AH29" s="125"/>
      <c r="AI29" s="49" t="s">
        <v>137</v>
      </c>
      <c r="AJ29" s="125"/>
      <c r="AK29" s="126"/>
      <c r="AL29" s="48"/>
      <c r="AM29" s="48" t="s">
        <v>147</v>
      </c>
      <c r="AN29" s="114"/>
      <c r="AO29" s="1"/>
      <c r="AP29" s="7">
        <f t="shared" si="0"/>
        <v>1</v>
      </c>
      <c r="AQ29" s="8">
        <f t="shared" si="1"/>
        <v>8</v>
      </c>
      <c r="AR29" s="9">
        <f t="shared" si="2"/>
        <v>6</v>
      </c>
      <c r="AS29" s="10">
        <f t="shared" si="3"/>
        <v>2</v>
      </c>
      <c r="AT29" s="11" t="str">
        <f t="shared" si="4"/>
        <v/>
      </c>
      <c r="AU29" s="17"/>
      <c r="AV29" s="79"/>
      <c r="AW29" s="8"/>
      <c r="AX29" s="9"/>
      <c r="AY29" s="10"/>
      <c r="AZ29" s="11"/>
      <c r="BA29" s="17"/>
      <c r="BB29" s="79">
        <f t="shared" si="6"/>
        <v>1</v>
      </c>
      <c r="BC29" s="8">
        <f t="shared" si="7"/>
        <v>8</v>
      </c>
      <c r="BD29" s="9">
        <f t="shared" si="8"/>
        <v>6</v>
      </c>
      <c r="BE29" s="10">
        <f t="shared" si="9"/>
        <v>2</v>
      </c>
      <c r="BF29" s="11" t="str">
        <f t="shared" si="10"/>
        <v/>
      </c>
    </row>
    <row r="30" spans="2:58" x14ac:dyDescent="0.2">
      <c r="B30" s="427"/>
      <c r="C30" s="52" t="s">
        <v>73</v>
      </c>
      <c r="D30" s="48" t="s">
        <v>137</v>
      </c>
      <c r="E30" s="125" t="s">
        <v>137</v>
      </c>
      <c r="F30" s="125" t="s">
        <v>150</v>
      </c>
      <c r="G30" s="125" t="s">
        <v>150</v>
      </c>
      <c r="H30" s="125" t="s">
        <v>150</v>
      </c>
      <c r="I30" s="118" t="s">
        <v>147</v>
      </c>
      <c r="J30" s="77" t="s">
        <v>138</v>
      </c>
      <c r="K30" s="126" t="s">
        <v>137</v>
      </c>
      <c r="L30" s="48" t="s">
        <v>139</v>
      </c>
      <c r="M30" s="125" t="s">
        <v>136</v>
      </c>
      <c r="N30" s="49"/>
      <c r="O30" s="49" t="s">
        <v>137</v>
      </c>
      <c r="P30" s="50"/>
      <c r="Q30" s="48"/>
      <c r="R30" s="125" t="s">
        <v>137</v>
      </c>
      <c r="S30" s="50"/>
      <c r="T30" s="48"/>
      <c r="U30" s="49" t="s">
        <v>138</v>
      </c>
      <c r="V30" s="49"/>
      <c r="W30" s="50" t="s">
        <v>149</v>
      </c>
      <c r="X30" s="48"/>
      <c r="Y30" s="125"/>
      <c r="Z30" s="125"/>
      <c r="AA30" s="49"/>
      <c r="AB30" s="125"/>
      <c r="AC30" s="125" t="s">
        <v>136</v>
      </c>
      <c r="AD30" s="125" t="s">
        <v>148</v>
      </c>
      <c r="AE30" s="50"/>
      <c r="AF30" s="68" t="s">
        <v>136</v>
      </c>
      <c r="AG30" s="49"/>
      <c r="AH30" s="125" t="s">
        <v>136</v>
      </c>
      <c r="AI30" s="49" t="s">
        <v>136</v>
      </c>
      <c r="AJ30" s="125" t="s">
        <v>136</v>
      </c>
      <c r="AK30" s="126" t="s">
        <v>136</v>
      </c>
      <c r="AL30" s="48"/>
      <c r="AM30" s="48" t="s">
        <v>147</v>
      </c>
      <c r="AN30" s="114"/>
      <c r="AO30" s="1"/>
      <c r="AP30" s="7">
        <f t="shared" si="0"/>
        <v>1</v>
      </c>
      <c r="AQ30" s="8">
        <f t="shared" si="1"/>
        <v>9</v>
      </c>
      <c r="AR30" s="9">
        <f t="shared" si="2"/>
        <v>6</v>
      </c>
      <c r="AS30" s="10">
        <f t="shared" si="3"/>
        <v>5</v>
      </c>
      <c r="AT30" s="11">
        <f t="shared" si="4"/>
        <v>1</v>
      </c>
      <c r="AU30" s="17"/>
      <c r="AV30" s="79"/>
      <c r="AW30" s="8"/>
      <c r="AX30" s="9"/>
      <c r="AY30" s="10"/>
      <c r="AZ30" s="11"/>
      <c r="BA30" s="17"/>
      <c r="BB30" s="79">
        <f t="shared" si="6"/>
        <v>1</v>
      </c>
      <c r="BC30" s="8">
        <f t="shared" si="7"/>
        <v>9</v>
      </c>
      <c r="BD30" s="9">
        <f t="shared" si="8"/>
        <v>6</v>
      </c>
      <c r="BE30" s="10">
        <f t="shared" si="9"/>
        <v>5</v>
      </c>
      <c r="BF30" s="11">
        <f t="shared" si="10"/>
        <v>1</v>
      </c>
    </row>
    <row r="31" spans="2:58" x14ac:dyDescent="0.2">
      <c r="B31" s="427"/>
      <c r="C31" s="52" t="s">
        <v>74</v>
      </c>
      <c r="D31" s="48" t="s">
        <v>136</v>
      </c>
      <c r="E31" s="125" t="s">
        <v>136</v>
      </c>
      <c r="F31" s="125" t="s">
        <v>147</v>
      </c>
      <c r="G31" s="125" t="s">
        <v>148</v>
      </c>
      <c r="H31" s="125" t="s">
        <v>147</v>
      </c>
      <c r="I31" s="118"/>
      <c r="J31" s="77" t="s">
        <v>144</v>
      </c>
      <c r="K31" s="126" t="s">
        <v>137</v>
      </c>
      <c r="L31" s="48" t="s">
        <v>136</v>
      </c>
      <c r="M31" s="125" t="s">
        <v>136</v>
      </c>
      <c r="N31" s="49"/>
      <c r="O31" s="49" t="s">
        <v>138</v>
      </c>
      <c r="P31" s="50"/>
      <c r="Q31" s="48"/>
      <c r="R31" s="125" t="s">
        <v>137</v>
      </c>
      <c r="S31" s="50"/>
      <c r="T31" s="48"/>
      <c r="U31" s="49" t="s">
        <v>136</v>
      </c>
      <c r="V31" s="49"/>
      <c r="W31" s="50" t="s">
        <v>148</v>
      </c>
      <c r="X31" s="48"/>
      <c r="Y31" s="125"/>
      <c r="Z31" s="125"/>
      <c r="AA31" s="49"/>
      <c r="AB31" s="125" t="s">
        <v>147</v>
      </c>
      <c r="AC31" s="125" t="s">
        <v>137</v>
      </c>
      <c r="AD31" s="125" t="s">
        <v>150</v>
      </c>
      <c r="AE31" s="50"/>
      <c r="AF31" s="68"/>
      <c r="AG31" s="49"/>
      <c r="AH31" s="125" t="s">
        <v>137</v>
      </c>
      <c r="AI31" s="49"/>
      <c r="AJ31" s="125" t="s">
        <v>136</v>
      </c>
      <c r="AK31" s="126" t="s">
        <v>136</v>
      </c>
      <c r="AL31" s="48"/>
      <c r="AM31" s="48" t="s">
        <v>147</v>
      </c>
      <c r="AN31" s="114"/>
      <c r="AO31" s="1"/>
      <c r="AP31" s="7">
        <f t="shared" si="0"/>
        <v>1</v>
      </c>
      <c r="AQ31" s="8">
        <f t="shared" si="1"/>
        <v>11</v>
      </c>
      <c r="AR31" s="9">
        <f t="shared" si="2"/>
        <v>6</v>
      </c>
      <c r="AS31" s="10">
        <f t="shared" si="3"/>
        <v>2</v>
      </c>
      <c r="AT31" s="11" t="str">
        <f t="shared" si="4"/>
        <v/>
      </c>
      <c r="AU31" s="17"/>
      <c r="AV31" s="79"/>
      <c r="AW31" s="8"/>
      <c r="AX31" s="9"/>
      <c r="AY31" s="10"/>
      <c r="AZ31" s="11"/>
      <c r="BA31" s="17"/>
      <c r="BB31" s="79">
        <f t="shared" si="6"/>
        <v>1</v>
      </c>
      <c r="BC31" s="8">
        <f t="shared" si="7"/>
        <v>11</v>
      </c>
      <c r="BD31" s="9">
        <f t="shared" si="8"/>
        <v>6</v>
      </c>
      <c r="BE31" s="10">
        <f t="shared" si="9"/>
        <v>2</v>
      </c>
      <c r="BF31" s="11" t="str">
        <f t="shared" si="10"/>
        <v/>
      </c>
    </row>
    <row r="32" spans="2:58" x14ac:dyDescent="0.2">
      <c r="B32" s="427"/>
      <c r="C32" s="51" t="s">
        <v>76</v>
      </c>
      <c r="D32" s="48" t="s">
        <v>138</v>
      </c>
      <c r="E32" s="125" t="s">
        <v>137</v>
      </c>
      <c r="F32" s="125" t="s">
        <v>148</v>
      </c>
      <c r="G32" s="125" t="s">
        <v>150</v>
      </c>
      <c r="H32" s="125" t="s">
        <v>150</v>
      </c>
      <c r="I32" s="118"/>
      <c r="J32" s="77" t="s">
        <v>138</v>
      </c>
      <c r="K32" s="126" t="s">
        <v>138</v>
      </c>
      <c r="L32" s="48" t="s">
        <v>136</v>
      </c>
      <c r="M32" s="125" t="s">
        <v>144</v>
      </c>
      <c r="N32" s="49"/>
      <c r="O32" s="49" t="s">
        <v>136</v>
      </c>
      <c r="P32" s="50"/>
      <c r="Q32" s="48"/>
      <c r="R32" s="125"/>
      <c r="S32" s="50"/>
      <c r="T32" s="48"/>
      <c r="U32" s="49" t="s">
        <v>144</v>
      </c>
      <c r="V32" s="49"/>
      <c r="W32" s="50" t="s">
        <v>149</v>
      </c>
      <c r="X32" s="48"/>
      <c r="Y32" s="125"/>
      <c r="Z32" s="125"/>
      <c r="AA32" s="49"/>
      <c r="AB32" s="125"/>
      <c r="AC32" s="125"/>
      <c r="AD32" s="125" t="s">
        <v>148</v>
      </c>
      <c r="AE32" s="50"/>
      <c r="AF32" s="68" t="s">
        <v>136</v>
      </c>
      <c r="AG32" s="49"/>
      <c r="AH32" s="125" t="s">
        <v>136</v>
      </c>
      <c r="AI32" s="49"/>
      <c r="AJ32" s="125" t="s">
        <v>136</v>
      </c>
      <c r="AK32" s="126" t="s">
        <v>137</v>
      </c>
      <c r="AL32" s="48"/>
      <c r="AM32" s="48"/>
      <c r="AN32" s="114"/>
      <c r="AO32" s="1"/>
      <c r="AP32" s="7">
        <f t="shared" si="0"/>
        <v>3</v>
      </c>
      <c r="AQ32" s="8">
        <f t="shared" si="1"/>
        <v>5</v>
      </c>
      <c r="AR32" s="9">
        <f t="shared" si="2"/>
        <v>4</v>
      </c>
      <c r="AS32" s="10">
        <f t="shared" si="3"/>
        <v>5</v>
      </c>
      <c r="AT32" s="11" t="str">
        <f t="shared" si="4"/>
        <v/>
      </c>
      <c r="AU32" s="17"/>
      <c r="AV32" s="79"/>
      <c r="AW32" s="8"/>
      <c r="AX32" s="9"/>
      <c r="AY32" s="10"/>
      <c r="AZ32" s="11"/>
      <c r="BA32" s="17"/>
      <c r="BB32" s="79">
        <f t="shared" si="6"/>
        <v>3</v>
      </c>
      <c r="BC32" s="8">
        <f t="shared" si="7"/>
        <v>5</v>
      </c>
      <c r="BD32" s="9">
        <f t="shared" si="8"/>
        <v>4</v>
      </c>
      <c r="BE32" s="10">
        <f t="shared" si="9"/>
        <v>5</v>
      </c>
      <c r="BF32" s="11" t="str">
        <f t="shared" si="10"/>
        <v/>
      </c>
    </row>
    <row r="33" spans="2:58" x14ac:dyDescent="0.2">
      <c r="B33" s="427"/>
      <c r="C33" s="51" t="s">
        <v>77</v>
      </c>
      <c r="D33" s="48" t="s">
        <v>137</v>
      </c>
      <c r="E33" s="125" t="s">
        <v>136</v>
      </c>
      <c r="F33" s="125" t="s">
        <v>149</v>
      </c>
      <c r="G33" s="125" t="s">
        <v>148</v>
      </c>
      <c r="H33" s="125" t="s">
        <v>147</v>
      </c>
      <c r="I33" s="118"/>
      <c r="J33" s="77" t="s">
        <v>144</v>
      </c>
      <c r="K33" s="126" t="s">
        <v>136</v>
      </c>
      <c r="L33" s="48" t="s">
        <v>136</v>
      </c>
      <c r="M33" s="125" t="s">
        <v>138</v>
      </c>
      <c r="N33" s="49"/>
      <c r="O33" s="49" t="s">
        <v>138</v>
      </c>
      <c r="P33" s="50"/>
      <c r="Q33" s="48"/>
      <c r="R33" s="125" t="s">
        <v>137</v>
      </c>
      <c r="S33" s="50"/>
      <c r="T33" s="48" t="s">
        <v>147</v>
      </c>
      <c r="U33" s="49" t="s">
        <v>138</v>
      </c>
      <c r="V33" s="49"/>
      <c r="W33" s="50" t="s">
        <v>139</v>
      </c>
      <c r="X33" s="48" t="s">
        <v>137</v>
      </c>
      <c r="Y33" s="125" t="s">
        <v>150</v>
      </c>
      <c r="Z33" s="121" t="s">
        <v>137</v>
      </c>
      <c r="AA33" s="49"/>
      <c r="AB33" s="125" t="s">
        <v>147</v>
      </c>
      <c r="AC33" s="125" t="s">
        <v>136</v>
      </c>
      <c r="AD33" s="125" t="s">
        <v>150</v>
      </c>
      <c r="AE33" s="50"/>
      <c r="AF33" s="68" t="s">
        <v>137</v>
      </c>
      <c r="AG33" s="49"/>
      <c r="AH33" s="125" t="s">
        <v>138</v>
      </c>
      <c r="AI33" s="49" t="s">
        <v>138</v>
      </c>
      <c r="AJ33" s="125" t="s">
        <v>138</v>
      </c>
      <c r="AK33" s="126" t="s">
        <v>137</v>
      </c>
      <c r="AL33" s="48"/>
      <c r="AM33" s="48"/>
      <c r="AN33" s="114"/>
      <c r="AO33" s="1"/>
      <c r="AP33" s="7">
        <f t="shared" si="0"/>
        <v>2</v>
      </c>
      <c r="AQ33" s="8">
        <f t="shared" si="1"/>
        <v>7</v>
      </c>
      <c r="AR33" s="9">
        <f t="shared" si="2"/>
        <v>7</v>
      </c>
      <c r="AS33" s="10">
        <f t="shared" si="3"/>
        <v>8</v>
      </c>
      <c r="AT33" s="11">
        <f t="shared" si="4"/>
        <v>1</v>
      </c>
      <c r="AU33" s="17"/>
      <c r="AV33" s="79"/>
      <c r="AW33" s="8"/>
      <c r="AX33" s="9"/>
      <c r="AY33" s="10"/>
      <c r="AZ33" s="11"/>
      <c r="BA33" s="17"/>
      <c r="BB33" s="79">
        <f t="shared" si="6"/>
        <v>2</v>
      </c>
      <c r="BC33" s="8">
        <f t="shared" si="7"/>
        <v>7</v>
      </c>
      <c r="BD33" s="9">
        <f t="shared" si="8"/>
        <v>7</v>
      </c>
      <c r="BE33" s="10">
        <f t="shared" si="9"/>
        <v>8</v>
      </c>
      <c r="BF33" s="11">
        <f t="shared" si="10"/>
        <v>1</v>
      </c>
    </row>
    <row r="34" spans="2:58" x14ac:dyDescent="0.2">
      <c r="B34" s="427"/>
      <c r="C34" s="51" t="s">
        <v>78</v>
      </c>
      <c r="D34" s="48" t="s">
        <v>138</v>
      </c>
      <c r="E34" s="125" t="s">
        <v>136</v>
      </c>
      <c r="F34" s="125" t="s">
        <v>148</v>
      </c>
      <c r="G34" s="125" t="s">
        <v>150</v>
      </c>
      <c r="H34" s="125" t="s">
        <v>148</v>
      </c>
      <c r="I34" s="118" t="s">
        <v>150</v>
      </c>
      <c r="J34" s="77" t="s">
        <v>139</v>
      </c>
      <c r="K34" s="126" t="s">
        <v>137</v>
      </c>
      <c r="L34" s="48" t="s">
        <v>136</v>
      </c>
      <c r="M34" s="125" t="s">
        <v>144</v>
      </c>
      <c r="N34" s="49"/>
      <c r="O34" s="49" t="s">
        <v>138</v>
      </c>
      <c r="P34" s="50"/>
      <c r="Q34" s="48"/>
      <c r="R34" s="125" t="s">
        <v>137</v>
      </c>
      <c r="S34" s="50"/>
      <c r="T34" s="48" t="s">
        <v>147</v>
      </c>
      <c r="U34" s="49" t="s">
        <v>138</v>
      </c>
      <c r="V34" s="49"/>
      <c r="W34" s="50" t="s">
        <v>148</v>
      </c>
      <c r="X34" s="48" t="s">
        <v>137</v>
      </c>
      <c r="Y34" s="125" t="s">
        <v>150</v>
      </c>
      <c r="Z34" s="121" t="s">
        <v>137</v>
      </c>
      <c r="AA34" s="49"/>
      <c r="AB34" s="125"/>
      <c r="AC34" s="125" t="s">
        <v>137</v>
      </c>
      <c r="AD34" s="125" t="s">
        <v>148</v>
      </c>
      <c r="AE34" s="50"/>
      <c r="AF34" s="68" t="s">
        <v>138</v>
      </c>
      <c r="AG34" s="49" t="s">
        <v>137</v>
      </c>
      <c r="AH34" s="125" t="s">
        <v>138</v>
      </c>
      <c r="AI34" s="49" t="s">
        <v>137</v>
      </c>
      <c r="AJ34" s="125" t="s">
        <v>138</v>
      </c>
      <c r="AK34" s="126" t="s">
        <v>138</v>
      </c>
      <c r="AL34" s="48"/>
      <c r="AM34" s="48" t="s">
        <v>148</v>
      </c>
      <c r="AN34" s="114"/>
      <c r="AO34" s="1"/>
      <c r="AP34" s="7">
        <f t="shared" si="0"/>
        <v>1</v>
      </c>
      <c r="AQ34" s="8">
        <f t="shared" si="1"/>
        <v>3</v>
      </c>
      <c r="AR34" s="9">
        <f t="shared" si="2"/>
        <v>12</v>
      </c>
      <c r="AS34" s="10">
        <f t="shared" si="3"/>
        <v>10</v>
      </c>
      <c r="AT34" s="11">
        <f t="shared" si="4"/>
        <v>1</v>
      </c>
      <c r="AU34" s="17"/>
      <c r="AV34" s="79"/>
      <c r="AW34" s="8"/>
      <c r="AX34" s="9"/>
      <c r="AY34" s="10"/>
      <c r="AZ34" s="11"/>
      <c r="BA34" s="17"/>
      <c r="BB34" s="79">
        <f t="shared" si="6"/>
        <v>1</v>
      </c>
      <c r="BC34" s="8">
        <f t="shared" si="7"/>
        <v>3</v>
      </c>
      <c r="BD34" s="9">
        <f t="shared" si="8"/>
        <v>12</v>
      </c>
      <c r="BE34" s="10">
        <f t="shared" si="9"/>
        <v>10</v>
      </c>
      <c r="BF34" s="11">
        <f t="shared" si="10"/>
        <v>1</v>
      </c>
    </row>
    <row r="35" spans="2:58" x14ac:dyDescent="0.2">
      <c r="B35" s="427"/>
      <c r="C35" s="51" t="s">
        <v>79</v>
      </c>
      <c r="D35" s="48" t="s">
        <v>138</v>
      </c>
      <c r="E35" s="125" t="s">
        <v>138</v>
      </c>
      <c r="F35" s="125" t="s">
        <v>150</v>
      </c>
      <c r="G35" s="125" t="s">
        <v>47</v>
      </c>
      <c r="H35" s="125" t="s">
        <v>47</v>
      </c>
      <c r="I35" s="118"/>
      <c r="J35" s="77" t="s">
        <v>138</v>
      </c>
      <c r="K35" s="126" t="s">
        <v>137</v>
      </c>
      <c r="L35" s="48" t="s">
        <v>136</v>
      </c>
      <c r="M35" s="125" t="s">
        <v>144</v>
      </c>
      <c r="N35" s="49"/>
      <c r="O35" s="49"/>
      <c r="P35" s="50"/>
      <c r="Q35" s="48"/>
      <c r="R35" s="125"/>
      <c r="S35" s="50"/>
      <c r="T35" s="48"/>
      <c r="U35" s="49" t="s">
        <v>138</v>
      </c>
      <c r="V35" s="49"/>
      <c r="W35" s="50"/>
      <c r="X35" s="48"/>
      <c r="Y35" s="125" t="s">
        <v>148</v>
      </c>
      <c r="Z35" s="121" t="s">
        <v>136</v>
      </c>
      <c r="AA35" s="49"/>
      <c r="AB35" s="125"/>
      <c r="AC35" s="125" t="s">
        <v>137</v>
      </c>
      <c r="AD35" s="125" t="s">
        <v>148</v>
      </c>
      <c r="AE35" s="50"/>
      <c r="AF35" s="68" t="s">
        <v>137</v>
      </c>
      <c r="AG35" s="49" t="s">
        <v>137</v>
      </c>
      <c r="AH35" s="125" t="s">
        <v>138</v>
      </c>
      <c r="AI35" s="49" t="s">
        <v>136</v>
      </c>
      <c r="AJ35" s="125" t="s">
        <v>138</v>
      </c>
      <c r="AK35" s="126" t="s">
        <v>138</v>
      </c>
      <c r="AL35" s="48"/>
      <c r="AM35" s="48"/>
      <c r="AN35" s="114"/>
      <c r="AO35" s="1"/>
      <c r="AP35" s="7">
        <f t="shared" ref="AP35:AP66" si="16">IF(COUNTIF(D35:AN35,"O")&gt;0,COUNTIF(D35:AN35,"O"),"")</f>
        <v>1</v>
      </c>
      <c r="AQ35" s="8">
        <f t="shared" ref="AQ35:AQ66" si="17">IF(COUNTIF(D35:AN35,"j")&gt;0,COUNTIF(D35:AN35,"J"),"")</f>
        <v>3</v>
      </c>
      <c r="AR35" s="9">
        <f t="shared" ref="AR35:AR66" si="18">IF(COUNTIF(D35:AN35,"M")&gt;0,COUNTIF(D35:AN35,"M"),"")</f>
        <v>6</v>
      </c>
      <c r="AS35" s="10">
        <f t="shared" ref="AS35:AS66" si="19">IF(COUNTIF(D35:AN35,"S")&gt;0,COUNTIF(D35:AN35,"S"),"")</f>
        <v>8</v>
      </c>
      <c r="AT35" s="11">
        <f t="shared" ref="AT35:AT66" si="20">IF(COUNTIF(D35:AN35,"E")&gt;0,COUNTIF(D35:AN35,"E"),"")</f>
        <v>2</v>
      </c>
      <c r="AU35" s="17"/>
      <c r="AV35" s="79"/>
      <c r="AW35" s="8"/>
      <c r="AX35" s="9"/>
      <c r="AY35" s="10"/>
      <c r="AZ35" s="11"/>
      <c r="BA35" s="17"/>
      <c r="BB35" s="79">
        <f t="shared" si="6"/>
        <v>1</v>
      </c>
      <c r="BC35" s="8">
        <f t="shared" si="7"/>
        <v>3</v>
      </c>
      <c r="BD35" s="9">
        <f t="shared" si="8"/>
        <v>6</v>
      </c>
      <c r="BE35" s="10">
        <f t="shared" si="9"/>
        <v>8</v>
      </c>
      <c r="BF35" s="11">
        <f t="shared" si="10"/>
        <v>2</v>
      </c>
    </row>
    <row r="36" spans="2:58" x14ac:dyDescent="0.2">
      <c r="B36" s="427"/>
      <c r="C36" s="51" t="s">
        <v>80</v>
      </c>
      <c r="D36" s="48" t="s">
        <v>138</v>
      </c>
      <c r="E36" s="125" t="s">
        <v>137</v>
      </c>
      <c r="F36" s="125" t="s">
        <v>150</v>
      </c>
      <c r="G36" s="125" t="s">
        <v>150</v>
      </c>
      <c r="H36" s="125" t="s">
        <v>150</v>
      </c>
      <c r="I36" s="118"/>
      <c r="J36" s="77" t="s">
        <v>136</v>
      </c>
      <c r="K36" s="126" t="s">
        <v>137</v>
      </c>
      <c r="L36" s="48" t="s">
        <v>136</v>
      </c>
      <c r="M36" s="125"/>
      <c r="N36" s="49"/>
      <c r="O36" s="49"/>
      <c r="P36" s="50"/>
      <c r="Q36" s="48"/>
      <c r="R36" s="125" t="s">
        <v>137</v>
      </c>
      <c r="S36" s="50"/>
      <c r="T36" s="48"/>
      <c r="U36" s="49" t="s">
        <v>144</v>
      </c>
      <c r="V36" s="49"/>
      <c r="W36" s="50"/>
      <c r="X36" s="48"/>
      <c r="Y36" s="125" t="s">
        <v>147</v>
      </c>
      <c r="Z36" s="125"/>
      <c r="AA36" s="49"/>
      <c r="AB36" s="125"/>
      <c r="AC36" s="125"/>
      <c r="AD36" s="125" t="s">
        <v>148</v>
      </c>
      <c r="AE36" s="50"/>
      <c r="AF36" s="68" t="s">
        <v>137</v>
      </c>
      <c r="AG36" s="49"/>
      <c r="AH36" s="125" t="s">
        <v>136</v>
      </c>
      <c r="AI36" s="49"/>
      <c r="AJ36" s="125" t="s">
        <v>138</v>
      </c>
      <c r="AK36" s="126" t="s">
        <v>137</v>
      </c>
      <c r="AL36" s="48"/>
      <c r="AM36" s="48"/>
      <c r="AN36" s="114"/>
      <c r="AO36" s="1"/>
      <c r="AP36" s="7">
        <f t="shared" si="16"/>
        <v>1</v>
      </c>
      <c r="AQ36" s="8">
        <f t="shared" si="17"/>
        <v>4</v>
      </c>
      <c r="AR36" s="9">
        <f t="shared" si="18"/>
        <v>6</v>
      </c>
      <c r="AS36" s="10">
        <f t="shared" si="19"/>
        <v>5</v>
      </c>
      <c r="AT36" s="11" t="str">
        <f t="shared" si="20"/>
        <v/>
      </c>
      <c r="AU36" s="17"/>
      <c r="AV36" s="79"/>
      <c r="AW36" s="8"/>
      <c r="AX36" s="9"/>
      <c r="AY36" s="10"/>
      <c r="AZ36" s="11"/>
      <c r="BA36" s="17"/>
      <c r="BB36" s="79">
        <f t="shared" si="6"/>
        <v>1</v>
      </c>
      <c r="BC36" s="8">
        <f t="shared" si="7"/>
        <v>4</v>
      </c>
      <c r="BD36" s="9">
        <f t="shared" si="8"/>
        <v>6</v>
      </c>
      <c r="BE36" s="10">
        <f t="shared" si="9"/>
        <v>5</v>
      </c>
      <c r="BF36" s="11" t="str">
        <f t="shared" si="10"/>
        <v/>
      </c>
    </row>
    <row r="37" spans="2:58" ht="12.75" thickBot="1" x14ac:dyDescent="0.25">
      <c r="B37" s="428"/>
      <c r="C37" s="62"/>
      <c r="D37" s="63"/>
      <c r="E37" s="129"/>
      <c r="F37" s="129"/>
      <c r="G37" s="129"/>
      <c r="H37" s="129"/>
      <c r="I37" s="119"/>
      <c r="J37" s="78"/>
      <c r="K37" s="130"/>
      <c r="L37" s="63"/>
      <c r="M37" s="129"/>
      <c r="N37" s="64"/>
      <c r="O37" s="64"/>
      <c r="P37" s="65"/>
      <c r="Q37" s="63"/>
      <c r="R37" s="129"/>
      <c r="S37" s="65"/>
      <c r="T37" s="63"/>
      <c r="U37" s="64"/>
      <c r="V37" s="64"/>
      <c r="W37" s="65"/>
      <c r="X37" s="63"/>
      <c r="Y37" s="129"/>
      <c r="Z37" s="129"/>
      <c r="AA37" s="64"/>
      <c r="AB37" s="129"/>
      <c r="AC37" s="129"/>
      <c r="AD37" s="129"/>
      <c r="AE37" s="65"/>
      <c r="AF37" s="69"/>
      <c r="AG37" s="64"/>
      <c r="AH37" s="129"/>
      <c r="AI37" s="64"/>
      <c r="AJ37" s="129" t="s">
        <v>138</v>
      </c>
      <c r="AK37" s="130"/>
      <c r="AL37" s="63"/>
      <c r="AM37" s="63"/>
      <c r="AN37" s="115"/>
      <c r="AO37" s="1"/>
      <c r="AP37" s="12" t="str">
        <f t="shared" si="16"/>
        <v/>
      </c>
      <c r="AQ37" s="13" t="str">
        <f t="shared" si="17"/>
        <v/>
      </c>
      <c r="AR37" s="14" t="str">
        <f t="shared" si="18"/>
        <v/>
      </c>
      <c r="AS37" s="15">
        <f t="shared" si="19"/>
        <v>1</v>
      </c>
      <c r="AT37" s="16" t="str">
        <f t="shared" si="20"/>
        <v/>
      </c>
      <c r="AU37" s="17"/>
      <c r="AV37" s="80"/>
      <c r="AW37" s="13"/>
      <c r="AX37" s="14"/>
      <c r="AY37" s="15"/>
      <c r="AZ37" s="16"/>
      <c r="BA37" s="17"/>
      <c r="BB37" s="80" t="str">
        <f t="shared" si="6"/>
        <v/>
      </c>
      <c r="BC37" s="13" t="str">
        <f t="shared" si="7"/>
        <v/>
      </c>
      <c r="BD37" s="14" t="str">
        <f t="shared" si="8"/>
        <v/>
      </c>
      <c r="BE37" s="15">
        <f t="shared" si="9"/>
        <v>1</v>
      </c>
      <c r="BF37" s="16" t="str">
        <f t="shared" si="10"/>
        <v/>
      </c>
    </row>
    <row r="38" spans="2:58" ht="12" customHeight="1" x14ac:dyDescent="0.2">
      <c r="B38" s="426" t="s">
        <v>81</v>
      </c>
      <c r="C38" s="58" t="s">
        <v>82</v>
      </c>
      <c r="D38" s="59" t="s">
        <v>138</v>
      </c>
      <c r="E38" s="127" t="s">
        <v>137</v>
      </c>
      <c r="F38" s="127" t="s">
        <v>150</v>
      </c>
      <c r="G38" s="127" t="s">
        <v>150</v>
      </c>
      <c r="H38" s="127" t="s">
        <v>148</v>
      </c>
      <c r="I38" s="117" t="s">
        <v>148</v>
      </c>
      <c r="J38" s="76" t="s">
        <v>137</v>
      </c>
      <c r="K38" s="128" t="s">
        <v>138</v>
      </c>
      <c r="L38" s="59" t="s">
        <v>137</v>
      </c>
      <c r="M38" s="127" t="s">
        <v>137</v>
      </c>
      <c r="N38" s="60"/>
      <c r="O38" s="60" t="s">
        <v>138</v>
      </c>
      <c r="P38" s="61"/>
      <c r="Q38" s="59"/>
      <c r="R38" s="127" t="s">
        <v>136</v>
      </c>
      <c r="S38" s="61"/>
      <c r="T38" s="59" t="s">
        <v>148</v>
      </c>
      <c r="U38" s="60" t="s">
        <v>138</v>
      </c>
      <c r="V38" s="60"/>
      <c r="W38" s="61" t="s">
        <v>148</v>
      </c>
      <c r="X38" s="59" t="s">
        <v>137</v>
      </c>
      <c r="Y38" s="127" t="s">
        <v>47</v>
      </c>
      <c r="Z38" s="120" t="s">
        <v>137</v>
      </c>
      <c r="AA38" s="60"/>
      <c r="AB38" s="127"/>
      <c r="AC38" s="127" t="s">
        <v>138</v>
      </c>
      <c r="AD38" s="127" t="s">
        <v>148</v>
      </c>
      <c r="AE38" s="61"/>
      <c r="AF38" s="67" t="s">
        <v>136</v>
      </c>
      <c r="AG38" s="60" t="s">
        <v>137</v>
      </c>
      <c r="AH38" s="127" t="s">
        <v>137</v>
      </c>
      <c r="AI38" s="60" t="s">
        <v>138</v>
      </c>
      <c r="AJ38" s="127" t="s">
        <v>138</v>
      </c>
      <c r="AK38" s="128" t="s">
        <v>138</v>
      </c>
      <c r="AL38" s="59" t="s">
        <v>148</v>
      </c>
      <c r="AM38" s="59" t="s">
        <v>150</v>
      </c>
      <c r="AN38" s="113"/>
      <c r="AO38" s="1"/>
      <c r="AP38" s="56" t="str">
        <f t="shared" si="16"/>
        <v/>
      </c>
      <c r="AQ38" s="101">
        <f t="shared" si="17"/>
        <v>2</v>
      </c>
      <c r="AR38" s="102">
        <f t="shared" si="18"/>
        <v>14</v>
      </c>
      <c r="AS38" s="103">
        <f t="shared" si="19"/>
        <v>11</v>
      </c>
      <c r="AT38" s="104">
        <f t="shared" si="20"/>
        <v>1</v>
      </c>
      <c r="AU38" s="17"/>
      <c r="AV38" s="105"/>
      <c r="AW38" s="101"/>
      <c r="AX38" s="102"/>
      <c r="AY38" s="103"/>
      <c r="AZ38" s="104"/>
      <c r="BA38" s="17"/>
      <c r="BB38" s="105" t="str">
        <f t="shared" si="6"/>
        <v/>
      </c>
      <c r="BC38" s="101">
        <f t="shared" si="7"/>
        <v>2</v>
      </c>
      <c r="BD38" s="102">
        <f t="shared" si="8"/>
        <v>14</v>
      </c>
      <c r="BE38" s="103">
        <f t="shared" si="9"/>
        <v>11</v>
      </c>
      <c r="BF38" s="104">
        <f t="shared" si="10"/>
        <v>1</v>
      </c>
    </row>
    <row r="39" spans="2:58" ht="12" customHeight="1" x14ac:dyDescent="0.2">
      <c r="B39" s="427"/>
      <c r="C39" s="51" t="s">
        <v>83</v>
      </c>
      <c r="D39" s="48" t="s">
        <v>139</v>
      </c>
      <c r="E39" s="125" t="s">
        <v>138</v>
      </c>
      <c r="F39" s="125" t="s">
        <v>150</v>
      </c>
      <c r="G39" s="125" t="s">
        <v>150</v>
      </c>
      <c r="H39" s="125" t="s">
        <v>150</v>
      </c>
      <c r="I39" s="118" t="s">
        <v>47</v>
      </c>
      <c r="J39" s="77" t="s">
        <v>139</v>
      </c>
      <c r="K39" s="126" t="s">
        <v>139</v>
      </c>
      <c r="L39" s="48" t="s">
        <v>138</v>
      </c>
      <c r="M39" s="125" t="s">
        <v>137</v>
      </c>
      <c r="N39" s="49"/>
      <c r="O39" s="49" t="s">
        <v>139</v>
      </c>
      <c r="P39" s="50"/>
      <c r="Q39" s="48"/>
      <c r="R39" s="125" t="s">
        <v>138</v>
      </c>
      <c r="S39" s="50"/>
      <c r="T39" s="48" t="s">
        <v>147</v>
      </c>
      <c r="U39" s="49" t="s">
        <v>137</v>
      </c>
      <c r="V39" s="49"/>
      <c r="W39" s="50" t="s">
        <v>149</v>
      </c>
      <c r="X39" s="48" t="s">
        <v>137</v>
      </c>
      <c r="Y39" s="125" t="s">
        <v>150</v>
      </c>
      <c r="Z39" s="121" t="s">
        <v>138</v>
      </c>
      <c r="AA39" s="49"/>
      <c r="AB39" s="125"/>
      <c r="AC39" s="125" t="s">
        <v>138</v>
      </c>
      <c r="AD39" s="125" t="s">
        <v>150</v>
      </c>
      <c r="AE39" s="50"/>
      <c r="AF39" s="68" t="s">
        <v>138</v>
      </c>
      <c r="AG39" s="49" t="s">
        <v>137</v>
      </c>
      <c r="AH39" s="125" t="s">
        <v>138</v>
      </c>
      <c r="AI39" s="49" t="s">
        <v>138</v>
      </c>
      <c r="AJ39" s="125" t="s">
        <v>138</v>
      </c>
      <c r="AK39" s="126" t="s">
        <v>138</v>
      </c>
      <c r="AL39" s="48" t="s">
        <v>147</v>
      </c>
      <c r="AM39" s="48" t="s">
        <v>150</v>
      </c>
      <c r="AN39" s="114"/>
      <c r="AO39" s="1"/>
      <c r="AP39" s="7">
        <f t="shared" si="16"/>
        <v>1</v>
      </c>
      <c r="AQ39" s="8">
        <f t="shared" si="17"/>
        <v>2</v>
      </c>
      <c r="AR39" s="9">
        <f t="shared" si="18"/>
        <v>4</v>
      </c>
      <c r="AS39" s="10">
        <f t="shared" si="19"/>
        <v>16</v>
      </c>
      <c r="AT39" s="11">
        <f t="shared" si="20"/>
        <v>5</v>
      </c>
      <c r="AU39" s="17"/>
      <c r="AV39" s="79"/>
      <c r="AW39" s="8"/>
      <c r="AX39" s="9"/>
      <c r="AY39" s="10"/>
      <c r="AZ39" s="11"/>
      <c r="BA39" s="17"/>
      <c r="BB39" s="79">
        <f t="shared" si="6"/>
        <v>1</v>
      </c>
      <c r="BC39" s="8">
        <f t="shared" si="7"/>
        <v>2</v>
      </c>
      <c r="BD39" s="9">
        <f t="shared" si="8"/>
        <v>4</v>
      </c>
      <c r="BE39" s="10">
        <f t="shared" si="9"/>
        <v>16</v>
      </c>
      <c r="BF39" s="11">
        <f t="shared" si="10"/>
        <v>5</v>
      </c>
    </row>
    <row r="40" spans="2:58" ht="12" customHeight="1" x14ac:dyDescent="0.2">
      <c r="B40" s="427"/>
      <c r="C40" s="51" t="s">
        <v>84</v>
      </c>
      <c r="D40" s="48" t="s">
        <v>138</v>
      </c>
      <c r="E40" s="125" t="s">
        <v>138</v>
      </c>
      <c r="F40" s="125" t="s">
        <v>150</v>
      </c>
      <c r="G40" s="125" t="s">
        <v>150</v>
      </c>
      <c r="H40" s="125" t="s">
        <v>148</v>
      </c>
      <c r="I40" s="118" t="s">
        <v>150</v>
      </c>
      <c r="J40" s="77" t="s">
        <v>137</v>
      </c>
      <c r="K40" s="126" t="s">
        <v>138</v>
      </c>
      <c r="L40" s="48" t="s">
        <v>139</v>
      </c>
      <c r="M40" s="125" t="s">
        <v>137</v>
      </c>
      <c r="N40" s="49"/>
      <c r="O40" s="49" t="s">
        <v>138</v>
      </c>
      <c r="P40" s="50"/>
      <c r="Q40" s="48"/>
      <c r="R40" s="125" t="s">
        <v>137</v>
      </c>
      <c r="S40" s="50"/>
      <c r="T40" s="48" t="s">
        <v>147</v>
      </c>
      <c r="U40" s="49" t="s">
        <v>138</v>
      </c>
      <c r="V40" s="49"/>
      <c r="W40" s="50" t="s">
        <v>148</v>
      </c>
      <c r="X40" s="48" t="s">
        <v>136</v>
      </c>
      <c r="Y40" s="125" t="s">
        <v>148</v>
      </c>
      <c r="Z40" s="121" t="s">
        <v>137</v>
      </c>
      <c r="AA40" s="49"/>
      <c r="AB40" s="125"/>
      <c r="AC40" s="125" t="s">
        <v>137</v>
      </c>
      <c r="AD40" s="125" t="s">
        <v>148</v>
      </c>
      <c r="AE40" s="50"/>
      <c r="AF40" s="68" t="s">
        <v>137</v>
      </c>
      <c r="AG40" s="49" t="s">
        <v>137</v>
      </c>
      <c r="AH40" s="125" t="s">
        <v>137</v>
      </c>
      <c r="AI40" s="49" t="s">
        <v>138</v>
      </c>
      <c r="AJ40" s="125" t="s">
        <v>137</v>
      </c>
      <c r="AK40" s="126" t="s">
        <v>137</v>
      </c>
      <c r="AL40" s="48" t="s">
        <v>147</v>
      </c>
      <c r="AM40" s="48" t="s">
        <v>148</v>
      </c>
      <c r="AN40" s="114"/>
      <c r="AO40" s="1"/>
      <c r="AP40" s="7" t="str">
        <f t="shared" si="16"/>
        <v/>
      </c>
      <c r="AQ40" s="8">
        <f t="shared" si="17"/>
        <v>3</v>
      </c>
      <c r="AR40" s="9">
        <f t="shared" si="18"/>
        <v>15</v>
      </c>
      <c r="AS40" s="10">
        <f t="shared" si="19"/>
        <v>9</v>
      </c>
      <c r="AT40" s="11">
        <f t="shared" si="20"/>
        <v>1</v>
      </c>
      <c r="AU40" s="17"/>
      <c r="AV40" s="79"/>
      <c r="AW40" s="8"/>
      <c r="AX40" s="9"/>
      <c r="AY40" s="10"/>
      <c r="AZ40" s="11"/>
      <c r="BA40" s="17"/>
      <c r="BB40" s="79" t="str">
        <f t="shared" si="6"/>
        <v/>
      </c>
      <c r="BC40" s="8">
        <f t="shared" si="7"/>
        <v>3</v>
      </c>
      <c r="BD40" s="9">
        <f t="shared" si="8"/>
        <v>15</v>
      </c>
      <c r="BE40" s="10">
        <f t="shared" si="9"/>
        <v>9</v>
      </c>
      <c r="BF40" s="11">
        <f t="shared" si="10"/>
        <v>1</v>
      </c>
    </row>
    <row r="41" spans="2:58" ht="12" customHeight="1" x14ac:dyDescent="0.2">
      <c r="B41" s="427"/>
      <c r="C41" s="51" t="s">
        <v>85</v>
      </c>
      <c r="D41" s="48" t="s">
        <v>138</v>
      </c>
      <c r="E41" s="125" t="s">
        <v>137</v>
      </c>
      <c r="F41" s="125" t="s">
        <v>150</v>
      </c>
      <c r="G41" s="125" t="s">
        <v>150</v>
      </c>
      <c r="H41" s="125" t="s">
        <v>150</v>
      </c>
      <c r="I41" s="118" t="s">
        <v>150</v>
      </c>
      <c r="J41" s="77" t="s">
        <v>138</v>
      </c>
      <c r="K41" s="126" t="s">
        <v>138</v>
      </c>
      <c r="L41" s="48" t="s">
        <v>138</v>
      </c>
      <c r="M41" s="125" t="s">
        <v>137</v>
      </c>
      <c r="N41" s="49"/>
      <c r="O41" s="49" t="s">
        <v>138</v>
      </c>
      <c r="P41" s="50"/>
      <c r="Q41" s="48"/>
      <c r="R41" s="125" t="s">
        <v>144</v>
      </c>
      <c r="S41" s="50"/>
      <c r="T41" s="48" t="s">
        <v>148</v>
      </c>
      <c r="U41" s="49" t="s">
        <v>137</v>
      </c>
      <c r="V41" s="49"/>
      <c r="W41" s="50"/>
      <c r="X41" s="48" t="s">
        <v>136</v>
      </c>
      <c r="Y41" s="125" t="s">
        <v>150</v>
      </c>
      <c r="Z41" s="121" t="s">
        <v>137</v>
      </c>
      <c r="AA41" s="49"/>
      <c r="AB41" s="125"/>
      <c r="AC41" s="125" t="s">
        <v>137</v>
      </c>
      <c r="AD41" s="125" t="s">
        <v>148</v>
      </c>
      <c r="AE41" s="50"/>
      <c r="AF41" s="68" t="s">
        <v>137</v>
      </c>
      <c r="AG41" s="49"/>
      <c r="AH41" s="125" t="s">
        <v>138</v>
      </c>
      <c r="AI41" s="49" t="s">
        <v>138</v>
      </c>
      <c r="AJ41" s="125" t="s">
        <v>139</v>
      </c>
      <c r="AK41" s="126" t="s">
        <v>138</v>
      </c>
      <c r="AL41" s="48"/>
      <c r="AM41" s="48" t="s">
        <v>150</v>
      </c>
      <c r="AN41" s="114"/>
      <c r="AO41" s="1"/>
      <c r="AP41" s="7">
        <f t="shared" si="16"/>
        <v>1</v>
      </c>
      <c r="AQ41" s="8">
        <f t="shared" si="17"/>
        <v>1</v>
      </c>
      <c r="AR41" s="9">
        <f t="shared" si="18"/>
        <v>8</v>
      </c>
      <c r="AS41" s="10">
        <f t="shared" si="19"/>
        <v>14</v>
      </c>
      <c r="AT41" s="11">
        <f t="shared" si="20"/>
        <v>1</v>
      </c>
      <c r="AU41" s="17"/>
      <c r="AV41" s="79"/>
      <c r="AW41" s="8"/>
      <c r="AX41" s="9"/>
      <c r="AY41" s="10"/>
      <c r="AZ41" s="11"/>
      <c r="BA41" s="17"/>
      <c r="BB41" s="79">
        <f t="shared" si="6"/>
        <v>1</v>
      </c>
      <c r="BC41" s="8">
        <f t="shared" si="7"/>
        <v>1</v>
      </c>
      <c r="BD41" s="9">
        <f t="shared" si="8"/>
        <v>8</v>
      </c>
      <c r="BE41" s="10">
        <f t="shared" si="9"/>
        <v>14</v>
      </c>
      <c r="BF41" s="11">
        <f t="shared" si="10"/>
        <v>1</v>
      </c>
    </row>
    <row r="42" spans="2:58" ht="12" customHeight="1" x14ac:dyDescent="0.2">
      <c r="B42" s="427"/>
      <c r="C42" s="51" t="s">
        <v>86</v>
      </c>
      <c r="D42" s="48" t="s">
        <v>138</v>
      </c>
      <c r="E42" s="125" t="s">
        <v>138</v>
      </c>
      <c r="F42" s="125" t="s">
        <v>150</v>
      </c>
      <c r="G42" s="125" t="s">
        <v>150</v>
      </c>
      <c r="H42" s="125" t="s">
        <v>150</v>
      </c>
      <c r="I42" s="118" t="s">
        <v>150</v>
      </c>
      <c r="J42" s="77" t="s">
        <v>137</v>
      </c>
      <c r="K42" s="126" t="s">
        <v>138</v>
      </c>
      <c r="L42" s="48" t="s">
        <v>138</v>
      </c>
      <c r="M42" s="125" t="s">
        <v>137</v>
      </c>
      <c r="N42" s="49"/>
      <c r="O42" s="49" t="s">
        <v>139</v>
      </c>
      <c r="P42" s="50"/>
      <c r="Q42" s="48"/>
      <c r="R42" s="125" t="s">
        <v>138</v>
      </c>
      <c r="S42" s="50"/>
      <c r="T42" s="48" t="s">
        <v>147</v>
      </c>
      <c r="U42" s="49" t="s">
        <v>137</v>
      </c>
      <c r="V42" s="49"/>
      <c r="W42" s="50" t="s">
        <v>148</v>
      </c>
      <c r="X42" s="48" t="s">
        <v>138</v>
      </c>
      <c r="Y42" s="125" t="s">
        <v>150</v>
      </c>
      <c r="Z42" s="121" t="s">
        <v>138</v>
      </c>
      <c r="AA42" s="49"/>
      <c r="AB42" s="125" t="s">
        <v>147</v>
      </c>
      <c r="AC42" s="125" t="s">
        <v>138</v>
      </c>
      <c r="AD42" s="125" t="s">
        <v>150</v>
      </c>
      <c r="AE42" s="50"/>
      <c r="AF42" s="68" t="s">
        <v>138</v>
      </c>
      <c r="AG42" s="49" t="s">
        <v>137</v>
      </c>
      <c r="AH42" s="125" t="s">
        <v>139</v>
      </c>
      <c r="AI42" s="49" t="s">
        <v>138</v>
      </c>
      <c r="AJ42" s="125" t="s">
        <v>139</v>
      </c>
      <c r="AK42" s="126" t="s">
        <v>139</v>
      </c>
      <c r="AL42" s="48"/>
      <c r="AM42" s="48" t="s">
        <v>150</v>
      </c>
      <c r="AN42" s="114"/>
      <c r="AO42" s="1"/>
      <c r="AP42" s="7" t="str">
        <f t="shared" si="16"/>
        <v/>
      </c>
      <c r="AQ42" s="8">
        <f t="shared" si="17"/>
        <v>2</v>
      </c>
      <c r="AR42" s="9">
        <f t="shared" si="18"/>
        <v>5</v>
      </c>
      <c r="AS42" s="10">
        <f t="shared" si="19"/>
        <v>17</v>
      </c>
      <c r="AT42" s="11">
        <f t="shared" si="20"/>
        <v>4</v>
      </c>
      <c r="AU42" s="17"/>
      <c r="AV42" s="79"/>
      <c r="AW42" s="8"/>
      <c r="AX42" s="9"/>
      <c r="AY42" s="10"/>
      <c r="AZ42" s="11"/>
      <c r="BA42" s="17"/>
      <c r="BB42" s="79" t="str">
        <f t="shared" si="6"/>
        <v/>
      </c>
      <c r="BC42" s="8">
        <f t="shared" si="7"/>
        <v>2</v>
      </c>
      <c r="BD42" s="9">
        <f t="shared" si="8"/>
        <v>5</v>
      </c>
      <c r="BE42" s="10">
        <f t="shared" si="9"/>
        <v>17</v>
      </c>
      <c r="BF42" s="11">
        <f t="shared" si="10"/>
        <v>4</v>
      </c>
    </row>
    <row r="43" spans="2:58" ht="12" customHeight="1" x14ac:dyDescent="0.2">
      <c r="B43" s="427"/>
      <c r="C43" s="51" t="s">
        <v>87</v>
      </c>
      <c r="D43" s="48" t="s">
        <v>138</v>
      </c>
      <c r="E43" s="125" t="s">
        <v>137</v>
      </c>
      <c r="F43" s="125" t="s">
        <v>150</v>
      </c>
      <c r="G43" s="125" t="s">
        <v>150</v>
      </c>
      <c r="H43" s="125" t="s">
        <v>150</v>
      </c>
      <c r="I43" s="118" t="s">
        <v>150</v>
      </c>
      <c r="J43" s="77" t="s">
        <v>138</v>
      </c>
      <c r="K43" s="126" t="s">
        <v>138</v>
      </c>
      <c r="L43" s="48" t="s">
        <v>137</v>
      </c>
      <c r="M43" s="125" t="s">
        <v>137</v>
      </c>
      <c r="N43" s="49"/>
      <c r="O43" s="49" t="s">
        <v>138</v>
      </c>
      <c r="P43" s="50"/>
      <c r="Q43" s="48"/>
      <c r="R43" s="125" t="s">
        <v>144</v>
      </c>
      <c r="S43" s="50"/>
      <c r="T43" s="48" t="s">
        <v>148</v>
      </c>
      <c r="U43" s="49" t="s">
        <v>137</v>
      </c>
      <c r="V43" s="49"/>
      <c r="W43" s="50" t="s">
        <v>150</v>
      </c>
      <c r="X43" s="48" t="s">
        <v>137</v>
      </c>
      <c r="Y43" s="125" t="s">
        <v>150</v>
      </c>
      <c r="Z43" s="121" t="s">
        <v>137</v>
      </c>
      <c r="AA43" s="49"/>
      <c r="AB43" s="125"/>
      <c r="AC43" s="125" t="s">
        <v>138</v>
      </c>
      <c r="AD43" s="125" t="s">
        <v>148</v>
      </c>
      <c r="AE43" s="50"/>
      <c r="AF43" s="68" t="s">
        <v>137</v>
      </c>
      <c r="AG43" s="49" t="s">
        <v>137</v>
      </c>
      <c r="AH43" s="125" t="s">
        <v>139</v>
      </c>
      <c r="AI43" s="49" t="s">
        <v>137</v>
      </c>
      <c r="AJ43" s="125" t="s">
        <v>138</v>
      </c>
      <c r="AK43" s="126" t="s">
        <v>138</v>
      </c>
      <c r="AL43" s="48"/>
      <c r="AM43" s="48" t="s">
        <v>47</v>
      </c>
      <c r="AN43" s="114"/>
      <c r="AO43" s="1"/>
      <c r="AP43" s="7">
        <f t="shared" si="16"/>
        <v>1</v>
      </c>
      <c r="AQ43" s="8" t="str">
        <f t="shared" si="17"/>
        <v/>
      </c>
      <c r="AR43" s="9">
        <f t="shared" si="18"/>
        <v>11</v>
      </c>
      <c r="AS43" s="10">
        <f t="shared" si="19"/>
        <v>13</v>
      </c>
      <c r="AT43" s="11">
        <f t="shared" si="20"/>
        <v>2</v>
      </c>
      <c r="AU43" s="17"/>
      <c r="AV43" s="79"/>
      <c r="AW43" s="8"/>
      <c r="AX43" s="9"/>
      <c r="AY43" s="10"/>
      <c r="AZ43" s="11"/>
      <c r="BA43" s="17"/>
      <c r="BB43" s="79">
        <f t="shared" si="6"/>
        <v>1</v>
      </c>
      <c r="BC43" s="8" t="str">
        <f t="shared" si="7"/>
        <v/>
      </c>
      <c r="BD43" s="9">
        <f t="shared" si="8"/>
        <v>11</v>
      </c>
      <c r="BE43" s="10">
        <f t="shared" si="9"/>
        <v>13</v>
      </c>
      <c r="BF43" s="11">
        <f t="shared" si="10"/>
        <v>2</v>
      </c>
    </row>
    <row r="44" spans="2:58" ht="12" customHeight="1" x14ac:dyDescent="0.2">
      <c r="B44" s="427"/>
      <c r="C44" s="51" t="s">
        <v>88</v>
      </c>
      <c r="D44" s="48" t="s">
        <v>139</v>
      </c>
      <c r="E44" s="125" t="s">
        <v>138</v>
      </c>
      <c r="F44" s="125" t="s">
        <v>150</v>
      </c>
      <c r="G44" s="125" t="s">
        <v>150</v>
      </c>
      <c r="H44" s="125" t="s">
        <v>150</v>
      </c>
      <c r="I44" s="118" t="s">
        <v>150</v>
      </c>
      <c r="J44" s="77" t="s">
        <v>138</v>
      </c>
      <c r="K44" s="126" t="s">
        <v>138</v>
      </c>
      <c r="L44" s="48" t="s">
        <v>138</v>
      </c>
      <c r="M44" s="125" t="s">
        <v>138</v>
      </c>
      <c r="N44" s="49"/>
      <c r="O44" s="49" t="s">
        <v>138</v>
      </c>
      <c r="P44" s="50"/>
      <c r="Q44" s="48"/>
      <c r="R44" s="125" t="s">
        <v>137</v>
      </c>
      <c r="S44" s="50"/>
      <c r="T44" s="48" t="s">
        <v>148</v>
      </c>
      <c r="U44" s="49" t="s">
        <v>137</v>
      </c>
      <c r="V44" s="49"/>
      <c r="W44" s="50" t="s">
        <v>150</v>
      </c>
      <c r="X44" s="48" t="s">
        <v>138</v>
      </c>
      <c r="Y44" s="125" t="s">
        <v>150</v>
      </c>
      <c r="Z44" s="121" t="s">
        <v>138</v>
      </c>
      <c r="AA44" s="49"/>
      <c r="AB44" s="125" t="s">
        <v>147</v>
      </c>
      <c r="AC44" s="125" t="s">
        <v>138</v>
      </c>
      <c r="AD44" s="125" t="s">
        <v>150</v>
      </c>
      <c r="AE44" s="50"/>
      <c r="AF44" s="68" t="s">
        <v>138</v>
      </c>
      <c r="AG44" s="49" t="s">
        <v>137</v>
      </c>
      <c r="AH44" s="125" t="s">
        <v>138</v>
      </c>
      <c r="AI44" s="49" t="s">
        <v>138</v>
      </c>
      <c r="AJ44" s="125" t="s">
        <v>139</v>
      </c>
      <c r="AK44" s="126" t="s">
        <v>139</v>
      </c>
      <c r="AL44" s="48" t="s">
        <v>150</v>
      </c>
      <c r="AM44" s="48" t="s">
        <v>150</v>
      </c>
      <c r="AN44" s="114"/>
      <c r="AO44" s="1"/>
      <c r="AP44" s="7" t="str">
        <f t="shared" si="16"/>
        <v/>
      </c>
      <c r="AQ44" s="8">
        <f t="shared" si="17"/>
        <v>1</v>
      </c>
      <c r="AR44" s="9">
        <f t="shared" si="18"/>
        <v>4</v>
      </c>
      <c r="AS44" s="10">
        <f t="shared" si="19"/>
        <v>21</v>
      </c>
      <c r="AT44" s="11">
        <f t="shared" si="20"/>
        <v>3</v>
      </c>
      <c r="AU44" s="17"/>
      <c r="AV44" s="79"/>
      <c r="AW44" s="8"/>
      <c r="AX44" s="9"/>
      <c r="AY44" s="10"/>
      <c r="AZ44" s="11"/>
      <c r="BA44" s="17"/>
      <c r="BB44" s="79" t="str">
        <f t="shared" si="6"/>
        <v/>
      </c>
      <c r="BC44" s="8">
        <f t="shared" si="7"/>
        <v>1</v>
      </c>
      <c r="BD44" s="9">
        <f t="shared" si="8"/>
        <v>4</v>
      </c>
      <c r="BE44" s="10">
        <f t="shared" si="9"/>
        <v>21</v>
      </c>
      <c r="BF44" s="11">
        <f t="shared" si="10"/>
        <v>3</v>
      </c>
    </row>
    <row r="45" spans="2:58" ht="12" customHeight="1" x14ac:dyDescent="0.2">
      <c r="B45" s="427"/>
      <c r="C45" s="51" t="s">
        <v>89</v>
      </c>
      <c r="D45" s="48" t="s">
        <v>138</v>
      </c>
      <c r="E45" s="125" t="s">
        <v>137</v>
      </c>
      <c r="F45" s="125" t="s">
        <v>150</v>
      </c>
      <c r="G45" s="125" t="s">
        <v>150</v>
      </c>
      <c r="H45" s="125" t="s">
        <v>148</v>
      </c>
      <c r="I45" s="118" t="s">
        <v>150</v>
      </c>
      <c r="J45" s="77" t="s">
        <v>138</v>
      </c>
      <c r="K45" s="126" t="s">
        <v>138</v>
      </c>
      <c r="L45" s="48" t="s">
        <v>138</v>
      </c>
      <c r="M45" s="125" t="s">
        <v>137</v>
      </c>
      <c r="N45" s="49"/>
      <c r="O45" s="49" t="s">
        <v>137</v>
      </c>
      <c r="P45" s="50"/>
      <c r="Q45" s="48"/>
      <c r="R45" s="125" t="s">
        <v>136</v>
      </c>
      <c r="S45" s="50"/>
      <c r="T45" s="48" t="s">
        <v>147</v>
      </c>
      <c r="U45" s="49" t="s">
        <v>137</v>
      </c>
      <c r="V45" s="49"/>
      <c r="W45" s="50" t="s">
        <v>148</v>
      </c>
      <c r="X45" s="48" t="s">
        <v>137</v>
      </c>
      <c r="Y45" s="125" t="s">
        <v>150</v>
      </c>
      <c r="Z45" s="121" t="s">
        <v>137</v>
      </c>
      <c r="AA45" s="49"/>
      <c r="AB45" s="125"/>
      <c r="AC45" s="125" t="s">
        <v>137</v>
      </c>
      <c r="AD45" s="125" t="s">
        <v>150</v>
      </c>
      <c r="AE45" s="50"/>
      <c r="AF45" s="68" t="s">
        <v>137</v>
      </c>
      <c r="AG45" s="49" t="s">
        <v>137</v>
      </c>
      <c r="AH45" s="125" t="s">
        <v>137</v>
      </c>
      <c r="AI45" s="49" t="s">
        <v>138</v>
      </c>
      <c r="AJ45" s="125" t="s">
        <v>138</v>
      </c>
      <c r="AK45" s="126" t="s">
        <v>137</v>
      </c>
      <c r="AL45" s="48" t="s">
        <v>148</v>
      </c>
      <c r="AM45" s="48" t="s">
        <v>47</v>
      </c>
      <c r="AN45" s="114"/>
      <c r="AO45" s="1"/>
      <c r="AP45" s="7" t="str">
        <f t="shared" si="16"/>
        <v/>
      </c>
      <c r="AQ45" s="8">
        <f t="shared" si="17"/>
        <v>2</v>
      </c>
      <c r="AR45" s="9">
        <f t="shared" si="18"/>
        <v>14</v>
      </c>
      <c r="AS45" s="10">
        <f t="shared" si="19"/>
        <v>11</v>
      </c>
      <c r="AT45" s="11">
        <f t="shared" si="20"/>
        <v>1</v>
      </c>
      <c r="AU45" s="17"/>
      <c r="AV45" s="79"/>
      <c r="AW45" s="8"/>
      <c r="AX45" s="9"/>
      <c r="AY45" s="10"/>
      <c r="AZ45" s="11"/>
      <c r="BA45" s="17"/>
      <c r="BB45" s="79" t="str">
        <f t="shared" si="6"/>
        <v/>
      </c>
      <c r="BC45" s="8">
        <f t="shared" si="7"/>
        <v>2</v>
      </c>
      <c r="BD45" s="9">
        <f t="shared" si="8"/>
        <v>14</v>
      </c>
      <c r="BE45" s="10">
        <f t="shared" si="9"/>
        <v>11</v>
      </c>
      <c r="BF45" s="11">
        <f t="shared" si="10"/>
        <v>1</v>
      </c>
    </row>
    <row r="46" spans="2:58" ht="12" customHeight="1" x14ac:dyDescent="0.2">
      <c r="B46" s="427"/>
      <c r="C46" s="53" t="s">
        <v>90</v>
      </c>
      <c r="D46" s="48" t="s">
        <v>139</v>
      </c>
      <c r="E46" s="125" t="s">
        <v>138</v>
      </c>
      <c r="F46" s="125" t="s">
        <v>150</v>
      </c>
      <c r="G46" s="125" t="s">
        <v>150</v>
      </c>
      <c r="H46" s="125" t="s">
        <v>150</v>
      </c>
      <c r="I46" s="118" t="s">
        <v>150</v>
      </c>
      <c r="J46" s="77" t="s">
        <v>138</v>
      </c>
      <c r="K46" s="126" t="s">
        <v>138</v>
      </c>
      <c r="L46" s="48" t="s">
        <v>138</v>
      </c>
      <c r="M46" s="125" t="s">
        <v>137</v>
      </c>
      <c r="N46" s="49"/>
      <c r="O46" s="49" t="s">
        <v>138</v>
      </c>
      <c r="P46" s="50"/>
      <c r="Q46" s="48"/>
      <c r="R46" s="125" t="s">
        <v>137</v>
      </c>
      <c r="S46" s="50"/>
      <c r="T46" s="48" t="s">
        <v>148</v>
      </c>
      <c r="U46" s="49" t="s">
        <v>137</v>
      </c>
      <c r="V46" s="49"/>
      <c r="W46" s="50" t="s">
        <v>150</v>
      </c>
      <c r="X46" s="48" t="s">
        <v>137</v>
      </c>
      <c r="Y46" s="125" t="s">
        <v>150</v>
      </c>
      <c r="Z46" s="121" t="s">
        <v>138</v>
      </c>
      <c r="AA46" s="49"/>
      <c r="AB46" s="125"/>
      <c r="AC46" s="125" t="s">
        <v>138</v>
      </c>
      <c r="AD46" s="125" t="s">
        <v>150</v>
      </c>
      <c r="AE46" s="50"/>
      <c r="AF46" s="68" t="s">
        <v>138</v>
      </c>
      <c r="AG46" s="49" t="s">
        <v>138</v>
      </c>
      <c r="AH46" s="125" t="s">
        <v>139</v>
      </c>
      <c r="AI46" s="49" t="s">
        <v>137</v>
      </c>
      <c r="AJ46" s="125" t="s">
        <v>139</v>
      </c>
      <c r="AK46" s="126" t="s">
        <v>138</v>
      </c>
      <c r="AL46" s="48" t="s">
        <v>147</v>
      </c>
      <c r="AM46" s="48" t="s">
        <v>150</v>
      </c>
      <c r="AN46" s="114"/>
      <c r="AO46" s="1"/>
      <c r="AP46" s="7" t="str">
        <f t="shared" si="16"/>
        <v/>
      </c>
      <c r="AQ46" s="8">
        <f t="shared" si="17"/>
        <v>1</v>
      </c>
      <c r="AR46" s="9">
        <f t="shared" si="18"/>
        <v>6</v>
      </c>
      <c r="AS46" s="10">
        <f t="shared" si="19"/>
        <v>18</v>
      </c>
      <c r="AT46" s="11">
        <f t="shared" si="20"/>
        <v>3</v>
      </c>
      <c r="AU46" s="17"/>
      <c r="AV46" s="79"/>
      <c r="AW46" s="8"/>
      <c r="AX46" s="9"/>
      <c r="AY46" s="10"/>
      <c r="AZ46" s="11"/>
      <c r="BA46" s="17"/>
      <c r="BB46" s="79" t="str">
        <f t="shared" si="6"/>
        <v/>
      </c>
      <c r="BC46" s="8">
        <f t="shared" si="7"/>
        <v>1</v>
      </c>
      <c r="BD46" s="9">
        <f t="shared" si="8"/>
        <v>6</v>
      </c>
      <c r="BE46" s="10">
        <f t="shared" si="9"/>
        <v>18</v>
      </c>
      <c r="BF46" s="11">
        <f t="shared" si="10"/>
        <v>3</v>
      </c>
    </row>
    <row r="47" spans="2:58" ht="12" customHeight="1" x14ac:dyDescent="0.2">
      <c r="B47" s="427"/>
      <c r="C47" s="53" t="s">
        <v>91</v>
      </c>
      <c r="D47" s="48" t="s">
        <v>137</v>
      </c>
      <c r="E47" s="125" t="s">
        <v>138</v>
      </c>
      <c r="F47" s="125" t="s">
        <v>150</v>
      </c>
      <c r="G47" s="125" t="s">
        <v>148</v>
      </c>
      <c r="H47" s="125" t="s">
        <v>148</v>
      </c>
      <c r="I47" s="118" t="s">
        <v>150</v>
      </c>
      <c r="J47" s="77" t="s">
        <v>138</v>
      </c>
      <c r="K47" s="126" t="s">
        <v>138</v>
      </c>
      <c r="L47" s="48" t="s">
        <v>138</v>
      </c>
      <c r="M47" s="125" t="s">
        <v>137</v>
      </c>
      <c r="N47" s="49"/>
      <c r="O47" s="49" t="s">
        <v>138</v>
      </c>
      <c r="P47" s="50"/>
      <c r="Q47" s="48"/>
      <c r="R47" s="125" t="s">
        <v>137</v>
      </c>
      <c r="S47" s="50"/>
      <c r="T47" s="48" t="s">
        <v>147</v>
      </c>
      <c r="U47" s="49" t="s">
        <v>137</v>
      </c>
      <c r="V47" s="49"/>
      <c r="W47" s="50" t="s">
        <v>150</v>
      </c>
      <c r="X47" s="48" t="s">
        <v>137</v>
      </c>
      <c r="Y47" s="125" t="s">
        <v>150</v>
      </c>
      <c r="Z47" s="121" t="s">
        <v>137</v>
      </c>
      <c r="AA47" s="49"/>
      <c r="AB47" s="125" t="s">
        <v>147</v>
      </c>
      <c r="AC47" s="125" t="s">
        <v>138</v>
      </c>
      <c r="AD47" s="125" t="s">
        <v>148</v>
      </c>
      <c r="AE47" s="50"/>
      <c r="AF47" s="68" t="s">
        <v>138</v>
      </c>
      <c r="AG47" s="49" t="s">
        <v>138</v>
      </c>
      <c r="AH47" s="125" t="s">
        <v>138</v>
      </c>
      <c r="AI47" s="49" t="s">
        <v>137</v>
      </c>
      <c r="AJ47" s="125" t="s">
        <v>139</v>
      </c>
      <c r="AK47" s="126" t="s">
        <v>138</v>
      </c>
      <c r="AL47" s="48" t="s">
        <v>148</v>
      </c>
      <c r="AM47" s="48" t="s">
        <v>150</v>
      </c>
      <c r="AN47" s="114"/>
      <c r="AO47" s="1"/>
      <c r="AP47" s="7" t="str">
        <f t="shared" si="16"/>
        <v/>
      </c>
      <c r="AQ47" s="8">
        <f t="shared" si="17"/>
        <v>2</v>
      </c>
      <c r="AR47" s="9">
        <f t="shared" si="18"/>
        <v>11</v>
      </c>
      <c r="AS47" s="10">
        <f t="shared" si="19"/>
        <v>15</v>
      </c>
      <c r="AT47" s="11">
        <f t="shared" si="20"/>
        <v>1</v>
      </c>
      <c r="AU47" s="17"/>
      <c r="AV47" s="79"/>
      <c r="AW47" s="8"/>
      <c r="AX47" s="9"/>
      <c r="AY47" s="10"/>
      <c r="AZ47" s="11"/>
      <c r="BA47" s="17"/>
      <c r="BB47" s="79" t="str">
        <f t="shared" si="6"/>
        <v/>
      </c>
      <c r="BC47" s="8">
        <f t="shared" si="7"/>
        <v>2</v>
      </c>
      <c r="BD47" s="9">
        <f t="shared" si="8"/>
        <v>11</v>
      </c>
      <c r="BE47" s="10">
        <f t="shared" si="9"/>
        <v>15</v>
      </c>
      <c r="BF47" s="11">
        <f t="shared" si="10"/>
        <v>1</v>
      </c>
    </row>
    <row r="48" spans="2:58" ht="12.75" thickBot="1" x14ac:dyDescent="0.25">
      <c r="B48" s="428"/>
      <c r="C48" s="62"/>
      <c r="D48" s="63"/>
      <c r="E48" s="129"/>
      <c r="F48" s="129"/>
      <c r="G48" s="129"/>
      <c r="H48" s="129"/>
      <c r="I48" s="119"/>
      <c r="J48" s="78"/>
      <c r="K48" s="130"/>
      <c r="L48" s="63"/>
      <c r="M48" s="129"/>
      <c r="N48" s="64"/>
      <c r="O48" s="64"/>
      <c r="P48" s="65"/>
      <c r="Q48" s="63"/>
      <c r="R48" s="129"/>
      <c r="S48" s="65"/>
      <c r="T48" s="63"/>
      <c r="U48" s="64"/>
      <c r="V48" s="64"/>
      <c r="W48" s="65"/>
      <c r="X48" s="63"/>
      <c r="Y48" s="129"/>
      <c r="Z48" s="129"/>
      <c r="AA48" s="64"/>
      <c r="AB48" s="129"/>
      <c r="AC48" s="129"/>
      <c r="AD48" s="129"/>
      <c r="AE48" s="65"/>
      <c r="AF48" s="69"/>
      <c r="AG48" s="64"/>
      <c r="AH48" s="129"/>
      <c r="AI48" s="64"/>
      <c r="AJ48" s="129"/>
      <c r="AK48" s="130"/>
      <c r="AL48" s="63" t="s">
        <v>148</v>
      </c>
      <c r="AM48" s="63"/>
      <c r="AN48" s="115"/>
      <c r="AO48" s="1"/>
      <c r="AP48" s="12" t="str">
        <f t="shared" si="16"/>
        <v/>
      </c>
      <c r="AQ48" s="13" t="str">
        <f t="shared" si="17"/>
        <v/>
      </c>
      <c r="AR48" s="14">
        <f t="shared" si="18"/>
        <v>1</v>
      </c>
      <c r="AS48" s="15" t="str">
        <f t="shared" si="19"/>
        <v/>
      </c>
      <c r="AT48" s="16" t="str">
        <f t="shared" si="20"/>
        <v/>
      </c>
      <c r="AU48" s="17"/>
      <c r="AV48" s="80"/>
      <c r="AW48" s="13"/>
      <c r="AX48" s="14"/>
      <c r="AY48" s="15"/>
      <c r="AZ48" s="16"/>
      <c r="BA48" s="17"/>
      <c r="BB48" s="80" t="str">
        <f t="shared" si="6"/>
        <v/>
      </c>
      <c r="BC48" s="13" t="str">
        <f t="shared" si="7"/>
        <v/>
      </c>
      <c r="BD48" s="14">
        <f t="shared" si="8"/>
        <v>1</v>
      </c>
      <c r="BE48" s="15" t="str">
        <f t="shared" si="9"/>
        <v/>
      </c>
      <c r="BF48" s="16" t="str">
        <f t="shared" si="10"/>
        <v/>
      </c>
    </row>
    <row r="49" spans="2:58" ht="12" customHeight="1" x14ac:dyDescent="0.2">
      <c r="B49" s="426" t="s">
        <v>122</v>
      </c>
      <c r="C49" s="58" t="s">
        <v>92</v>
      </c>
      <c r="D49" s="59" t="s">
        <v>137</v>
      </c>
      <c r="E49" s="127" t="s">
        <v>137</v>
      </c>
      <c r="F49" s="127" t="s">
        <v>147</v>
      </c>
      <c r="G49" s="127" t="s">
        <v>148</v>
      </c>
      <c r="H49" s="127" t="s">
        <v>148</v>
      </c>
      <c r="I49" s="117" t="s">
        <v>147</v>
      </c>
      <c r="J49" s="76" t="s">
        <v>136</v>
      </c>
      <c r="K49" s="128" t="s">
        <v>137</v>
      </c>
      <c r="L49" s="59" t="s">
        <v>136</v>
      </c>
      <c r="M49" s="127" t="s">
        <v>137</v>
      </c>
      <c r="N49" s="60"/>
      <c r="O49" s="60" t="s">
        <v>138</v>
      </c>
      <c r="P49" s="61"/>
      <c r="Q49" s="59"/>
      <c r="R49" s="127" t="s">
        <v>137</v>
      </c>
      <c r="S49" s="61"/>
      <c r="T49" s="59" t="s">
        <v>147</v>
      </c>
      <c r="U49" s="60" t="s">
        <v>137</v>
      </c>
      <c r="V49" s="60"/>
      <c r="W49" s="61" t="s">
        <v>150</v>
      </c>
      <c r="X49" s="59" t="s">
        <v>137</v>
      </c>
      <c r="Y49" s="127" t="s">
        <v>148</v>
      </c>
      <c r="Z49" s="120" t="s">
        <v>138</v>
      </c>
      <c r="AA49" s="60"/>
      <c r="AB49" s="127" t="s">
        <v>147</v>
      </c>
      <c r="AC49" s="127" t="s">
        <v>137</v>
      </c>
      <c r="AD49" s="127" t="s">
        <v>148</v>
      </c>
      <c r="AE49" s="61"/>
      <c r="AF49" s="67" t="s">
        <v>138</v>
      </c>
      <c r="AG49" s="60" t="s">
        <v>137</v>
      </c>
      <c r="AH49" s="127" t="s">
        <v>138</v>
      </c>
      <c r="AI49" s="60" t="s">
        <v>137</v>
      </c>
      <c r="AJ49" s="127" t="s">
        <v>138</v>
      </c>
      <c r="AK49" s="128" t="s">
        <v>138</v>
      </c>
      <c r="AL49" s="59" t="s">
        <v>150</v>
      </c>
      <c r="AM49" s="59" t="s">
        <v>148</v>
      </c>
      <c r="AN49" s="113"/>
      <c r="AO49" s="1"/>
      <c r="AP49" s="7" t="str">
        <f t="shared" si="16"/>
        <v/>
      </c>
      <c r="AQ49" s="8">
        <f t="shared" si="17"/>
        <v>6</v>
      </c>
      <c r="AR49" s="9">
        <f t="shared" si="18"/>
        <v>15</v>
      </c>
      <c r="AS49" s="10">
        <f t="shared" si="19"/>
        <v>8</v>
      </c>
      <c r="AT49" s="11" t="str">
        <f t="shared" si="20"/>
        <v/>
      </c>
      <c r="AU49" s="17"/>
      <c r="AV49" s="79"/>
      <c r="AW49" s="8"/>
      <c r="AX49" s="9"/>
      <c r="AY49" s="10"/>
      <c r="AZ49" s="11"/>
      <c r="BA49" s="17"/>
      <c r="BB49" s="79" t="str">
        <f t="shared" si="6"/>
        <v/>
      </c>
      <c r="BC49" s="8">
        <f t="shared" si="7"/>
        <v>6</v>
      </c>
      <c r="BD49" s="9">
        <f t="shared" si="8"/>
        <v>15</v>
      </c>
      <c r="BE49" s="10">
        <f t="shared" si="9"/>
        <v>8</v>
      </c>
      <c r="BF49" s="11" t="str">
        <f t="shared" si="10"/>
        <v/>
      </c>
    </row>
    <row r="50" spans="2:58" x14ac:dyDescent="0.2">
      <c r="B50" s="427"/>
      <c r="C50" s="51" t="s">
        <v>93</v>
      </c>
      <c r="D50" s="48" t="s">
        <v>136</v>
      </c>
      <c r="E50" s="125" t="s">
        <v>137</v>
      </c>
      <c r="F50" s="125" t="s">
        <v>150</v>
      </c>
      <c r="G50" s="125" t="s">
        <v>150</v>
      </c>
      <c r="H50" s="125" t="s">
        <v>150</v>
      </c>
      <c r="I50" s="118" t="s">
        <v>148</v>
      </c>
      <c r="J50" s="77"/>
      <c r="K50" s="126" t="s">
        <v>138</v>
      </c>
      <c r="L50" s="48" t="s">
        <v>139</v>
      </c>
      <c r="M50" s="125" t="s">
        <v>144</v>
      </c>
      <c r="N50" s="49"/>
      <c r="O50" s="49" t="s">
        <v>138</v>
      </c>
      <c r="P50" s="50"/>
      <c r="Q50" s="48"/>
      <c r="R50" s="125"/>
      <c r="S50" s="50"/>
      <c r="T50" s="48"/>
      <c r="U50" s="49" t="s">
        <v>137</v>
      </c>
      <c r="V50" s="49"/>
      <c r="W50" s="50" t="s">
        <v>148</v>
      </c>
      <c r="X50" s="48"/>
      <c r="Y50" s="125" t="s">
        <v>148</v>
      </c>
      <c r="Z50" s="125"/>
      <c r="AA50" s="49"/>
      <c r="AB50" s="125"/>
      <c r="AC50" s="125"/>
      <c r="AD50" s="125" t="s">
        <v>150</v>
      </c>
      <c r="AE50" s="50"/>
      <c r="AF50" s="68" t="s">
        <v>136</v>
      </c>
      <c r="AG50" s="49"/>
      <c r="AH50" s="125"/>
      <c r="AI50" s="49"/>
      <c r="AJ50" s="125" t="s">
        <v>136</v>
      </c>
      <c r="AK50" s="126"/>
      <c r="AL50" s="48"/>
      <c r="AM50" s="48" t="s">
        <v>148</v>
      </c>
      <c r="AN50" s="114"/>
      <c r="AO50" s="1"/>
      <c r="AP50" s="7">
        <f t="shared" si="16"/>
        <v>1</v>
      </c>
      <c r="AQ50" s="8">
        <f t="shared" si="17"/>
        <v>3</v>
      </c>
      <c r="AR50" s="9">
        <f t="shared" si="18"/>
        <v>6</v>
      </c>
      <c r="AS50" s="10">
        <f t="shared" si="19"/>
        <v>6</v>
      </c>
      <c r="AT50" s="11">
        <f t="shared" si="20"/>
        <v>1</v>
      </c>
      <c r="AU50" s="17"/>
      <c r="AV50" s="79"/>
      <c r="AW50" s="8"/>
      <c r="AX50" s="9"/>
      <c r="AY50" s="10"/>
      <c r="AZ50" s="11"/>
      <c r="BA50" s="17"/>
      <c r="BB50" s="79">
        <f t="shared" si="6"/>
        <v>1</v>
      </c>
      <c r="BC50" s="8">
        <f t="shared" si="7"/>
        <v>3</v>
      </c>
      <c r="BD50" s="9">
        <f t="shared" si="8"/>
        <v>6</v>
      </c>
      <c r="BE50" s="10">
        <f t="shared" si="9"/>
        <v>6</v>
      </c>
      <c r="BF50" s="11">
        <f t="shared" si="10"/>
        <v>1</v>
      </c>
    </row>
    <row r="51" spans="2:58" x14ac:dyDescent="0.2">
      <c r="B51" s="427"/>
      <c r="C51" s="51" t="s">
        <v>94</v>
      </c>
      <c r="D51" s="48" t="s">
        <v>136</v>
      </c>
      <c r="E51" s="125" t="s">
        <v>137</v>
      </c>
      <c r="F51" s="125" t="s">
        <v>149</v>
      </c>
      <c r="G51" s="125" t="s">
        <v>148</v>
      </c>
      <c r="H51" s="125" t="s">
        <v>148</v>
      </c>
      <c r="I51" s="118" t="s">
        <v>47</v>
      </c>
      <c r="J51" s="77"/>
      <c r="K51" s="126" t="s">
        <v>136</v>
      </c>
      <c r="L51" s="48" t="s">
        <v>136</v>
      </c>
      <c r="M51" s="125" t="s">
        <v>144</v>
      </c>
      <c r="N51" s="49"/>
      <c r="O51" s="49" t="s">
        <v>137</v>
      </c>
      <c r="P51" s="50"/>
      <c r="Q51" s="48"/>
      <c r="R51" s="125" t="s">
        <v>139</v>
      </c>
      <c r="S51" s="50"/>
      <c r="T51" s="48"/>
      <c r="U51" s="49"/>
      <c r="V51" s="49"/>
      <c r="W51" s="50"/>
      <c r="X51" s="48"/>
      <c r="Y51" s="125"/>
      <c r="Z51" s="125"/>
      <c r="AA51" s="49"/>
      <c r="AB51" s="125"/>
      <c r="AC51" s="125"/>
      <c r="AD51" s="125" t="s">
        <v>150</v>
      </c>
      <c r="AE51" s="50"/>
      <c r="AF51" s="68" t="s">
        <v>137</v>
      </c>
      <c r="AG51" s="49"/>
      <c r="AH51" s="125" t="s">
        <v>147</v>
      </c>
      <c r="AI51" s="49" t="s">
        <v>137</v>
      </c>
      <c r="AJ51" s="125" t="s">
        <v>136</v>
      </c>
      <c r="AK51" s="126"/>
      <c r="AL51" s="48"/>
      <c r="AM51" s="48"/>
      <c r="AN51" s="114"/>
      <c r="AO51" s="1"/>
      <c r="AP51" s="7">
        <f t="shared" si="16"/>
        <v>2</v>
      </c>
      <c r="AQ51" s="8">
        <f t="shared" si="17"/>
        <v>5</v>
      </c>
      <c r="AR51" s="9">
        <f t="shared" si="18"/>
        <v>6</v>
      </c>
      <c r="AS51" s="10">
        <f t="shared" si="19"/>
        <v>1</v>
      </c>
      <c r="AT51" s="11">
        <f t="shared" si="20"/>
        <v>2</v>
      </c>
      <c r="AU51" s="17"/>
      <c r="AV51" s="79"/>
      <c r="AW51" s="8"/>
      <c r="AX51" s="9"/>
      <c r="AY51" s="10"/>
      <c r="AZ51" s="11"/>
      <c r="BA51" s="17"/>
      <c r="BB51" s="79">
        <f t="shared" si="6"/>
        <v>2</v>
      </c>
      <c r="BC51" s="8">
        <f t="shared" si="7"/>
        <v>5</v>
      </c>
      <c r="BD51" s="9">
        <f t="shared" si="8"/>
        <v>6</v>
      </c>
      <c r="BE51" s="10">
        <f t="shared" si="9"/>
        <v>1</v>
      </c>
      <c r="BF51" s="11">
        <f t="shared" si="10"/>
        <v>2</v>
      </c>
    </row>
    <row r="52" spans="2:58" x14ac:dyDescent="0.2">
      <c r="B52" s="427"/>
      <c r="C52" s="51" t="s">
        <v>95</v>
      </c>
      <c r="D52" s="48"/>
      <c r="E52" s="125" t="s">
        <v>144</v>
      </c>
      <c r="F52" s="125" t="s">
        <v>149</v>
      </c>
      <c r="G52" s="125" t="s">
        <v>148</v>
      </c>
      <c r="H52" s="125" t="s">
        <v>147</v>
      </c>
      <c r="I52" s="118"/>
      <c r="J52" s="77"/>
      <c r="K52" s="126" t="s">
        <v>136</v>
      </c>
      <c r="L52" s="48" t="s">
        <v>136</v>
      </c>
      <c r="M52" s="125" t="s">
        <v>144</v>
      </c>
      <c r="N52" s="49"/>
      <c r="O52" s="49" t="s">
        <v>136</v>
      </c>
      <c r="P52" s="50"/>
      <c r="Q52" s="48"/>
      <c r="R52" s="125" t="s">
        <v>136</v>
      </c>
      <c r="S52" s="50"/>
      <c r="T52" s="48"/>
      <c r="U52" s="49"/>
      <c r="V52" s="49"/>
      <c r="W52" s="50"/>
      <c r="X52" s="48"/>
      <c r="Y52" s="125"/>
      <c r="Z52" s="121" t="s">
        <v>137</v>
      </c>
      <c r="AA52" s="49"/>
      <c r="AB52" s="125" t="s">
        <v>144</v>
      </c>
      <c r="AC52" s="125" t="s">
        <v>136</v>
      </c>
      <c r="AD52" s="125" t="s">
        <v>150</v>
      </c>
      <c r="AE52" s="50"/>
      <c r="AF52" s="68" t="s">
        <v>137</v>
      </c>
      <c r="AG52" s="49"/>
      <c r="AH52" s="125" t="s">
        <v>147</v>
      </c>
      <c r="AI52" s="49" t="s">
        <v>136</v>
      </c>
      <c r="AJ52" s="125" t="s">
        <v>136</v>
      </c>
      <c r="AK52" s="126" t="s">
        <v>136</v>
      </c>
      <c r="AL52" s="48"/>
      <c r="AM52" s="48"/>
      <c r="AN52" s="114"/>
      <c r="AO52" s="1"/>
      <c r="AP52" s="7">
        <f t="shared" si="16"/>
        <v>4</v>
      </c>
      <c r="AQ52" s="8">
        <f t="shared" si="17"/>
        <v>10</v>
      </c>
      <c r="AR52" s="9">
        <f t="shared" si="18"/>
        <v>3</v>
      </c>
      <c r="AS52" s="10">
        <f t="shared" si="19"/>
        <v>1</v>
      </c>
      <c r="AT52" s="11" t="str">
        <f t="shared" si="20"/>
        <v/>
      </c>
      <c r="AU52" s="17"/>
      <c r="AV52" s="79"/>
      <c r="AW52" s="8"/>
      <c r="AX52" s="9"/>
      <c r="AY52" s="10"/>
      <c r="AZ52" s="11"/>
      <c r="BA52" s="17"/>
      <c r="BB52" s="79">
        <f t="shared" si="6"/>
        <v>4</v>
      </c>
      <c r="BC52" s="8">
        <f t="shared" si="7"/>
        <v>10</v>
      </c>
      <c r="BD52" s="9">
        <f t="shared" si="8"/>
        <v>3</v>
      </c>
      <c r="BE52" s="10">
        <f t="shared" si="9"/>
        <v>1</v>
      </c>
      <c r="BF52" s="11" t="str">
        <f t="shared" si="10"/>
        <v/>
      </c>
    </row>
    <row r="53" spans="2:58" x14ac:dyDescent="0.2">
      <c r="B53" s="427"/>
      <c r="C53" s="51" t="s">
        <v>96</v>
      </c>
      <c r="D53" s="48" t="s">
        <v>137</v>
      </c>
      <c r="E53" s="125" t="s">
        <v>144</v>
      </c>
      <c r="F53" s="125" t="s">
        <v>148</v>
      </c>
      <c r="G53" s="125" t="s">
        <v>148</v>
      </c>
      <c r="H53" s="125" t="s">
        <v>148</v>
      </c>
      <c r="I53" s="118" t="s">
        <v>150</v>
      </c>
      <c r="J53" s="77"/>
      <c r="K53" s="126" t="s">
        <v>136</v>
      </c>
      <c r="L53" s="48" t="s">
        <v>137</v>
      </c>
      <c r="M53" s="125" t="s">
        <v>144</v>
      </c>
      <c r="N53" s="49"/>
      <c r="O53" s="49" t="s">
        <v>137</v>
      </c>
      <c r="P53" s="50"/>
      <c r="Q53" s="48"/>
      <c r="R53" s="125" t="s">
        <v>136</v>
      </c>
      <c r="S53" s="50"/>
      <c r="T53" s="48"/>
      <c r="U53" s="49" t="s">
        <v>144</v>
      </c>
      <c r="V53" s="49"/>
      <c r="W53" s="50" t="s">
        <v>147</v>
      </c>
      <c r="X53" s="48"/>
      <c r="Y53" s="125"/>
      <c r="Z53" s="125"/>
      <c r="AA53" s="49"/>
      <c r="AB53" s="125"/>
      <c r="AC53" s="125"/>
      <c r="AD53" s="125" t="s">
        <v>148</v>
      </c>
      <c r="AE53" s="50"/>
      <c r="AF53" s="68" t="s">
        <v>137</v>
      </c>
      <c r="AG53" s="49"/>
      <c r="AH53" s="125"/>
      <c r="AI53" s="49" t="s">
        <v>138</v>
      </c>
      <c r="AJ53" s="125" t="s">
        <v>136</v>
      </c>
      <c r="AK53" s="126" t="s">
        <v>136</v>
      </c>
      <c r="AL53" s="48"/>
      <c r="AM53" s="48"/>
      <c r="AN53" s="114"/>
      <c r="AO53" s="1"/>
      <c r="AP53" s="7">
        <f t="shared" si="16"/>
        <v>3</v>
      </c>
      <c r="AQ53" s="8">
        <f t="shared" si="17"/>
        <v>5</v>
      </c>
      <c r="AR53" s="9">
        <f t="shared" si="18"/>
        <v>8</v>
      </c>
      <c r="AS53" s="10">
        <f t="shared" si="19"/>
        <v>2</v>
      </c>
      <c r="AT53" s="11" t="str">
        <f t="shared" si="20"/>
        <v/>
      </c>
      <c r="AU53" s="17"/>
      <c r="AV53" s="79"/>
      <c r="AW53" s="8"/>
      <c r="AX53" s="9"/>
      <c r="AY53" s="10"/>
      <c r="AZ53" s="11"/>
      <c r="BA53" s="17"/>
      <c r="BB53" s="79">
        <f t="shared" si="6"/>
        <v>3</v>
      </c>
      <c r="BC53" s="8">
        <f t="shared" si="7"/>
        <v>5</v>
      </c>
      <c r="BD53" s="9">
        <f t="shared" si="8"/>
        <v>8</v>
      </c>
      <c r="BE53" s="10">
        <f t="shared" si="9"/>
        <v>2</v>
      </c>
      <c r="BF53" s="11" t="str">
        <f t="shared" si="10"/>
        <v/>
      </c>
    </row>
    <row r="54" spans="2:58" x14ac:dyDescent="0.2">
      <c r="B54" s="427"/>
      <c r="C54" s="51" t="s">
        <v>97</v>
      </c>
      <c r="D54" s="48" t="s">
        <v>139</v>
      </c>
      <c r="E54" s="125" t="s">
        <v>138</v>
      </c>
      <c r="F54" s="125" t="s">
        <v>150</v>
      </c>
      <c r="G54" s="125" t="s">
        <v>150</v>
      </c>
      <c r="H54" s="125" t="s">
        <v>47</v>
      </c>
      <c r="I54" s="118" t="s">
        <v>150</v>
      </c>
      <c r="J54" s="77" t="s">
        <v>138</v>
      </c>
      <c r="K54" s="126" t="s">
        <v>138</v>
      </c>
      <c r="L54" s="48" t="s">
        <v>137</v>
      </c>
      <c r="M54" s="125" t="s">
        <v>137</v>
      </c>
      <c r="N54" s="49"/>
      <c r="O54" s="49" t="s">
        <v>138</v>
      </c>
      <c r="P54" s="50"/>
      <c r="Q54" s="48"/>
      <c r="R54" s="125" t="s">
        <v>137</v>
      </c>
      <c r="S54" s="50"/>
      <c r="T54" s="48" t="s">
        <v>148</v>
      </c>
      <c r="U54" s="49"/>
      <c r="V54" s="49"/>
      <c r="W54" s="50"/>
      <c r="X54" s="48"/>
      <c r="Y54" s="125"/>
      <c r="Z54" s="125"/>
      <c r="AA54" s="49"/>
      <c r="AB54" s="125"/>
      <c r="AC54" s="125"/>
      <c r="AD54" s="125" t="s">
        <v>148</v>
      </c>
      <c r="AE54" s="50"/>
      <c r="AF54" s="68" t="s">
        <v>137</v>
      </c>
      <c r="AG54" s="49" t="s">
        <v>138</v>
      </c>
      <c r="AH54" s="125" t="s">
        <v>138</v>
      </c>
      <c r="AI54" s="49" t="s">
        <v>137</v>
      </c>
      <c r="AJ54" s="125" t="s">
        <v>138</v>
      </c>
      <c r="AK54" s="126" t="s">
        <v>138</v>
      </c>
      <c r="AL54" s="48"/>
      <c r="AM54" s="48" t="s">
        <v>150</v>
      </c>
      <c r="AN54" s="114"/>
      <c r="AO54" s="1"/>
      <c r="AP54" s="7" t="str">
        <f t="shared" si="16"/>
        <v/>
      </c>
      <c r="AQ54" s="8" t="str">
        <f t="shared" si="17"/>
        <v/>
      </c>
      <c r="AR54" s="9">
        <f t="shared" si="18"/>
        <v>7</v>
      </c>
      <c r="AS54" s="10">
        <f t="shared" si="19"/>
        <v>12</v>
      </c>
      <c r="AT54" s="11">
        <f t="shared" si="20"/>
        <v>2</v>
      </c>
      <c r="AU54" s="17"/>
      <c r="AV54" s="79"/>
      <c r="AW54" s="8"/>
      <c r="AX54" s="9"/>
      <c r="AY54" s="10"/>
      <c r="AZ54" s="11"/>
      <c r="BA54" s="17"/>
      <c r="BB54" s="79" t="str">
        <f t="shared" ref="BB54" si="21">IF(AP54="","",AP54-AV54)</f>
        <v/>
      </c>
      <c r="BC54" s="8" t="str">
        <f t="shared" ref="BC54" si="22">IF(AQ54="","",AQ54-AW54)</f>
        <v/>
      </c>
      <c r="BD54" s="9">
        <f t="shared" ref="BD54" si="23">IF(AR54="","",AR54-AX54)</f>
        <v>7</v>
      </c>
      <c r="BE54" s="10">
        <f t="shared" ref="BE54" si="24">IF(AS54="","",AS54-AY54)</f>
        <v>12</v>
      </c>
      <c r="BF54" s="11">
        <f t="shared" ref="BF54" si="25">IF(AT54="","",AT54-AZ54)</f>
        <v>2</v>
      </c>
    </row>
    <row r="55" spans="2:58" ht="12.75" thickBot="1" x14ac:dyDescent="0.25">
      <c r="B55" s="428"/>
      <c r="C55" s="62"/>
      <c r="D55" s="63"/>
      <c r="E55" s="129"/>
      <c r="F55" s="129"/>
      <c r="G55" s="129"/>
      <c r="H55" s="129"/>
      <c r="I55" s="119"/>
      <c r="J55" s="78"/>
      <c r="K55" s="130"/>
      <c r="L55" s="63"/>
      <c r="M55" s="129"/>
      <c r="N55" s="64"/>
      <c r="O55" s="64"/>
      <c r="P55" s="65"/>
      <c r="Q55" s="63"/>
      <c r="R55" s="129" t="s">
        <v>139</v>
      </c>
      <c r="S55" s="65"/>
      <c r="T55" s="63"/>
      <c r="U55" s="64"/>
      <c r="V55" s="64"/>
      <c r="W55" s="65"/>
      <c r="X55" s="63"/>
      <c r="Y55" s="129"/>
      <c r="Z55" s="129"/>
      <c r="AA55" s="64"/>
      <c r="AB55" s="129"/>
      <c r="AC55" s="129" t="s">
        <v>136</v>
      </c>
      <c r="AD55" s="129"/>
      <c r="AE55" s="65"/>
      <c r="AF55" s="69"/>
      <c r="AG55" s="64"/>
      <c r="AH55" s="129"/>
      <c r="AI55" s="64"/>
      <c r="AJ55" s="129" t="s">
        <v>139</v>
      </c>
      <c r="AK55" s="130"/>
      <c r="AL55" s="63"/>
      <c r="AM55" s="63"/>
      <c r="AN55" s="115"/>
      <c r="AO55" s="1"/>
      <c r="AP55" s="12" t="str">
        <f t="shared" si="16"/>
        <v/>
      </c>
      <c r="AQ55" s="13">
        <f t="shared" si="17"/>
        <v>1</v>
      </c>
      <c r="AR55" s="14" t="str">
        <f t="shared" si="18"/>
        <v/>
      </c>
      <c r="AS55" s="15" t="str">
        <f t="shared" si="19"/>
        <v/>
      </c>
      <c r="AT55" s="16">
        <f t="shared" si="20"/>
        <v>2</v>
      </c>
      <c r="AU55" s="17"/>
      <c r="AV55" s="80"/>
      <c r="AW55" s="13"/>
      <c r="AX55" s="14"/>
      <c r="AY55" s="15"/>
      <c r="AZ55" s="16"/>
      <c r="BA55" s="17"/>
      <c r="BB55" s="80" t="str">
        <f t="shared" si="6"/>
        <v/>
      </c>
      <c r="BC55" s="13">
        <f t="shared" si="7"/>
        <v>1</v>
      </c>
      <c r="BD55" s="14" t="str">
        <f t="shared" si="8"/>
        <v/>
      </c>
      <c r="BE55" s="15" t="str">
        <f t="shared" si="9"/>
        <v/>
      </c>
      <c r="BF55" s="16">
        <f t="shared" si="10"/>
        <v>2</v>
      </c>
    </row>
    <row r="56" spans="2:58" ht="12.75" customHeight="1" x14ac:dyDescent="0.2">
      <c r="B56" s="426" t="s">
        <v>98</v>
      </c>
      <c r="C56" s="58" t="s">
        <v>99</v>
      </c>
      <c r="D56" s="59" t="s">
        <v>136</v>
      </c>
      <c r="E56" s="127" t="s">
        <v>139</v>
      </c>
      <c r="F56" s="127" t="s">
        <v>148</v>
      </c>
      <c r="G56" s="127" t="s">
        <v>150</v>
      </c>
      <c r="H56" s="127" t="s">
        <v>148</v>
      </c>
      <c r="I56" s="117" t="s">
        <v>147</v>
      </c>
      <c r="J56" s="76"/>
      <c r="K56" s="128" t="s">
        <v>137</v>
      </c>
      <c r="L56" s="59" t="s">
        <v>144</v>
      </c>
      <c r="M56" s="127" t="s">
        <v>136</v>
      </c>
      <c r="N56" s="60"/>
      <c r="O56" s="60" t="s">
        <v>136</v>
      </c>
      <c r="P56" s="61"/>
      <c r="Q56" s="59"/>
      <c r="R56" s="127"/>
      <c r="S56" s="61"/>
      <c r="T56" s="59"/>
      <c r="U56" s="60"/>
      <c r="V56" s="60"/>
      <c r="W56" s="61"/>
      <c r="X56" s="59"/>
      <c r="Y56" s="127"/>
      <c r="Z56" s="127"/>
      <c r="AA56" s="60"/>
      <c r="AB56" s="127" t="s">
        <v>149</v>
      </c>
      <c r="AC56" s="127"/>
      <c r="AD56" s="127" t="s">
        <v>150</v>
      </c>
      <c r="AE56" s="61"/>
      <c r="AF56" s="67" t="s">
        <v>136</v>
      </c>
      <c r="AG56" s="60" t="s">
        <v>137</v>
      </c>
      <c r="AH56" s="127" t="s">
        <v>138</v>
      </c>
      <c r="AI56" s="60" t="s">
        <v>136</v>
      </c>
      <c r="AJ56" s="127" t="s">
        <v>139</v>
      </c>
      <c r="AK56" s="128" t="s">
        <v>139</v>
      </c>
      <c r="AL56" s="59"/>
      <c r="AM56" s="59" t="s">
        <v>148</v>
      </c>
      <c r="AN56" s="113"/>
      <c r="AO56" s="1"/>
      <c r="AP56" s="7">
        <f t="shared" si="16"/>
        <v>2</v>
      </c>
      <c r="AQ56" s="8">
        <f t="shared" si="17"/>
        <v>6</v>
      </c>
      <c r="AR56" s="9">
        <f t="shared" si="18"/>
        <v>5</v>
      </c>
      <c r="AS56" s="10">
        <f t="shared" si="19"/>
        <v>3</v>
      </c>
      <c r="AT56" s="11">
        <f t="shared" si="20"/>
        <v>3</v>
      </c>
      <c r="AU56" s="17"/>
      <c r="AV56" s="79"/>
      <c r="AW56" s="8"/>
      <c r="AX56" s="9"/>
      <c r="AY56" s="10"/>
      <c r="AZ56" s="11"/>
      <c r="BA56" s="17"/>
      <c r="BB56" s="79">
        <f t="shared" si="6"/>
        <v>2</v>
      </c>
      <c r="BC56" s="8">
        <f t="shared" si="7"/>
        <v>6</v>
      </c>
      <c r="BD56" s="9">
        <f t="shared" si="8"/>
        <v>5</v>
      </c>
      <c r="BE56" s="10">
        <f t="shared" si="9"/>
        <v>3</v>
      </c>
      <c r="BF56" s="11">
        <f t="shared" si="10"/>
        <v>3</v>
      </c>
    </row>
    <row r="57" spans="2:58" ht="12.75" customHeight="1" x14ac:dyDescent="0.2">
      <c r="B57" s="427"/>
      <c r="C57" s="51" t="s">
        <v>100</v>
      </c>
      <c r="D57" s="48" t="s">
        <v>136</v>
      </c>
      <c r="E57" s="125" t="s">
        <v>138</v>
      </c>
      <c r="F57" s="125" t="s">
        <v>148</v>
      </c>
      <c r="G57" s="125" t="s">
        <v>150</v>
      </c>
      <c r="H57" s="125" t="s">
        <v>148</v>
      </c>
      <c r="I57" s="118" t="s">
        <v>147</v>
      </c>
      <c r="J57" s="77"/>
      <c r="K57" s="126" t="s">
        <v>137</v>
      </c>
      <c r="L57" s="48" t="s">
        <v>144</v>
      </c>
      <c r="M57" s="125" t="s">
        <v>136</v>
      </c>
      <c r="N57" s="49"/>
      <c r="O57" s="49" t="s">
        <v>136</v>
      </c>
      <c r="P57" s="50"/>
      <c r="Q57" s="48"/>
      <c r="R57" s="125"/>
      <c r="S57" s="50"/>
      <c r="T57" s="48"/>
      <c r="U57" s="49"/>
      <c r="V57" s="49"/>
      <c r="W57" s="50"/>
      <c r="X57" s="48"/>
      <c r="Y57" s="125"/>
      <c r="Z57" s="125"/>
      <c r="AA57" s="49"/>
      <c r="AB57" s="125" t="s">
        <v>149</v>
      </c>
      <c r="AC57" s="125"/>
      <c r="AD57" s="125" t="s">
        <v>150</v>
      </c>
      <c r="AE57" s="50"/>
      <c r="AF57" s="68" t="s">
        <v>136</v>
      </c>
      <c r="AG57" s="49" t="s">
        <v>137</v>
      </c>
      <c r="AH57" s="125" t="s">
        <v>138</v>
      </c>
      <c r="AI57" s="49" t="s">
        <v>136</v>
      </c>
      <c r="AJ57" s="125" t="s">
        <v>139</v>
      </c>
      <c r="AK57" s="126" t="s">
        <v>138</v>
      </c>
      <c r="AL57" s="48"/>
      <c r="AM57" s="48" t="s">
        <v>148</v>
      </c>
      <c r="AN57" s="114"/>
      <c r="AO57" s="1"/>
      <c r="AP57" s="7">
        <f t="shared" si="16"/>
        <v>2</v>
      </c>
      <c r="AQ57" s="8">
        <f t="shared" si="17"/>
        <v>6</v>
      </c>
      <c r="AR57" s="9">
        <f t="shared" si="18"/>
        <v>5</v>
      </c>
      <c r="AS57" s="10">
        <f t="shared" si="19"/>
        <v>5</v>
      </c>
      <c r="AT57" s="11">
        <f t="shared" si="20"/>
        <v>1</v>
      </c>
      <c r="AU57" s="17"/>
      <c r="AV57" s="79"/>
      <c r="AW57" s="8"/>
      <c r="AX57" s="9"/>
      <c r="AY57" s="10"/>
      <c r="AZ57" s="11"/>
      <c r="BA57" s="17"/>
      <c r="BB57" s="79">
        <f t="shared" si="6"/>
        <v>2</v>
      </c>
      <c r="BC57" s="8">
        <f t="shared" si="7"/>
        <v>6</v>
      </c>
      <c r="BD57" s="9">
        <f t="shared" si="8"/>
        <v>5</v>
      </c>
      <c r="BE57" s="10">
        <f t="shared" si="9"/>
        <v>5</v>
      </c>
      <c r="BF57" s="11">
        <f t="shared" si="10"/>
        <v>1</v>
      </c>
    </row>
    <row r="58" spans="2:58" ht="12.75" customHeight="1" x14ac:dyDescent="0.2">
      <c r="B58" s="427"/>
      <c r="C58" s="51" t="s">
        <v>101</v>
      </c>
      <c r="D58" s="48" t="s">
        <v>138</v>
      </c>
      <c r="E58" s="125" t="s">
        <v>139</v>
      </c>
      <c r="F58" s="125" t="s">
        <v>148</v>
      </c>
      <c r="G58" s="125" t="s">
        <v>150</v>
      </c>
      <c r="H58" s="125" t="s">
        <v>148</v>
      </c>
      <c r="I58" s="118"/>
      <c r="J58" s="77"/>
      <c r="K58" s="126" t="s">
        <v>137</v>
      </c>
      <c r="L58" s="48" t="s">
        <v>144</v>
      </c>
      <c r="M58" s="125" t="s">
        <v>136</v>
      </c>
      <c r="N58" s="49"/>
      <c r="O58" s="49" t="s">
        <v>138</v>
      </c>
      <c r="P58" s="50"/>
      <c r="Q58" s="48"/>
      <c r="R58" s="125"/>
      <c r="S58" s="50"/>
      <c r="T58" s="48"/>
      <c r="U58" s="49"/>
      <c r="V58" s="49"/>
      <c r="W58" s="50"/>
      <c r="X58" s="48"/>
      <c r="Y58" s="125"/>
      <c r="Z58" s="125"/>
      <c r="AA58" s="49"/>
      <c r="AB58" s="125" t="s">
        <v>149</v>
      </c>
      <c r="AC58" s="125"/>
      <c r="AD58" s="125" t="s">
        <v>150</v>
      </c>
      <c r="AE58" s="50"/>
      <c r="AF58" s="68" t="s">
        <v>136</v>
      </c>
      <c r="AG58" s="49" t="s">
        <v>137</v>
      </c>
      <c r="AH58" s="125" t="s">
        <v>139</v>
      </c>
      <c r="AI58" s="49" t="s">
        <v>136</v>
      </c>
      <c r="AJ58" s="125" t="s">
        <v>138</v>
      </c>
      <c r="AK58" s="126" t="s">
        <v>139</v>
      </c>
      <c r="AL58" s="48"/>
      <c r="AM58" s="48" t="s">
        <v>148</v>
      </c>
      <c r="AN58" s="114"/>
      <c r="AO58" s="1"/>
      <c r="AP58" s="7">
        <f t="shared" si="16"/>
        <v>2</v>
      </c>
      <c r="AQ58" s="8">
        <f t="shared" si="17"/>
        <v>3</v>
      </c>
      <c r="AR58" s="9">
        <f t="shared" si="18"/>
        <v>5</v>
      </c>
      <c r="AS58" s="10">
        <f t="shared" si="19"/>
        <v>5</v>
      </c>
      <c r="AT58" s="11">
        <f t="shared" si="20"/>
        <v>3</v>
      </c>
      <c r="AU58" s="17"/>
      <c r="AV58" s="79"/>
      <c r="AW58" s="8"/>
      <c r="AX58" s="9"/>
      <c r="AY58" s="10"/>
      <c r="AZ58" s="11"/>
      <c r="BA58" s="17"/>
      <c r="BB58" s="79">
        <f t="shared" si="6"/>
        <v>2</v>
      </c>
      <c r="BC58" s="8">
        <f t="shared" si="7"/>
        <v>3</v>
      </c>
      <c r="BD58" s="9">
        <f t="shared" si="8"/>
        <v>5</v>
      </c>
      <c r="BE58" s="10">
        <f t="shared" si="9"/>
        <v>5</v>
      </c>
      <c r="BF58" s="11">
        <f t="shared" si="10"/>
        <v>3</v>
      </c>
    </row>
    <row r="59" spans="2:58" ht="12.75" customHeight="1" x14ac:dyDescent="0.2">
      <c r="B59" s="427"/>
      <c r="C59" s="51" t="s">
        <v>102</v>
      </c>
      <c r="D59" s="48" t="s">
        <v>136</v>
      </c>
      <c r="E59" s="125" t="s">
        <v>139</v>
      </c>
      <c r="F59" s="125" t="s">
        <v>148</v>
      </c>
      <c r="G59" s="125" t="s">
        <v>150</v>
      </c>
      <c r="H59" s="125" t="s">
        <v>148</v>
      </c>
      <c r="I59" s="118"/>
      <c r="J59" s="77"/>
      <c r="K59" s="126" t="s">
        <v>137</v>
      </c>
      <c r="L59" s="48" t="s">
        <v>144</v>
      </c>
      <c r="M59" s="125" t="s">
        <v>136</v>
      </c>
      <c r="N59" s="49"/>
      <c r="O59" s="49" t="s">
        <v>136</v>
      </c>
      <c r="P59" s="50"/>
      <c r="Q59" s="48"/>
      <c r="R59" s="125"/>
      <c r="S59" s="50"/>
      <c r="T59" s="48"/>
      <c r="U59" s="49"/>
      <c r="V59" s="49"/>
      <c r="W59" s="50"/>
      <c r="X59" s="48" t="s">
        <v>137</v>
      </c>
      <c r="Y59" s="125" t="s">
        <v>150</v>
      </c>
      <c r="Z59" s="125"/>
      <c r="AA59" s="49"/>
      <c r="AB59" s="125" t="s">
        <v>149</v>
      </c>
      <c r="AC59" s="125"/>
      <c r="AD59" s="125" t="s">
        <v>150</v>
      </c>
      <c r="AE59" s="50"/>
      <c r="AF59" s="68" t="s">
        <v>137</v>
      </c>
      <c r="AG59" s="49" t="s">
        <v>136</v>
      </c>
      <c r="AH59" s="125" t="s">
        <v>147</v>
      </c>
      <c r="AI59" s="49" t="s">
        <v>137</v>
      </c>
      <c r="AJ59" s="125" t="s">
        <v>138</v>
      </c>
      <c r="AK59" s="126" t="s">
        <v>139</v>
      </c>
      <c r="AL59" s="48"/>
      <c r="AM59" s="48" t="s">
        <v>148</v>
      </c>
      <c r="AN59" s="114"/>
      <c r="AO59" s="1"/>
      <c r="AP59" s="7">
        <f t="shared" si="16"/>
        <v>2</v>
      </c>
      <c r="AQ59" s="8">
        <f t="shared" si="17"/>
        <v>5</v>
      </c>
      <c r="AR59" s="9">
        <f t="shared" si="18"/>
        <v>7</v>
      </c>
      <c r="AS59" s="10">
        <f t="shared" si="19"/>
        <v>4</v>
      </c>
      <c r="AT59" s="11">
        <f t="shared" si="20"/>
        <v>2</v>
      </c>
      <c r="AU59" s="17"/>
      <c r="AV59" s="79"/>
      <c r="AW59" s="8"/>
      <c r="AX59" s="9"/>
      <c r="AY59" s="10"/>
      <c r="AZ59" s="11"/>
      <c r="BA59" s="17"/>
      <c r="BB59" s="79">
        <f t="shared" si="6"/>
        <v>2</v>
      </c>
      <c r="BC59" s="8">
        <f t="shared" si="7"/>
        <v>5</v>
      </c>
      <c r="BD59" s="9">
        <f t="shared" si="8"/>
        <v>7</v>
      </c>
      <c r="BE59" s="10">
        <f t="shared" si="9"/>
        <v>4</v>
      </c>
      <c r="BF59" s="11">
        <f t="shared" si="10"/>
        <v>2</v>
      </c>
    </row>
    <row r="60" spans="2:58" ht="12.75" customHeight="1" x14ac:dyDescent="0.2">
      <c r="B60" s="427"/>
      <c r="C60" s="51" t="s">
        <v>103</v>
      </c>
      <c r="D60" s="48" t="s">
        <v>137</v>
      </c>
      <c r="E60" s="125" t="s">
        <v>137</v>
      </c>
      <c r="F60" s="125" t="s">
        <v>148</v>
      </c>
      <c r="G60" s="125" t="s">
        <v>150</v>
      </c>
      <c r="H60" s="125" t="s">
        <v>148</v>
      </c>
      <c r="I60" s="118"/>
      <c r="J60" s="77"/>
      <c r="K60" s="126" t="s">
        <v>137</v>
      </c>
      <c r="L60" s="48" t="s">
        <v>144</v>
      </c>
      <c r="M60" s="125" t="s">
        <v>136</v>
      </c>
      <c r="N60" s="49"/>
      <c r="O60" s="49" t="s">
        <v>136</v>
      </c>
      <c r="P60" s="50"/>
      <c r="Q60" s="48"/>
      <c r="R60" s="125"/>
      <c r="S60" s="50"/>
      <c r="T60" s="48"/>
      <c r="U60" s="49"/>
      <c r="V60" s="49"/>
      <c r="W60" s="50"/>
      <c r="X60" s="48" t="s">
        <v>137</v>
      </c>
      <c r="Y60" s="125" t="s">
        <v>150</v>
      </c>
      <c r="Z60" s="125"/>
      <c r="AA60" s="49"/>
      <c r="AB60" s="125" t="s">
        <v>149</v>
      </c>
      <c r="AC60" s="125"/>
      <c r="AD60" s="125" t="s">
        <v>150</v>
      </c>
      <c r="AE60" s="50"/>
      <c r="AF60" s="68" t="s">
        <v>137</v>
      </c>
      <c r="AG60" s="49" t="s">
        <v>136</v>
      </c>
      <c r="AH60" s="125" t="s">
        <v>147</v>
      </c>
      <c r="AI60" s="49" t="s">
        <v>137</v>
      </c>
      <c r="AJ60" s="125" t="s">
        <v>139</v>
      </c>
      <c r="AK60" s="126" t="s">
        <v>137</v>
      </c>
      <c r="AL60" s="48"/>
      <c r="AM60" s="48" t="s">
        <v>148</v>
      </c>
      <c r="AN60" s="114"/>
      <c r="AO60" s="1"/>
      <c r="AP60" s="7">
        <f t="shared" si="16"/>
        <v>2</v>
      </c>
      <c r="AQ60" s="8">
        <f t="shared" si="17"/>
        <v>4</v>
      </c>
      <c r="AR60" s="9">
        <f t="shared" si="18"/>
        <v>10</v>
      </c>
      <c r="AS60" s="10">
        <f t="shared" si="19"/>
        <v>3</v>
      </c>
      <c r="AT60" s="11">
        <f t="shared" si="20"/>
        <v>1</v>
      </c>
      <c r="AU60" s="17"/>
      <c r="AV60" s="79"/>
      <c r="AW60" s="8"/>
      <c r="AX60" s="9"/>
      <c r="AY60" s="10"/>
      <c r="AZ60" s="11"/>
      <c r="BA60" s="17"/>
      <c r="BB60" s="79">
        <f t="shared" si="6"/>
        <v>2</v>
      </c>
      <c r="BC60" s="8">
        <f t="shared" si="7"/>
        <v>4</v>
      </c>
      <c r="BD60" s="9">
        <f t="shared" si="8"/>
        <v>10</v>
      </c>
      <c r="BE60" s="10">
        <f t="shared" si="9"/>
        <v>3</v>
      </c>
      <c r="BF60" s="11">
        <f t="shared" si="10"/>
        <v>1</v>
      </c>
    </row>
    <row r="61" spans="2:58" ht="12.75" customHeight="1" x14ac:dyDescent="0.2">
      <c r="B61" s="427"/>
      <c r="C61" s="51" t="s">
        <v>104</v>
      </c>
      <c r="D61" s="48" t="s">
        <v>136</v>
      </c>
      <c r="E61" s="125" t="s">
        <v>137</v>
      </c>
      <c r="F61" s="125" t="s">
        <v>147</v>
      </c>
      <c r="G61" s="125" t="s">
        <v>150</v>
      </c>
      <c r="H61" s="125" t="s">
        <v>148</v>
      </c>
      <c r="I61" s="118"/>
      <c r="J61" s="77"/>
      <c r="K61" s="126" t="s">
        <v>137</v>
      </c>
      <c r="L61" s="48" t="s">
        <v>144</v>
      </c>
      <c r="M61" s="125" t="s">
        <v>136</v>
      </c>
      <c r="N61" s="49"/>
      <c r="O61" s="49" t="s">
        <v>136</v>
      </c>
      <c r="P61" s="50"/>
      <c r="Q61" s="48"/>
      <c r="R61" s="125"/>
      <c r="S61" s="50"/>
      <c r="T61" s="48"/>
      <c r="U61" s="49"/>
      <c r="V61" s="49"/>
      <c r="W61" s="50"/>
      <c r="X61" s="48" t="s">
        <v>136</v>
      </c>
      <c r="Y61" s="125" t="s">
        <v>147</v>
      </c>
      <c r="Z61" s="125"/>
      <c r="AA61" s="49"/>
      <c r="AB61" s="125" t="s">
        <v>149</v>
      </c>
      <c r="AC61" s="125"/>
      <c r="AD61" s="125" t="s">
        <v>148</v>
      </c>
      <c r="AE61" s="50"/>
      <c r="AF61" s="68" t="s">
        <v>137</v>
      </c>
      <c r="AG61" s="49"/>
      <c r="AH61" s="125" t="s">
        <v>138</v>
      </c>
      <c r="AI61" s="49" t="s">
        <v>137</v>
      </c>
      <c r="AJ61" s="125" t="s">
        <v>139</v>
      </c>
      <c r="AK61" s="126" t="s">
        <v>138</v>
      </c>
      <c r="AL61" s="48"/>
      <c r="AM61" s="48" t="s">
        <v>148</v>
      </c>
      <c r="AN61" s="114"/>
      <c r="AO61" s="1"/>
      <c r="AP61" s="7">
        <f t="shared" si="16"/>
        <v>2</v>
      </c>
      <c r="AQ61" s="8">
        <f t="shared" si="17"/>
        <v>6</v>
      </c>
      <c r="AR61" s="9">
        <f t="shared" si="18"/>
        <v>7</v>
      </c>
      <c r="AS61" s="10">
        <f t="shared" si="19"/>
        <v>3</v>
      </c>
      <c r="AT61" s="11">
        <f t="shared" si="20"/>
        <v>1</v>
      </c>
      <c r="AU61" s="17"/>
      <c r="AV61" s="79"/>
      <c r="AW61" s="8"/>
      <c r="AX61" s="9"/>
      <c r="AY61" s="10"/>
      <c r="AZ61" s="11"/>
      <c r="BA61" s="17"/>
      <c r="BB61" s="79">
        <f t="shared" si="6"/>
        <v>2</v>
      </c>
      <c r="BC61" s="8">
        <f t="shared" si="7"/>
        <v>6</v>
      </c>
      <c r="BD61" s="9">
        <f t="shared" si="8"/>
        <v>7</v>
      </c>
      <c r="BE61" s="10">
        <f t="shared" si="9"/>
        <v>3</v>
      </c>
      <c r="BF61" s="11">
        <f t="shared" si="10"/>
        <v>1</v>
      </c>
    </row>
    <row r="62" spans="2:58" ht="12.75" customHeight="1" x14ac:dyDescent="0.2">
      <c r="B62" s="427"/>
      <c r="C62" s="51" t="s">
        <v>105</v>
      </c>
      <c r="D62" s="48" t="s">
        <v>138</v>
      </c>
      <c r="E62" s="125" t="s">
        <v>138</v>
      </c>
      <c r="F62" s="125" t="s">
        <v>147</v>
      </c>
      <c r="G62" s="125" t="s">
        <v>150</v>
      </c>
      <c r="H62" s="125" t="s">
        <v>150</v>
      </c>
      <c r="I62" s="118"/>
      <c r="J62" s="77"/>
      <c r="K62" s="126" t="s">
        <v>136</v>
      </c>
      <c r="L62" s="48" t="s">
        <v>144</v>
      </c>
      <c r="M62" s="125" t="s">
        <v>136</v>
      </c>
      <c r="N62" s="49"/>
      <c r="O62" s="49" t="s">
        <v>136</v>
      </c>
      <c r="P62" s="50"/>
      <c r="Q62" s="48"/>
      <c r="R62" s="125"/>
      <c r="S62" s="50"/>
      <c r="T62" s="48"/>
      <c r="U62" s="49"/>
      <c r="V62" s="49"/>
      <c r="W62" s="50"/>
      <c r="X62" s="48" t="s">
        <v>137</v>
      </c>
      <c r="Y62" s="125" t="s">
        <v>148</v>
      </c>
      <c r="Z62" s="125"/>
      <c r="AA62" s="49"/>
      <c r="AB62" s="125" t="s">
        <v>149</v>
      </c>
      <c r="AC62" s="125"/>
      <c r="AD62" s="125" t="s">
        <v>150</v>
      </c>
      <c r="AE62" s="50"/>
      <c r="AF62" s="68" t="s">
        <v>137</v>
      </c>
      <c r="AG62" s="49"/>
      <c r="AH62" s="125"/>
      <c r="AI62" s="49" t="s">
        <v>137</v>
      </c>
      <c r="AJ62" s="125" t="s">
        <v>136</v>
      </c>
      <c r="AK62" s="126" t="s">
        <v>136</v>
      </c>
      <c r="AL62" s="48"/>
      <c r="AM62" s="48" t="s">
        <v>147</v>
      </c>
      <c r="AN62" s="114"/>
      <c r="AO62" s="1"/>
      <c r="AP62" s="7">
        <f t="shared" si="16"/>
        <v>2</v>
      </c>
      <c r="AQ62" s="8">
        <f t="shared" si="17"/>
        <v>7</v>
      </c>
      <c r="AR62" s="9">
        <f t="shared" si="18"/>
        <v>4</v>
      </c>
      <c r="AS62" s="10">
        <f t="shared" si="19"/>
        <v>5</v>
      </c>
      <c r="AT62" s="11" t="str">
        <f t="shared" si="20"/>
        <v/>
      </c>
      <c r="AU62" s="17"/>
      <c r="AV62" s="79"/>
      <c r="AW62" s="8"/>
      <c r="AX62" s="9"/>
      <c r="AY62" s="10"/>
      <c r="AZ62" s="11"/>
      <c r="BA62" s="17"/>
      <c r="BB62" s="79">
        <f t="shared" si="6"/>
        <v>2</v>
      </c>
      <c r="BC62" s="8">
        <f t="shared" si="7"/>
        <v>7</v>
      </c>
      <c r="BD62" s="9">
        <f t="shared" si="8"/>
        <v>4</v>
      </c>
      <c r="BE62" s="10">
        <f t="shared" si="9"/>
        <v>5</v>
      </c>
      <c r="BF62" s="11" t="str">
        <f t="shared" si="10"/>
        <v/>
      </c>
    </row>
    <row r="63" spans="2:58" ht="12.75" customHeight="1" x14ac:dyDescent="0.2">
      <c r="B63" s="427"/>
      <c r="C63" s="51" t="s">
        <v>106</v>
      </c>
      <c r="D63" s="48" t="s">
        <v>137</v>
      </c>
      <c r="E63" s="125" t="s">
        <v>137</v>
      </c>
      <c r="F63" s="125" t="s">
        <v>147</v>
      </c>
      <c r="G63" s="125" t="s">
        <v>150</v>
      </c>
      <c r="H63" s="125" t="s">
        <v>150</v>
      </c>
      <c r="I63" s="118"/>
      <c r="J63" s="77"/>
      <c r="K63" s="126" t="s">
        <v>137</v>
      </c>
      <c r="L63" s="48" t="s">
        <v>144</v>
      </c>
      <c r="M63" s="125" t="s">
        <v>136</v>
      </c>
      <c r="N63" s="49"/>
      <c r="O63" s="49"/>
      <c r="P63" s="50"/>
      <c r="Q63" s="48"/>
      <c r="R63" s="125"/>
      <c r="S63" s="50"/>
      <c r="T63" s="48"/>
      <c r="U63" s="49"/>
      <c r="V63" s="49"/>
      <c r="W63" s="50"/>
      <c r="X63" s="48" t="s">
        <v>137</v>
      </c>
      <c r="Y63" s="125" t="s">
        <v>148</v>
      </c>
      <c r="Z63" s="125"/>
      <c r="AA63" s="49"/>
      <c r="AB63" s="125" t="s">
        <v>149</v>
      </c>
      <c r="AC63" s="125"/>
      <c r="AD63" s="125" t="s">
        <v>150</v>
      </c>
      <c r="AE63" s="50"/>
      <c r="AF63" s="68" t="s">
        <v>137</v>
      </c>
      <c r="AG63" s="49"/>
      <c r="AH63" s="125"/>
      <c r="AI63" s="49" t="s">
        <v>137</v>
      </c>
      <c r="AJ63" s="125" t="s">
        <v>136</v>
      </c>
      <c r="AK63" s="126" t="s">
        <v>136</v>
      </c>
      <c r="AL63" s="48"/>
      <c r="AM63" s="48" t="s">
        <v>147</v>
      </c>
      <c r="AN63" s="114"/>
      <c r="AO63" s="1"/>
      <c r="AP63" s="7">
        <f t="shared" si="16"/>
        <v>2</v>
      </c>
      <c r="AQ63" s="8">
        <f t="shared" si="17"/>
        <v>5</v>
      </c>
      <c r="AR63" s="9">
        <f t="shared" si="18"/>
        <v>7</v>
      </c>
      <c r="AS63" s="10">
        <f t="shared" si="19"/>
        <v>3</v>
      </c>
      <c r="AT63" s="11" t="str">
        <f t="shared" si="20"/>
        <v/>
      </c>
      <c r="AU63" s="17"/>
      <c r="AV63" s="79"/>
      <c r="AW63" s="8"/>
      <c r="AX63" s="9"/>
      <c r="AY63" s="10"/>
      <c r="AZ63" s="11"/>
      <c r="BA63" s="17"/>
      <c r="BB63" s="79">
        <f t="shared" si="6"/>
        <v>2</v>
      </c>
      <c r="BC63" s="8">
        <f t="shared" si="7"/>
        <v>5</v>
      </c>
      <c r="BD63" s="9">
        <f t="shared" si="8"/>
        <v>7</v>
      </c>
      <c r="BE63" s="10">
        <f t="shared" si="9"/>
        <v>3</v>
      </c>
      <c r="BF63" s="11" t="str">
        <f t="shared" si="10"/>
        <v/>
      </c>
    </row>
    <row r="64" spans="2:58" ht="12.75" customHeight="1" x14ac:dyDescent="0.2">
      <c r="B64" s="427"/>
      <c r="C64" s="51" t="s">
        <v>107</v>
      </c>
      <c r="D64" s="48" t="s">
        <v>137</v>
      </c>
      <c r="E64" s="125" t="s">
        <v>137</v>
      </c>
      <c r="F64" s="125" t="s">
        <v>147</v>
      </c>
      <c r="G64" s="125" t="s">
        <v>150</v>
      </c>
      <c r="H64" s="125" t="s">
        <v>150</v>
      </c>
      <c r="I64" s="118"/>
      <c r="J64" s="77"/>
      <c r="K64" s="126" t="s">
        <v>137</v>
      </c>
      <c r="L64" s="48" t="s">
        <v>144</v>
      </c>
      <c r="M64" s="125" t="s">
        <v>136</v>
      </c>
      <c r="N64" s="49"/>
      <c r="O64" s="49"/>
      <c r="P64" s="50"/>
      <c r="Q64" s="48"/>
      <c r="R64" s="125"/>
      <c r="S64" s="50"/>
      <c r="T64" s="48"/>
      <c r="U64" s="49"/>
      <c r="V64" s="49"/>
      <c r="W64" s="50"/>
      <c r="X64" s="48" t="s">
        <v>136</v>
      </c>
      <c r="Y64" s="125" t="s">
        <v>150</v>
      </c>
      <c r="Z64" s="125"/>
      <c r="AA64" s="49"/>
      <c r="AB64" s="125" t="s">
        <v>149</v>
      </c>
      <c r="AC64" s="125"/>
      <c r="AD64" s="125" t="s">
        <v>150</v>
      </c>
      <c r="AE64" s="50"/>
      <c r="AF64" s="68" t="s">
        <v>137</v>
      </c>
      <c r="AG64" s="49"/>
      <c r="AH64" s="125"/>
      <c r="AI64" s="49" t="s">
        <v>138</v>
      </c>
      <c r="AJ64" s="125" t="s">
        <v>137</v>
      </c>
      <c r="AK64" s="126" t="s">
        <v>136</v>
      </c>
      <c r="AL64" s="48"/>
      <c r="AM64" s="48" t="s">
        <v>147</v>
      </c>
      <c r="AN64" s="114"/>
      <c r="AO64" s="1"/>
      <c r="AP64" s="7">
        <f t="shared" si="16"/>
        <v>2</v>
      </c>
      <c r="AQ64" s="8">
        <f t="shared" si="17"/>
        <v>5</v>
      </c>
      <c r="AR64" s="9">
        <f t="shared" si="18"/>
        <v>5</v>
      </c>
      <c r="AS64" s="10">
        <f t="shared" si="19"/>
        <v>5</v>
      </c>
      <c r="AT64" s="11" t="str">
        <f t="shared" si="20"/>
        <v/>
      </c>
      <c r="AU64" s="17"/>
      <c r="AV64" s="79"/>
      <c r="AW64" s="8"/>
      <c r="AX64" s="9"/>
      <c r="AY64" s="10"/>
      <c r="AZ64" s="11"/>
      <c r="BA64" s="17"/>
      <c r="BB64" s="79">
        <f t="shared" si="6"/>
        <v>2</v>
      </c>
      <c r="BC64" s="8">
        <f t="shared" si="7"/>
        <v>5</v>
      </c>
      <c r="BD64" s="9">
        <f t="shared" si="8"/>
        <v>5</v>
      </c>
      <c r="BE64" s="10">
        <f t="shared" si="9"/>
        <v>5</v>
      </c>
      <c r="BF64" s="11" t="str">
        <f t="shared" si="10"/>
        <v/>
      </c>
    </row>
    <row r="65" spans="2:58" ht="12.75" customHeight="1" x14ac:dyDescent="0.2">
      <c r="B65" s="427"/>
      <c r="C65" s="51" t="s">
        <v>108</v>
      </c>
      <c r="D65" s="48" t="s">
        <v>137</v>
      </c>
      <c r="E65" s="125" t="s">
        <v>137</v>
      </c>
      <c r="F65" s="125" t="s">
        <v>147</v>
      </c>
      <c r="G65" s="125" t="s">
        <v>150</v>
      </c>
      <c r="H65" s="125" t="s">
        <v>150</v>
      </c>
      <c r="I65" s="118"/>
      <c r="J65" s="77"/>
      <c r="K65" s="126" t="s">
        <v>137</v>
      </c>
      <c r="L65" s="48" t="s">
        <v>137</v>
      </c>
      <c r="M65" s="125" t="s">
        <v>136</v>
      </c>
      <c r="N65" s="49"/>
      <c r="O65" s="49"/>
      <c r="P65" s="50"/>
      <c r="Q65" s="48"/>
      <c r="R65" s="125"/>
      <c r="S65" s="50"/>
      <c r="T65" s="48"/>
      <c r="U65" s="49"/>
      <c r="V65" s="49"/>
      <c r="W65" s="50"/>
      <c r="X65" s="48" t="s">
        <v>136</v>
      </c>
      <c r="Y65" s="125" t="s">
        <v>150</v>
      </c>
      <c r="Z65" s="125"/>
      <c r="AA65" s="49"/>
      <c r="AB65" s="125" t="s">
        <v>149</v>
      </c>
      <c r="AC65" s="125"/>
      <c r="AD65" s="125" t="s">
        <v>150</v>
      </c>
      <c r="AE65" s="50"/>
      <c r="AF65" s="68" t="s">
        <v>137</v>
      </c>
      <c r="AG65" s="49"/>
      <c r="AH65" s="125"/>
      <c r="AI65" s="49" t="s">
        <v>138</v>
      </c>
      <c r="AJ65" s="125" t="s">
        <v>138</v>
      </c>
      <c r="AK65" s="126" t="s">
        <v>136</v>
      </c>
      <c r="AL65" s="48"/>
      <c r="AM65" s="48" t="s">
        <v>147</v>
      </c>
      <c r="AN65" s="114"/>
      <c r="AO65" s="1"/>
      <c r="AP65" s="7">
        <f t="shared" si="16"/>
        <v>1</v>
      </c>
      <c r="AQ65" s="8">
        <f t="shared" si="17"/>
        <v>5</v>
      </c>
      <c r="AR65" s="9">
        <f t="shared" si="18"/>
        <v>5</v>
      </c>
      <c r="AS65" s="10">
        <f t="shared" si="19"/>
        <v>6</v>
      </c>
      <c r="AT65" s="11" t="str">
        <f t="shared" si="20"/>
        <v/>
      </c>
      <c r="AU65" s="17"/>
      <c r="AV65" s="79"/>
      <c r="AW65" s="8"/>
      <c r="AX65" s="9"/>
      <c r="AY65" s="10"/>
      <c r="AZ65" s="11"/>
      <c r="BA65" s="17"/>
      <c r="BB65" s="79">
        <f t="shared" si="6"/>
        <v>1</v>
      </c>
      <c r="BC65" s="8">
        <f t="shared" si="7"/>
        <v>5</v>
      </c>
      <c r="BD65" s="9">
        <f t="shared" si="8"/>
        <v>5</v>
      </c>
      <c r="BE65" s="10">
        <f t="shared" si="9"/>
        <v>6</v>
      </c>
      <c r="BF65" s="11" t="str">
        <f t="shared" si="10"/>
        <v/>
      </c>
    </row>
    <row r="66" spans="2:58" ht="12.75" customHeight="1" x14ac:dyDescent="0.2">
      <c r="B66" s="427"/>
      <c r="C66" s="51" t="s">
        <v>109</v>
      </c>
      <c r="D66" s="48" t="s">
        <v>136</v>
      </c>
      <c r="E66" s="125" t="s">
        <v>137</v>
      </c>
      <c r="F66" s="125" t="s">
        <v>147</v>
      </c>
      <c r="G66" s="125" t="s">
        <v>150</v>
      </c>
      <c r="H66" s="125" t="s">
        <v>150</v>
      </c>
      <c r="I66" s="118"/>
      <c r="J66" s="77"/>
      <c r="K66" s="126" t="s">
        <v>137</v>
      </c>
      <c r="L66" s="48" t="s">
        <v>144</v>
      </c>
      <c r="M66" s="125" t="s">
        <v>136</v>
      </c>
      <c r="N66" s="49"/>
      <c r="O66" s="49"/>
      <c r="P66" s="50"/>
      <c r="Q66" s="48"/>
      <c r="R66" s="125"/>
      <c r="S66" s="50"/>
      <c r="T66" s="48"/>
      <c r="U66" s="49"/>
      <c r="V66" s="49"/>
      <c r="W66" s="50"/>
      <c r="X66" s="48" t="s">
        <v>136</v>
      </c>
      <c r="Y66" s="125" t="s">
        <v>150</v>
      </c>
      <c r="Z66" s="125"/>
      <c r="AA66" s="49"/>
      <c r="AB66" s="125" t="s">
        <v>149</v>
      </c>
      <c r="AC66" s="125"/>
      <c r="AD66" s="125" t="s">
        <v>150</v>
      </c>
      <c r="AE66" s="50"/>
      <c r="AF66" s="68" t="s">
        <v>137</v>
      </c>
      <c r="AG66" s="49"/>
      <c r="AH66" s="125"/>
      <c r="AI66" s="49" t="s">
        <v>138</v>
      </c>
      <c r="AJ66" s="125" t="s">
        <v>137</v>
      </c>
      <c r="AK66" s="126" t="s">
        <v>136</v>
      </c>
      <c r="AL66" s="48"/>
      <c r="AM66" s="48" t="s">
        <v>147</v>
      </c>
      <c r="AN66" s="114"/>
      <c r="AO66" s="1"/>
      <c r="AP66" s="7">
        <f t="shared" si="16"/>
        <v>2</v>
      </c>
      <c r="AQ66" s="8">
        <f t="shared" si="17"/>
        <v>6</v>
      </c>
      <c r="AR66" s="9">
        <f t="shared" si="18"/>
        <v>4</v>
      </c>
      <c r="AS66" s="10">
        <f t="shared" si="19"/>
        <v>5</v>
      </c>
      <c r="AT66" s="11" t="str">
        <f t="shared" si="20"/>
        <v/>
      </c>
      <c r="AU66" s="17"/>
      <c r="AV66" s="79"/>
      <c r="AW66" s="8"/>
      <c r="AX66" s="9"/>
      <c r="AY66" s="10"/>
      <c r="AZ66" s="11"/>
      <c r="BA66" s="17"/>
      <c r="BB66" s="79">
        <f t="shared" si="6"/>
        <v>2</v>
      </c>
      <c r="BC66" s="8">
        <f t="shared" si="7"/>
        <v>6</v>
      </c>
      <c r="BD66" s="9">
        <f t="shared" si="8"/>
        <v>4</v>
      </c>
      <c r="BE66" s="10">
        <f t="shared" si="9"/>
        <v>5</v>
      </c>
      <c r="BF66" s="11" t="str">
        <f t="shared" si="10"/>
        <v/>
      </c>
    </row>
    <row r="67" spans="2:58" ht="12.75" customHeight="1" x14ac:dyDescent="0.2">
      <c r="B67" s="427"/>
      <c r="C67" s="51" t="s">
        <v>110</v>
      </c>
      <c r="D67" s="48" t="s">
        <v>136</v>
      </c>
      <c r="E67" s="125" t="s">
        <v>137</v>
      </c>
      <c r="F67" s="125" t="s">
        <v>147</v>
      </c>
      <c r="G67" s="125" t="s">
        <v>150</v>
      </c>
      <c r="H67" s="125" t="s">
        <v>148</v>
      </c>
      <c r="I67" s="118"/>
      <c r="J67" s="77"/>
      <c r="K67" s="126" t="s">
        <v>137</v>
      </c>
      <c r="L67" s="48" t="s">
        <v>144</v>
      </c>
      <c r="M67" s="125" t="s">
        <v>136</v>
      </c>
      <c r="N67" s="49"/>
      <c r="O67" s="49"/>
      <c r="P67" s="50"/>
      <c r="Q67" s="48"/>
      <c r="R67" s="125"/>
      <c r="S67" s="50"/>
      <c r="T67" s="48"/>
      <c r="U67" s="49"/>
      <c r="V67" s="49"/>
      <c r="W67" s="50"/>
      <c r="X67" s="48" t="s">
        <v>136</v>
      </c>
      <c r="Y67" s="125" t="s">
        <v>150</v>
      </c>
      <c r="Z67" s="125"/>
      <c r="AA67" s="49"/>
      <c r="AB67" s="125" t="s">
        <v>149</v>
      </c>
      <c r="AC67" s="125"/>
      <c r="AD67" s="125" t="s">
        <v>150</v>
      </c>
      <c r="AE67" s="50"/>
      <c r="AF67" s="68" t="s">
        <v>137</v>
      </c>
      <c r="AG67" s="49"/>
      <c r="AH67" s="125"/>
      <c r="AI67" s="49" t="s">
        <v>138</v>
      </c>
      <c r="AJ67" s="125" t="s">
        <v>136</v>
      </c>
      <c r="AK67" s="126"/>
      <c r="AL67" s="48"/>
      <c r="AM67" s="48" t="s">
        <v>147</v>
      </c>
      <c r="AN67" s="114"/>
      <c r="AO67" s="1"/>
      <c r="AP67" s="7">
        <f t="shared" ref="AP67:AP74" si="26">IF(COUNTIF(D67:AN67,"O")&gt;0,COUNTIF(D67:AN67,"O"),"")</f>
        <v>2</v>
      </c>
      <c r="AQ67" s="8">
        <f t="shared" ref="AQ67:AQ74" si="27">IF(COUNTIF(D67:AN67,"j")&gt;0,COUNTIF(D67:AN67,"J"),"")</f>
        <v>6</v>
      </c>
      <c r="AR67" s="9">
        <f t="shared" ref="AR67:AR74" si="28">IF(COUNTIF(D67:AN67,"M")&gt;0,COUNTIF(D67:AN67,"M"),"")</f>
        <v>4</v>
      </c>
      <c r="AS67" s="10">
        <f t="shared" ref="AS67:AS74" si="29">IF(COUNTIF(D67:AN67,"S")&gt;0,COUNTIF(D67:AN67,"S"),"")</f>
        <v>4</v>
      </c>
      <c r="AT67" s="11" t="str">
        <f t="shared" ref="AT67:AT74" si="30">IF(COUNTIF(D67:AN67,"E")&gt;0,COUNTIF(D67:AN67,"E"),"")</f>
        <v/>
      </c>
      <c r="AU67" s="17"/>
      <c r="AV67" s="79"/>
      <c r="AW67" s="8"/>
      <c r="AX67" s="9"/>
      <c r="AY67" s="10"/>
      <c r="AZ67" s="11"/>
      <c r="BA67" s="17"/>
      <c r="BB67" s="79">
        <f t="shared" si="6"/>
        <v>2</v>
      </c>
      <c r="BC67" s="8">
        <f t="shared" si="7"/>
        <v>6</v>
      </c>
      <c r="BD67" s="9">
        <f t="shared" si="8"/>
        <v>4</v>
      </c>
      <c r="BE67" s="10">
        <f t="shared" si="9"/>
        <v>4</v>
      </c>
      <c r="BF67" s="11" t="str">
        <f t="shared" si="10"/>
        <v/>
      </c>
    </row>
    <row r="68" spans="2:58" ht="12.75" customHeight="1" x14ac:dyDescent="0.2">
      <c r="B68" s="427"/>
      <c r="C68" s="51" t="s">
        <v>111</v>
      </c>
      <c r="D68" s="48" t="s">
        <v>137</v>
      </c>
      <c r="E68" s="125" t="s">
        <v>136</v>
      </c>
      <c r="F68" s="125" t="s">
        <v>147</v>
      </c>
      <c r="G68" s="125" t="s">
        <v>150</v>
      </c>
      <c r="H68" s="125" t="s">
        <v>148</v>
      </c>
      <c r="I68" s="118"/>
      <c r="J68" s="77"/>
      <c r="K68" s="126" t="s">
        <v>137</v>
      </c>
      <c r="L68" s="48" t="s">
        <v>144</v>
      </c>
      <c r="M68" s="125" t="s">
        <v>136</v>
      </c>
      <c r="N68" s="49"/>
      <c r="O68" s="49"/>
      <c r="P68" s="50"/>
      <c r="Q68" s="48"/>
      <c r="R68" s="125"/>
      <c r="S68" s="50"/>
      <c r="T68" s="48"/>
      <c r="U68" s="49"/>
      <c r="V68" s="49"/>
      <c r="W68" s="50"/>
      <c r="X68" s="48" t="s">
        <v>137</v>
      </c>
      <c r="Y68" s="125" t="s">
        <v>148</v>
      </c>
      <c r="Z68" s="125"/>
      <c r="AA68" s="49"/>
      <c r="AB68" s="125" t="s">
        <v>149</v>
      </c>
      <c r="AC68" s="125"/>
      <c r="AD68" s="125" t="s">
        <v>150</v>
      </c>
      <c r="AE68" s="50"/>
      <c r="AF68" s="68" t="s">
        <v>137</v>
      </c>
      <c r="AG68" s="49"/>
      <c r="AH68" s="125"/>
      <c r="AI68" s="49" t="s">
        <v>138</v>
      </c>
      <c r="AJ68" s="125" t="s">
        <v>136</v>
      </c>
      <c r="AK68" s="126"/>
      <c r="AL68" s="48"/>
      <c r="AM68" s="48" t="s">
        <v>147</v>
      </c>
      <c r="AN68" s="114"/>
      <c r="AO68" s="1"/>
      <c r="AP68" s="7">
        <f t="shared" si="26"/>
        <v>2</v>
      </c>
      <c r="AQ68" s="8">
        <f t="shared" si="27"/>
        <v>5</v>
      </c>
      <c r="AR68" s="9">
        <f t="shared" si="28"/>
        <v>6</v>
      </c>
      <c r="AS68" s="10">
        <f t="shared" si="29"/>
        <v>3</v>
      </c>
      <c r="AT68" s="11" t="str">
        <f t="shared" si="30"/>
        <v/>
      </c>
      <c r="AU68" s="17"/>
      <c r="AV68" s="79"/>
      <c r="AW68" s="8"/>
      <c r="AX68" s="9"/>
      <c r="AY68" s="10"/>
      <c r="AZ68" s="11"/>
      <c r="BA68" s="17"/>
      <c r="BB68" s="79">
        <f t="shared" si="6"/>
        <v>2</v>
      </c>
      <c r="BC68" s="8">
        <f t="shared" si="7"/>
        <v>5</v>
      </c>
      <c r="BD68" s="9">
        <f t="shared" si="8"/>
        <v>6</v>
      </c>
      <c r="BE68" s="10">
        <f t="shared" si="9"/>
        <v>3</v>
      </c>
      <c r="BF68" s="11" t="str">
        <f t="shared" si="10"/>
        <v/>
      </c>
    </row>
    <row r="69" spans="2:58" ht="12.75" customHeight="1" x14ac:dyDescent="0.2">
      <c r="B69" s="427"/>
      <c r="C69" s="51" t="s">
        <v>112</v>
      </c>
      <c r="D69" s="48" t="s">
        <v>136</v>
      </c>
      <c r="E69" s="125" t="s">
        <v>136</v>
      </c>
      <c r="F69" s="125" t="s">
        <v>147</v>
      </c>
      <c r="G69" s="125" t="s">
        <v>150</v>
      </c>
      <c r="H69" s="125" t="s">
        <v>148</v>
      </c>
      <c r="I69" s="118"/>
      <c r="J69" s="77"/>
      <c r="K69" s="126" t="s">
        <v>136</v>
      </c>
      <c r="L69" s="48" t="s">
        <v>144</v>
      </c>
      <c r="M69" s="125" t="s">
        <v>137</v>
      </c>
      <c r="N69" s="49"/>
      <c r="O69" s="49"/>
      <c r="P69" s="50"/>
      <c r="Q69" s="48"/>
      <c r="R69" s="125"/>
      <c r="S69" s="50"/>
      <c r="T69" s="48"/>
      <c r="U69" s="49"/>
      <c r="V69" s="49"/>
      <c r="W69" s="50"/>
      <c r="X69" s="48" t="s">
        <v>137</v>
      </c>
      <c r="Y69" s="125" t="s">
        <v>148</v>
      </c>
      <c r="Z69" s="125"/>
      <c r="AA69" s="49"/>
      <c r="AB69" s="125" t="s">
        <v>149</v>
      </c>
      <c r="AC69" s="125"/>
      <c r="AD69" s="125" t="s">
        <v>150</v>
      </c>
      <c r="AE69" s="50"/>
      <c r="AF69" s="68" t="s">
        <v>137</v>
      </c>
      <c r="AG69" s="49"/>
      <c r="AH69" s="125"/>
      <c r="AI69" s="49" t="s">
        <v>137</v>
      </c>
      <c r="AJ69" s="125" t="s">
        <v>136</v>
      </c>
      <c r="AK69" s="126"/>
      <c r="AL69" s="48"/>
      <c r="AM69" s="48" t="s">
        <v>147</v>
      </c>
      <c r="AN69" s="114"/>
      <c r="AO69" s="1"/>
      <c r="AP69" s="7">
        <f t="shared" si="26"/>
        <v>2</v>
      </c>
      <c r="AQ69" s="8">
        <f t="shared" si="27"/>
        <v>6</v>
      </c>
      <c r="AR69" s="9">
        <f t="shared" si="28"/>
        <v>6</v>
      </c>
      <c r="AS69" s="10">
        <f t="shared" si="29"/>
        <v>2</v>
      </c>
      <c r="AT69" s="11" t="str">
        <f t="shared" si="30"/>
        <v/>
      </c>
      <c r="AU69" s="17"/>
      <c r="AV69" s="79"/>
      <c r="AW69" s="8"/>
      <c r="AX69" s="9"/>
      <c r="AY69" s="10"/>
      <c r="AZ69" s="11"/>
      <c r="BA69" s="17"/>
      <c r="BB69" s="79">
        <f t="shared" si="6"/>
        <v>2</v>
      </c>
      <c r="BC69" s="8">
        <f t="shared" si="7"/>
        <v>6</v>
      </c>
      <c r="BD69" s="9">
        <f t="shared" si="8"/>
        <v>6</v>
      </c>
      <c r="BE69" s="10">
        <f t="shared" si="9"/>
        <v>2</v>
      </c>
      <c r="BF69" s="11" t="str">
        <f t="shared" si="10"/>
        <v/>
      </c>
    </row>
    <row r="70" spans="2:58" ht="12.75" customHeight="1" x14ac:dyDescent="0.2">
      <c r="B70" s="427"/>
      <c r="C70" s="51" t="s">
        <v>113</v>
      </c>
      <c r="D70" s="48" t="s">
        <v>137</v>
      </c>
      <c r="E70" s="125" t="s">
        <v>138</v>
      </c>
      <c r="F70" s="125" t="s">
        <v>147</v>
      </c>
      <c r="G70" s="125" t="s">
        <v>150</v>
      </c>
      <c r="H70" s="125" t="s">
        <v>150</v>
      </c>
      <c r="I70" s="118"/>
      <c r="J70" s="77"/>
      <c r="K70" s="126" t="s">
        <v>137</v>
      </c>
      <c r="L70" s="48" t="s">
        <v>144</v>
      </c>
      <c r="M70" s="125" t="s">
        <v>137</v>
      </c>
      <c r="N70" s="49"/>
      <c r="O70" s="49"/>
      <c r="P70" s="50"/>
      <c r="Q70" s="48"/>
      <c r="R70" s="125"/>
      <c r="S70" s="50"/>
      <c r="T70" s="48"/>
      <c r="U70" s="49"/>
      <c r="V70" s="49"/>
      <c r="W70" s="50"/>
      <c r="X70" s="48" t="s">
        <v>137</v>
      </c>
      <c r="Y70" s="125" t="s">
        <v>148</v>
      </c>
      <c r="Z70" s="125"/>
      <c r="AA70" s="49"/>
      <c r="AB70" s="125" t="s">
        <v>149</v>
      </c>
      <c r="AC70" s="125"/>
      <c r="AD70" s="125" t="s">
        <v>150</v>
      </c>
      <c r="AE70" s="50"/>
      <c r="AF70" s="68" t="s">
        <v>137</v>
      </c>
      <c r="AG70" s="49"/>
      <c r="AH70" s="125"/>
      <c r="AI70" s="49" t="s">
        <v>137</v>
      </c>
      <c r="AJ70" s="125" t="s">
        <v>136</v>
      </c>
      <c r="AK70" s="126"/>
      <c r="AL70" s="48"/>
      <c r="AM70" s="48" t="s">
        <v>147</v>
      </c>
      <c r="AN70" s="114"/>
      <c r="AO70" s="1"/>
      <c r="AP70" s="7">
        <f t="shared" si="26"/>
        <v>2</v>
      </c>
      <c r="AQ70" s="8">
        <f t="shared" si="27"/>
        <v>3</v>
      </c>
      <c r="AR70" s="9">
        <f t="shared" si="28"/>
        <v>7</v>
      </c>
      <c r="AS70" s="10">
        <f t="shared" si="29"/>
        <v>4</v>
      </c>
      <c r="AT70" s="11" t="str">
        <f t="shared" si="30"/>
        <v/>
      </c>
      <c r="AU70" s="17"/>
      <c r="AV70" s="79"/>
      <c r="AW70" s="8"/>
      <c r="AX70" s="9"/>
      <c r="AY70" s="10"/>
      <c r="AZ70" s="11"/>
      <c r="BA70" s="17"/>
      <c r="BB70" s="79">
        <f t="shared" ref="BB70:BB74" si="31">IF(AP70="","",AP70-AV70)</f>
        <v>2</v>
      </c>
      <c r="BC70" s="8">
        <f t="shared" si="7"/>
        <v>3</v>
      </c>
      <c r="BD70" s="9">
        <f t="shared" si="8"/>
        <v>7</v>
      </c>
      <c r="BE70" s="10">
        <f t="shared" si="9"/>
        <v>4</v>
      </c>
      <c r="BF70" s="11" t="str">
        <f t="shared" si="10"/>
        <v/>
      </c>
    </row>
    <row r="71" spans="2:58" ht="12.75" customHeight="1" x14ac:dyDescent="0.2">
      <c r="B71" s="427"/>
      <c r="C71" s="51" t="s">
        <v>114</v>
      </c>
      <c r="D71" s="48" t="s">
        <v>137</v>
      </c>
      <c r="E71" s="125" t="s">
        <v>138</v>
      </c>
      <c r="F71" s="125" t="s">
        <v>150</v>
      </c>
      <c r="G71" s="125" t="s">
        <v>150</v>
      </c>
      <c r="H71" s="125" t="s">
        <v>150</v>
      </c>
      <c r="I71" s="118" t="s">
        <v>148</v>
      </c>
      <c r="J71" s="77"/>
      <c r="K71" s="126" t="s">
        <v>138</v>
      </c>
      <c r="L71" s="48" t="s">
        <v>137</v>
      </c>
      <c r="M71" s="125" t="s">
        <v>138</v>
      </c>
      <c r="N71" s="49"/>
      <c r="O71" s="49"/>
      <c r="P71" s="50"/>
      <c r="Q71" s="48"/>
      <c r="R71" s="125"/>
      <c r="S71" s="50"/>
      <c r="T71" s="48"/>
      <c r="U71" s="49"/>
      <c r="V71" s="49"/>
      <c r="W71" s="50"/>
      <c r="X71" s="48" t="s">
        <v>137</v>
      </c>
      <c r="Y71" s="125" t="s">
        <v>148</v>
      </c>
      <c r="Z71" s="125"/>
      <c r="AA71" s="49"/>
      <c r="AB71" s="125" t="s">
        <v>149</v>
      </c>
      <c r="AC71" s="125"/>
      <c r="AD71" s="125" t="s">
        <v>150</v>
      </c>
      <c r="AE71" s="50"/>
      <c r="AF71" s="68" t="s">
        <v>138</v>
      </c>
      <c r="AG71" s="49"/>
      <c r="AH71" s="125"/>
      <c r="AI71" s="49" t="s">
        <v>138</v>
      </c>
      <c r="AJ71" s="125" t="s">
        <v>136</v>
      </c>
      <c r="AK71" s="126" t="s">
        <v>136</v>
      </c>
      <c r="AL71" s="48"/>
      <c r="AM71" s="48" t="s">
        <v>147</v>
      </c>
      <c r="AN71" s="114"/>
      <c r="AO71" s="1"/>
      <c r="AP71" s="7">
        <f t="shared" si="26"/>
        <v>1</v>
      </c>
      <c r="AQ71" s="8">
        <f t="shared" si="27"/>
        <v>3</v>
      </c>
      <c r="AR71" s="9">
        <f t="shared" si="28"/>
        <v>5</v>
      </c>
      <c r="AS71" s="10">
        <f t="shared" si="29"/>
        <v>9</v>
      </c>
      <c r="AT71" s="11" t="str">
        <f t="shared" si="30"/>
        <v/>
      </c>
      <c r="AU71" s="17"/>
      <c r="AV71" s="79"/>
      <c r="AW71" s="8"/>
      <c r="AX71" s="9"/>
      <c r="AY71" s="10"/>
      <c r="AZ71" s="11"/>
      <c r="BA71" s="17"/>
      <c r="BB71" s="79">
        <f t="shared" si="31"/>
        <v>1</v>
      </c>
      <c r="BC71" s="8">
        <f t="shared" si="7"/>
        <v>3</v>
      </c>
      <c r="BD71" s="9">
        <f t="shared" si="8"/>
        <v>5</v>
      </c>
      <c r="BE71" s="10">
        <f t="shared" si="9"/>
        <v>9</v>
      </c>
      <c r="BF71" s="11" t="str">
        <f t="shared" si="10"/>
        <v/>
      </c>
    </row>
    <row r="72" spans="2:58" ht="12.75" customHeight="1" x14ac:dyDescent="0.2">
      <c r="B72" s="427"/>
      <c r="C72" s="51" t="s">
        <v>115</v>
      </c>
      <c r="D72" s="48" t="s">
        <v>139</v>
      </c>
      <c r="E72" s="125" t="s">
        <v>137</v>
      </c>
      <c r="F72" s="125" t="s">
        <v>148</v>
      </c>
      <c r="G72" s="125" t="s">
        <v>150</v>
      </c>
      <c r="H72" s="125" t="s">
        <v>150</v>
      </c>
      <c r="I72" s="118" t="s">
        <v>148</v>
      </c>
      <c r="J72" s="77" t="s">
        <v>137</v>
      </c>
      <c r="K72" s="126" t="s">
        <v>137</v>
      </c>
      <c r="L72" s="48" t="s">
        <v>137</v>
      </c>
      <c r="M72" s="125" t="s">
        <v>137</v>
      </c>
      <c r="N72" s="49"/>
      <c r="O72" s="49"/>
      <c r="P72" s="50"/>
      <c r="Q72" s="48"/>
      <c r="R72" s="125" t="s">
        <v>137</v>
      </c>
      <c r="S72" s="50"/>
      <c r="T72" s="48" t="s">
        <v>148</v>
      </c>
      <c r="U72" s="49" t="s">
        <v>137</v>
      </c>
      <c r="V72" s="49"/>
      <c r="W72" s="50"/>
      <c r="X72" s="48" t="s">
        <v>137</v>
      </c>
      <c r="Y72" s="125" t="s">
        <v>148</v>
      </c>
      <c r="Z72" s="125"/>
      <c r="AA72" s="49"/>
      <c r="AB72" s="125" t="s">
        <v>149</v>
      </c>
      <c r="AC72" s="125" t="s">
        <v>136</v>
      </c>
      <c r="AD72" s="125" t="s">
        <v>150</v>
      </c>
      <c r="AE72" s="50"/>
      <c r="AF72" s="68" t="s">
        <v>137</v>
      </c>
      <c r="AG72" s="49"/>
      <c r="AH72" s="125" t="s">
        <v>136</v>
      </c>
      <c r="AI72" s="49" t="s">
        <v>138</v>
      </c>
      <c r="AJ72" s="125" t="s">
        <v>136</v>
      </c>
      <c r="AK72" s="126" t="s">
        <v>136</v>
      </c>
      <c r="AL72" s="48" t="s">
        <v>147</v>
      </c>
      <c r="AM72" s="48" t="s">
        <v>148</v>
      </c>
      <c r="AN72" s="114"/>
      <c r="AO72" s="1"/>
      <c r="AP72" s="7">
        <f t="shared" si="26"/>
        <v>1</v>
      </c>
      <c r="AQ72" s="8">
        <f t="shared" si="27"/>
        <v>5</v>
      </c>
      <c r="AR72" s="9">
        <f t="shared" si="28"/>
        <v>14</v>
      </c>
      <c r="AS72" s="10">
        <f t="shared" si="29"/>
        <v>4</v>
      </c>
      <c r="AT72" s="11">
        <f t="shared" si="30"/>
        <v>1</v>
      </c>
      <c r="AU72" s="17"/>
      <c r="AV72" s="79"/>
      <c r="AW72" s="8"/>
      <c r="AX72" s="9"/>
      <c r="AY72" s="10"/>
      <c r="AZ72" s="11"/>
      <c r="BA72" s="17"/>
      <c r="BB72" s="79">
        <f t="shared" si="31"/>
        <v>1</v>
      </c>
      <c r="BC72" s="8">
        <f t="shared" si="7"/>
        <v>5</v>
      </c>
      <c r="BD72" s="9">
        <f t="shared" si="8"/>
        <v>14</v>
      </c>
      <c r="BE72" s="10">
        <f t="shared" si="9"/>
        <v>4</v>
      </c>
      <c r="BF72" s="11">
        <f t="shared" si="10"/>
        <v>1</v>
      </c>
    </row>
    <row r="73" spans="2:58" ht="15.75" customHeight="1" thickBot="1" x14ac:dyDescent="0.25">
      <c r="B73" s="427"/>
      <c r="C73" s="51" t="s">
        <v>116</v>
      </c>
      <c r="D73" s="48" t="s">
        <v>137</v>
      </c>
      <c r="E73" s="125" t="s">
        <v>139</v>
      </c>
      <c r="F73" s="125" t="s">
        <v>150</v>
      </c>
      <c r="G73" s="125" t="s">
        <v>150</v>
      </c>
      <c r="H73" s="125" t="s">
        <v>150</v>
      </c>
      <c r="I73" s="118" t="s">
        <v>147</v>
      </c>
      <c r="J73" s="77" t="s">
        <v>137</v>
      </c>
      <c r="K73" s="126" t="s">
        <v>138</v>
      </c>
      <c r="L73" s="48" t="s">
        <v>136</v>
      </c>
      <c r="M73" s="125" t="s">
        <v>137</v>
      </c>
      <c r="N73" s="49"/>
      <c r="O73" s="49" t="s">
        <v>136</v>
      </c>
      <c r="P73" s="50"/>
      <c r="Q73" s="48"/>
      <c r="R73" s="125"/>
      <c r="S73" s="50"/>
      <c r="T73" s="48" t="s">
        <v>148</v>
      </c>
      <c r="U73" s="49" t="s">
        <v>137</v>
      </c>
      <c r="V73" s="49"/>
      <c r="W73" s="50" t="s">
        <v>149</v>
      </c>
      <c r="X73" s="48" t="s">
        <v>136</v>
      </c>
      <c r="Y73" s="125" t="s">
        <v>148</v>
      </c>
      <c r="Z73" s="121" t="s">
        <v>137</v>
      </c>
      <c r="AA73" s="49"/>
      <c r="AB73" s="125" t="s">
        <v>149</v>
      </c>
      <c r="AC73" s="125" t="s">
        <v>137</v>
      </c>
      <c r="AD73" s="125" t="s">
        <v>150</v>
      </c>
      <c r="AE73" s="50"/>
      <c r="AF73" s="68" t="s">
        <v>138</v>
      </c>
      <c r="AG73" s="49"/>
      <c r="AH73" s="125" t="s">
        <v>138</v>
      </c>
      <c r="AI73" s="49" t="s">
        <v>138</v>
      </c>
      <c r="AJ73" s="125" t="s">
        <v>138</v>
      </c>
      <c r="AK73" s="126" t="s">
        <v>138</v>
      </c>
      <c r="AL73" s="63" t="s">
        <v>147</v>
      </c>
      <c r="AM73" s="48" t="s">
        <v>148</v>
      </c>
      <c r="AN73" s="114"/>
      <c r="AO73" s="1"/>
      <c r="AP73" s="12">
        <f t="shared" si="26"/>
        <v>2</v>
      </c>
      <c r="AQ73" s="13">
        <f t="shared" si="27"/>
        <v>5</v>
      </c>
      <c r="AR73" s="14">
        <f t="shared" si="28"/>
        <v>9</v>
      </c>
      <c r="AS73" s="15">
        <f t="shared" si="29"/>
        <v>10</v>
      </c>
      <c r="AT73" s="16">
        <f t="shared" si="30"/>
        <v>1</v>
      </c>
      <c r="AU73" s="17"/>
      <c r="AV73" s="80"/>
      <c r="AW73" s="13"/>
      <c r="AX73" s="14"/>
      <c r="AY73" s="15"/>
      <c r="AZ73" s="16"/>
      <c r="BA73" s="17"/>
      <c r="BB73" s="80">
        <f t="shared" si="31"/>
        <v>2</v>
      </c>
      <c r="BC73" s="13">
        <f t="shared" si="7"/>
        <v>5</v>
      </c>
      <c r="BD73" s="14">
        <f t="shared" si="8"/>
        <v>9</v>
      </c>
      <c r="BE73" s="15">
        <f t="shared" si="9"/>
        <v>10</v>
      </c>
      <c r="BF73" s="16">
        <f t="shared" si="10"/>
        <v>1</v>
      </c>
    </row>
    <row r="74" spans="2:58" ht="15.75" customHeight="1" thickBot="1" x14ac:dyDescent="0.25">
      <c r="B74" s="428"/>
      <c r="C74" s="62"/>
      <c r="D74" s="63"/>
      <c r="E74" s="64"/>
      <c r="F74" s="64"/>
      <c r="G74" s="64"/>
      <c r="H74" s="129"/>
      <c r="I74" s="78"/>
      <c r="J74" s="78"/>
      <c r="K74" s="65"/>
      <c r="L74" s="63"/>
      <c r="M74" s="64"/>
      <c r="N74" s="64"/>
      <c r="O74" s="64"/>
      <c r="P74" s="65"/>
      <c r="Q74" s="63"/>
      <c r="R74" s="64"/>
      <c r="S74" s="65"/>
      <c r="T74" s="63"/>
      <c r="U74" s="64"/>
      <c r="V74" s="64"/>
      <c r="W74" s="65"/>
      <c r="X74" s="63"/>
      <c r="Y74" s="129"/>
      <c r="Z74" s="129"/>
      <c r="AA74" s="64"/>
      <c r="AB74" s="64"/>
      <c r="AC74" s="64"/>
      <c r="AD74" s="129"/>
      <c r="AE74" s="65"/>
      <c r="AF74" s="69"/>
      <c r="AG74" s="69"/>
      <c r="AH74" s="64"/>
      <c r="AI74" s="64"/>
      <c r="AJ74" s="64"/>
      <c r="AK74" s="130"/>
      <c r="AL74" s="63"/>
      <c r="AM74" s="64"/>
      <c r="AN74" s="115"/>
      <c r="AO74" s="1"/>
      <c r="AP74" s="12" t="str">
        <f t="shared" si="26"/>
        <v/>
      </c>
      <c r="AQ74" s="13" t="str">
        <f t="shared" si="27"/>
        <v/>
      </c>
      <c r="AR74" s="14" t="str">
        <f t="shared" si="28"/>
        <v/>
      </c>
      <c r="AS74" s="15" t="str">
        <f t="shared" si="29"/>
        <v/>
      </c>
      <c r="AT74" s="16" t="str">
        <f t="shared" si="30"/>
        <v/>
      </c>
      <c r="AU74" s="17"/>
      <c r="AV74" s="80"/>
      <c r="AW74" s="13"/>
      <c r="AX74" s="14"/>
      <c r="AY74" s="15"/>
      <c r="AZ74" s="16"/>
      <c r="BA74" s="17"/>
      <c r="BB74" s="80" t="str">
        <f t="shared" si="31"/>
        <v/>
      </c>
      <c r="BC74" s="13" t="str">
        <f t="shared" si="7"/>
        <v/>
      </c>
      <c r="BD74" s="14" t="str">
        <f t="shared" si="8"/>
        <v/>
      </c>
      <c r="BE74" s="15" t="str">
        <f t="shared" si="9"/>
        <v/>
      </c>
      <c r="BF74" s="16" t="str">
        <f t="shared" si="10"/>
        <v/>
      </c>
    </row>
    <row r="75" spans="2:58" x14ac:dyDescent="0.2">
      <c r="B75" s="54" t="s">
        <v>41</v>
      </c>
      <c r="C75" s="55"/>
      <c r="D75" s="56" t="str">
        <f t="shared" ref="D75:AN75" si="32">IF(COUNTIF(D4:D74,"O")&gt;0,COUNTIF(D4:D74,"O"),"")</f>
        <v/>
      </c>
      <c r="E75" s="57">
        <f t="shared" si="32"/>
        <v>3</v>
      </c>
      <c r="F75" s="57">
        <f t="shared" si="32"/>
        <v>9</v>
      </c>
      <c r="G75" s="57" t="str">
        <f t="shared" si="32"/>
        <v/>
      </c>
      <c r="H75" s="57" t="str">
        <f t="shared" si="32"/>
        <v/>
      </c>
      <c r="I75" s="57">
        <f t="shared" si="32"/>
        <v>1</v>
      </c>
      <c r="J75" s="57">
        <f t="shared" si="32"/>
        <v>2</v>
      </c>
      <c r="K75" s="57" t="str">
        <f t="shared" si="32"/>
        <v/>
      </c>
      <c r="L75" s="56">
        <f t="shared" si="32"/>
        <v>20</v>
      </c>
      <c r="M75" s="57">
        <f t="shared" si="32"/>
        <v>12</v>
      </c>
      <c r="N75" s="57" t="str">
        <f t="shared" si="32"/>
        <v/>
      </c>
      <c r="O75" s="57" t="str">
        <f t="shared" si="32"/>
        <v/>
      </c>
      <c r="P75" s="57" t="str">
        <f t="shared" si="32"/>
        <v/>
      </c>
      <c r="Q75" s="57" t="str">
        <f t="shared" si="32"/>
        <v/>
      </c>
      <c r="R75" s="57">
        <f t="shared" si="32"/>
        <v>2</v>
      </c>
      <c r="S75" s="57" t="str">
        <f t="shared" si="32"/>
        <v/>
      </c>
      <c r="T75" s="57" t="str">
        <f t="shared" si="32"/>
        <v/>
      </c>
      <c r="U75" s="57">
        <f t="shared" si="32"/>
        <v>3</v>
      </c>
      <c r="V75" s="57" t="str">
        <f t="shared" si="32"/>
        <v/>
      </c>
      <c r="W75" s="57">
        <f t="shared" si="32"/>
        <v>9</v>
      </c>
      <c r="X75" s="57" t="str">
        <f t="shared" si="32"/>
        <v/>
      </c>
      <c r="Y75" s="57" t="str">
        <f t="shared" si="32"/>
        <v/>
      </c>
      <c r="Z75" s="57" t="str">
        <f t="shared" si="32"/>
        <v/>
      </c>
      <c r="AA75" s="57" t="str">
        <f t="shared" si="32"/>
        <v/>
      </c>
      <c r="AB75" s="57">
        <f t="shared" si="32"/>
        <v>22</v>
      </c>
      <c r="AC75" s="57">
        <f t="shared" si="32"/>
        <v>1</v>
      </c>
      <c r="AD75" s="57" t="str">
        <f t="shared" si="32"/>
        <v/>
      </c>
      <c r="AE75" s="57" t="str">
        <f t="shared" si="32"/>
        <v/>
      </c>
      <c r="AF75" s="57">
        <f t="shared" si="32"/>
        <v>3</v>
      </c>
      <c r="AG75" s="57" t="str">
        <f t="shared" si="32"/>
        <v/>
      </c>
      <c r="AH75" s="57" t="str">
        <f t="shared" si="32"/>
        <v/>
      </c>
      <c r="AI75" s="57">
        <f t="shared" si="32"/>
        <v>1</v>
      </c>
      <c r="AJ75" s="57" t="str">
        <f t="shared" si="32"/>
        <v/>
      </c>
      <c r="AK75" s="57" t="str">
        <f t="shared" si="32"/>
        <v/>
      </c>
      <c r="AL75" s="57" t="str">
        <f t="shared" si="32"/>
        <v/>
      </c>
      <c r="AM75" s="57" t="str">
        <f t="shared" si="32"/>
        <v/>
      </c>
      <c r="AN75" s="57" t="str">
        <f t="shared" si="32"/>
        <v/>
      </c>
      <c r="AO75" s="1"/>
      <c r="AP75" s="17"/>
      <c r="AQ75" s="17"/>
      <c r="AR75" s="17"/>
      <c r="AS75" s="17"/>
      <c r="AT75" s="17"/>
      <c r="AV75" s="2"/>
      <c r="AW75" s="2"/>
      <c r="AX75" s="2"/>
      <c r="AY75" s="2"/>
      <c r="AZ75" s="2"/>
      <c r="BB75" s="2"/>
      <c r="BC75" s="2"/>
      <c r="BD75" s="2"/>
    </row>
    <row r="76" spans="2:58" x14ac:dyDescent="0.2">
      <c r="B76" s="18" t="s">
        <v>42</v>
      </c>
      <c r="C76" s="19"/>
      <c r="D76" s="20">
        <f t="shared" ref="D76:AN76" si="33">IF(COUNTIF(D4:D74,"J")&gt;0,COUNTIF(D4:D74,"J"),"")</f>
        <v>12</v>
      </c>
      <c r="E76" s="8">
        <f t="shared" si="33"/>
        <v>9</v>
      </c>
      <c r="F76" s="8">
        <f t="shared" si="33"/>
        <v>15</v>
      </c>
      <c r="G76" s="8">
        <f t="shared" si="33"/>
        <v>7</v>
      </c>
      <c r="H76" s="8">
        <f t="shared" si="33"/>
        <v>14</v>
      </c>
      <c r="I76" s="8">
        <f t="shared" si="33"/>
        <v>7</v>
      </c>
      <c r="J76" s="8">
        <f t="shared" si="33"/>
        <v>5</v>
      </c>
      <c r="K76" s="21">
        <f t="shared" si="33"/>
        <v>14</v>
      </c>
      <c r="L76" s="20">
        <f t="shared" si="33"/>
        <v>18</v>
      </c>
      <c r="M76" s="8">
        <f t="shared" si="33"/>
        <v>22</v>
      </c>
      <c r="N76" s="8" t="str">
        <f t="shared" si="33"/>
        <v/>
      </c>
      <c r="O76" s="8">
        <f t="shared" si="33"/>
        <v>17</v>
      </c>
      <c r="P76" s="8" t="str">
        <f t="shared" si="33"/>
        <v/>
      </c>
      <c r="Q76" s="8" t="str">
        <f t="shared" si="33"/>
        <v/>
      </c>
      <c r="R76" s="8">
        <f t="shared" si="33"/>
        <v>6</v>
      </c>
      <c r="S76" s="8" t="str">
        <f t="shared" si="33"/>
        <v/>
      </c>
      <c r="T76" s="20">
        <f t="shared" si="33"/>
        <v>14</v>
      </c>
      <c r="U76" s="8">
        <f t="shared" si="33"/>
        <v>6</v>
      </c>
      <c r="V76" s="8" t="str">
        <f t="shared" si="33"/>
        <v/>
      </c>
      <c r="W76" s="8">
        <f t="shared" si="33"/>
        <v>8</v>
      </c>
      <c r="X76" s="8">
        <f t="shared" si="33"/>
        <v>13</v>
      </c>
      <c r="Y76" s="8">
        <f t="shared" si="33"/>
        <v>3</v>
      </c>
      <c r="Z76" s="8">
        <f t="shared" si="33"/>
        <v>9</v>
      </c>
      <c r="AA76" s="8" t="str">
        <f t="shared" si="33"/>
        <v/>
      </c>
      <c r="AB76" s="8">
        <f t="shared" si="33"/>
        <v>15</v>
      </c>
      <c r="AC76" s="8">
        <f t="shared" si="33"/>
        <v>9</v>
      </c>
      <c r="AD76" s="8">
        <f t="shared" si="33"/>
        <v>2</v>
      </c>
      <c r="AE76" s="8" t="str">
        <f t="shared" si="33"/>
        <v/>
      </c>
      <c r="AF76" s="8">
        <f t="shared" si="33"/>
        <v>9</v>
      </c>
      <c r="AG76" s="8">
        <f t="shared" si="33"/>
        <v>3</v>
      </c>
      <c r="AH76" s="8">
        <f t="shared" si="33"/>
        <v>12</v>
      </c>
      <c r="AI76" s="8">
        <f t="shared" si="33"/>
        <v>7</v>
      </c>
      <c r="AJ76" s="8">
        <f t="shared" si="33"/>
        <v>18</v>
      </c>
      <c r="AK76" s="21">
        <f t="shared" si="33"/>
        <v>15</v>
      </c>
      <c r="AL76" s="8">
        <f t="shared" si="33"/>
        <v>8</v>
      </c>
      <c r="AM76" s="8">
        <f t="shared" si="33"/>
        <v>18</v>
      </c>
      <c r="AN76" s="22" t="str">
        <f t="shared" si="33"/>
        <v/>
      </c>
      <c r="AO76" s="1"/>
      <c r="AP76" s="17"/>
      <c r="AQ76" s="17"/>
      <c r="AR76" s="17"/>
      <c r="AS76" s="17"/>
      <c r="AT76" s="17"/>
      <c r="AV76" s="2"/>
      <c r="AW76" s="2"/>
      <c r="AX76" s="2"/>
      <c r="AY76" s="2"/>
      <c r="AZ76" s="2"/>
      <c r="BB76" s="2"/>
      <c r="BC76" s="2"/>
      <c r="BD76" s="2"/>
    </row>
    <row r="77" spans="2:58" x14ac:dyDescent="0.2">
      <c r="B77" s="23" t="s">
        <v>43</v>
      </c>
      <c r="C77" s="24"/>
      <c r="D77" s="25">
        <f t="shared" ref="D77:AN77" si="34">IF(COUNTIF(D4:D74,"M")&gt;0,COUNTIF(D4:D74,"M"),"")</f>
        <v>28</v>
      </c>
      <c r="E77" s="9">
        <f t="shared" si="34"/>
        <v>27</v>
      </c>
      <c r="F77" s="9">
        <f t="shared" si="34"/>
        <v>14</v>
      </c>
      <c r="G77" s="9">
        <f t="shared" si="34"/>
        <v>15</v>
      </c>
      <c r="H77" s="9">
        <f t="shared" si="34"/>
        <v>22</v>
      </c>
      <c r="I77" s="9">
        <f t="shared" si="34"/>
        <v>6</v>
      </c>
      <c r="J77" s="9">
        <f t="shared" si="34"/>
        <v>7</v>
      </c>
      <c r="K77" s="26">
        <f t="shared" si="34"/>
        <v>24</v>
      </c>
      <c r="L77" s="25">
        <f t="shared" si="34"/>
        <v>13</v>
      </c>
      <c r="M77" s="9">
        <f t="shared" si="34"/>
        <v>22</v>
      </c>
      <c r="N77" s="9" t="str">
        <f t="shared" si="34"/>
        <v/>
      </c>
      <c r="O77" s="9">
        <f t="shared" si="34"/>
        <v>6</v>
      </c>
      <c r="P77" s="9" t="str">
        <f t="shared" si="34"/>
        <v/>
      </c>
      <c r="Q77" s="9" t="str">
        <f t="shared" si="34"/>
        <v/>
      </c>
      <c r="R77" s="9">
        <f t="shared" si="34"/>
        <v>16</v>
      </c>
      <c r="S77" s="26" t="str">
        <f t="shared" si="34"/>
        <v/>
      </c>
      <c r="T77" s="25">
        <f t="shared" si="34"/>
        <v>13</v>
      </c>
      <c r="U77" s="9">
        <f t="shared" si="34"/>
        <v>17</v>
      </c>
      <c r="V77" s="9" t="str">
        <f t="shared" si="34"/>
        <v/>
      </c>
      <c r="W77" s="9">
        <f t="shared" si="34"/>
        <v>8</v>
      </c>
      <c r="X77" s="9">
        <f t="shared" si="34"/>
        <v>23</v>
      </c>
      <c r="Y77" s="9">
        <f t="shared" si="34"/>
        <v>14</v>
      </c>
      <c r="Z77" s="9">
        <f t="shared" si="34"/>
        <v>17</v>
      </c>
      <c r="AA77" s="9" t="str">
        <f t="shared" si="34"/>
        <v/>
      </c>
      <c r="AB77" s="9">
        <f t="shared" si="34"/>
        <v>2</v>
      </c>
      <c r="AC77" s="9">
        <f t="shared" si="34"/>
        <v>15</v>
      </c>
      <c r="AD77" s="9">
        <f t="shared" si="34"/>
        <v>20</v>
      </c>
      <c r="AE77" s="9" t="str">
        <f t="shared" si="34"/>
        <v/>
      </c>
      <c r="AF77" s="9">
        <f t="shared" si="34"/>
        <v>30</v>
      </c>
      <c r="AG77" s="9">
        <f t="shared" si="34"/>
        <v>21</v>
      </c>
      <c r="AH77" s="9">
        <f t="shared" si="34"/>
        <v>7</v>
      </c>
      <c r="AI77" s="9">
        <f t="shared" si="34"/>
        <v>16</v>
      </c>
      <c r="AJ77" s="9">
        <f t="shared" si="34"/>
        <v>4</v>
      </c>
      <c r="AK77" s="9">
        <f t="shared" si="34"/>
        <v>8</v>
      </c>
      <c r="AL77" s="9">
        <f t="shared" si="34"/>
        <v>5</v>
      </c>
      <c r="AM77" s="9">
        <f t="shared" si="34"/>
        <v>18</v>
      </c>
      <c r="AN77" s="9" t="str">
        <f t="shared" si="34"/>
        <v/>
      </c>
      <c r="AO77" s="1"/>
      <c r="AP77" s="17"/>
      <c r="AQ77" s="17"/>
      <c r="AR77" s="17"/>
      <c r="AS77" s="17"/>
      <c r="AT77" s="17"/>
      <c r="AV77" s="2"/>
      <c r="AW77" s="2"/>
      <c r="AX77" s="2"/>
      <c r="AY77" s="2"/>
      <c r="AZ77" s="2"/>
      <c r="BB77" s="2"/>
      <c r="BC77" s="2"/>
      <c r="BD77" s="2"/>
    </row>
    <row r="78" spans="2:58" x14ac:dyDescent="0.2">
      <c r="B78" s="27" t="s">
        <v>44</v>
      </c>
      <c r="C78" s="28"/>
      <c r="D78" s="29">
        <f t="shared" ref="D78:AN78" si="35">IF(COUNTIF(D4:D74,"S")&gt;0,COUNTIF(D4:D74,"S"),"")</f>
        <v>16</v>
      </c>
      <c r="E78" s="10">
        <f t="shared" si="35"/>
        <v>19</v>
      </c>
      <c r="F78" s="10">
        <f t="shared" si="35"/>
        <v>27</v>
      </c>
      <c r="G78" s="10">
        <f t="shared" si="35"/>
        <v>38</v>
      </c>
      <c r="H78" s="10">
        <f t="shared" si="35"/>
        <v>25</v>
      </c>
      <c r="I78" s="10">
        <f t="shared" si="35"/>
        <v>11</v>
      </c>
      <c r="J78" s="10">
        <f t="shared" si="35"/>
        <v>13</v>
      </c>
      <c r="K78" s="10">
        <f t="shared" si="35"/>
        <v>19</v>
      </c>
      <c r="L78" s="10">
        <f t="shared" si="35"/>
        <v>11</v>
      </c>
      <c r="M78" s="10">
        <f t="shared" si="35"/>
        <v>4</v>
      </c>
      <c r="N78" s="10" t="str">
        <f t="shared" si="35"/>
        <v/>
      </c>
      <c r="O78" s="10">
        <f t="shared" si="35"/>
        <v>15</v>
      </c>
      <c r="P78" s="10" t="str">
        <f t="shared" si="35"/>
        <v/>
      </c>
      <c r="Q78" s="10" t="str">
        <f t="shared" si="35"/>
        <v/>
      </c>
      <c r="R78" s="10">
        <f t="shared" si="35"/>
        <v>2</v>
      </c>
      <c r="S78" s="10" t="str">
        <f t="shared" si="35"/>
        <v/>
      </c>
      <c r="T78" s="10">
        <f t="shared" si="35"/>
        <v>2</v>
      </c>
      <c r="U78" s="10">
        <f t="shared" si="35"/>
        <v>9</v>
      </c>
      <c r="V78" s="10" t="str">
        <f t="shared" si="35"/>
        <v/>
      </c>
      <c r="W78" s="10">
        <f t="shared" si="35"/>
        <v>5</v>
      </c>
      <c r="X78" s="10">
        <f t="shared" si="35"/>
        <v>9</v>
      </c>
      <c r="Y78" s="10">
        <f t="shared" si="35"/>
        <v>22</v>
      </c>
      <c r="Z78" s="10">
        <f t="shared" si="35"/>
        <v>10</v>
      </c>
      <c r="AA78" s="10" t="str">
        <f t="shared" si="35"/>
        <v/>
      </c>
      <c r="AB78" s="10" t="str">
        <f t="shared" si="35"/>
        <v/>
      </c>
      <c r="AC78" s="10">
        <f t="shared" si="35"/>
        <v>12</v>
      </c>
      <c r="AD78" s="10">
        <f t="shared" si="35"/>
        <v>42</v>
      </c>
      <c r="AE78" s="10" t="str">
        <f t="shared" si="35"/>
        <v/>
      </c>
      <c r="AF78" s="10">
        <f t="shared" si="35"/>
        <v>16</v>
      </c>
      <c r="AG78" s="10">
        <f t="shared" si="35"/>
        <v>4</v>
      </c>
      <c r="AH78" s="10">
        <f t="shared" si="35"/>
        <v>22</v>
      </c>
      <c r="AI78" s="10">
        <f t="shared" si="35"/>
        <v>27</v>
      </c>
      <c r="AJ78" s="10">
        <f t="shared" si="35"/>
        <v>26</v>
      </c>
      <c r="AK78" s="10">
        <f t="shared" si="35"/>
        <v>22</v>
      </c>
      <c r="AL78" s="10">
        <f t="shared" si="35"/>
        <v>3</v>
      </c>
      <c r="AM78" s="10">
        <f t="shared" si="35"/>
        <v>9</v>
      </c>
      <c r="AN78" s="10" t="str">
        <f t="shared" si="35"/>
        <v/>
      </c>
      <c r="AO78" s="1"/>
      <c r="AP78" s="17"/>
      <c r="AQ78" s="17"/>
      <c r="AR78" s="17"/>
      <c r="AS78" s="17"/>
      <c r="AT78" s="17"/>
      <c r="AV78" s="2"/>
      <c r="AW78" s="2"/>
      <c r="AX78" s="2"/>
      <c r="AY78" s="2"/>
      <c r="AZ78" s="2"/>
      <c r="BB78" s="2"/>
      <c r="BC78" s="2"/>
      <c r="BD78" s="2"/>
    </row>
    <row r="79" spans="2:58" ht="12.75" thickBot="1" x14ac:dyDescent="0.25">
      <c r="B79" s="30" t="s">
        <v>45</v>
      </c>
      <c r="C79" s="31"/>
      <c r="D79" s="32">
        <f t="shared" ref="D79:AN79" si="36">IF(COUNTIF(D4:D74,"E")&gt;0,COUNTIF(D4:D74,"E"),"")</f>
        <v>6</v>
      </c>
      <c r="E79" s="33">
        <f t="shared" si="36"/>
        <v>7</v>
      </c>
      <c r="F79" s="33" t="str">
        <f t="shared" si="36"/>
        <v/>
      </c>
      <c r="G79" s="33">
        <f t="shared" si="36"/>
        <v>5</v>
      </c>
      <c r="H79" s="33">
        <f t="shared" si="36"/>
        <v>4</v>
      </c>
      <c r="I79" s="33">
        <f t="shared" si="36"/>
        <v>2</v>
      </c>
      <c r="J79" s="33">
        <f t="shared" si="36"/>
        <v>2</v>
      </c>
      <c r="K79" s="33">
        <f t="shared" si="36"/>
        <v>2</v>
      </c>
      <c r="L79" s="33">
        <f t="shared" si="36"/>
        <v>3</v>
      </c>
      <c r="M79" s="33" t="str">
        <f t="shared" si="36"/>
        <v/>
      </c>
      <c r="N79" s="33" t="str">
        <f t="shared" si="36"/>
        <v/>
      </c>
      <c r="O79" s="33">
        <f t="shared" si="36"/>
        <v>2</v>
      </c>
      <c r="P79" s="33" t="str">
        <f t="shared" si="36"/>
        <v/>
      </c>
      <c r="Q79" s="33" t="str">
        <f t="shared" si="36"/>
        <v/>
      </c>
      <c r="R79" s="33">
        <f t="shared" si="36"/>
        <v>2</v>
      </c>
      <c r="S79" s="33" t="str">
        <f t="shared" si="36"/>
        <v/>
      </c>
      <c r="T79" s="33">
        <f t="shared" si="36"/>
        <v>1</v>
      </c>
      <c r="U79" s="33" t="str">
        <f t="shared" si="36"/>
        <v/>
      </c>
      <c r="V79" s="33" t="str">
        <f t="shared" si="36"/>
        <v/>
      </c>
      <c r="W79" s="33">
        <f t="shared" si="36"/>
        <v>1</v>
      </c>
      <c r="X79" s="33" t="str">
        <f t="shared" si="36"/>
        <v/>
      </c>
      <c r="Y79" s="33">
        <f t="shared" si="36"/>
        <v>4</v>
      </c>
      <c r="Z79" s="33" t="str">
        <f t="shared" si="36"/>
        <v/>
      </c>
      <c r="AA79" s="33" t="str">
        <f t="shared" si="36"/>
        <v/>
      </c>
      <c r="AB79" s="33" t="str">
        <f t="shared" si="36"/>
        <v/>
      </c>
      <c r="AC79" s="33">
        <f t="shared" si="36"/>
        <v>2</v>
      </c>
      <c r="AD79" s="33">
        <f t="shared" si="36"/>
        <v>1</v>
      </c>
      <c r="AE79" s="33" t="str">
        <f t="shared" si="36"/>
        <v/>
      </c>
      <c r="AF79" s="33">
        <f t="shared" si="36"/>
        <v>5</v>
      </c>
      <c r="AG79" s="33" t="str">
        <f t="shared" si="36"/>
        <v/>
      </c>
      <c r="AH79" s="33">
        <f t="shared" si="36"/>
        <v>7</v>
      </c>
      <c r="AI79" s="33">
        <f t="shared" si="36"/>
        <v>5</v>
      </c>
      <c r="AJ79" s="33">
        <f t="shared" si="36"/>
        <v>14</v>
      </c>
      <c r="AK79" s="33">
        <f t="shared" si="36"/>
        <v>9</v>
      </c>
      <c r="AL79" s="33" t="str">
        <f t="shared" si="36"/>
        <v/>
      </c>
      <c r="AM79" s="33">
        <f t="shared" si="36"/>
        <v>2</v>
      </c>
      <c r="AN79" s="33" t="str">
        <f t="shared" si="36"/>
        <v/>
      </c>
      <c r="AO79" s="1"/>
      <c r="AP79" s="17"/>
      <c r="AQ79" s="17"/>
      <c r="AR79" s="17"/>
      <c r="AS79" s="17"/>
      <c r="AT79" s="17"/>
      <c r="AV79" s="2"/>
      <c r="AW79" s="2"/>
      <c r="AX79" s="2"/>
      <c r="AY79" s="2"/>
      <c r="AZ79" s="2"/>
      <c r="BB79" s="2"/>
      <c r="BC79" s="2"/>
      <c r="BD79" s="2"/>
    </row>
    <row r="80" spans="2:58" ht="6" customHeight="1" thickBot="1" x14ac:dyDescent="0.25">
      <c r="C80" s="6"/>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P80" s="6"/>
      <c r="AQ80" s="6"/>
      <c r="AR80" s="2"/>
      <c r="AS80" s="2"/>
      <c r="AT80" s="2"/>
      <c r="AV80" s="2"/>
      <c r="AW80" s="2"/>
      <c r="AX80" s="2"/>
      <c r="AY80" s="2"/>
      <c r="AZ80" s="2"/>
      <c r="BB80" s="2"/>
      <c r="BC80" s="2"/>
      <c r="BD80" s="2"/>
    </row>
    <row r="81" spans="1:58" ht="12.75" thickBot="1" x14ac:dyDescent="0.25">
      <c r="C81" s="35" t="s">
        <v>117</v>
      </c>
      <c r="D81" s="36">
        <f>SUM(D75:D79)</f>
        <v>62</v>
      </c>
      <c r="E81" s="37">
        <f t="shared" ref="E81:AN81" si="37">SUM(E75:E79)</f>
        <v>65</v>
      </c>
      <c r="F81" s="37">
        <f t="shared" si="37"/>
        <v>65</v>
      </c>
      <c r="G81" s="37">
        <f t="shared" si="37"/>
        <v>65</v>
      </c>
      <c r="H81" s="38">
        <f t="shared" si="37"/>
        <v>65</v>
      </c>
      <c r="I81" s="38">
        <f t="shared" si="37"/>
        <v>27</v>
      </c>
      <c r="J81" s="38">
        <f t="shared" si="37"/>
        <v>29</v>
      </c>
      <c r="K81" s="39">
        <f t="shared" si="37"/>
        <v>59</v>
      </c>
      <c r="L81" s="36">
        <f t="shared" si="37"/>
        <v>65</v>
      </c>
      <c r="M81" s="37">
        <f t="shared" si="37"/>
        <v>60</v>
      </c>
      <c r="N81" s="37">
        <f t="shared" si="37"/>
        <v>0</v>
      </c>
      <c r="O81" s="37">
        <f t="shared" si="37"/>
        <v>40</v>
      </c>
      <c r="P81" s="39">
        <f t="shared" si="37"/>
        <v>0</v>
      </c>
      <c r="Q81" s="36">
        <f t="shared" si="37"/>
        <v>0</v>
      </c>
      <c r="R81" s="37">
        <f t="shared" si="37"/>
        <v>28</v>
      </c>
      <c r="S81" s="39">
        <f t="shared" si="37"/>
        <v>0</v>
      </c>
      <c r="T81" s="36">
        <f t="shared" si="37"/>
        <v>30</v>
      </c>
      <c r="U81" s="40">
        <f t="shared" si="37"/>
        <v>35</v>
      </c>
      <c r="V81" s="40">
        <f t="shared" si="37"/>
        <v>0</v>
      </c>
      <c r="W81" s="41">
        <f t="shared" si="37"/>
        <v>31</v>
      </c>
      <c r="X81" s="36">
        <f t="shared" si="37"/>
        <v>45</v>
      </c>
      <c r="Y81" s="40">
        <f t="shared" si="37"/>
        <v>43</v>
      </c>
      <c r="Z81" s="40">
        <f t="shared" si="37"/>
        <v>36</v>
      </c>
      <c r="AA81" s="40">
        <f t="shared" si="37"/>
        <v>0</v>
      </c>
      <c r="AB81" s="40">
        <f t="shared" si="37"/>
        <v>39</v>
      </c>
      <c r="AC81" s="40">
        <f t="shared" si="37"/>
        <v>39</v>
      </c>
      <c r="AD81" s="40">
        <f t="shared" si="37"/>
        <v>65</v>
      </c>
      <c r="AE81" s="41">
        <f t="shared" si="37"/>
        <v>0</v>
      </c>
      <c r="AF81" s="40">
        <f t="shared" si="37"/>
        <v>63</v>
      </c>
      <c r="AG81" s="40">
        <f t="shared" si="37"/>
        <v>28</v>
      </c>
      <c r="AH81" s="40">
        <f t="shared" si="37"/>
        <v>48</v>
      </c>
      <c r="AI81" s="40">
        <f t="shared" si="37"/>
        <v>56</v>
      </c>
      <c r="AJ81" s="40">
        <f t="shared" si="37"/>
        <v>62</v>
      </c>
      <c r="AK81" s="41">
        <f t="shared" si="37"/>
        <v>54</v>
      </c>
      <c r="AL81" s="36">
        <f t="shared" si="37"/>
        <v>16</v>
      </c>
      <c r="AM81" s="36">
        <f t="shared" si="37"/>
        <v>47</v>
      </c>
      <c r="AN81" s="41">
        <f t="shared" si="37"/>
        <v>0</v>
      </c>
      <c r="AO81" s="1"/>
      <c r="AP81" s="2"/>
      <c r="AQ81" s="2"/>
      <c r="AR81" s="2"/>
      <c r="AS81" s="2"/>
      <c r="AT81" s="2"/>
      <c r="AV81" s="2"/>
      <c r="AW81" s="2"/>
      <c r="AX81" s="2"/>
      <c r="AY81" s="2"/>
      <c r="AZ81" s="2"/>
      <c r="BB81" s="2"/>
      <c r="BC81" s="2"/>
      <c r="BD81" s="2"/>
    </row>
    <row r="82" spans="1:58" x14ac:dyDescent="0.2">
      <c r="AO82" s="1"/>
      <c r="AP82" s="2"/>
      <c r="AQ82" s="2"/>
      <c r="AR82" s="2"/>
      <c r="AS82" s="2"/>
      <c r="AT82" s="2"/>
    </row>
    <row r="83" spans="1:58" ht="12.75" thickBot="1" x14ac:dyDescent="0.25">
      <c r="AO83" s="1"/>
      <c r="AP83" s="2"/>
      <c r="AQ83" s="2"/>
      <c r="AR83" s="2"/>
      <c r="AS83" s="2"/>
      <c r="AT83" s="2"/>
    </row>
    <row r="84" spans="1:58" s="3" customFormat="1" ht="45" customHeight="1" x14ac:dyDescent="0.2">
      <c r="A84" s="424" t="s">
        <v>127</v>
      </c>
      <c r="B84" s="424"/>
      <c r="C84" s="425"/>
      <c r="D84" s="418" t="s">
        <v>1</v>
      </c>
      <c r="E84" s="419"/>
      <c r="F84" s="419"/>
      <c r="G84" s="419"/>
      <c r="H84" s="419"/>
      <c r="I84" s="419"/>
      <c r="J84" s="419"/>
      <c r="K84" s="420"/>
      <c r="L84" s="418" t="s">
        <v>2</v>
      </c>
      <c r="M84" s="419"/>
      <c r="N84" s="419"/>
      <c r="O84" s="419"/>
      <c r="P84" s="420"/>
      <c r="Q84" s="418" t="s">
        <v>3</v>
      </c>
      <c r="R84" s="419"/>
      <c r="S84" s="420"/>
      <c r="T84" s="418" t="s">
        <v>4</v>
      </c>
      <c r="U84" s="419"/>
      <c r="V84" s="419"/>
      <c r="W84" s="420"/>
      <c r="X84" s="418" t="s">
        <v>5</v>
      </c>
      <c r="Y84" s="419"/>
      <c r="Z84" s="419"/>
      <c r="AA84" s="419"/>
      <c r="AB84" s="419"/>
      <c r="AC84" s="419"/>
      <c r="AD84" s="419"/>
      <c r="AE84" s="420"/>
      <c r="AF84" s="419"/>
      <c r="AG84" s="419"/>
      <c r="AH84" s="419"/>
      <c r="AI84" s="419"/>
      <c r="AJ84" s="419"/>
      <c r="AK84" s="420"/>
      <c r="AL84" s="418"/>
      <c r="AM84" s="419"/>
      <c r="AN84" s="420" t="s">
        <v>120</v>
      </c>
      <c r="AO84" s="1"/>
      <c r="AP84" s="421" t="s">
        <v>7</v>
      </c>
      <c r="AQ84" s="422"/>
      <c r="AR84" s="422"/>
      <c r="AS84" s="422"/>
      <c r="AT84" s="423"/>
      <c r="AU84" s="2"/>
      <c r="AV84" s="421" t="s">
        <v>8</v>
      </c>
      <c r="AW84" s="422"/>
      <c r="AX84" s="422"/>
      <c r="AY84" s="422"/>
      <c r="AZ84" s="423"/>
      <c r="BA84" s="2"/>
      <c r="BB84" s="421" t="s">
        <v>119</v>
      </c>
      <c r="BC84" s="422"/>
      <c r="BD84" s="422"/>
      <c r="BE84" s="422"/>
      <c r="BF84" s="423"/>
    </row>
    <row r="85" spans="1:58" s="5" customFormat="1" ht="84.75" thickBot="1" x14ac:dyDescent="0.25">
      <c r="A85" s="4" t="s">
        <v>134</v>
      </c>
      <c r="C85" s="4"/>
      <c r="D85" s="71" t="str">
        <f t="shared" ref="D85:AF85" si="38">D2</f>
        <v>Iris Koop</v>
      </c>
      <c r="E85" s="72" t="str">
        <f t="shared" si="38"/>
        <v>Maarten de Jong</v>
      </c>
      <c r="F85" s="72" t="str">
        <f t="shared" si="38"/>
        <v>Wiebe Stuivenwold</v>
      </c>
      <c r="G85" s="72" t="str">
        <f t="shared" si="38"/>
        <v>Tako van der Giessen</v>
      </c>
      <c r="H85" s="72" t="str">
        <f t="shared" si="38"/>
        <v>Carmen Emanuels</v>
      </c>
      <c r="I85" s="72" t="str">
        <f t="shared" si="38"/>
        <v>Carin Prosée</v>
      </c>
      <c r="J85" s="72" t="str">
        <f t="shared" si="38"/>
        <v>Fred van der Vecht</v>
      </c>
      <c r="K85" s="73" t="str">
        <f t="shared" si="38"/>
        <v>Jeanne Driessen</v>
      </c>
      <c r="L85" s="71" t="str">
        <f t="shared" si="38"/>
        <v>Philip van der Most</v>
      </c>
      <c r="M85" s="72" t="str">
        <f t="shared" si="38"/>
        <v>Marion van Draanen</v>
      </c>
      <c r="N85" s="166" t="str">
        <f t="shared" si="38"/>
        <v>Arnold Blankespoor</v>
      </c>
      <c r="O85" s="72" t="str">
        <f t="shared" si="38"/>
        <v>Frank Meuwissen</v>
      </c>
      <c r="P85" s="74" t="str">
        <f t="shared" si="38"/>
        <v>Vacature</v>
      </c>
      <c r="Q85" s="170" t="str">
        <f t="shared" si="38"/>
        <v>Matthijs Lamberse</v>
      </c>
      <c r="R85" s="75" t="str">
        <f t="shared" si="38"/>
        <v>Frank van Geffen</v>
      </c>
      <c r="S85" s="74" t="str">
        <f t="shared" si="38"/>
        <v>Vacature</v>
      </c>
      <c r="T85" s="71" t="str">
        <f t="shared" si="38"/>
        <v>Peter Jan Donker</v>
      </c>
      <c r="U85" s="72" t="str">
        <f t="shared" si="38"/>
        <v>Bob Poelstra</v>
      </c>
      <c r="V85" s="166" t="str">
        <f t="shared" si="38"/>
        <v>Robin Vervuren</v>
      </c>
      <c r="W85" s="74" t="str">
        <f t="shared" si="38"/>
        <v>Eugene Wijnvoord</v>
      </c>
      <c r="X85" s="71" t="str">
        <f t="shared" si="38"/>
        <v>Maurice Zuurhout</v>
      </c>
      <c r="Y85" s="72" t="str">
        <f t="shared" si="38"/>
        <v>Peter van Drie</v>
      </c>
      <c r="Z85" s="72" t="str">
        <f t="shared" si="38"/>
        <v>Marijn Hordijk</v>
      </c>
      <c r="AA85" s="166" t="str">
        <f t="shared" si="38"/>
        <v>Maurice Neuféglise</v>
      </c>
      <c r="AB85" s="72" t="str">
        <f t="shared" si="38"/>
        <v>Bogdan van der Tol</v>
      </c>
      <c r="AC85" s="72" t="str">
        <f t="shared" si="38"/>
        <v>Jan Kooij</v>
      </c>
      <c r="AD85" s="72" t="str">
        <f t="shared" si="38"/>
        <v>Roel Meijer</v>
      </c>
      <c r="AE85" s="169" t="str">
        <f t="shared" si="38"/>
        <v>Dennis van Dijk</v>
      </c>
      <c r="AF85" s="72" t="str">
        <f t="shared" si="38"/>
        <v>Wim van der Leeden</v>
      </c>
      <c r="AG85" s="72" t="s">
        <v>25</v>
      </c>
      <c r="AH85" s="72" t="str">
        <f t="shared" ref="AH85:AN85" si="39">AH2</f>
        <v>Tom van Alphen</v>
      </c>
      <c r="AI85" s="72" t="str">
        <f t="shared" si="39"/>
        <v>Danny van Onna</v>
      </c>
      <c r="AJ85" s="72" t="str">
        <f t="shared" si="39"/>
        <v>Ad Martens</v>
      </c>
      <c r="AK85" s="74" t="str">
        <f t="shared" si="39"/>
        <v>Henk Rooijakkers</v>
      </c>
      <c r="AL85" s="116" t="str">
        <f t="shared" si="39"/>
        <v>Angelina Malloggi</v>
      </c>
      <c r="AM85" s="72" t="str">
        <f t="shared" si="39"/>
        <v>Siberta Hassing</v>
      </c>
      <c r="AN85" s="169" t="str">
        <f t="shared" si="39"/>
        <v>Jaap Hilte (OR)</v>
      </c>
      <c r="AO85" s="1"/>
      <c r="AP85" s="81"/>
      <c r="AQ85" s="82" t="s">
        <v>128</v>
      </c>
      <c r="AR85" s="83" t="s">
        <v>129</v>
      </c>
      <c r="AS85" s="84" t="s">
        <v>130</v>
      </c>
      <c r="AT85" s="85"/>
      <c r="AU85" s="2"/>
      <c r="AV85" s="81" t="s">
        <v>41</v>
      </c>
      <c r="AW85" s="82" t="s">
        <v>128</v>
      </c>
      <c r="AX85" s="83" t="s">
        <v>129</v>
      </c>
      <c r="AY85" s="84" t="s">
        <v>130</v>
      </c>
      <c r="AZ85" s="85" t="s">
        <v>45</v>
      </c>
      <c r="BA85" s="2"/>
      <c r="BB85" s="81" t="s">
        <v>41</v>
      </c>
      <c r="BC85" s="82" t="s">
        <v>128</v>
      </c>
      <c r="BD85" s="83" t="s">
        <v>129</v>
      </c>
      <c r="BE85" s="84" t="s">
        <v>130</v>
      </c>
      <c r="BF85" s="85" t="s">
        <v>45</v>
      </c>
    </row>
    <row r="86" spans="1:58" s="5" customFormat="1" ht="18" customHeight="1" thickBot="1" x14ac:dyDescent="0.25">
      <c r="B86" s="3"/>
      <c r="C86" s="100" t="s">
        <v>126</v>
      </c>
      <c r="D86" s="94" t="s">
        <v>46</v>
      </c>
      <c r="E86" s="95" t="s">
        <v>46</v>
      </c>
      <c r="F86" s="95" t="s">
        <v>46</v>
      </c>
      <c r="G86" s="95" t="s">
        <v>46</v>
      </c>
      <c r="H86" s="95" t="s">
        <v>46</v>
      </c>
      <c r="I86" s="95" t="s">
        <v>47</v>
      </c>
      <c r="J86" s="95" t="s">
        <v>47</v>
      </c>
      <c r="K86" s="96" t="s">
        <v>47</v>
      </c>
      <c r="L86" s="94" t="s">
        <v>46</v>
      </c>
      <c r="M86" s="95" t="s">
        <v>46</v>
      </c>
      <c r="N86" s="95" t="s">
        <v>46</v>
      </c>
      <c r="O86" s="95" t="s">
        <v>46</v>
      </c>
      <c r="P86" s="96" t="s">
        <v>46</v>
      </c>
      <c r="Q86" s="94" t="s">
        <v>46</v>
      </c>
      <c r="R86" s="95" t="s">
        <v>46</v>
      </c>
      <c r="S86" s="96" t="s">
        <v>46</v>
      </c>
      <c r="T86" s="94" t="s">
        <v>46</v>
      </c>
      <c r="U86" s="95" t="s">
        <v>47</v>
      </c>
      <c r="V86" s="95" t="s">
        <v>47</v>
      </c>
      <c r="W86" s="96" t="s">
        <v>47</v>
      </c>
      <c r="X86" s="94" t="s">
        <v>46</v>
      </c>
      <c r="Y86" s="95" t="s">
        <v>46</v>
      </c>
      <c r="Z86" s="95" t="s">
        <v>46</v>
      </c>
      <c r="AA86" s="95" t="s">
        <v>47</v>
      </c>
      <c r="AB86" s="95" t="s">
        <v>47</v>
      </c>
      <c r="AC86" s="95" t="s">
        <v>47</v>
      </c>
      <c r="AD86" s="95" t="s">
        <v>47</v>
      </c>
      <c r="AE86" s="96" t="s">
        <v>47</v>
      </c>
      <c r="AF86" s="95" t="s">
        <v>46</v>
      </c>
      <c r="AG86" s="95" t="s">
        <v>46</v>
      </c>
      <c r="AH86" s="95" t="s">
        <v>46</v>
      </c>
      <c r="AI86" s="95" t="s">
        <v>46</v>
      </c>
      <c r="AJ86" s="95" t="s">
        <v>46</v>
      </c>
      <c r="AK86" s="96" t="s">
        <v>46</v>
      </c>
      <c r="AL86" s="112" t="s">
        <v>46</v>
      </c>
      <c r="AM86" s="98" t="s">
        <v>46</v>
      </c>
      <c r="AN86" s="99" t="s">
        <v>46</v>
      </c>
      <c r="AO86" s="97"/>
    </row>
    <row r="87" spans="1:58" x14ac:dyDescent="0.2">
      <c r="B87" s="108"/>
      <c r="C87" s="106" t="s">
        <v>123</v>
      </c>
      <c r="D87" s="59"/>
      <c r="E87" s="60" t="s">
        <v>153</v>
      </c>
      <c r="F87" s="60" t="s">
        <v>140</v>
      </c>
      <c r="G87" s="60" t="s">
        <v>140</v>
      </c>
      <c r="H87" s="60" t="s">
        <v>140</v>
      </c>
      <c r="I87" s="60" t="s">
        <v>140</v>
      </c>
      <c r="J87" s="60" t="s">
        <v>153</v>
      </c>
      <c r="K87" s="61" t="s">
        <v>140</v>
      </c>
      <c r="L87" s="59" t="s">
        <v>145</v>
      </c>
      <c r="M87" s="60" t="s">
        <v>140</v>
      </c>
      <c r="N87" s="60"/>
      <c r="O87" s="60" t="s">
        <v>140</v>
      </c>
      <c r="P87" s="61"/>
      <c r="Q87" s="59"/>
      <c r="R87" s="60" t="s">
        <v>140</v>
      </c>
      <c r="S87" s="61"/>
      <c r="T87" s="59" t="s">
        <v>153</v>
      </c>
      <c r="U87" s="60" t="s">
        <v>145</v>
      </c>
      <c r="V87" s="60"/>
      <c r="W87" s="61" t="s">
        <v>140</v>
      </c>
      <c r="X87" s="59"/>
      <c r="Y87" s="60"/>
      <c r="Z87" s="60" t="s">
        <v>140</v>
      </c>
      <c r="AA87" s="60"/>
      <c r="AB87" s="60" t="s">
        <v>153</v>
      </c>
      <c r="AC87" s="60" t="s">
        <v>145</v>
      </c>
      <c r="AD87" s="60"/>
      <c r="AE87" s="61"/>
      <c r="AF87" s="60" t="s">
        <v>145</v>
      </c>
      <c r="AG87" s="60" t="s">
        <v>140</v>
      </c>
      <c r="AH87" s="60" t="s">
        <v>140</v>
      </c>
      <c r="AI87" s="60" t="s">
        <v>182</v>
      </c>
      <c r="AJ87" s="60" t="s">
        <v>140</v>
      </c>
      <c r="AK87" s="61" t="s">
        <v>140</v>
      </c>
      <c r="AL87" s="59" t="s">
        <v>145</v>
      </c>
      <c r="AM87" s="117" t="s">
        <v>140</v>
      </c>
      <c r="AN87" s="61"/>
      <c r="AO87" s="1"/>
      <c r="AP87" s="88" t="str">
        <f>IF(COUNTIF(D87:AN87,"O")&gt;0,COUNTIF(D87:AN87,"O"),"")</f>
        <v/>
      </c>
      <c r="AQ87" s="89">
        <f>IF(COUNTIF(D87:AN87,"a")&gt;0,COUNTIF(D87:AN87,"A"),"")</f>
        <v>4</v>
      </c>
      <c r="AR87" s="90">
        <f>IF(COUNTIF(D87:AN87,"b")&gt;0,COUNTIF(D87:AN87,"B"),"")</f>
        <v>15</v>
      </c>
      <c r="AS87" s="91">
        <f>IF(COUNTIF(D87:AN87,"c")&gt;0,COUNTIF(D87:AN87,"C"),"")</f>
        <v>6</v>
      </c>
      <c r="AT87" s="92" t="str">
        <f>IF(COUNTIF(D87:AN87,"E")&gt;0,COUNTIF(D87:AN87,"E"),"")</f>
        <v/>
      </c>
      <c r="AU87" s="17"/>
      <c r="AV87" s="93"/>
      <c r="AW87" s="89"/>
      <c r="AX87" s="90"/>
      <c r="AY87" s="91"/>
      <c r="AZ87" s="92"/>
      <c r="BA87" s="17"/>
      <c r="BB87" s="93" t="str">
        <f>IF(AP87="","",AP87-AV87)</f>
        <v/>
      </c>
      <c r="BC87" s="89">
        <f t="shared" ref="BC87:BC89" si="40">IF(AQ87="","",AQ87-AW87)</f>
        <v>4</v>
      </c>
      <c r="BD87" s="90">
        <f t="shared" ref="BD87:BD89" si="41">IF(AR87="","",AR87-AX87)</f>
        <v>15</v>
      </c>
      <c r="BE87" s="91">
        <f t="shared" ref="BE87:BE89" si="42">IF(AS87="","",AS87-AY87)</f>
        <v>6</v>
      </c>
      <c r="BF87" s="92" t="str">
        <f t="shared" ref="BF87:BF89" si="43">IF(AT87="","",AT87-AZ87)</f>
        <v/>
      </c>
    </row>
    <row r="88" spans="1:58" x14ac:dyDescent="0.2">
      <c r="B88" s="109"/>
      <c r="C88" s="107" t="s">
        <v>142</v>
      </c>
      <c r="D88" s="48"/>
      <c r="E88" s="49"/>
      <c r="F88" s="49"/>
      <c r="G88" s="49"/>
      <c r="H88" s="49"/>
      <c r="I88" s="49"/>
      <c r="J88" s="49"/>
      <c r="K88" s="50"/>
      <c r="L88" s="48"/>
      <c r="M88" s="49"/>
      <c r="N88" s="49"/>
      <c r="O88" s="49"/>
      <c r="P88" s="50"/>
      <c r="Q88" s="48"/>
      <c r="R88" s="49"/>
      <c r="S88" s="50"/>
      <c r="T88" s="48"/>
      <c r="U88" s="49"/>
      <c r="V88" s="49"/>
      <c r="W88" s="50"/>
      <c r="X88" s="48"/>
      <c r="Y88" s="49"/>
      <c r="Z88" s="49" t="s">
        <v>140</v>
      </c>
      <c r="AA88" s="49"/>
      <c r="AB88" s="49"/>
      <c r="AC88" s="49"/>
      <c r="AD88" s="49"/>
      <c r="AE88" s="50"/>
      <c r="AF88" s="49"/>
      <c r="AG88" s="49"/>
      <c r="AH88" s="49"/>
      <c r="AI88" s="49"/>
      <c r="AJ88" s="49"/>
      <c r="AK88" s="50"/>
      <c r="AL88" s="48"/>
      <c r="AM88" s="118"/>
      <c r="AN88" s="50"/>
      <c r="AO88" s="1"/>
      <c r="AP88" s="7" t="str">
        <f>IF(COUNTIF(D88:AN88,"O")&gt;0,COUNTIF(D88:AN88,"O"),"")</f>
        <v/>
      </c>
      <c r="AQ88" s="8" t="str">
        <f>IF(COUNTIF(D88:AN88,"j")&gt;0,COUNTIF(D88:AN88,"J"),"")</f>
        <v/>
      </c>
      <c r="AR88" s="9" t="str">
        <f>IF(COUNTIF(D88:AN88,"M")&gt;0,COUNTIF(D88:AN88,"M"),"")</f>
        <v/>
      </c>
      <c r="AS88" s="10" t="str">
        <f>IF(COUNTIF(D88:AN88,"S")&gt;0,COUNTIF(D88:AN88,"S"),"")</f>
        <v/>
      </c>
      <c r="AT88" s="11" t="str">
        <f>IF(COUNTIF(D88:AN88,"E")&gt;0,COUNTIF(D88:AN88,"E"),"")</f>
        <v/>
      </c>
      <c r="AU88" s="17"/>
      <c r="AV88" s="79"/>
      <c r="AW88" s="8"/>
      <c r="AX88" s="9"/>
      <c r="AY88" s="10"/>
      <c r="AZ88" s="11"/>
      <c r="BA88" s="17"/>
      <c r="BB88" s="79" t="str">
        <f t="shared" ref="BB88:BB89" si="44">IF(AP88="","",AP88-AV88)</f>
        <v/>
      </c>
      <c r="BC88" s="8" t="str">
        <f t="shared" si="40"/>
        <v/>
      </c>
      <c r="BD88" s="9" t="str">
        <f t="shared" si="41"/>
        <v/>
      </c>
      <c r="BE88" s="10" t="str">
        <f t="shared" si="42"/>
        <v/>
      </c>
      <c r="BF88" s="11" t="str">
        <f t="shared" si="43"/>
        <v/>
      </c>
    </row>
    <row r="89" spans="1:58" ht="12.75" thickBot="1" x14ac:dyDescent="0.25">
      <c r="B89" s="110"/>
      <c r="C89" s="111" t="s">
        <v>143</v>
      </c>
      <c r="D89" s="63"/>
      <c r="E89" s="64"/>
      <c r="F89" s="64"/>
      <c r="G89" s="64"/>
      <c r="H89" s="64"/>
      <c r="I89" s="64"/>
      <c r="J89" s="64"/>
      <c r="K89" s="65"/>
      <c r="L89" s="63"/>
      <c r="M89" s="64"/>
      <c r="N89" s="64"/>
      <c r="O89" s="64"/>
      <c r="P89" s="65"/>
      <c r="Q89" s="63"/>
      <c r="R89" s="64"/>
      <c r="S89" s="65"/>
      <c r="T89" s="63"/>
      <c r="U89" s="64"/>
      <c r="V89" s="64"/>
      <c r="W89" s="65"/>
      <c r="X89" s="63"/>
      <c r="Y89" s="64"/>
      <c r="Z89" s="64" t="s">
        <v>140</v>
      </c>
      <c r="AA89" s="64"/>
      <c r="AB89" s="64"/>
      <c r="AC89" s="64"/>
      <c r="AD89" s="64"/>
      <c r="AE89" s="65"/>
      <c r="AF89" s="64"/>
      <c r="AG89" s="64"/>
      <c r="AH89" s="64"/>
      <c r="AI89" s="64"/>
      <c r="AJ89" s="64"/>
      <c r="AK89" s="65"/>
      <c r="AL89" s="63"/>
      <c r="AM89" s="119"/>
      <c r="AN89" s="65"/>
      <c r="AO89" s="1"/>
      <c r="AP89" s="12" t="str">
        <f>IF(COUNTIF(D89:AN89,"O")&gt;0,COUNTIF(D89:AN89,"O"),"")</f>
        <v/>
      </c>
      <c r="AQ89" s="13" t="str">
        <f>IF(COUNTIF(D89:AN89,"j")&gt;0,COUNTIF(D89:AN89,"J"),"")</f>
        <v/>
      </c>
      <c r="AR89" s="14" t="str">
        <f>IF(COUNTIF(D89:AN89,"M")&gt;0,COUNTIF(D89:AN89,"M"),"")</f>
        <v/>
      </c>
      <c r="AS89" s="15" t="str">
        <f>IF(COUNTIF(D89:AN89,"S")&gt;0,COUNTIF(D89:AN89,"S"),"")</f>
        <v/>
      </c>
      <c r="AT89" s="16" t="str">
        <f>IF(COUNTIF(D89:AN89,"E")&gt;0,COUNTIF(D89:AN89,"E"),"")</f>
        <v/>
      </c>
      <c r="AU89" s="17"/>
      <c r="AV89" s="80"/>
      <c r="AW89" s="13"/>
      <c r="AX89" s="14"/>
      <c r="AY89" s="15"/>
      <c r="AZ89" s="16"/>
      <c r="BA89" s="17"/>
      <c r="BB89" s="80" t="str">
        <f t="shared" si="44"/>
        <v/>
      </c>
      <c r="BC89" s="13" t="str">
        <f t="shared" si="40"/>
        <v/>
      </c>
      <c r="BD89" s="14" t="str">
        <f t="shared" si="41"/>
        <v/>
      </c>
      <c r="BE89" s="15" t="str">
        <f t="shared" si="42"/>
        <v/>
      </c>
      <c r="BF89" s="16" t="str">
        <f t="shared" si="43"/>
        <v/>
      </c>
    </row>
    <row r="90" spans="1:58" s="2" customFormat="1" x14ac:dyDescent="0.2">
      <c r="A90" s="6"/>
      <c r="B90" s="6"/>
      <c r="C90" s="42"/>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V90" s="6"/>
      <c r="AW90" s="6"/>
      <c r="AX90" s="6"/>
      <c r="AY90" s="6"/>
      <c r="AZ90" s="6"/>
      <c r="BB90" s="6"/>
      <c r="BC90" s="6"/>
      <c r="BD90" s="6"/>
      <c r="BE90" s="6"/>
      <c r="BF90" s="6"/>
    </row>
    <row r="91" spans="1:58" s="2" customFormat="1" x14ac:dyDescent="0.2">
      <c r="A91" s="6"/>
      <c r="B91" s="6"/>
      <c r="C91" s="42"/>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V91" s="6"/>
      <c r="AW91" s="6"/>
      <c r="AX91" s="6"/>
      <c r="AY91" s="6"/>
      <c r="AZ91" s="6"/>
      <c r="BB91" s="6"/>
      <c r="BC91" s="6"/>
      <c r="BD91" s="6"/>
      <c r="BE91" s="6"/>
      <c r="BF91" s="6"/>
    </row>
    <row r="92" spans="1:58" s="2" customFormat="1" x14ac:dyDescent="0.2">
      <c r="A92" s="6"/>
      <c r="B92" s="42" t="s">
        <v>132</v>
      </c>
      <c r="C92" s="42"/>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V92" s="6"/>
      <c r="AW92" s="6"/>
      <c r="AX92" s="6"/>
      <c r="AY92" s="6"/>
      <c r="AZ92" s="6"/>
      <c r="BB92" s="6"/>
      <c r="BC92" s="6"/>
      <c r="BD92" s="6"/>
      <c r="BE92" s="6"/>
      <c r="BF92" s="6"/>
    </row>
    <row r="93" spans="1:58" s="2" customFormat="1" x14ac:dyDescent="0.2">
      <c r="A93" s="6"/>
      <c r="B93" s="6"/>
      <c r="C93" s="42"/>
      <c r="D93" s="6"/>
      <c r="E93" s="6"/>
      <c r="F93" s="6"/>
      <c r="G93" s="6"/>
      <c r="H93" s="6"/>
      <c r="I93" s="6"/>
      <c r="J93" s="6"/>
      <c r="K93" s="6"/>
      <c r="L93" s="6"/>
      <c r="M93" s="6"/>
      <c r="N93" s="6"/>
      <c r="O93" s="6"/>
      <c r="P93" s="6"/>
      <c r="Q93" s="6"/>
      <c r="R93" s="6"/>
      <c r="S93" s="6"/>
      <c r="AV93" s="6"/>
      <c r="AW93" s="6"/>
      <c r="AX93" s="6"/>
      <c r="AY93" s="6"/>
      <c r="AZ93" s="6"/>
      <c r="BB93" s="6"/>
      <c r="BC93" s="6"/>
      <c r="BD93" s="6"/>
      <c r="BE93" s="6"/>
      <c r="BF93" s="6"/>
    </row>
    <row r="94" spans="1:58" s="2" customFormat="1" x14ac:dyDescent="0.2">
      <c r="A94" s="6"/>
      <c r="B94" s="6"/>
      <c r="C94" s="42"/>
      <c r="D94" s="6"/>
      <c r="E94" s="6"/>
      <c r="F94" s="6"/>
      <c r="G94" s="6"/>
      <c r="H94" s="6"/>
      <c r="I94" s="6"/>
      <c r="J94" s="6"/>
      <c r="K94" s="6"/>
      <c r="L94" s="6"/>
      <c r="M94" s="6"/>
      <c r="N94" s="6"/>
      <c r="O94" s="6"/>
      <c r="P94" s="6"/>
      <c r="Q94" s="6"/>
      <c r="R94" s="6"/>
      <c r="S94" s="6"/>
      <c r="AV94" s="6"/>
      <c r="AW94" s="6"/>
      <c r="AX94" s="6"/>
      <c r="AY94" s="6"/>
      <c r="AZ94" s="6"/>
      <c r="BB94" s="6"/>
      <c r="BC94" s="6"/>
      <c r="BD94" s="6"/>
      <c r="BE94" s="6"/>
      <c r="BF94" s="6"/>
    </row>
    <row r="95" spans="1:58" s="2" customFormat="1" x14ac:dyDescent="0.2">
      <c r="A95" s="6"/>
      <c r="B95" s="6"/>
      <c r="C95" s="42"/>
      <c r="D95" s="6"/>
      <c r="E95" s="6"/>
      <c r="F95" s="6"/>
      <c r="G95" s="6"/>
      <c r="H95" s="6"/>
      <c r="I95" s="6"/>
      <c r="J95" s="6"/>
      <c r="K95" s="6"/>
      <c r="L95" s="6"/>
      <c r="M95" s="6"/>
      <c r="N95" s="6"/>
      <c r="O95" s="6"/>
      <c r="P95" s="6"/>
      <c r="Q95" s="6"/>
      <c r="R95" s="6"/>
      <c r="S95" s="6"/>
      <c r="AV95" s="6"/>
      <c r="AW95" s="6"/>
      <c r="AX95" s="6"/>
      <c r="AY95" s="6"/>
      <c r="AZ95" s="6"/>
      <c r="BB95" s="6"/>
      <c r="BC95" s="6"/>
      <c r="BD95" s="6"/>
      <c r="BE95" s="6"/>
      <c r="BF95" s="6"/>
    </row>
    <row r="96" spans="1:58" s="2" customFormat="1" x14ac:dyDescent="0.2">
      <c r="A96" s="6"/>
      <c r="B96" s="6"/>
      <c r="C96" s="42"/>
      <c r="D96" s="6"/>
      <c r="E96" s="6"/>
      <c r="F96" s="6"/>
      <c r="G96" s="6"/>
      <c r="H96" s="6"/>
      <c r="I96" s="6"/>
      <c r="J96" s="6"/>
      <c r="K96" s="6"/>
      <c r="L96" s="6"/>
      <c r="M96" s="6"/>
      <c r="N96" s="6"/>
      <c r="O96" s="6"/>
      <c r="P96" s="6"/>
      <c r="Q96" s="6"/>
      <c r="R96" s="6"/>
      <c r="S96" s="6"/>
      <c r="AV96" s="6"/>
      <c r="AW96" s="6"/>
      <c r="AX96" s="6"/>
      <c r="AY96" s="6"/>
      <c r="AZ96" s="6"/>
      <c r="BB96" s="6"/>
      <c r="BC96" s="6"/>
      <c r="BD96" s="6"/>
      <c r="BE96" s="6"/>
      <c r="BF96" s="6"/>
    </row>
    <row r="97" spans="1:58" s="2" customFormat="1" x14ac:dyDescent="0.2">
      <c r="A97" s="6"/>
      <c r="B97" s="6"/>
      <c r="C97" s="42"/>
      <c r="D97" s="6"/>
      <c r="E97" s="6"/>
      <c r="F97" s="6"/>
      <c r="G97" s="6"/>
      <c r="H97" s="6"/>
      <c r="I97" s="6"/>
      <c r="J97" s="6"/>
      <c r="K97" s="6"/>
      <c r="L97" s="6"/>
      <c r="M97" s="6"/>
      <c r="N97" s="6"/>
      <c r="O97" s="6"/>
      <c r="P97" s="6"/>
      <c r="Q97" s="6"/>
      <c r="R97" s="6"/>
      <c r="S97" s="6"/>
      <c r="AV97" s="6"/>
      <c r="AW97" s="6"/>
      <c r="AX97" s="6"/>
      <c r="AY97" s="6"/>
      <c r="AZ97" s="6"/>
      <c r="BB97" s="6"/>
      <c r="BC97" s="6"/>
      <c r="BD97" s="6"/>
      <c r="BE97" s="6"/>
      <c r="BF97" s="6"/>
    </row>
    <row r="98" spans="1:58" s="2" customFormat="1" x14ac:dyDescent="0.2">
      <c r="A98" s="6"/>
      <c r="B98" s="6"/>
      <c r="C98" s="42"/>
      <c r="D98" s="6"/>
      <c r="E98" s="6"/>
      <c r="F98" s="6"/>
      <c r="G98" s="6"/>
      <c r="H98" s="6"/>
      <c r="I98" s="6"/>
      <c r="J98" s="6"/>
      <c r="K98" s="6"/>
      <c r="L98" s="6"/>
      <c r="M98" s="6"/>
      <c r="N98" s="6"/>
      <c r="O98" s="6"/>
      <c r="P98" s="6"/>
      <c r="Q98" s="6"/>
      <c r="R98" s="6"/>
      <c r="S98" s="6"/>
      <c r="AV98" s="6"/>
      <c r="AW98" s="6"/>
      <c r="AX98" s="6"/>
      <c r="AY98" s="6"/>
      <c r="AZ98" s="6"/>
      <c r="BB98" s="6"/>
      <c r="BC98" s="6"/>
      <c r="BD98" s="6"/>
      <c r="BE98" s="6"/>
      <c r="BF98" s="6"/>
    </row>
    <row r="99" spans="1:58" s="2" customFormat="1" x14ac:dyDescent="0.2">
      <c r="A99" s="6"/>
      <c r="B99" s="6"/>
      <c r="C99" s="42"/>
      <c r="D99" s="6"/>
      <c r="E99" s="6"/>
      <c r="F99" s="6"/>
      <c r="G99" s="6"/>
      <c r="H99" s="6"/>
      <c r="I99" s="6"/>
      <c r="J99" s="6"/>
      <c r="K99" s="6"/>
      <c r="L99" s="6"/>
      <c r="M99" s="6"/>
      <c r="N99" s="6"/>
      <c r="O99" s="6"/>
      <c r="P99" s="6"/>
      <c r="Q99" s="6"/>
      <c r="R99" s="6"/>
      <c r="S99" s="6"/>
      <c r="AV99" s="6"/>
      <c r="AW99" s="6"/>
      <c r="AX99" s="6"/>
      <c r="AY99" s="6"/>
      <c r="AZ99" s="6"/>
      <c r="BB99" s="6"/>
      <c r="BC99" s="6"/>
      <c r="BD99" s="6"/>
      <c r="BE99" s="6"/>
      <c r="BF99" s="6"/>
    </row>
    <row r="100" spans="1:58" s="2" customFormat="1" x14ac:dyDescent="0.2">
      <c r="A100" s="6"/>
      <c r="B100" s="6"/>
      <c r="C100" s="42"/>
      <c r="D100" s="6"/>
      <c r="E100" s="6"/>
      <c r="F100" s="6"/>
      <c r="G100" s="6"/>
      <c r="H100" s="6"/>
      <c r="I100" s="6"/>
      <c r="J100" s="6"/>
      <c r="K100" s="6"/>
      <c r="L100" s="6"/>
      <c r="M100" s="6"/>
      <c r="N100" s="6"/>
      <c r="O100" s="6"/>
      <c r="P100" s="6"/>
      <c r="Q100" s="6"/>
      <c r="R100" s="6"/>
      <c r="S100" s="6"/>
      <c r="AV100" s="6"/>
      <c r="AW100" s="6"/>
      <c r="AX100" s="6"/>
      <c r="AY100" s="6"/>
      <c r="AZ100" s="6"/>
      <c r="BB100" s="6"/>
      <c r="BC100" s="6"/>
      <c r="BD100" s="6"/>
      <c r="BE100" s="6"/>
      <c r="BF100" s="6"/>
    </row>
    <row r="101" spans="1:58" s="2" customFormat="1" x14ac:dyDescent="0.2">
      <c r="A101" s="6"/>
      <c r="B101" s="6"/>
      <c r="C101" s="42"/>
      <c r="D101" s="6"/>
      <c r="E101" s="6"/>
      <c r="F101" s="6"/>
      <c r="G101" s="6"/>
      <c r="H101" s="6"/>
      <c r="I101" s="6"/>
      <c r="J101" s="6"/>
      <c r="K101" s="6"/>
      <c r="L101" s="6"/>
      <c r="M101" s="6"/>
      <c r="N101" s="6"/>
      <c r="O101" s="6"/>
      <c r="P101" s="6"/>
      <c r="Q101" s="6"/>
      <c r="R101" s="6"/>
      <c r="S101" s="6"/>
      <c r="AV101" s="6"/>
      <c r="AW101" s="6"/>
      <c r="AX101" s="6"/>
      <c r="AY101" s="6"/>
      <c r="AZ101" s="6"/>
      <c r="BB101" s="6"/>
      <c r="BC101" s="6"/>
      <c r="BD101" s="6"/>
      <c r="BE101" s="6"/>
      <c r="BF101" s="6"/>
    </row>
    <row r="102" spans="1:58" s="2" customFormat="1" x14ac:dyDescent="0.2">
      <c r="A102" s="6"/>
      <c r="B102" s="6"/>
      <c r="C102" s="42"/>
      <c r="D102" s="6"/>
      <c r="E102" s="6"/>
      <c r="F102" s="6"/>
      <c r="G102" s="6"/>
      <c r="H102" s="6"/>
      <c r="I102" s="6"/>
      <c r="J102" s="6"/>
      <c r="K102" s="6"/>
      <c r="L102" s="6"/>
      <c r="M102" s="6"/>
      <c r="N102" s="6"/>
      <c r="O102" s="6"/>
      <c r="P102" s="6"/>
      <c r="Q102" s="6"/>
      <c r="R102" s="6"/>
      <c r="S102" s="6"/>
      <c r="AV102" s="6"/>
      <c r="AW102" s="6"/>
      <c r="AX102" s="6"/>
      <c r="AY102" s="6"/>
      <c r="AZ102" s="6"/>
      <c r="BB102" s="6"/>
      <c r="BC102" s="6"/>
      <c r="BD102" s="6"/>
      <c r="BE102" s="6"/>
      <c r="BF102" s="6"/>
    </row>
    <row r="103" spans="1:58" s="2" customFormat="1" x14ac:dyDescent="0.2">
      <c r="A103" s="6"/>
      <c r="B103" s="6"/>
      <c r="C103" s="42"/>
      <c r="D103" s="6"/>
      <c r="E103" s="6"/>
      <c r="F103" s="6"/>
      <c r="G103" s="6"/>
      <c r="H103" s="6"/>
      <c r="I103" s="6"/>
      <c r="J103" s="6"/>
      <c r="K103" s="6"/>
      <c r="L103" s="6"/>
      <c r="M103" s="6"/>
      <c r="N103" s="6"/>
      <c r="O103" s="6"/>
      <c r="P103" s="6"/>
      <c r="Q103" s="6"/>
      <c r="R103" s="6"/>
      <c r="S103" s="6"/>
      <c r="AV103" s="6"/>
      <c r="AW103" s="6"/>
      <c r="AX103" s="6"/>
      <c r="AY103" s="6"/>
      <c r="AZ103" s="6"/>
      <c r="BB103" s="6"/>
      <c r="BC103" s="6"/>
      <c r="BD103" s="6"/>
      <c r="BE103" s="6"/>
      <c r="BF103" s="6"/>
    </row>
    <row r="104" spans="1:58" s="2" customFormat="1" x14ac:dyDescent="0.2">
      <c r="A104" s="6"/>
      <c r="B104" s="6"/>
      <c r="C104" s="42"/>
      <c r="D104" s="6"/>
      <c r="E104" s="6"/>
      <c r="F104" s="6"/>
      <c r="G104" s="6"/>
      <c r="H104" s="6"/>
      <c r="I104" s="6"/>
      <c r="J104" s="6"/>
      <c r="K104" s="6"/>
      <c r="L104" s="6"/>
      <c r="M104" s="6"/>
      <c r="N104" s="6"/>
      <c r="O104" s="6"/>
      <c r="P104" s="6"/>
      <c r="Q104" s="6"/>
      <c r="R104" s="6"/>
      <c r="S104" s="6"/>
      <c r="AV104" s="6"/>
      <c r="AW104" s="6"/>
      <c r="AX104" s="6"/>
      <c r="AY104" s="6"/>
      <c r="AZ104" s="6"/>
      <c r="BB104" s="6"/>
      <c r="BC104" s="6"/>
      <c r="BD104" s="6"/>
      <c r="BE104" s="6"/>
      <c r="BF104" s="6"/>
    </row>
    <row r="105" spans="1:58" s="2" customFormat="1" x14ac:dyDescent="0.2">
      <c r="A105" s="6"/>
      <c r="B105" s="6"/>
      <c r="C105" s="42"/>
      <c r="D105" s="6"/>
      <c r="E105" s="6"/>
      <c r="F105" s="6"/>
      <c r="G105" s="6"/>
      <c r="H105" s="6"/>
      <c r="I105" s="6"/>
      <c r="J105" s="6"/>
      <c r="K105" s="6"/>
      <c r="L105" s="6"/>
      <c r="M105" s="6"/>
      <c r="N105" s="6"/>
      <c r="O105" s="6"/>
      <c r="P105" s="6"/>
      <c r="Q105" s="6"/>
      <c r="R105" s="6"/>
      <c r="S105" s="6"/>
      <c r="AV105" s="6"/>
      <c r="AW105" s="6"/>
      <c r="AX105" s="6"/>
      <c r="AY105" s="6"/>
      <c r="AZ105" s="6"/>
      <c r="BB105" s="6"/>
      <c r="BC105" s="6"/>
      <c r="BD105" s="6"/>
      <c r="BE105" s="6"/>
      <c r="BF105" s="6"/>
    </row>
    <row r="106" spans="1:58" s="2" customFormat="1" x14ac:dyDescent="0.2">
      <c r="A106" s="6"/>
      <c r="B106" s="6"/>
      <c r="C106" s="42"/>
      <c r="D106" s="6"/>
      <c r="E106" s="6"/>
      <c r="F106" s="6"/>
      <c r="G106" s="6"/>
      <c r="H106" s="6"/>
      <c r="I106" s="6"/>
      <c r="J106" s="6"/>
      <c r="K106" s="6"/>
      <c r="L106" s="6"/>
      <c r="M106" s="6"/>
      <c r="N106" s="6"/>
      <c r="O106" s="6"/>
      <c r="P106" s="6"/>
      <c r="Q106" s="6"/>
      <c r="R106" s="6"/>
      <c r="S106" s="6"/>
      <c r="AV106" s="6"/>
      <c r="AW106" s="6"/>
      <c r="AX106" s="6"/>
      <c r="AY106" s="6"/>
      <c r="AZ106" s="6"/>
      <c r="BB106" s="6"/>
      <c r="BC106" s="6"/>
      <c r="BD106" s="6"/>
      <c r="BE106" s="6"/>
      <c r="BF106" s="6"/>
    </row>
    <row r="107" spans="1:58" s="2" customFormat="1" x14ac:dyDescent="0.2">
      <c r="A107" s="6"/>
      <c r="B107" s="6"/>
      <c r="C107" s="42"/>
      <c r="D107" s="6"/>
      <c r="E107" s="6"/>
      <c r="F107" s="6"/>
      <c r="G107" s="6"/>
      <c r="H107" s="6"/>
      <c r="I107" s="6"/>
      <c r="J107" s="6"/>
      <c r="K107" s="6"/>
      <c r="L107" s="6"/>
      <c r="M107" s="6"/>
      <c r="N107" s="6"/>
      <c r="O107" s="6"/>
      <c r="P107" s="6"/>
      <c r="Q107" s="6"/>
      <c r="R107" s="6"/>
      <c r="S107" s="6"/>
      <c r="AV107" s="6"/>
      <c r="AW107" s="6"/>
      <c r="AX107" s="6"/>
      <c r="AY107" s="6"/>
      <c r="AZ107" s="6"/>
      <c r="BB107" s="6"/>
      <c r="BC107" s="6"/>
      <c r="BD107" s="6"/>
      <c r="BE107" s="6"/>
      <c r="BF107" s="6"/>
    </row>
    <row r="108" spans="1:58" s="2" customFormat="1" x14ac:dyDescent="0.2">
      <c r="A108" s="6"/>
      <c r="B108" s="6"/>
      <c r="C108" s="42"/>
      <c r="D108" s="6"/>
      <c r="E108" s="6"/>
      <c r="F108" s="6"/>
      <c r="G108" s="6"/>
      <c r="H108" s="6"/>
      <c r="I108" s="6"/>
      <c r="J108" s="6"/>
      <c r="K108" s="6"/>
      <c r="L108" s="6"/>
      <c r="M108" s="6"/>
      <c r="N108" s="6"/>
      <c r="O108" s="6"/>
      <c r="P108" s="6"/>
      <c r="Q108" s="6"/>
      <c r="R108" s="6"/>
      <c r="S108" s="6"/>
      <c r="AV108" s="6"/>
      <c r="AW108" s="6"/>
      <c r="AX108" s="6"/>
      <c r="AY108" s="6"/>
      <c r="AZ108" s="6"/>
      <c r="BB108" s="6"/>
      <c r="BC108" s="6"/>
      <c r="BD108" s="6"/>
      <c r="BE108" s="6"/>
      <c r="BF108" s="6"/>
    </row>
    <row r="109" spans="1:58" s="2" customFormat="1" x14ac:dyDescent="0.2">
      <c r="A109" s="6"/>
      <c r="B109" s="6"/>
      <c r="C109" s="42"/>
      <c r="D109" s="6"/>
      <c r="E109" s="6"/>
      <c r="F109" s="6"/>
      <c r="G109" s="6"/>
      <c r="H109" s="6"/>
      <c r="I109" s="6"/>
      <c r="J109" s="6"/>
      <c r="K109" s="6"/>
      <c r="L109" s="6"/>
      <c r="M109" s="6"/>
      <c r="N109" s="6"/>
      <c r="O109" s="6"/>
      <c r="P109" s="6"/>
      <c r="Q109" s="6"/>
      <c r="R109" s="6"/>
      <c r="S109" s="6"/>
      <c r="AV109" s="6"/>
      <c r="AW109" s="6"/>
      <c r="AX109" s="6"/>
      <c r="AY109" s="6"/>
      <c r="AZ109" s="6"/>
      <c r="BB109" s="6"/>
      <c r="BC109" s="6"/>
      <c r="BD109" s="6"/>
      <c r="BE109" s="6"/>
      <c r="BF109" s="6"/>
    </row>
    <row r="110" spans="1:58" s="2" customFormat="1" x14ac:dyDescent="0.2">
      <c r="A110" s="6"/>
      <c r="B110" s="6"/>
      <c r="C110" s="42"/>
      <c r="D110" s="6"/>
      <c r="E110" s="6"/>
      <c r="F110" s="6"/>
      <c r="G110" s="6"/>
      <c r="H110" s="6"/>
      <c r="I110" s="6"/>
      <c r="J110" s="6"/>
      <c r="K110" s="6"/>
      <c r="L110" s="6"/>
      <c r="M110" s="6"/>
      <c r="N110" s="6"/>
      <c r="O110" s="6"/>
      <c r="P110" s="6"/>
      <c r="Q110" s="6"/>
      <c r="R110" s="6"/>
      <c r="S110" s="6"/>
      <c r="AV110" s="6"/>
      <c r="AW110" s="6"/>
      <c r="AX110" s="6"/>
      <c r="AY110" s="6"/>
      <c r="AZ110" s="6"/>
      <c r="BB110" s="6"/>
      <c r="BC110" s="6"/>
      <c r="BD110" s="6"/>
      <c r="BE110" s="6"/>
      <c r="BF110" s="6"/>
    </row>
    <row r="111" spans="1:58" s="2" customFormat="1" x14ac:dyDescent="0.2">
      <c r="A111" s="6"/>
      <c r="B111" s="6"/>
      <c r="C111" s="42"/>
      <c r="D111" s="6"/>
      <c r="E111" s="6"/>
      <c r="F111" s="6"/>
      <c r="G111" s="6"/>
      <c r="H111" s="6"/>
      <c r="I111" s="6"/>
      <c r="J111" s="6"/>
      <c r="K111" s="6"/>
      <c r="L111" s="6"/>
      <c r="M111" s="6"/>
      <c r="N111" s="6"/>
      <c r="O111" s="6"/>
      <c r="P111" s="6"/>
      <c r="Q111" s="6"/>
      <c r="R111" s="6"/>
      <c r="S111" s="6"/>
      <c r="AV111" s="6"/>
      <c r="AW111" s="6"/>
      <c r="AX111" s="6"/>
      <c r="AY111" s="6"/>
      <c r="AZ111" s="6"/>
      <c r="BB111" s="6"/>
      <c r="BC111" s="6"/>
      <c r="BD111" s="6"/>
      <c r="BE111" s="6"/>
      <c r="BF111" s="6"/>
    </row>
    <row r="112" spans="1:58" s="2" customFormat="1" x14ac:dyDescent="0.2">
      <c r="A112" s="6"/>
      <c r="B112" s="6"/>
      <c r="C112" s="42"/>
      <c r="D112" s="6"/>
      <c r="E112" s="6"/>
      <c r="F112" s="6"/>
      <c r="G112" s="6"/>
      <c r="H112" s="6"/>
      <c r="I112" s="6"/>
      <c r="J112" s="6"/>
      <c r="K112" s="6"/>
      <c r="L112" s="6"/>
      <c r="M112" s="6"/>
      <c r="N112" s="6"/>
      <c r="O112" s="6"/>
      <c r="P112" s="6"/>
      <c r="Q112" s="6"/>
      <c r="R112" s="6"/>
      <c r="S112" s="6"/>
      <c r="AV112" s="6"/>
      <c r="AW112" s="6"/>
      <c r="AX112" s="6"/>
      <c r="AY112" s="6"/>
      <c r="AZ112" s="6"/>
      <c r="BB112" s="6"/>
      <c r="BC112" s="6"/>
      <c r="BD112" s="6"/>
      <c r="BE112" s="6"/>
      <c r="BF112" s="6"/>
    </row>
    <row r="113" spans="1:58" s="2" customFormat="1" x14ac:dyDescent="0.2">
      <c r="A113" s="6"/>
      <c r="B113" s="6"/>
      <c r="C113" s="42"/>
      <c r="D113" s="6"/>
      <c r="E113" s="6"/>
      <c r="F113" s="6"/>
      <c r="G113" s="6"/>
      <c r="H113" s="6"/>
      <c r="I113" s="6"/>
      <c r="J113" s="6"/>
      <c r="K113" s="6"/>
      <c r="L113" s="6"/>
      <c r="M113" s="6"/>
      <c r="N113" s="6"/>
      <c r="O113" s="6"/>
      <c r="P113" s="6"/>
      <c r="Q113" s="6"/>
      <c r="R113" s="6"/>
      <c r="S113" s="6"/>
      <c r="AV113" s="6"/>
      <c r="AW113" s="6"/>
      <c r="AX113" s="6"/>
      <c r="AY113" s="6"/>
      <c r="AZ113" s="6"/>
      <c r="BB113" s="6"/>
      <c r="BC113" s="6"/>
      <c r="BD113" s="6"/>
      <c r="BE113" s="6"/>
      <c r="BF113" s="6"/>
    </row>
    <row r="114" spans="1:58" s="2" customFormat="1" x14ac:dyDescent="0.2">
      <c r="A114" s="6"/>
      <c r="B114" s="6"/>
      <c r="C114" s="42"/>
      <c r="D114" s="6"/>
      <c r="E114" s="6"/>
      <c r="F114" s="6"/>
      <c r="G114" s="6"/>
      <c r="H114" s="6"/>
      <c r="I114" s="6"/>
      <c r="J114" s="6"/>
      <c r="K114" s="6"/>
      <c r="L114" s="6"/>
      <c r="M114" s="6"/>
      <c r="N114" s="6"/>
      <c r="O114" s="6"/>
      <c r="P114" s="6"/>
      <c r="Q114" s="6"/>
      <c r="R114" s="6"/>
      <c r="S114" s="6"/>
      <c r="AV114" s="6"/>
      <c r="AW114" s="6"/>
      <c r="AX114" s="6"/>
      <c r="AY114" s="6"/>
      <c r="AZ114" s="6"/>
      <c r="BB114" s="6"/>
      <c r="BC114" s="6"/>
      <c r="BD114" s="6"/>
      <c r="BE114" s="6"/>
      <c r="BF114" s="6"/>
    </row>
    <row r="115" spans="1:58" s="2" customFormat="1" x14ac:dyDescent="0.2">
      <c r="A115" s="6"/>
      <c r="B115" s="6"/>
      <c r="C115" s="42"/>
      <c r="D115" s="6"/>
      <c r="E115" s="6"/>
      <c r="F115" s="6"/>
      <c r="G115" s="6"/>
      <c r="H115" s="6"/>
      <c r="I115" s="6"/>
      <c r="J115" s="6"/>
      <c r="K115" s="6"/>
      <c r="L115" s="6"/>
      <c r="M115" s="6"/>
      <c r="N115" s="6"/>
      <c r="O115" s="6"/>
      <c r="P115" s="6"/>
      <c r="Q115" s="6"/>
      <c r="R115" s="6"/>
      <c r="S115" s="6"/>
      <c r="AV115" s="6"/>
      <c r="AW115" s="6"/>
      <c r="AX115" s="6"/>
      <c r="AY115" s="6"/>
      <c r="AZ115" s="6"/>
      <c r="BB115" s="6"/>
      <c r="BC115" s="6"/>
      <c r="BD115" s="6"/>
      <c r="BE115" s="6"/>
      <c r="BF115" s="6"/>
    </row>
    <row r="116" spans="1:58" s="2" customFormat="1" x14ac:dyDescent="0.2">
      <c r="A116" s="6"/>
      <c r="B116" s="6"/>
      <c r="C116" s="42"/>
      <c r="D116" s="6"/>
      <c r="E116" s="6"/>
      <c r="F116" s="6"/>
      <c r="G116" s="6"/>
      <c r="H116" s="6"/>
      <c r="I116" s="6"/>
      <c r="J116" s="6"/>
      <c r="K116" s="6"/>
      <c r="L116" s="6"/>
      <c r="M116" s="6"/>
      <c r="N116" s="6"/>
      <c r="O116" s="6"/>
      <c r="P116" s="6"/>
      <c r="Q116" s="6"/>
      <c r="R116" s="6"/>
      <c r="S116" s="6"/>
      <c r="AV116" s="6"/>
      <c r="AW116" s="6"/>
      <c r="AX116" s="6"/>
      <c r="AY116" s="6"/>
      <c r="AZ116" s="6"/>
      <c r="BB116" s="6"/>
      <c r="BC116" s="6"/>
      <c r="BD116" s="6"/>
      <c r="BE116" s="6"/>
      <c r="BF116" s="6"/>
    </row>
    <row r="117" spans="1:58" s="2" customFormat="1" x14ac:dyDescent="0.2">
      <c r="A117" s="6"/>
      <c r="B117" s="6"/>
      <c r="C117" s="42"/>
      <c r="D117" s="6"/>
      <c r="E117" s="6"/>
      <c r="F117" s="6"/>
      <c r="G117" s="6"/>
      <c r="H117" s="6"/>
      <c r="I117" s="6"/>
      <c r="J117" s="6"/>
      <c r="K117" s="6"/>
      <c r="L117" s="6"/>
      <c r="M117" s="6"/>
      <c r="N117" s="6"/>
      <c r="O117" s="6"/>
      <c r="P117" s="6"/>
      <c r="Q117" s="6"/>
      <c r="R117" s="6"/>
      <c r="S117" s="6"/>
      <c r="AV117" s="6"/>
      <c r="AW117" s="6"/>
      <c r="AX117" s="6"/>
      <c r="AY117" s="6"/>
      <c r="AZ117" s="6"/>
      <c r="BB117" s="6"/>
      <c r="BC117" s="6"/>
      <c r="BD117" s="6"/>
      <c r="BE117" s="6"/>
      <c r="BF117" s="6"/>
    </row>
    <row r="118" spans="1:58" s="2" customFormat="1" x14ac:dyDescent="0.2">
      <c r="A118" s="6"/>
      <c r="B118" s="6"/>
      <c r="C118" s="42"/>
      <c r="D118" s="6"/>
      <c r="E118" s="6"/>
      <c r="F118" s="6"/>
      <c r="G118" s="6"/>
      <c r="H118" s="6"/>
      <c r="I118" s="6"/>
      <c r="J118" s="6"/>
      <c r="K118" s="6"/>
      <c r="L118" s="6"/>
      <c r="M118" s="6"/>
      <c r="N118" s="6"/>
      <c r="O118" s="6"/>
      <c r="P118" s="6"/>
      <c r="Q118" s="6"/>
      <c r="R118" s="6"/>
      <c r="S118" s="6"/>
      <c r="AV118" s="6"/>
      <c r="AW118" s="6"/>
      <c r="AX118" s="6"/>
      <c r="AY118" s="6"/>
      <c r="AZ118" s="6"/>
      <c r="BB118" s="6"/>
      <c r="BC118" s="6"/>
      <c r="BD118" s="6"/>
      <c r="BE118" s="6"/>
      <c r="BF118" s="6"/>
    </row>
    <row r="119" spans="1:58" s="2" customFormat="1" x14ac:dyDescent="0.2">
      <c r="A119" s="6"/>
      <c r="B119" s="6"/>
      <c r="C119" s="42"/>
      <c r="D119" s="6"/>
      <c r="E119" s="6"/>
      <c r="F119" s="6"/>
      <c r="G119" s="6"/>
      <c r="H119" s="6"/>
      <c r="I119" s="6"/>
      <c r="J119" s="6"/>
      <c r="K119" s="6"/>
      <c r="L119" s="6"/>
      <c r="M119" s="6"/>
      <c r="N119" s="6"/>
      <c r="O119" s="6"/>
      <c r="P119" s="6"/>
      <c r="Q119" s="6"/>
      <c r="R119" s="6"/>
      <c r="S119" s="6"/>
      <c r="AV119" s="6"/>
      <c r="AW119" s="6"/>
      <c r="AX119" s="6"/>
      <c r="AY119" s="6"/>
      <c r="AZ119" s="6"/>
      <c r="BB119" s="6"/>
      <c r="BC119" s="6"/>
      <c r="BD119" s="6"/>
      <c r="BE119" s="6"/>
      <c r="BF119" s="6"/>
    </row>
    <row r="120" spans="1:58" s="2" customFormat="1" x14ac:dyDescent="0.2">
      <c r="A120" s="6"/>
      <c r="B120" s="6"/>
      <c r="C120" s="42"/>
      <c r="D120" s="6"/>
      <c r="E120" s="6"/>
      <c r="F120" s="6"/>
      <c r="G120" s="6"/>
      <c r="H120" s="6"/>
      <c r="I120" s="6"/>
      <c r="J120" s="6"/>
      <c r="K120" s="6"/>
      <c r="L120" s="6"/>
      <c r="M120" s="6"/>
      <c r="N120" s="6"/>
      <c r="O120" s="6"/>
      <c r="P120" s="6"/>
      <c r="Q120" s="6"/>
      <c r="R120" s="6"/>
      <c r="S120" s="6"/>
      <c r="AV120" s="6"/>
      <c r="AW120" s="6"/>
      <c r="AX120" s="6"/>
      <c r="AY120" s="6"/>
      <c r="AZ120" s="6"/>
      <c r="BB120" s="6"/>
      <c r="BC120" s="6"/>
      <c r="BD120" s="6"/>
      <c r="BE120" s="6"/>
      <c r="BF120" s="6"/>
    </row>
    <row r="121" spans="1:58" s="2" customFormat="1" x14ac:dyDescent="0.2">
      <c r="A121" s="6"/>
      <c r="B121" s="6"/>
      <c r="C121" s="42"/>
      <c r="D121" s="6"/>
      <c r="E121" s="6"/>
      <c r="F121" s="6"/>
      <c r="G121" s="6"/>
      <c r="H121" s="6"/>
      <c r="I121" s="6"/>
      <c r="J121" s="6"/>
      <c r="K121" s="6"/>
      <c r="L121" s="6"/>
      <c r="M121" s="6"/>
      <c r="N121" s="6"/>
      <c r="O121" s="6"/>
      <c r="P121" s="6"/>
      <c r="Q121" s="6"/>
      <c r="R121" s="6"/>
      <c r="S121" s="6"/>
      <c r="AV121" s="6"/>
      <c r="AW121" s="6"/>
      <c r="AX121" s="6"/>
      <c r="AY121" s="6"/>
      <c r="AZ121" s="6"/>
      <c r="BB121" s="6"/>
      <c r="BC121" s="6"/>
      <c r="BD121" s="6"/>
      <c r="BE121" s="6"/>
      <c r="BF121" s="6"/>
    </row>
    <row r="122" spans="1:58" s="2" customFormat="1" x14ac:dyDescent="0.2">
      <c r="A122" s="6"/>
      <c r="B122" s="6"/>
      <c r="C122" s="42"/>
      <c r="D122" s="6"/>
      <c r="E122" s="6"/>
      <c r="F122" s="6"/>
      <c r="G122" s="6"/>
      <c r="H122" s="6"/>
      <c r="I122" s="6"/>
      <c r="J122" s="6"/>
      <c r="K122" s="6"/>
      <c r="L122" s="6"/>
      <c r="M122" s="6"/>
      <c r="N122" s="6"/>
      <c r="O122" s="6"/>
      <c r="P122" s="6"/>
      <c r="Q122" s="6"/>
      <c r="R122" s="6"/>
      <c r="S122" s="6"/>
      <c r="AV122" s="6"/>
      <c r="AW122" s="6"/>
      <c r="AX122" s="6"/>
      <c r="AY122" s="6"/>
      <c r="AZ122" s="6"/>
      <c r="BB122" s="6"/>
      <c r="BC122" s="6"/>
      <c r="BD122" s="6"/>
      <c r="BE122" s="6"/>
      <c r="BF122" s="6"/>
    </row>
    <row r="123" spans="1:58" s="2" customFormat="1" x14ac:dyDescent="0.2">
      <c r="A123" s="6"/>
      <c r="B123" s="6"/>
      <c r="C123" s="42"/>
      <c r="D123" s="6"/>
      <c r="E123" s="6"/>
      <c r="F123" s="6"/>
      <c r="G123" s="6"/>
      <c r="H123" s="6"/>
      <c r="I123" s="6"/>
      <c r="J123" s="6"/>
      <c r="K123" s="6"/>
      <c r="L123" s="6"/>
      <c r="M123" s="6"/>
      <c r="N123" s="6"/>
      <c r="O123" s="6"/>
      <c r="P123" s="6"/>
      <c r="Q123" s="6"/>
      <c r="R123" s="6"/>
      <c r="S123" s="6"/>
      <c r="AV123" s="6"/>
      <c r="AW123" s="6"/>
      <c r="AX123" s="6"/>
      <c r="AY123" s="6"/>
      <c r="AZ123" s="6"/>
      <c r="BB123" s="6"/>
      <c r="BC123" s="6"/>
      <c r="BD123" s="6"/>
      <c r="BE123" s="6"/>
      <c r="BF123" s="6"/>
    </row>
    <row r="124" spans="1:58" s="2" customFormat="1" x14ac:dyDescent="0.2">
      <c r="A124" s="6"/>
      <c r="B124" s="6"/>
      <c r="C124" s="42"/>
      <c r="D124" s="6"/>
      <c r="E124" s="6"/>
      <c r="F124" s="6"/>
      <c r="G124" s="6"/>
      <c r="H124" s="6"/>
      <c r="I124" s="6"/>
      <c r="J124" s="6"/>
      <c r="K124" s="6"/>
      <c r="L124" s="6"/>
      <c r="M124" s="6"/>
      <c r="N124" s="6"/>
      <c r="O124" s="6"/>
      <c r="P124" s="6"/>
      <c r="Q124" s="6"/>
      <c r="R124" s="6"/>
      <c r="S124" s="6"/>
      <c r="AV124" s="6"/>
      <c r="AW124" s="6"/>
      <c r="AX124" s="6"/>
      <c r="AY124" s="6"/>
      <c r="AZ124" s="6"/>
      <c r="BB124" s="6"/>
      <c r="BC124" s="6"/>
      <c r="BD124" s="6"/>
      <c r="BE124" s="6"/>
      <c r="BF124" s="6"/>
    </row>
    <row r="125" spans="1:58" s="2" customFormat="1" x14ac:dyDescent="0.2">
      <c r="A125" s="6"/>
      <c r="B125" s="6"/>
      <c r="C125" s="42"/>
      <c r="D125" s="6"/>
      <c r="E125" s="6"/>
      <c r="F125" s="6"/>
      <c r="G125" s="6"/>
      <c r="H125" s="6"/>
      <c r="I125" s="6"/>
      <c r="J125" s="6"/>
      <c r="K125" s="6"/>
      <c r="L125" s="6"/>
      <c r="M125" s="6"/>
      <c r="N125" s="6"/>
      <c r="O125" s="6"/>
      <c r="P125" s="6"/>
      <c r="Q125" s="6"/>
      <c r="R125" s="6"/>
      <c r="S125" s="6"/>
      <c r="AV125" s="6"/>
      <c r="AW125" s="6"/>
      <c r="AX125" s="6"/>
      <c r="AY125" s="6"/>
      <c r="AZ125" s="6"/>
      <c r="BB125" s="6"/>
      <c r="BC125" s="6"/>
      <c r="BD125" s="6"/>
      <c r="BE125" s="6"/>
      <c r="BF125" s="6"/>
    </row>
    <row r="126" spans="1:58" s="2" customFormat="1" x14ac:dyDescent="0.2">
      <c r="A126" s="6"/>
      <c r="B126" s="6"/>
      <c r="C126" s="42"/>
      <c r="D126" s="6"/>
      <c r="E126" s="6"/>
      <c r="F126" s="6"/>
      <c r="G126" s="6"/>
      <c r="H126" s="6"/>
      <c r="I126" s="6"/>
      <c r="J126" s="6"/>
      <c r="K126" s="6"/>
      <c r="L126" s="6"/>
      <c r="M126" s="6"/>
      <c r="N126" s="6"/>
      <c r="O126" s="6"/>
      <c r="P126" s="6"/>
      <c r="Q126" s="6"/>
      <c r="R126" s="6"/>
      <c r="S126" s="6"/>
      <c r="AV126" s="6"/>
      <c r="AW126" s="6"/>
      <c r="AX126" s="6"/>
      <c r="AY126" s="6"/>
      <c r="AZ126" s="6"/>
      <c r="BB126" s="6"/>
      <c r="BC126" s="6"/>
      <c r="BD126" s="6"/>
      <c r="BE126" s="6"/>
      <c r="BF126" s="6"/>
    </row>
    <row r="127" spans="1:58" s="2" customFormat="1" x14ac:dyDescent="0.2">
      <c r="A127" s="6"/>
      <c r="B127" s="6"/>
      <c r="C127" s="42"/>
      <c r="D127" s="6"/>
      <c r="E127" s="6"/>
      <c r="F127" s="6"/>
      <c r="G127" s="6"/>
      <c r="H127" s="6"/>
      <c r="I127" s="6"/>
      <c r="J127" s="6"/>
      <c r="K127" s="6"/>
      <c r="L127" s="6"/>
      <c r="M127" s="6"/>
      <c r="N127" s="6"/>
      <c r="O127" s="6"/>
      <c r="P127" s="6"/>
      <c r="Q127" s="6"/>
      <c r="R127" s="6"/>
      <c r="S127" s="6"/>
      <c r="AV127" s="6"/>
      <c r="AW127" s="6"/>
      <c r="AX127" s="6"/>
      <c r="AY127" s="6"/>
      <c r="AZ127" s="6"/>
      <c r="BB127" s="6"/>
      <c r="BC127" s="6"/>
      <c r="BD127" s="6"/>
      <c r="BE127" s="6"/>
      <c r="BF127" s="6"/>
    </row>
    <row r="128" spans="1:58" s="2" customFormat="1" x14ac:dyDescent="0.2">
      <c r="A128" s="6"/>
      <c r="B128" s="6"/>
      <c r="C128" s="42"/>
      <c r="D128" s="6"/>
      <c r="E128" s="6"/>
      <c r="F128" s="6"/>
      <c r="G128" s="6"/>
      <c r="H128" s="6"/>
      <c r="I128" s="6"/>
      <c r="J128" s="6"/>
      <c r="K128" s="6"/>
      <c r="L128" s="6"/>
      <c r="M128" s="6"/>
      <c r="N128" s="6"/>
      <c r="O128" s="6"/>
      <c r="P128" s="6"/>
      <c r="Q128" s="6"/>
      <c r="R128" s="6"/>
      <c r="S128" s="6"/>
      <c r="AV128" s="6"/>
      <c r="AW128" s="6"/>
      <c r="AX128" s="6"/>
      <c r="AY128" s="6"/>
      <c r="AZ128" s="6"/>
      <c r="BB128" s="6"/>
      <c r="BC128" s="6"/>
      <c r="BD128" s="6"/>
      <c r="BE128" s="6"/>
      <c r="BF128" s="6"/>
    </row>
    <row r="129" spans="1:58" s="2" customFormat="1" x14ac:dyDescent="0.2">
      <c r="A129" s="6"/>
      <c r="B129" s="6"/>
      <c r="C129" s="42"/>
      <c r="D129" s="6"/>
      <c r="E129" s="6"/>
      <c r="F129" s="6"/>
      <c r="G129" s="6"/>
      <c r="H129" s="6"/>
      <c r="I129" s="6"/>
      <c r="J129" s="6"/>
      <c r="K129" s="6"/>
      <c r="L129" s="6"/>
      <c r="M129" s="6"/>
      <c r="N129" s="6"/>
      <c r="O129" s="6"/>
      <c r="P129" s="6"/>
      <c r="Q129" s="6"/>
      <c r="R129" s="6"/>
      <c r="S129" s="6"/>
      <c r="AV129" s="6"/>
      <c r="AW129" s="6"/>
      <c r="AX129" s="6"/>
      <c r="AY129" s="6"/>
      <c r="AZ129" s="6"/>
      <c r="BB129" s="6"/>
      <c r="BC129" s="6"/>
      <c r="BD129" s="6"/>
      <c r="BE129" s="6"/>
      <c r="BF129" s="6"/>
    </row>
    <row r="130" spans="1:58" s="2" customFormat="1" x14ac:dyDescent="0.2">
      <c r="A130" s="6"/>
      <c r="B130" s="6"/>
      <c r="C130" s="42"/>
      <c r="D130" s="6"/>
      <c r="E130" s="6"/>
      <c r="F130" s="6"/>
      <c r="G130" s="6"/>
      <c r="H130" s="6"/>
      <c r="I130" s="6"/>
      <c r="J130" s="6"/>
      <c r="K130" s="6"/>
      <c r="L130" s="6"/>
      <c r="M130" s="6"/>
      <c r="N130" s="6"/>
      <c r="O130" s="6"/>
      <c r="P130" s="6"/>
      <c r="Q130" s="6"/>
      <c r="R130" s="6"/>
      <c r="S130" s="6"/>
      <c r="AV130" s="6"/>
      <c r="AW130" s="6"/>
      <c r="AX130" s="6"/>
      <c r="AY130" s="6"/>
      <c r="AZ130" s="6"/>
      <c r="BB130" s="6"/>
      <c r="BC130" s="6"/>
      <c r="BD130" s="6"/>
      <c r="BE130" s="6"/>
      <c r="BF130" s="6"/>
    </row>
    <row r="131" spans="1:58" s="2" customFormat="1" x14ac:dyDescent="0.2">
      <c r="A131" s="6"/>
      <c r="B131" s="6"/>
      <c r="C131" s="42"/>
      <c r="D131" s="6"/>
      <c r="E131" s="6"/>
      <c r="F131" s="6"/>
      <c r="G131" s="6"/>
      <c r="H131" s="6"/>
      <c r="I131" s="6"/>
      <c r="J131" s="6"/>
      <c r="K131" s="6"/>
      <c r="L131" s="6"/>
      <c r="M131" s="6"/>
      <c r="N131" s="6"/>
      <c r="O131" s="6"/>
      <c r="P131" s="6"/>
      <c r="Q131" s="6"/>
      <c r="R131" s="6"/>
      <c r="S131" s="6"/>
      <c r="AV131" s="6"/>
      <c r="AW131" s="6"/>
      <c r="AX131" s="6"/>
      <c r="AY131" s="6"/>
      <c r="AZ131" s="6"/>
      <c r="BB131" s="6"/>
      <c r="BC131" s="6"/>
      <c r="BD131" s="6"/>
      <c r="BE131" s="6"/>
      <c r="BF131" s="6"/>
    </row>
    <row r="132" spans="1:58" s="2" customFormat="1" x14ac:dyDescent="0.2">
      <c r="A132" s="6"/>
      <c r="B132" s="6"/>
      <c r="C132" s="42"/>
      <c r="D132" s="6"/>
      <c r="E132" s="6"/>
      <c r="F132" s="6"/>
      <c r="G132" s="6"/>
      <c r="H132" s="6"/>
      <c r="I132" s="6"/>
      <c r="J132" s="6"/>
      <c r="K132" s="6"/>
      <c r="L132" s="6"/>
      <c r="M132" s="6"/>
      <c r="N132" s="6"/>
      <c r="O132" s="6"/>
      <c r="P132" s="6"/>
      <c r="Q132" s="6"/>
      <c r="R132" s="6"/>
      <c r="S132" s="6"/>
      <c r="AV132" s="6"/>
      <c r="AW132" s="6"/>
      <c r="AX132" s="6"/>
      <c r="AY132" s="6"/>
      <c r="AZ132" s="6"/>
      <c r="BB132" s="6"/>
      <c r="BC132" s="6"/>
      <c r="BD132" s="6"/>
      <c r="BE132" s="6"/>
      <c r="BF132" s="6"/>
    </row>
    <row r="133" spans="1:58" s="2" customFormat="1" x14ac:dyDescent="0.2">
      <c r="A133" s="6"/>
      <c r="B133" s="6"/>
      <c r="C133" s="42"/>
      <c r="D133" s="6"/>
      <c r="E133" s="6"/>
      <c r="F133" s="6"/>
      <c r="G133" s="6"/>
      <c r="H133" s="6"/>
      <c r="I133" s="6"/>
      <c r="J133" s="6"/>
      <c r="K133" s="6"/>
      <c r="L133" s="6"/>
      <c r="M133" s="6"/>
      <c r="N133" s="6"/>
      <c r="O133" s="6"/>
      <c r="P133" s="6"/>
      <c r="Q133" s="6"/>
      <c r="R133" s="6"/>
      <c r="S133" s="6"/>
      <c r="AV133" s="6"/>
      <c r="AW133" s="6"/>
      <c r="AX133" s="6"/>
      <c r="AY133" s="6"/>
      <c r="AZ133" s="6"/>
      <c r="BB133" s="6"/>
      <c r="BC133" s="6"/>
      <c r="BD133" s="6"/>
      <c r="BE133" s="6"/>
      <c r="BF133" s="6"/>
    </row>
    <row r="134" spans="1:58" s="2" customFormat="1" x14ac:dyDescent="0.2">
      <c r="A134" s="6"/>
      <c r="B134" s="6"/>
      <c r="C134" s="42"/>
      <c r="D134" s="6"/>
      <c r="E134" s="6"/>
      <c r="F134" s="6"/>
      <c r="G134" s="6"/>
      <c r="H134" s="6"/>
      <c r="I134" s="6"/>
      <c r="J134" s="6"/>
      <c r="K134" s="6"/>
      <c r="L134" s="6"/>
      <c r="M134" s="6"/>
      <c r="N134" s="6"/>
      <c r="O134" s="6"/>
      <c r="P134" s="6"/>
      <c r="Q134" s="6"/>
      <c r="R134" s="6"/>
      <c r="S134" s="6"/>
      <c r="AV134" s="6"/>
      <c r="AW134" s="6"/>
      <c r="AX134" s="6"/>
      <c r="AY134" s="6"/>
      <c r="AZ134" s="6"/>
      <c r="BB134" s="6"/>
      <c r="BC134" s="6"/>
      <c r="BD134" s="6"/>
      <c r="BE134" s="6"/>
      <c r="BF134" s="6"/>
    </row>
    <row r="135" spans="1:58" s="2" customFormat="1" x14ac:dyDescent="0.2">
      <c r="A135" s="6"/>
      <c r="B135" s="6"/>
      <c r="C135" s="42"/>
      <c r="D135" s="6"/>
      <c r="E135" s="6"/>
      <c r="F135" s="6"/>
      <c r="G135" s="6"/>
      <c r="H135" s="6"/>
      <c r="I135" s="6"/>
      <c r="J135" s="6"/>
      <c r="K135" s="6"/>
      <c r="L135" s="6"/>
      <c r="M135" s="6"/>
      <c r="N135" s="6"/>
      <c r="O135" s="6"/>
      <c r="P135" s="6"/>
      <c r="Q135" s="6"/>
      <c r="R135" s="6"/>
      <c r="S135" s="6"/>
      <c r="AV135" s="6"/>
      <c r="AW135" s="6"/>
      <c r="AX135" s="6"/>
      <c r="AY135" s="6"/>
      <c r="AZ135" s="6"/>
      <c r="BB135" s="6"/>
      <c r="BC135" s="6"/>
      <c r="BD135" s="6"/>
      <c r="BE135" s="6"/>
      <c r="BF135" s="6"/>
    </row>
    <row r="136" spans="1:58" s="2" customFormat="1" x14ac:dyDescent="0.2">
      <c r="A136" s="6"/>
      <c r="B136" s="6"/>
      <c r="C136" s="42"/>
      <c r="D136" s="6"/>
      <c r="E136" s="6"/>
      <c r="F136" s="6"/>
      <c r="G136" s="6"/>
      <c r="H136" s="6"/>
      <c r="I136" s="6"/>
      <c r="J136" s="6"/>
      <c r="K136" s="6"/>
      <c r="L136" s="6"/>
      <c r="M136" s="6"/>
      <c r="N136" s="6"/>
      <c r="O136" s="6"/>
      <c r="P136" s="6"/>
      <c r="Q136" s="6"/>
      <c r="R136" s="6"/>
      <c r="S136" s="6"/>
      <c r="AV136" s="6"/>
      <c r="AW136" s="6"/>
      <c r="AX136" s="6"/>
      <c r="AY136" s="6"/>
      <c r="AZ136" s="6"/>
      <c r="BB136" s="6"/>
      <c r="BC136" s="6"/>
      <c r="BD136" s="6"/>
      <c r="BE136" s="6"/>
      <c r="BF136" s="6"/>
    </row>
    <row r="137" spans="1:58" s="2" customFormat="1" x14ac:dyDescent="0.2">
      <c r="A137" s="6"/>
      <c r="B137" s="6"/>
      <c r="C137" s="42"/>
      <c r="D137" s="6"/>
      <c r="E137" s="6"/>
      <c r="F137" s="6"/>
      <c r="G137" s="6"/>
      <c r="H137" s="6"/>
      <c r="I137" s="6"/>
      <c r="J137" s="6"/>
      <c r="K137" s="6"/>
      <c r="L137" s="6"/>
      <c r="M137" s="6"/>
      <c r="N137" s="6"/>
      <c r="O137" s="6"/>
      <c r="P137" s="6"/>
      <c r="Q137" s="6"/>
      <c r="R137" s="6"/>
      <c r="S137" s="6"/>
      <c r="AV137" s="6"/>
      <c r="AW137" s="6"/>
      <c r="AX137" s="6"/>
      <c r="AY137" s="6"/>
      <c r="AZ137" s="6"/>
      <c r="BB137" s="6"/>
      <c r="BC137" s="6"/>
      <c r="BD137" s="6"/>
      <c r="BE137" s="6"/>
      <c r="BF137" s="6"/>
    </row>
    <row r="138" spans="1:58" s="2" customFormat="1" x14ac:dyDescent="0.2">
      <c r="A138" s="6"/>
      <c r="B138" s="6"/>
      <c r="C138" s="42"/>
      <c r="D138" s="6"/>
      <c r="E138" s="6"/>
      <c r="F138" s="6"/>
      <c r="G138" s="6"/>
      <c r="H138" s="6"/>
      <c r="I138" s="6"/>
      <c r="J138" s="6"/>
      <c r="K138" s="6"/>
      <c r="L138" s="6"/>
      <c r="M138" s="6"/>
      <c r="N138" s="6"/>
      <c r="O138" s="6"/>
      <c r="P138" s="6"/>
      <c r="Q138" s="6"/>
      <c r="R138" s="6"/>
      <c r="S138" s="6"/>
      <c r="AV138" s="6"/>
      <c r="AW138" s="6"/>
      <c r="AX138" s="6"/>
      <c r="AY138" s="6"/>
      <c r="AZ138" s="6"/>
      <c r="BB138" s="6"/>
      <c r="BC138" s="6"/>
      <c r="BD138" s="6"/>
      <c r="BE138" s="6"/>
      <c r="BF138" s="6"/>
    </row>
    <row r="139" spans="1:58" s="2" customFormat="1" x14ac:dyDescent="0.2">
      <c r="A139" s="6"/>
      <c r="B139" s="6"/>
      <c r="C139" s="42"/>
      <c r="D139" s="6"/>
      <c r="E139" s="6"/>
      <c r="F139" s="6"/>
      <c r="G139" s="6"/>
      <c r="H139" s="6"/>
      <c r="I139" s="6"/>
      <c r="J139" s="6"/>
      <c r="K139" s="6"/>
      <c r="L139" s="6"/>
      <c r="M139" s="6"/>
      <c r="N139" s="6"/>
      <c r="O139" s="6"/>
      <c r="P139" s="6"/>
      <c r="Q139" s="6"/>
      <c r="R139" s="6"/>
      <c r="S139" s="6"/>
      <c r="AV139" s="6"/>
      <c r="AW139" s="6"/>
      <c r="AX139" s="6"/>
      <c r="AY139" s="6"/>
      <c r="AZ139" s="6"/>
      <c r="BB139" s="6"/>
      <c r="BC139" s="6"/>
      <c r="BD139" s="6"/>
      <c r="BE139" s="6"/>
      <c r="BF139" s="6"/>
    </row>
    <row r="140" spans="1:58" s="2" customFormat="1" x14ac:dyDescent="0.2">
      <c r="A140" s="6"/>
      <c r="B140" s="6"/>
      <c r="C140" s="42"/>
      <c r="D140" s="6"/>
      <c r="E140" s="6"/>
      <c r="F140" s="6"/>
      <c r="G140" s="6"/>
      <c r="H140" s="6"/>
      <c r="I140" s="6"/>
      <c r="J140" s="6"/>
      <c r="K140" s="6"/>
      <c r="L140" s="6"/>
      <c r="M140" s="6"/>
      <c r="N140" s="6"/>
      <c r="O140" s="6"/>
      <c r="P140" s="6"/>
      <c r="Q140" s="6"/>
      <c r="R140" s="6"/>
      <c r="S140" s="6"/>
      <c r="AV140" s="6"/>
      <c r="AW140" s="6"/>
      <c r="AX140" s="6"/>
      <c r="AY140" s="6"/>
      <c r="AZ140" s="6"/>
      <c r="BB140" s="6"/>
      <c r="BC140" s="6"/>
      <c r="BD140" s="6"/>
      <c r="BE140" s="6"/>
      <c r="BF140" s="6"/>
    </row>
    <row r="141" spans="1:58" s="2" customFormat="1" x14ac:dyDescent="0.2">
      <c r="A141" s="6"/>
      <c r="B141" s="6"/>
      <c r="C141" s="42"/>
      <c r="D141" s="6"/>
      <c r="E141" s="6"/>
      <c r="F141" s="6"/>
      <c r="G141" s="6"/>
      <c r="H141" s="6"/>
      <c r="I141" s="6"/>
      <c r="J141" s="6"/>
      <c r="K141" s="6"/>
      <c r="L141" s="6"/>
      <c r="M141" s="6"/>
      <c r="N141" s="6"/>
      <c r="O141" s="6"/>
      <c r="P141" s="6"/>
      <c r="Q141" s="6"/>
      <c r="R141" s="6"/>
      <c r="S141" s="6"/>
      <c r="AV141" s="6"/>
      <c r="AW141" s="6"/>
      <c r="AX141" s="6"/>
      <c r="AY141" s="6"/>
      <c r="AZ141" s="6"/>
      <c r="BB141" s="6"/>
      <c r="BC141" s="6"/>
      <c r="BD141" s="6"/>
      <c r="BE141" s="6"/>
      <c r="BF141" s="6"/>
    </row>
    <row r="142" spans="1:58" s="2" customFormat="1" x14ac:dyDescent="0.2">
      <c r="A142" s="6"/>
      <c r="B142" s="6"/>
      <c r="C142" s="42"/>
      <c r="D142" s="6"/>
      <c r="E142" s="6"/>
      <c r="F142" s="6"/>
      <c r="G142" s="6"/>
      <c r="H142" s="6"/>
      <c r="I142" s="6"/>
      <c r="J142" s="6"/>
      <c r="K142" s="6"/>
      <c r="L142" s="6"/>
      <c r="M142" s="6"/>
      <c r="N142" s="6"/>
      <c r="O142" s="6"/>
      <c r="P142" s="6"/>
      <c r="Q142" s="6"/>
      <c r="R142" s="6"/>
      <c r="S142" s="6"/>
      <c r="AV142" s="6"/>
      <c r="AW142" s="6"/>
      <c r="AX142" s="6"/>
      <c r="AY142" s="6"/>
      <c r="AZ142" s="6"/>
      <c r="BB142" s="6"/>
      <c r="BC142" s="6"/>
      <c r="BD142" s="6"/>
      <c r="BE142" s="6"/>
      <c r="BF142" s="6"/>
    </row>
    <row r="143" spans="1:58" s="2" customFormat="1" x14ac:dyDescent="0.2">
      <c r="A143" s="6"/>
      <c r="B143" s="6"/>
      <c r="C143" s="42"/>
      <c r="D143" s="6"/>
      <c r="E143" s="6"/>
      <c r="F143" s="6"/>
      <c r="G143" s="6"/>
      <c r="H143" s="6"/>
      <c r="I143" s="6"/>
      <c r="J143" s="6"/>
      <c r="K143" s="6"/>
      <c r="L143" s="6"/>
      <c r="M143" s="6"/>
      <c r="N143" s="6"/>
      <c r="O143" s="6"/>
      <c r="P143" s="6"/>
      <c r="Q143" s="6"/>
      <c r="R143" s="6"/>
      <c r="S143" s="6"/>
      <c r="AV143" s="6"/>
      <c r="AW143" s="6"/>
      <c r="AX143" s="6"/>
      <c r="AY143" s="6"/>
      <c r="AZ143" s="6"/>
      <c r="BB143" s="6"/>
      <c r="BC143" s="6"/>
      <c r="BD143" s="6"/>
      <c r="BE143" s="6"/>
      <c r="BF143" s="6"/>
    </row>
    <row r="144" spans="1:58" s="2" customFormat="1" x14ac:dyDescent="0.2">
      <c r="A144" s="6"/>
      <c r="B144" s="6"/>
      <c r="C144" s="42"/>
      <c r="D144" s="6"/>
      <c r="E144" s="6"/>
      <c r="F144" s="6"/>
      <c r="G144" s="6"/>
      <c r="H144" s="6"/>
      <c r="I144" s="6"/>
      <c r="J144" s="6"/>
      <c r="K144" s="6"/>
      <c r="L144" s="6"/>
      <c r="M144" s="6"/>
      <c r="N144" s="6"/>
      <c r="O144" s="6"/>
      <c r="P144" s="6"/>
      <c r="Q144" s="6"/>
      <c r="R144" s="6"/>
      <c r="S144" s="6"/>
      <c r="AV144" s="6"/>
      <c r="AW144" s="6"/>
      <c r="AX144" s="6"/>
      <c r="AY144" s="6"/>
      <c r="AZ144" s="6"/>
      <c r="BB144" s="6"/>
      <c r="BC144" s="6"/>
      <c r="BD144" s="6"/>
      <c r="BE144" s="6"/>
      <c r="BF144" s="6"/>
    </row>
    <row r="145" spans="1:58" s="2" customFormat="1" x14ac:dyDescent="0.2">
      <c r="A145" s="6"/>
      <c r="B145" s="6"/>
      <c r="C145" s="42"/>
      <c r="D145" s="6"/>
      <c r="E145" s="6"/>
      <c r="F145" s="6"/>
      <c r="G145" s="6"/>
      <c r="H145" s="6"/>
      <c r="I145" s="6"/>
      <c r="J145" s="6"/>
      <c r="K145" s="6"/>
      <c r="L145" s="6"/>
      <c r="M145" s="6"/>
      <c r="N145" s="6"/>
      <c r="O145" s="6"/>
      <c r="P145" s="6"/>
      <c r="Q145" s="6"/>
      <c r="R145" s="6"/>
      <c r="S145" s="6"/>
      <c r="AV145" s="6"/>
      <c r="AW145" s="6"/>
      <c r="AX145" s="6"/>
      <c r="AY145" s="6"/>
      <c r="AZ145" s="6"/>
      <c r="BB145" s="6"/>
      <c r="BC145" s="6"/>
      <c r="BD145" s="6"/>
      <c r="BE145" s="6"/>
      <c r="BF145" s="6"/>
    </row>
    <row r="146" spans="1:58" s="2" customFormat="1" x14ac:dyDescent="0.2">
      <c r="A146" s="6"/>
      <c r="B146" s="6"/>
      <c r="C146" s="42"/>
      <c r="D146" s="6"/>
      <c r="E146" s="6"/>
      <c r="F146" s="6"/>
      <c r="G146" s="6"/>
      <c r="H146" s="6"/>
      <c r="I146" s="6"/>
      <c r="J146" s="6"/>
      <c r="K146" s="6"/>
      <c r="L146" s="6"/>
      <c r="M146" s="6"/>
      <c r="N146" s="6"/>
      <c r="O146" s="6"/>
      <c r="P146" s="6"/>
      <c r="Q146" s="6"/>
      <c r="R146" s="6"/>
      <c r="S146" s="6"/>
      <c r="AV146" s="6"/>
      <c r="AW146" s="6"/>
      <c r="AX146" s="6"/>
      <c r="AY146" s="6"/>
      <c r="AZ146" s="6"/>
      <c r="BB146" s="6"/>
      <c r="BC146" s="6"/>
      <c r="BD146" s="6"/>
      <c r="BE146" s="6"/>
      <c r="BF146" s="6"/>
    </row>
    <row r="147" spans="1:58" s="2" customFormat="1" x14ac:dyDescent="0.2">
      <c r="A147" s="6"/>
      <c r="B147" s="6"/>
      <c r="C147" s="42"/>
      <c r="D147" s="6"/>
      <c r="E147" s="6"/>
      <c r="F147" s="6"/>
      <c r="G147" s="6"/>
      <c r="H147" s="6"/>
      <c r="I147" s="6"/>
      <c r="J147" s="6"/>
      <c r="K147" s="6"/>
      <c r="L147" s="6"/>
      <c r="M147" s="6"/>
      <c r="N147" s="6"/>
      <c r="O147" s="6"/>
      <c r="P147" s="6"/>
      <c r="Q147" s="6"/>
      <c r="R147" s="6"/>
      <c r="S147" s="6"/>
      <c r="AV147" s="6"/>
      <c r="AW147" s="6"/>
      <c r="AX147" s="6"/>
      <c r="AY147" s="6"/>
      <c r="AZ147" s="6"/>
      <c r="BB147" s="6"/>
      <c r="BC147" s="6"/>
      <c r="BD147" s="6"/>
      <c r="BE147" s="6"/>
      <c r="BF147" s="6"/>
    </row>
    <row r="148" spans="1:58" s="2" customFormat="1" x14ac:dyDescent="0.2">
      <c r="A148" s="6"/>
      <c r="B148" s="6"/>
      <c r="C148" s="42"/>
      <c r="D148" s="6"/>
      <c r="E148" s="6"/>
      <c r="F148" s="6"/>
      <c r="G148" s="6"/>
      <c r="H148" s="6"/>
      <c r="I148" s="6"/>
      <c r="J148" s="6"/>
      <c r="K148" s="6"/>
      <c r="L148" s="6"/>
      <c r="M148" s="6"/>
      <c r="N148" s="6"/>
      <c r="O148" s="6"/>
      <c r="P148" s="6"/>
      <c r="Q148" s="6"/>
      <c r="R148" s="6"/>
      <c r="S148" s="6"/>
      <c r="AV148" s="6"/>
      <c r="AW148" s="6"/>
      <c r="AX148" s="6"/>
      <c r="AY148" s="6"/>
      <c r="AZ148" s="6"/>
      <c r="BB148" s="6"/>
      <c r="BC148" s="6"/>
      <c r="BD148" s="6"/>
      <c r="BE148" s="6"/>
      <c r="BF148" s="6"/>
    </row>
    <row r="149" spans="1:58" s="2" customFormat="1" x14ac:dyDescent="0.2">
      <c r="A149" s="6"/>
      <c r="B149" s="6"/>
      <c r="C149" s="42"/>
      <c r="D149" s="6"/>
      <c r="E149" s="6"/>
      <c r="F149" s="6"/>
      <c r="G149" s="6"/>
      <c r="H149" s="6"/>
      <c r="I149" s="6"/>
      <c r="J149" s="6"/>
      <c r="K149" s="6"/>
      <c r="L149" s="6"/>
      <c r="M149" s="6"/>
      <c r="N149" s="6"/>
      <c r="O149" s="6"/>
      <c r="P149" s="6"/>
      <c r="Q149" s="6"/>
      <c r="R149" s="6"/>
      <c r="S149" s="6"/>
      <c r="AV149" s="6"/>
      <c r="AW149" s="6"/>
      <c r="AX149" s="6"/>
      <c r="AY149" s="6"/>
      <c r="AZ149" s="6"/>
      <c r="BB149" s="6"/>
      <c r="BC149" s="6"/>
      <c r="BD149" s="6"/>
      <c r="BE149" s="6"/>
      <c r="BF149" s="6"/>
    </row>
    <row r="150" spans="1:58" s="2" customFormat="1" x14ac:dyDescent="0.2">
      <c r="A150" s="6"/>
      <c r="B150" s="6"/>
      <c r="C150" s="42"/>
      <c r="D150" s="6"/>
      <c r="E150" s="6"/>
      <c r="F150" s="6"/>
      <c r="G150" s="6"/>
      <c r="H150" s="6"/>
      <c r="I150" s="6"/>
      <c r="J150" s="6"/>
      <c r="K150" s="6"/>
      <c r="L150" s="6"/>
      <c r="M150" s="6"/>
      <c r="N150" s="6"/>
      <c r="O150" s="6"/>
      <c r="P150" s="6"/>
      <c r="Q150" s="6"/>
      <c r="R150" s="6"/>
      <c r="S150" s="6"/>
      <c r="AV150" s="6"/>
      <c r="AW150" s="6"/>
      <c r="AX150" s="6"/>
      <c r="AY150" s="6"/>
      <c r="AZ150" s="6"/>
      <c r="BB150" s="6"/>
      <c r="BC150" s="6"/>
      <c r="BD150" s="6"/>
      <c r="BE150" s="6"/>
      <c r="BF150" s="6"/>
    </row>
    <row r="151" spans="1:58" s="2" customFormat="1" x14ac:dyDescent="0.2">
      <c r="A151" s="6"/>
      <c r="B151" s="6"/>
      <c r="C151" s="42"/>
      <c r="D151" s="6"/>
      <c r="E151" s="6"/>
      <c r="F151" s="6"/>
      <c r="G151" s="6"/>
      <c r="H151" s="6"/>
      <c r="I151" s="6"/>
      <c r="J151" s="6"/>
      <c r="K151" s="6"/>
      <c r="L151" s="6"/>
      <c r="M151" s="6"/>
      <c r="N151" s="6"/>
      <c r="O151" s="6"/>
      <c r="P151" s="6"/>
      <c r="Q151" s="6"/>
      <c r="R151" s="6"/>
      <c r="S151" s="6"/>
      <c r="AV151" s="6"/>
      <c r="AW151" s="6"/>
      <c r="AX151" s="6"/>
      <c r="AY151" s="6"/>
      <c r="AZ151" s="6"/>
      <c r="BB151" s="6"/>
      <c r="BC151" s="6"/>
      <c r="BD151" s="6"/>
      <c r="BE151" s="6"/>
      <c r="BF151" s="6"/>
    </row>
    <row r="152" spans="1:58" s="2" customFormat="1" x14ac:dyDescent="0.2">
      <c r="A152" s="6"/>
      <c r="B152" s="6"/>
      <c r="C152" s="42"/>
      <c r="D152" s="6"/>
      <c r="E152" s="6"/>
      <c r="F152" s="6"/>
      <c r="G152" s="6"/>
      <c r="H152" s="6"/>
      <c r="I152" s="6"/>
      <c r="J152" s="6"/>
      <c r="K152" s="6"/>
      <c r="L152" s="6"/>
      <c r="M152" s="6"/>
      <c r="N152" s="6"/>
      <c r="O152" s="6"/>
      <c r="P152" s="6"/>
      <c r="Q152" s="6"/>
      <c r="R152" s="6"/>
      <c r="S152" s="6"/>
      <c r="AV152" s="6"/>
      <c r="AW152" s="6"/>
      <c r="AX152" s="6"/>
      <c r="AY152" s="6"/>
      <c r="AZ152" s="6"/>
      <c r="BB152" s="6"/>
      <c r="BC152" s="6"/>
      <c r="BD152" s="6"/>
      <c r="BE152" s="6"/>
      <c r="BF152" s="6"/>
    </row>
    <row r="153" spans="1:58" s="2" customFormat="1" x14ac:dyDescent="0.2">
      <c r="A153" s="6"/>
      <c r="B153" s="6"/>
      <c r="C153" s="42"/>
      <c r="D153" s="6"/>
      <c r="E153" s="6"/>
      <c r="F153" s="6"/>
      <c r="G153" s="6"/>
      <c r="H153" s="6"/>
      <c r="I153" s="6"/>
      <c r="J153" s="6"/>
      <c r="K153" s="6"/>
      <c r="L153" s="6"/>
      <c r="M153" s="6"/>
      <c r="N153" s="6"/>
      <c r="O153" s="6"/>
      <c r="P153" s="6"/>
      <c r="Q153" s="6"/>
      <c r="R153" s="6"/>
      <c r="S153" s="6"/>
      <c r="AV153" s="6"/>
      <c r="AW153" s="6"/>
      <c r="AX153" s="6"/>
      <c r="AY153" s="6"/>
      <c r="AZ153" s="6"/>
      <c r="BB153" s="6"/>
      <c r="BC153" s="6"/>
      <c r="BD153" s="6"/>
      <c r="BE153" s="6"/>
      <c r="BF153" s="6"/>
    </row>
    <row r="154" spans="1:58" s="2" customFormat="1" x14ac:dyDescent="0.2">
      <c r="A154" s="6"/>
      <c r="B154" s="6"/>
      <c r="C154" s="42"/>
      <c r="D154" s="6"/>
      <c r="E154" s="6"/>
      <c r="F154" s="6"/>
      <c r="G154" s="6"/>
      <c r="H154" s="6"/>
      <c r="I154" s="6"/>
      <c r="J154" s="6"/>
      <c r="K154" s="6"/>
      <c r="L154" s="6"/>
      <c r="M154" s="6"/>
      <c r="N154" s="6"/>
      <c r="O154" s="6"/>
      <c r="P154" s="6"/>
      <c r="Q154" s="6"/>
      <c r="R154" s="6"/>
      <c r="S154" s="6"/>
      <c r="AV154" s="6"/>
      <c r="AW154" s="6"/>
      <c r="AX154" s="6"/>
      <c r="AY154" s="6"/>
      <c r="AZ154" s="6"/>
      <c r="BB154" s="6"/>
      <c r="BC154" s="6"/>
      <c r="BD154" s="6"/>
      <c r="BE154" s="6"/>
      <c r="BF154" s="6"/>
    </row>
    <row r="155" spans="1:58" s="2" customFormat="1" x14ac:dyDescent="0.2">
      <c r="A155" s="6"/>
      <c r="B155" s="6"/>
      <c r="C155" s="42"/>
      <c r="D155" s="6"/>
      <c r="E155" s="6"/>
      <c r="F155" s="6"/>
      <c r="G155" s="6"/>
      <c r="H155" s="6"/>
      <c r="I155" s="6"/>
      <c r="J155" s="6"/>
      <c r="K155" s="6"/>
      <c r="L155" s="6"/>
      <c r="M155" s="6"/>
      <c r="N155" s="6"/>
      <c r="O155" s="6"/>
      <c r="P155" s="6"/>
      <c r="Q155" s="6"/>
      <c r="R155" s="6"/>
      <c r="S155" s="6"/>
      <c r="AV155" s="6"/>
      <c r="AW155" s="6"/>
      <c r="AX155" s="6"/>
      <c r="AY155" s="6"/>
      <c r="AZ155" s="6"/>
      <c r="BB155" s="6"/>
      <c r="BC155" s="6"/>
      <c r="BD155" s="6"/>
      <c r="BE155" s="6"/>
      <c r="BF155" s="6"/>
    </row>
    <row r="156" spans="1:58" s="2" customFormat="1" x14ac:dyDescent="0.2">
      <c r="A156" s="6"/>
      <c r="B156" s="6"/>
      <c r="C156" s="42"/>
      <c r="D156" s="6"/>
      <c r="E156" s="6"/>
      <c r="F156" s="6"/>
      <c r="G156" s="6"/>
      <c r="H156" s="6"/>
      <c r="I156" s="6"/>
      <c r="J156" s="6"/>
      <c r="K156" s="6"/>
      <c r="L156" s="6"/>
      <c r="M156" s="6"/>
      <c r="N156" s="6"/>
      <c r="O156" s="6"/>
      <c r="P156" s="6"/>
      <c r="Q156" s="6"/>
      <c r="R156" s="6"/>
      <c r="S156" s="6"/>
      <c r="AV156" s="6"/>
      <c r="AW156" s="6"/>
      <c r="AX156" s="6"/>
      <c r="AY156" s="6"/>
      <c r="AZ156" s="6"/>
      <c r="BB156" s="6"/>
      <c r="BC156" s="6"/>
      <c r="BD156" s="6"/>
      <c r="BE156" s="6"/>
      <c r="BF156" s="6"/>
    </row>
    <row r="157" spans="1:58" s="2" customFormat="1" x14ac:dyDescent="0.2">
      <c r="A157" s="6"/>
      <c r="B157" s="6"/>
      <c r="C157" s="42"/>
      <c r="D157" s="6"/>
      <c r="E157" s="6"/>
      <c r="F157" s="6"/>
      <c r="G157" s="6"/>
      <c r="H157" s="6"/>
      <c r="I157" s="6"/>
      <c r="J157" s="6"/>
      <c r="K157" s="6"/>
      <c r="L157" s="6"/>
      <c r="M157" s="6"/>
      <c r="N157" s="6"/>
      <c r="O157" s="6"/>
      <c r="P157" s="6"/>
      <c r="Q157" s="6"/>
      <c r="R157" s="6"/>
      <c r="S157" s="6"/>
      <c r="AV157" s="6"/>
      <c r="AW157" s="6"/>
      <c r="AX157" s="6"/>
      <c r="AY157" s="6"/>
      <c r="AZ157" s="6"/>
      <c r="BB157" s="6"/>
      <c r="BC157" s="6"/>
      <c r="BD157" s="6"/>
      <c r="BE157" s="6"/>
      <c r="BF157" s="6"/>
    </row>
    <row r="158" spans="1:58" s="2" customFormat="1" x14ac:dyDescent="0.2">
      <c r="A158" s="6"/>
      <c r="B158" s="6"/>
      <c r="C158" s="42"/>
      <c r="D158" s="6"/>
      <c r="E158" s="6"/>
      <c r="F158" s="6"/>
      <c r="G158" s="6"/>
      <c r="H158" s="6"/>
      <c r="I158" s="6"/>
      <c r="J158" s="6"/>
      <c r="K158" s="6"/>
      <c r="L158" s="6"/>
      <c r="M158" s="6"/>
      <c r="N158" s="6"/>
      <c r="O158" s="6"/>
      <c r="P158" s="6"/>
      <c r="Q158" s="6"/>
      <c r="R158" s="6"/>
      <c r="S158" s="6"/>
      <c r="AV158" s="6"/>
      <c r="AW158" s="6"/>
      <c r="AX158" s="6"/>
      <c r="AY158" s="6"/>
      <c r="AZ158" s="6"/>
      <c r="BB158" s="6"/>
      <c r="BC158" s="6"/>
      <c r="BD158" s="6"/>
      <c r="BE158" s="6"/>
      <c r="BF158" s="6"/>
    </row>
    <row r="159" spans="1:58" s="2" customFormat="1" x14ac:dyDescent="0.2">
      <c r="A159" s="6"/>
      <c r="B159" s="6"/>
      <c r="C159" s="42"/>
      <c r="D159" s="6"/>
      <c r="E159" s="6"/>
      <c r="F159" s="6"/>
      <c r="G159" s="6"/>
      <c r="H159" s="6"/>
      <c r="I159" s="6"/>
      <c r="J159" s="6"/>
      <c r="K159" s="6"/>
      <c r="L159" s="6"/>
      <c r="M159" s="6"/>
      <c r="N159" s="6"/>
      <c r="O159" s="6"/>
      <c r="P159" s="6"/>
      <c r="Q159" s="6"/>
      <c r="R159" s="6"/>
      <c r="S159" s="6"/>
      <c r="AV159" s="6"/>
      <c r="AW159" s="6"/>
      <c r="AX159" s="6"/>
      <c r="AY159" s="6"/>
      <c r="AZ159" s="6"/>
      <c r="BB159" s="6"/>
      <c r="BC159" s="6"/>
      <c r="BD159" s="6"/>
      <c r="BE159" s="6"/>
      <c r="BF159" s="6"/>
    </row>
    <row r="160" spans="1:58" s="2" customFormat="1" x14ac:dyDescent="0.2">
      <c r="A160" s="6"/>
      <c r="B160" s="6"/>
      <c r="C160" s="42"/>
      <c r="D160" s="6"/>
      <c r="E160" s="6"/>
      <c r="F160" s="6"/>
      <c r="G160" s="6"/>
      <c r="H160" s="6"/>
      <c r="I160" s="6"/>
      <c r="J160" s="6"/>
      <c r="K160" s="6"/>
      <c r="L160" s="6"/>
      <c r="M160" s="6"/>
      <c r="N160" s="6"/>
      <c r="O160" s="6"/>
      <c r="P160" s="6"/>
      <c r="Q160" s="6"/>
      <c r="R160" s="6"/>
      <c r="S160" s="6"/>
      <c r="AV160" s="6"/>
      <c r="AW160" s="6"/>
      <c r="AX160" s="6"/>
      <c r="AY160" s="6"/>
      <c r="AZ160" s="6"/>
      <c r="BB160" s="6"/>
      <c r="BC160" s="6"/>
      <c r="BD160" s="6"/>
      <c r="BE160" s="6"/>
      <c r="BF160" s="6"/>
    </row>
    <row r="161" spans="1:58" s="2" customFormat="1" x14ac:dyDescent="0.2">
      <c r="A161" s="6"/>
      <c r="B161" s="6"/>
      <c r="C161" s="42"/>
      <c r="D161" s="6"/>
      <c r="E161" s="6"/>
      <c r="F161" s="6"/>
      <c r="G161" s="6"/>
      <c r="H161" s="6"/>
      <c r="I161" s="6"/>
      <c r="J161" s="6"/>
      <c r="K161" s="6"/>
      <c r="L161" s="6"/>
      <c r="M161" s="6"/>
      <c r="N161" s="6"/>
      <c r="O161" s="6"/>
      <c r="P161" s="6"/>
      <c r="Q161" s="6"/>
      <c r="R161" s="6"/>
      <c r="S161" s="6"/>
      <c r="AV161" s="6"/>
      <c r="AW161" s="6"/>
      <c r="AX161" s="6"/>
      <c r="AY161" s="6"/>
      <c r="AZ161" s="6"/>
      <c r="BB161" s="6"/>
      <c r="BC161" s="6"/>
      <c r="BD161" s="6"/>
      <c r="BE161" s="6"/>
      <c r="BF161" s="6"/>
    </row>
    <row r="162" spans="1:58" s="2" customFormat="1" x14ac:dyDescent="0.2">
      <c r="A162" s="6"/>
      <c r="B162" s="6"/>
      <c r="C162" s="42"/>
      <c r="D162" s="6"/>
      <c r="E162" s="6"/>
      <c r="F162" s="6"/>
      <c r="G162" s="6"/>
      <c r="H162" s="6"/>
      <c r="I162" s="6"/>
      <c r="J162" s="6"/>
      <c r="K162" s="6"/>
      <c r="L162" s="6"/>
      <c r="M162" s="6"/>
      <c r="N162" s="6"/>
      <c r="O162" s="6"/>
      <c r="P162" s="6"/>
      <c r="Q162" s="6"/>
      <c r="R162" s="6"/>
      <c r="S162" s="6"/>
      <c r="AV162" s="6"/>
      <c r="AW162" s="6"/>
      <c r="AX162" s="6"/>
      <c r="AY162" s="6"/>
      <c r="AZ162" s="6"/>
      <c r="BB162" s="6"/>
      <c r="BC162" s="6"/>
      <c r="BD162" s="6"/>
      <c r="BE162" s="6"/>
      <c r="BF162" s="6"/>
    </row>
    <row r="163" spans="1:58" s="2" customFormat="1" x14ac:dyDescent="0.2">
      <c r="A163" s="6"/>
      <c r="B163" s="6"/>
      <c r="C163" s="42"/>
      <c r="D163" s="6"/>
      <c r="E163" s="6"/>
      <c r="F163" s="6"/>
      <c r="G163" s="6"/>
      <c r="H163" s="6"/>
      <c r="I163" s="6"/>
      <c r="J163" s="6"/>
      <c r="K163" s="6"/>
      <c r="L163" s="6"/>
      <c r="M163" s="6"/>
      <c r="N163" s="6"/>
      <c r="O163" s="6"/>
      <c r="P163" s="6"/>
      <c r="Q163" s="6"/>
      <c r="R163" s="6"/>
      <c r="S163" s="6"/>
      <c r="AV163" s="6"/>
      <c r="AW163" s="6"/>
      <c r="AX163" s="6"/>
      <c r="AY163" s="6"/>
      <c r="AZ163" s="6"/>
      <c r="BB163" s="6"/>
      <c r="BC163" s="6"/>
      <c r="BD163" s="6"/>
      <c r="BE163" s="6"/>
      <c r="BF163" s="6"/>
    </row>
    <row r="164" spans="1:58" s="2" customFormat="1" x14ac:dyDescent="0.2">
      <c r="A164" s="6"/>
      <c r="B164" s="6"/>
      <c r="C164" s="42"/>
      <c r="D164" s="6"/>
      <c r="E164" s="6"/>
      <c r="F164" s="6"/>
      <c r="G164" s="6"/>
      <c r="H164" s="6"/>
      <c r="I164" s="6"/>
      <c r="J164" s="6"/>
      <c r="K164" s="6"/>
      <c r="L164" s="6"/>
      <c r="M164" s="6"/>
      <c r="N164" s="6"/>
      <c r="O164" s="6"/>
      <c r="P164" s="6"/>
      <c r="Q164" s="6"/>
      <c r="R164" s="6"/>
      <c r="S164" s="6"/>
      <c r="AV164" s="6"/>
      <c r="AW164" s="6"/>
      <c r="AX164" s="6"/>
      <c r="AY164" s="6"/>
      <c r="AZ164" s="6"/>
      <c r="BB164" s="6"/>
      <c r="BC164" s="6"/>
      <c r="BD164" s="6"/>
      <c r="BE164" s="6"/>
      <c r="BF164" s="6"/>
    </row>
    <row r="165" spans="1:58" s="2" customFormat="1" x14ac:dyDescent="0.2">
      <c r="A165" s="6"/>
      <c r="B165" s="6"/>
      <c r="C165" s="42"/>
      <c r="D165" s="6"/>
      <c r="E165" s="6"/>
      <c r="F165" s="6"/>
      <c r="G165" s="6"/>
      <c r="H165" s="6"/>
      <c r="I165" s="6"/>
      <c r="J165" s="6"/>
      <c r="K165" s="6"/>
      <c r="L165" s="6"/>
      <c r="M165" s="6"/>
      <c r="N165" s="6"/>
      <c r="O165" s="6"/>
      <c r="P165" s="6"/>
      <c r="Q165" s="6"/>
      <c r="R165" s="6"/>
      <c r="S165" s="6"/>
      <c r="AV165" s="6"/>
      <c r="AW165" s="6"/>
      <c r="AX165" s="6"/>
      <c r="AY165" s="6"/>
      <c r="AZ165" s="6"/>
      <c r="BB165" s="6"/>
      <c r="BC165" s="6"/>
      <c r="BD165" s="6"/>
      <c r="BE165" s="6"/>
      <c r="BF165" s="6"/>
    </row>
    <row r="166" spans="1:58" s="2" customFormat="1" x14ac:dyDescent="0.2">
      <c r="A166" s="6"/>
      <c r="B166" s="6"/>
      <c r="C166" s="42"/>
      <c r="D166" s="6"/>
      <c r="E166" s="6"/>
      <c r="F166" s="6"/>
      <c r="G166" s="6"/>
      <c r="H166" s="6"/>
      <c r="I166" s="6"/>
      <c r="J166" s="6"/>
      <c r="K166" s="6"/>
      <c r="L166" s="6"/>
      <c r="M166" s="6"/>
      <c r="N166" s="6"/>
      <c r="O166" s="6"/>
      <c r="P166" s="6"/>
      <c r="Q166" s="6"/>
      <c r="R166" s="6"/>
      <c r="S166" s="6"/>
      <c r="AV166" s="6"/>
      <c r="AW166" s="6"/>
      <c r="AX166" s="6"/>
      <c r="AY166" s="6"/>
      <c r="AZ166" s="6"/>
      <c r="BB166" s="6"/>
      <c r="BC166" s="6"/>
      <c r="BD166" s="6"/>
      <c r="BE166" s="6"/>
      <c r="BF166" s="6"/>
    </row>
    <row r="167" spans="1:58" s="2" customFormat="1" x14ac:dyDescent="0.2">
      <c r="A167" s="6"/>
      <c r="B167" s="6"/>
      <c r="C167" s="42"/>
      <c r="D167" s="6"/>
      <c r="E167" s="6"/>
      <c r="F167" s="6"/>
      <c r="G167" s="6"/>
      <c r="H167" s="6"/>
      <c r="I167" s="6"/>
      <c r="J167" s="6"/>
      <c r="K167" s="6"/>
      <c r="L167" s="6"/>
      <c r="M167" s="6"/>
      <c r="N167" s="6"/>
      <c r="O167" s="6"/>
      <c r="P167" s="6"/>
      <c r="Q167" s="6"/>
      <c r="R167" s="6"/>
      <c r="S167" s="6"/>
      <c r="AV167" s="6"/>
      <c r="AW167" s="6"/>
      <c r="AX167" s="6"/>
      <c r="AY167" s="6"/>
      <c r="AZ167" s="6"/>
      <c r="BB167" s="6"/>
      <c r="BC167" s="6"/>
      <c r="BD167" s="6"/>
      <c r="BE167" s="6"/>
      <c r="BF167" s="6"/>
    </row>
    <row r="168" spans="1:58" s="2" customFormat="1" x14ac:dyDescent="0.2">
      <c r="A168" s="6"/>
      <c r="B168" s="6"/>
      <c r="C168" s="42"/>
      <c r="D168" s="6"/>
      <c r="E168" s="6"/>
      <c r="F168" s="6"/>
      <c r="G168" s="6"/>
      <c r="H168" s="6"/>
      <c r="I168" s="6"/>
      <c r="J168" s="6"/>
      <c r="K168" s="6"/>
      <c r="L168" s="6"/>
      <c r="M168" s="6"/>
      <c r="N168" s="6"/>
      <c r="O168" s="6"/>
      <c r="P168" s="6"/>
      <c r="Q168" s="6"/>
      <c r="R168" s="6"/>
      <c r="S168" s="6"/>
      <c r="AV168" s="6"/>
      <c r="AW168" s="6"/>
      <c r="AX168" s="6"/>
      <c r="AY168" s="6"/>
      <c r="AZ168" s="6"/>
      <c r="BB168" s="6"/>
      <c r="BC168" s="6"/>
      <c r="BD168" s="6"/>
      <c r="BE168" s="6"/>
      <c r="BF168" s="6"/>
    </row>
    <row r="169" spans="1:58" s="2" customFormat="1" x14ac:dyDescent="0.2">
      <c r="A169" s="6"/>
      <c r="B169" s="6"/>
      <c r="C169" s="42"/>
      <c r="D169" s="6"/>
      <c r="E169" s="6"/>
      <c r="F169" s="6"/>
      <c r="G169" s="6"/>
      <c r="H169" s="6"/>
      <c r="I169" s="6"/>
      <c r="J169" s="6"/>
      <c r="K169" s="6"/>
      <c r="L169" s="6"/>
      <c r="M169" s="6"/>
      <c r="N169" s="6"/>
      <c r="O169" s="6"/>
      <c r="P169" s="6"/>
      <c r="Q169" s="6"/>
      <c r="R169" s="6"/>
      <c r="S169" s="6"/>
      <c r="AV169" s="6"/>
      <c r="AW169" s="6"/>
      <c r="AX169" s="6"/>
      <c r="AY169" s="6"/>
      <c r="AZ169" s="6"/>
      <c r="BB169" s="6"/>
      <c r="BC169" s="6"/>
      <c r="BD169" s="6"/>
      <c r="BE169" s="6"/>
      <c r="BF169" s="6"/>
    </row>
    <row r="170" spans="1:58" s="2" customFormat="1" x14ac:dyDescent="0.2">
      <c r="A170" s="6"/>
      <c r="B170" s="6"/>
      <c r="C170" s="42"/>
      <c r="D170" s="6"/>
      <c r="E170" s="6"/>
      <c r="F170" s="6"/>
      <c r="G170" s="6"/>
      <c r="H170" s="6"/>
      <c r="I170" s="6"/>
      <c r="J170" s="6"/>
      <c r="K170" s="6"/>
      <c r="L170" s="6"/>
      <c r="M170" s="6"/>
      <c r="N170" s="6"/>
      <c r="O170" s="6"/>
      <c r="P170" s="6"/>
      <c r="Q170" s="6"/>
      <c r="R170" s="6"/>
      <c r="S170" s="6"/>
      <c r="AV170" s="6"/>
      <c r="AW170" s="6"/>
      <c r="AX170" s="6"/>
      <c r="AY170" s="6"/>
      <c r="AZ170" s="6"/>
      <c r="BB170" s="6"/>
      <c r="BC170" s="6"/>
      <c r="BD170" s="6"/>
      <c r="BE170" s="6"/>
      <c r="BF170" s="6"/>
    </row>
    <row r="171" spans="1:58" s="2" customFormat="1" x14ac:dyDescent="0.2">
      <c r="A171" s="6"/>
      <c r="B171" s="6"/>
      <c r="C171" s="42"/>
      <c r="D171" s="6"/>
      <c r="E171" s="6"/>
      <c r="F171" s="6"/>
      <c r="G171" s="6"/>
      <c r="H171" s="6"/>
      <c r="I171" s="6"/>
      <c r="J171" s="6"/>
      <c r="K171" s="6"/>
      <c r="L171" s="6"/>
      <c r="M171" s="6"/>
      <c r="N171" s="6"/>
      <c r="O171" s="6"/>
      <c r="P171" s="6"/>
      <c r="Q171" s="6"/>
      <c r="R171" s="6"/>
      <c r="S171" s="6"/>
      <c r="AV171" s="6"/>
      <c r="AW171" s="6"/>
      <c r="AX171" s="6"/>
      <c r="AY171" s="6"/>
      <c r="AZ171" s="6"/>
      <c r="BB171" s="6"/>
      <c r="BC171" s="6"/>
      <c r="BD171" s="6"/>
      <c r="BE171" s="6"/>
      <c r="BF171" s="6"/>
    </row>
    <row r="172" spans="1:58" s="2" customFormat="1" x14ac:dyDescent="0.2">
      <c r="A172" s="6"/>
      <c r="B172" s="6"/>
      <c r="C172" s="42"/>
      <c r="D172" s="6"/>
      <c r="E172" s="6"/>
      <c r="F172" s="6"/>
      <c r="G172" s="6"/>
      <c r="H172" s="6"/>
      <c r="I172" s="6"/>
      <c r="J172" s="6"/>
      <c r="K172" s="6"/>
      <c r="L172" s="6"/>
      <c r="M172" s="6"/>
      <c r="N172" s="6"/>
      <c r="O172" s="6"/>
      <c r="P172" s="6"/>
      <c r="Q172" s="6"/>
      <c r="R172" s="6"/>
      <c r="S172" s="6"/>
      <c r="AV172" s="6"/>
      <c r="AW172" s="6"/>
      <c r="AX172" s="6"/>
      <c r="AY172" s="6"/>
      <c r="AZ172" s="6"/>
      <c r="BB172" s="6"/>
      <c r="BC172" s="6"/>
      <c r="BD172" s="6"/>
      <c r="BE172" s="6"/>
      <c r="BF172" s="6"/>
    </row>
    <row r="173" spans="1:58" s="2" customFormat="1" x14ac:dyDescent="0.2">
      <c r="A173" s="6"/>
      <c r="B173" s="6"/>
      <c r="C173" s="42"/>
      <c r="D173" s="6"/>
      <c r="E173" s="6"/>
      <c r="F173" s="6"/>
      <c r="G173" s="6"/>
      <c r="H173" s="6"/>
      <c r="I173" s="6"/>
      <c r="J173" s="6"/>
      <c r="K173" s="6"/>
      <c r="L173" s="6"/>
      <c r="M173" s="6"/>
      <c r="N173" s="6"/>
      <c r="O173" s="6"/>
      <c r="P173" s="6"/>
      <c r="Q173" s="6"/>
      <c r="R173" s="6"/>
      <c r="S173" s="6"/>
      <c r="AV173" s="6"/>
      <c r="AW173" s="6"/>
      <c r="AX173" s="6"/>
      <c r="AY173" s="6"/>
      <c r="AZ173" s="6"/>
      <c r="BB173" s="6"/>
      <c r="BC173" s="6"/>
      <c r="BD173" s="6"/>
      <c r="BE173" s="6"/>
      <c r="BF173" s="6"/>
    </row>
    <row r="174" spans="1:58" s="2" customFormat="1" x14ac:dyDescent="0.2">
      <c r="A174" s="6"/>
      <c r="B174" s="6"/>
      <c r="C174" s="42"/>
      <c r="D174" s="6"/>
      <c r="E174" s="6"/>
      <c r="F174" s="6"/>
      <c r="G174" s="6"/>
      <c r="H174" s="6"/>
      <c r="I174" s="6"/>
      <c r="J174" s="6"/>
      <c r="K174" s="6"/>
      <c r="L174" s="6"/>
      <c r="M174" s="6"/>
      <c r="N174" s="6"/>
      <c r="O174" s="6"/>
      <c r="P174" s="6"/>
      <c r="Q174" s="6"/>
      <c r="R174" s="6"/>
      <c r="S174" s="6"/>
      <c r="AV174" s="6"/>
      <c r="AW174" s="6"/>
      <c r="AX174" s="6"/>
      <c r="AY174" s="6"/>
      <c r="AZ174" s="6"/>
      <c r="BB174" s="6"/>
      <c r="BC174" s="6"/>
      <c r="BD174" s="6"/>
      <c r="BE174" s="6"/>
      <c r="BF174" s="6"/>
    </row>
    <row r="175" spans="1:58" s="2" customFormat="1" x14ac:dyDescent="0.2">
      <c r="A175" s="6"/>
      <c r="B175" s="6"/>
      <c r="C175" s="42"/>
      <c r="D175" s="6"/>
      <c r="E175" s="6"/>
      <c r="F175" s="6"/>
      <c r="G175" s="6"/>
      <c r="H175" s="6"/>
      <c r="I175" s="6"/>
      <c r="J175" s="6"/>
      <c r="K175" s="6"/>
      <c r="L175" s="6"/>
      <c r="M175" s="6"/>
      <c r="N175" s="6"/>
      <c r="O175" s="6"/>
      <c r="P175" s="6"/>
      <c r="Q175" s="6"/>
      <c r="R175" s="6"/>
      <c r="S175" s="6"/>
      <c r="AV175" s="6"/>
      <c r="AW175" s="6"/>
      <c r="AX175" s="6"/>
      <c r="AY175" s="6"/>
      <c r="AZ175" s="6"/>
      <c r="BB175" s="6"/>
      <c r="BC175" s="6"/>
      <c r="BD175" s="6"/>
      <c r="BE175" s="6"/>
      <c r="BF175" s="6"/>
    </row>
    <row r="176" spans="1:58" s="2" customFormat="1" x14ac:dyDescent="0.2">
      <c r="A176" s="6"/>
      <c r="B176" s="6"/>
      <c r="C176" s="42"/>
      <c r="D176" s="6"/>
      <c r="E176" s="6"/>
      <c r="F176" s="6"/>
      <c r="G176" s="6"/>
      <c r="H176" s="6"/>
      <c r="I176" s="6"/>
      <c r="J176" s="6"/>
      <c r="K176" s="6"/>
      <c r="L176" s="6"/>
      <c r="M176" s="6"/>
      <c r="N176" s="6"/>
      <c r="O176" s="6"/>
      <c r="P176" s="6"/>
      <c r="Q176" s="6"/>
      <c r="R176" s="6"/>
      <c r="S176" s="6"/>
      <c r="AV176" s="6"/>
      <c r="AW176" s="6"/>
      <c r="AX176" s="6"/>
      <c r="AY176" s="6"/>
      <c r="AZ176" s="6"/>
      <c r="BB176" s="6"/>
      <c r="BC176" s="6"/>
      <c r="BD176" s="6"/>
      <c r="BE176" s="6"/>
      <c r="BF176" s="6"/>
    </row>
    <row r="177" spans="1:58" s="2" customFormat="1" x14ac:dyDescent="0.2">
      <c r="A177" s="6"/>
      <c r="B177" s="6"/>
      <c r="C177" s="42"/>
      <c r="D177" s="6"/>
      <c r="E177" s="6"/>
      <c r="F177" s="6"/>
      <c r="G177" s="6"/>
      <c r="H177" s="6"/>
      <c r="I177" s="6"/>
      <c r="J177" s="6"/>
      <c r="K177" s="6"/>
      <c r="L177" s="6"/>
      <c r="M177" s="6"/>
      <c r="N177" s="6"/>
      <c r="O177" s="6"/>
      <c r="P177" s="6"/>
      <c r="Q177" s="6"/>
      <c r="R177" s="6"/>
      <c r="S177" s="6"/>
      <c r="AV177" s="6"/>
      <c r="AW177" s="6"/>
      <c r="AX177" s="6"/>
      <c r="AY177" s="6"/>
      <c r="AZ177" s="6"/>
      <c r="BB177" s="6"/>
      <c r="BC177" s="6"/>
      <c r="BD177" s="6"/>
      <c r="BE177" s="6"/>
      <c r="BF177" s="6"/>
    </row>
    <row r="178" spans="1:58" s="2" customFormat="1" x14ac:dyDescent="0.2">
      <c r="A178" s="6"/>
      <c r="B178" s="6"/>
      <c r="C178" s="42"/>
      <c r="D178" s="6"/>
      <c r="E178" s="6"/>
      <c r="F178" s="6"/>
      <c r="G178" s="6"/>
      <c r="H178" s="6"/>
      <c r="I178" s="6"/>
      <c r="J178" s="6"/>
      <c r="K178" s="6"/>
      <c r="L178" s="6"/>
      <c r="M178" s="6"/>
      <c r="N178" s="6"/>
      <c r="O178" s="6"/>
      <c r="P178" s="6"/>
      <c r="Q178" s="6"/>
      <c r="R178" s="6"/>
      <c r="S178" s="6"/>
      <c r="AV178" s="6"/>
      <c r="AW178" s="6"/>
      <c r="AX178" s="6"/>
      <c r="AY178" s="6"/>
      <c r="AZ178" s="6"/>
      <c r="BB178" s="6"/>
      <c r="BC178" s="6"/>
      <c r="BD178" s="6"/>
      <c r="BE178" s="6"/>
      <c r="BF178" s="6"/>
    </row>
    <row r="179" spans="1:58" s="2" customFormat="1" x14ac:dyDescent="0.2">
      <c r="A179" s="6"/>
      <c r="B179" s="6"/>
      <c r="C179" s="42"/>
      <c r="D179" s="6"/>
      <c r="E179" s="6"/>
      <c r="F179" s="6"/>
      <c r="G179" s="6"/>
      <c r="H179" s="6"/>
      <c r="I179" s="6"/>
      <c r="J179" s="6"/>
      <c r="K179" s="6"/>
      <c r="L179" s="6"/>
      <c r="M179" s="6"/>
      <c r="N179" s="6"/>
      <c r="O179" s="6"/>
      <c r="P179" s="6"/>
      <c r="Q179" s="6"/>
      <c r="R179" s="6"/>
      <c r="S179" s="6"/>
      <c r="AV179" s="6"/>
      <c r="AW179" s="6"/>
      <c r="AX179" s="6"/>
      <c r="AY179" s="6"/>
      <c r="AZ179" s="6"/>
      <c r="BB179" s="6"/>
      <c r="BC179" s="6"/>
      <c r="BD179" s="6"/>
      <c r="BE179" s="6"/>
      <c r="BF179" s="6"/>
    </row>
    <row r="180" spans="1:58" s="2" customFormat="1" x14ac:dyDescent="0.2">
      <c r="A180" s="6"/>
      <c r="B180" s="6"/>
      <c r="C180" s="42"/>
      <c r="D180" s="6"/>
      <c r="E180" s="6"/>
      <c r="F180" s="6"/>
      <c r="G180" s="6"/>
      <c r="H180" s="6"/>
      <c r="I180" s="6"/>
      <c r="J180" s="6"/>
      <c r="K180" s="6"/>
      <c r="L180" s="6"/>
      <c r="M180" s="6"/>
      <c r="N180" s="6"/>
      <c r="O180" s="6"/>
      <c r="P180" s="6"/>
      <c r="Q180" s="6"/>
      <c r="R180" s="6"/>
      <c r="S180" s="6"/>
      <c r="AV180" s="6"/>
      <c r="AW180" s="6"/>
      <c r="AX180" s="6"/>
      <c r="AY180" s="6"/>
      <c r="AZ180" s="6"/>
      <c r="BB180" s="6"/>
      <c r="BC180" s="6"/>
      <c r="BD180" s="6"/>
      <c r="BE180" s="6"/>
      <c r="BF180" s="6"/>
    </row>
    <row r="181" spans="1:58" s="2" customFormat="1" x14ac:dyDescent="0.2">
      <c r="A181" s="6"/>
      <c r="B181" s="6"/>
      <c r="C181" s="42"/>
      <c r="D181" s="6"/>
      <c r="E181" s="6"/>
      <c r="F181" s="6"/>
      <c r="G181" s="6"/>
      <c r="H181" s="6"/>
      <c r="I181" s="6"/>
      <c r="J181" s="6"/>
      <c r="K181" s="6"/>
      <c r="L181" s="6"/>
      <c r="M181" s="6"/>
      <c r="N181" s="6"/>
      <c r="O181" s="6"/>
      <c r="P181" s="6"/>
      <c r="Q181" s="6"/>
      <c r="R181" s="6"/>
      <c r="S181" s="6"/>
      <c r="AV181" s="6"/>
      <c r="AW181" s="6"/>
      <c r="AX181" s="6"/>
      <c r="AY181" s="6"/>
      <c r="AZ181" s="6"/>
      <c r="BB181" s="6"/>
      <c r="BC181" s="6"/>
      <c r="BD181" s="6"/>
      <c r="BE181" s="6"/>
      <c r="BF181" s="6"/>
    </row>
    <row r="182" spans="1:58" s="2" customFormat="1" x14ac:dyDescent="0.2">
      <c r="A182" s="6"/>
      <c r="B182" s="6"/>
      <c r="C182" s="42"/>
      <c r="D182" s="6"/>
      <c r="E182" s="6"/>
      <c r="F182" s="6"/>
      <c r="G182" s="6"/>
      <c r="H182" s="6"/>
      <c r="I182" s="6"/>
      <c r="J182" s="6"/>
      <c r="K182" s="6"/>
      <c r="L182" s="6"/>
      <c r="M182" s="6"/>
      <c r="N182" s="6"/>
      <c r="O182" s="6"/>
      <c r="P182" s="6"/>
      <c r="Q182" s="6"/>
      <c r="R182" s="6"/>
      <c r="S182" s="6"/>
      <c r="AV182" s="6"/>
      <c r="AW182" s="6"/>
      <c r="AX182" s="6"/>
      <c r="AY182" s="6"/>
      <c r="AZ182" s="6"/>
      <c r="BB182" s="6"/>
      <c r="BC182" s="6"/>
      <c r="BD182" s="6"/>
      <c r="BE182" s="6"/>
      <c r="BF182" s="6"/>
    </row>
    <row r="183" spans="1:58" s="2" customFormat="1" x14ac:dyDescent="0.2">
      <c r="A183" s="6"/>
      <c r="B183" s="6"/>
      <c r="C183" s="42"/>
      <c r="D183" s="6"/>
      <c r="E183" s="6"/>
      <c r="F183" s="6"/>
      <c r="G183" s="6"/>
      <c r="H183" s="6"/>
      <c r="I183" s="6"/>
      <c r="J183" s="6"/>
      <c r="K183" s="6"/>
      <c r="L183" s="6"/>
      <c r="M183" s="6"/>
      <c r="N183" s="6"/>
      <c r="O183" s="6"/>
      <c r="P183" s="6"/>
      <c r="Q183" s="6"/>
      <c r="R183" s="6"/>
      <c r="S183" s="6"/>
      <c r="AV183" s="6"/>
      <c r="AW183" s="6"/>
      <c r="AX183" s="6"/>
      <c r="AY183" s="6"/>
      <c r="AZ183" s="6"/>
      <c r="BB183" s="6"/>
      <c r="BC183" s="6"/>
      <c r="BD183" s="6"/>
      <c r="BE183" s="6"/>
      <c r="BF183" s="6"/>
    </row>
    <row r="184" spans="1:58" s="2" customFormat="1" x14ac:dyDescent="0.2">
      <c r="A184" s="6"/>
      <c r="B184" s="6"/>
      <c r="C184" s="42"/>
      <c r="D184" s="6"/>
      <c r="E184" s="6"/>
      <c r="F184" s="6"/>
      <c r="G184" s="6"/>
      <c r="H184" s="6"/>
      <c r="I184" s="6"/>
      <c r="J184" s="6"/>
      <c r="K184" s="6"/>
      <c r="L184" s="6"/>
      <c r="M184" s="6"/>
      <c r="N184" s="6"/>
      <c r="O184" s="6"/>
      <c r="P184" s="6"/>
      <c r="Q184" s="6"/>
      <c r="R184" s="6"/>
      <c r="S184" s="6"/>
      <c r="AV184" s="6"/>
      <c r="AW184" s="6"/>
      <c r="AX184" s="6"/>
      <c r="AY184" s="6"/>
      <c r="AZ184" s="6"/>
      <c r="BB184" s="6"/>
      <c r="BC184" s="6"/>
      <c r="BD184" s="6"/>
      <c r="BE184" s="6"/>
      <c r="BF184" s="6"/>
    </row>
    <row r="185" spans="1:58" s="2" customFormat="1" x14ac:dyDescent="0.2">
      <c r="A185" s="6"/>
      <c r="B185" s="6"/>
      <c r="C185" s="42"/>
      <c r="D185" s="6"/>
      <c r="E185" s="6"/>
      <c r="F185" s="6"/>
      <c r="G185" s="6"/>
      <c r="H185" s="6"/>
      <c r="I185" s="6"/>
      <c r="J185" s="6"/>
      <c r="K185" s="6"/>
      <c r="L185" s="6"/>
      <c r="M185" s="6"/>
      <c r="N185" s="6"/>
      <c r="O185" s="6"/>
      <c r="P185" s="6"/>
      <c r="Q185" s="6"/>
      <c r="R185" s="6"/>
      <c r="S185" s="6"/>
      <c r="AV185" s="6"/>
      <c r="AW185" s="6"/>
      <c r="AX185" s="6"/>
      <c r="AY185" s="6"/>
      <c r="AZ185" s="6"/>
      <c r="BB185" s="6"/>
      <c r="BC185" s="6"/>
      <c r="BD185" s="6"/>
      <c r="BE185" s="6"/>
      <c r="BF185" s="6"/>
    </row>
    <row r="186" spans="1:58" s="2" customFormat="1" x14ac:dyDescent="0.2">
      <c r="A186" s="6"/>
      <c r="B186" s="6"/>
      <c r="C186" s="42"/>
      <c r="D186" s="6"/>
      <c r="E186" s="6"/>
      <c r="F186" s="6"/>
      <c r="G186" s="6"/>
      <c r="H186" s="6"/>
      <c r="I186" s="6"/>
      <c r="J186" s="6"/>
      <c r="K186" s="6"/>
      <c r="L186" s="6"/>
      <c r="M186" s="6"/>
      <c r="N186" s="6"/>
      <c r="O186" s="6"/>
      <c r="P186" s="6"/>
      <c r="Q186" s="6"/>
      <c r="R186" s="6"/>
      <c r="S186" s="6"/>
      <c r="AV186" s="6"/>
      <c r="AW186" s="6"/>
      <c r="AX186" s="6"/>
      <c r="AY186" s="6"/>
      <c r="AZ186" s="6"/>
      <c r="BB186" s="6"/>
      <c r="BC186" s="6"/>
      <c r="BD186" s="6"/>
      <c r="BE186" s="6"/>
      <c r="BF186" s="6"/>
    </row>
    <row r="187" spans="1:58" s="2" customFormat="1" x14ac:dyDescent="0.2">
      <c r="A187" s="6"/>
      <c r="B187" s="6"/>
      <c r="C187" s="42"/>
      <c r="D187" s="6"/>
      <c r="E187" s="6"/>
      <c r="F187" s="6"/>
      <c r="G187" s="6"/>
      <c r="H187" s="6"/>
      <c r="I187" s="6"/>
      <c r="J187" s="6"/>
      <c r="K187" s="6"/>
      <c r="L187" s="6"/>
      <c r="M187" s="6"/>
      <c r="N187" s="6"/>
      <c r="O187" s="6"/>
      <c r="P187" s="6"/>
      <c r="Q187" s="6"/>
      <c r="R187" s="6"/>
      <c r="S187" s="6"/>
      <c r="AV187" s="6"/>
      <c r="AW187" s="6"/>
      <c r="AX187" s="6"/>
      <c r="AY187" s="6"/>
      <c r="AZ187" s="6"/>
      <c r="BB187" s="6"/>
      <c r="BC187" s="6"/>
      <c r="BD187" s="6"/>
      <c r="BE187" s="6"/>
      <c r="BF187" s="6"/>
    </row>
    <row r="188" spans="1:58" s="2" customFormat="1" x14ac:dyDescent="0.2">
      <c r="A188" s="6"/>
      <c r="B188" s="6"/>
      <c r="C188" s="42"/>
      <c r="D188" s="6"/>
      <c r="E188" s="6"/>
      <c r="F188" s="6"/>
      <c r="G188" s="6"/>
      <c r="H188" s="6"/>
      <c r="I188" s="6"/>
      <c r="J188" s="6"/>
      <c r="K188" s="6"/>
      <c r="L188" s="6"/>
      <c r="M188" s="6"/>
      <c r="N188" s="6"/>
      <c r="O188" s="6"/>
      <c r="P188" s="6"/>
      <c r="Q188" s="6"/>
      <c r="R188" s="6"/>
      <c r="S188" s="6"/>
      <c r="AV188" s="6"/>
      <c r="AW188" s="6"/>
      <c r="AX188" s="6"/>
      <c r="AY188" s="6"/>
      <c r="AZ188" s="6"/>
      <c r="BB188" s="6"/>
      <c r="BC188" s="6"/>
      <c r="BD188" s="6"/>
      <c r="BE188" s="6"/>
      <c r="BF188" s="6"/>
    </row>
    <row r="189" spans="1:58" s="2" customFormat="1" x14ac:dyDescent="0.2">
      <c r="A189" s="6"/>
      <c r="B189" s="6"/>
      <c r="C189" s="42"/>
      <c r="D189" s="6"/>
      <c r="E189" s="6"/>
      <c r="F189" s="6"/>
      <c r="G189" s="6"/>
      <c r="H189" s="6"/>
      <c r="I189" s="6"/>
      <c r="J189" s="6"/>
      <c r="K189" s="6"/>
      <c r="L189" s="6"/>
      <c r="M189" s="6"/>
      <c r="N189" s="6"/>
      <c r="O189" s="6"/>
      <c r="P189" s="6"/>
      <c r="Q189" s="6"/>
      <c r="R189" s="6"/>
      <c r="S189" s="6"/>
      <c r="AV189" s="6"/>
      <c r="AW189" s="6"/>
      <c r="AX189" s="6"/>
      <c r="AY189" s="6"/>
      <c r="AZ189" s="6"/>
      <c r="BB189" s="6"/>
      <c r="BC189" s="6"/>
      <c r="BD189" s="6"/>
      <c r="BE189" s="6"/>
      <c r="BF189" s="6"/>
    </row>
    <row r="190" spans="1:58" s="2" customFormat="1" x14ac:dyDescent="0.2">
      <c r="A190" s="6"/>
      <c r="B190" s="6"/>
      <c r="C190" s="42"/>
      <c r="D190" s="6"/>
      <c r="E190" s="6"/>
      <c r="F190" s="6"/>
      <c r="G190" s="6"/>
      <c r="H190" s="6"/>
      <c r="I190" s="6"/>
      <c r="J190" s="6"/>
      <c r="K190" s="6"/>
      <c r="L190" s="6"/>
      <c r="M190" s="6"/>
      <c r="N190" s="6"/>
      <c r="O190" s="6"/>
      <c r="P190" s="6"/>
      <c r="Q190" s="6"/>
      <c r="R190" s="6"/>
      <c r="S190" s="6"/>
      <c r="AV190" s="6"/>
      <c r="AW190" s="6"/>
      <c r="AX190" s="6"/>
      <c r="AY190" s="6"/>
      <c r="AZ190" s="6"/>
      <c r="BB190" s="6"/>
      <c r="BC190" s="6"/>
      <c r="BD190" s="6"/>
      <c r="BE190" s="6"/>
      <c r="BF190" s="6"/>
    </row>
    <row r="191" spans="1:58" s="2" customFormat="1" x14ac:dyDescent="0.2">
      <c r="A191" s="6"/>
      <c r="B191" s="6"/>
      <c r="C191" s="42"/>
      <c r="D191" s="6"/>
      <c r="E191" s="6"/>
      <c r="F191" s="6"/>
      <c r="G191" s="6"/>
      <c r="H191" s="6"/>
      <c r="I191" s="6"/>
      <c r="J191" s="6"/>
      <c r="K191" s="6"/>
      <c r="L191" s="6"/>
      <c r="M191" s="6"/>
      <c r="N191" s="6"/>
      <c r="O191" s="6"/>
      <c r="P191" s="6"/>
      <c r="Q191" s="6"/>
      <c r="R191" s="6"/>
      <c r="S191" s="6"/>
      <c r="AV191" s="6"/>
      <c r="AW191" s="6"/>
      <c r="AX191" s="6"/>
      <c r="AY191" s="6"/>
      <c r="AZ191" s="6"/>
      <c r="BB191" s="6"/>
      <c r="BC191" s="6"/>
      <c r="BD191" s="6"/>
      <c r="BE191" s="6"/>
      <c r="BF191" s="6"/>
    </row>
    <row r="192" spans="1:58" s="2" customFormat="1" x14ac:dyDescent="0.2">
      <c r="A192" s="6"/>
      <c r="B192" s="6"/>
      <c r="C192" s="42"/>
      <c r="D192" s="6"/>
      <c r="E192" s="6"/>
      <c r="F192" s="6"/>
      <c r="G192" s="6"/>
      <c r="H192" s="6"/>
      <c r="I192" s="6"/>
      <c r="J192" s="6"/>
      <c r="K192" s="6"/>
      <c r="L192" s="6"/>
      <c r="M192" s="6"/>
      <c r="N192" s="6"/>
      <c r="O192" s="6"/>
      <c r="P192" s="6"/>
      <c r="Q192" s="6"/>
      <c r="R192" s="6"/>
      <c r="S192" s="6"/>
      <c r="AV192" s="6"/>
      <c r="AW192" s="6"/>
      <c r="AX192" s="6"/>
      <c r="AY192" s="6"/>
      <c r="AZ192" s="6"/>
      <c r="BB192" s="6"/>
      <c r="BC192" s="6"/>
      <c r="BD192" s="6"/>
      <c r="BE192" s="6"/>
      <c r="BF192" s="6"/>
    </row>
    <row r="193" spans="1:58" s="2" customFormat="1" x14ac:dyDescent="0.2">
      <c r="A193" s="6"/>
      <c r="B193" s="6"/>
      <c r="C193" s="42"/>
      <c r="D193" s="6"/>
      <c r="E193" s="6"/>
      <c r="F193" s="6"/>
      <c r="G193" s="6"/>
      <c r="H193" s="6"/>
      <c r="I193" s="6"/>
      <c r="J193" s="6"/>
      <c r="K193" s="6"/>
      <c r="L193" s="6"/>
      <c r="M193" s="6"/>
      <c r="N193" s="6"/>
      <c r="O193" s="6"/>
      <c r="P193" s="6"/>
      <c r="Q193" s="6"/>
      <c r="R193" s="6"/>
      <c r="S193" s="6"/>
      <c r="AV193" s="6"/>
      <c r="AW193" s="6"/>
      <c r="AX193" s="6"/>
      <c r="AY193" s="6"/>
      <c r="AZ193" s="6"/>
      <c r="BB193" s="6"/>
      <c r="BC193" s="6"/>
      <c r="BD193" s="6"/>
      <c r="BE193" s="6"/>
      <c r="BF193" s="6"/>
    </row>
    <row r="194" spans="1:58" s="2" customFormat="1" x14ac:dyDescent="0.2">
      <c r="A194" s="6"/>
      <c r="B194" s="6"/>
      <c r="C194" s="42"/>
      <c r="D194" s="6"/>
      <c r="E194" s="6"/>
      <c r="F194" s="6"/>
      <c r="G194" s="6"/>
      <c r="H194" s="6"/>
      <c r="I194" s="6"/>
      <c r="J194" s="6"/>
      <c r="K194" s="6"/>
      <c r="L194" s="6"/>
      <c r="M194" s="6"/>
      <c r="N194" s="6"/>
      <c r="O194" s="6"/>
      <c r="P194" s="6"/>
      <c r="Q194" s="6"/>
      <c r="R194" s="6"/>
      <c r="S194" s="6"/>
      <c r="AV194" s="6"/>
      <c r="AW194" s="6"/>
      <c r="AX194" s="6"/>
      <c r="AY194" s="6"/>
      <c r="AZ194" s="6"/>
      <c r="BB194" s="6"/>
      <c r="BC194" s="6"/>
      <c r="BD194" s="6"/>
      <c r="BE194" s="6"/>
      <c r="BF194" s="6"/>
    </row>
    <row r="195" spans="1:58" s="2" customFormat="1" x14ac:dyDescent="0.2">
      <c r="A195" s="6"/>
      <c r="B195" s="6"/>
      <c r="C195" s="42"/>
      <c r="D195" s="6"/>
      <c r="E195" s="6"/>
      <c r="F195" s="6"/>
      <c r="G195" s="6"/>
      <c r="H195" s="6"/>
      <c r="I195" s="6"/>
      <c r="J195" s="6"/>
      <c r="K195" s="6"/>
      <c r="L195" s="6"/>
      <c r="M195" s="6"/>
      <c r="N195" s="6"/>
      <c r="O195" s="6"/>
      <c r="P195" s="6"/>
      <c r="Q195" s="6"/>
      <c r="R195" s="6"/>
      <c r="S195" s="6"/>
      <c r="AV195" s="6"/>
      <c r="AW195" s="6"/>
      <c r="AX195" s="6"/>
      <c r="AY195" s="6"/>
      <c r="AZ195" s="6"/>
      <c r="BB195" s="6"/>
      <c r="BC195" s="6"/>
      <c r="BD195" s="6"/>
      <c r="BE195" s="6"/>
      <c r="BF195" s="6"/>
    </row>
    <row r="196" spans="1:58" s="2" customFormat="1" x14ac:dyDescent="0.2">
      <c r="A196" s="6"/>
      <c r="B196" s="6"/>
      <c r="C196" s="42"/>
      <c r="D196" s="6"/>
      <c r="E196" s="6"/>
      <c r="F196" s="6"/>
      <c r="G196" s="6"/>
      <c r="H196" s="6"/>
      <c r="I196" s="6"/>
      <c r="J196" s="6"/>
      <c r="K196" s="6"/>
      <c r="L196" s="6"/>
      <c r="M196" s="6"/>
      <c r="N196" s="6"/>
      <c r="O196" s="6"/>
      <c r="P196" s="6"/>
      <c r="Q196" s="6"/>
      <c r="R196" s="6"/>
      <c r="S196" s="6"/>
      <c r="AV196" s="6"/>
      <c r="AW196" s="6"/>
      <c r="AX196" s="6"/>
      <c r="AY196" s="6"/>
      <c r="AZ196" s="6"/>
      <c r="BB196" s="6"/>
      <c r="BC196" s="6"/>
      <c r="BD196" s="6"/>
      <c r="BE196" s="6"/>
      <c r="BF196" s="6"/>
    </row>
    <row r="197" spans="1:58" s="2" customFormat="1" x14ac:dyDescent="0.2">
      <c r="A197" s="6"/>
      <c r="B197" s="6"/>
      <c r="C197" s="42"/>
      <c r="D197" s="6"/>
      <c r="E197" s="6"/>
      <c r="F197" s="6"/>
      <c r="G197" s="6"/>
      <c r="H197" s="6"/>
      <c r="I197" s="6"/>
      <c r="J197" s="6"/>
      <c r="K197" s="6"/>
      <c r="L197" s="6"/>
      <c r="M197" s="6"/>
      <c r="N197" s="6"/>
      <c r="O197" s="6"/>
      <c r="P197" s="6"/>
      <c r="Q197" s="6"/>
      <c r="R197" s="6"/>
      <c r="S197" s="6"/>
      <c r="AV197" s="6"/>
      <c r="AW197" s="6"/>
      <c r="AX197" s="6"/>
      <c r="AY197" s="6"/>
      <c r="AZ197" s="6"/>
      <c r="BB197" s="6"/>
      <c r="BC197" s="6"/>
      <c r="BD197" s="6"/>
      <c r="BE197" s="6"/>
      <c r="BF197" s="6"/>
    </row>
    <row r="198" spans="1:58" s="2" customFormat="1" x14ac:dyDescent="0.2">
      <c r="A198" s="6"/>
      <c r="B198" s="6"/>
      <c r="C198" s="42"/>
      <c r="D198" s="6"/>
      <c r="E198" s="6"/>
      <c r="F198" s="6"/>
      <c r="G198" s="6"/>
      <c r="H198" s="6"/>
      <c r="I198" s="6"/>
      <c r="J198" s="6"/>
      <c r="K198" s="6"/>
      <c r="L198" s="6"/>
      <c r="M198" s="6"/>
      <c r="N198" s="6"/>
      <c r="O198" s="6"/>
      <c r="P198" s="6"/>
      <c r="Q198" s="6"/>
      <c r="R198" s="6"/>
      <c r="S198" s="6"/>
      <c r="AV198" s="6"/>
      <c r="AW198" s="6"/>
      <c r="AX198" s="6"/>
      <c r="AY198" s="6"/>
      <c r="AZ198" s="6"/>
      <c r="BB198" s="6"/>
      <c r="BC198" s="6"/>
      <c r="BD198" s="6"/>
      <c r="BE198" s="6"/>
      <c r="BF198" s="6"/>
    </row>
    <row r="199" spans="1:58" s="2" customFormat="1" x14ac:dyDescent="0.2">
      <c r="A199" s="6"/>
      <c r="B199" s="6"/>
      <c r="C199" s="42"/>
      <c r="D199" s="6"/>
      <c r="E199" s="6"/>
      <c r="F199" s="6"/>
      <c r="G199" s="6"/>
      <c r="H199" s="6"/>
      <c r="I199" s="6"/>
      <c r="J199" s="6"/>
      <c r="K199" s="6"/>
      <c r="L199" s="6"/>
      <c r="M199" s="6"/>
      <c r="N199" s="6"/>
      <c r="O199" s="6"/>
      <c r="P199" s="6"/>
      <c r="Q199" s="6"/>
      <c r="R199" s="6"/>
      <c r="S199" s="6"/>
      <c r="AV199" s="6"/>
      <c r="AW199" s="6"/>
      <c r="AX199" s="6"/>
      <c r="AY199" s="6"/>
      <c r="AZ199" s="6"/>
      <c r="BB199" s="6"/>
      <c r="BC199" s="6"/>
      <c r="BD199" s="6"/>
      <c r="BE199" s="6"/>
      <c r="BF199" s="6"/>
    </row>
    <row r="200" spans="1:58" s="2" customFormat="1" x14ac:dyDescent="0.2">
      <c r="A200" s="6"/>
      <c r="B200" s="6"/>
      <c r="C200" s="42"/>
      <c r="D200" s="6"/>
      <c r="E200" s="6"/>
      <c r="F200" s="6"/>
      <c r="G200" s="6"/>
      <c r="H200" s="6"/>
      <c r="I200" s="6"/>
      <c r="J200" s="6"/>
      <c r="K200" s="6"/>
      <c r="L200" s="6"/>
      <c r="M200" s="6"/>
      <c r="N200" s="6"/>
      <c r="O200" s="6"/>
      <c r="P200" s="6"/>
      <c r="Q200" s="6"/>
      <c r="R200" s="6"/>
      <c r="S200" s="6"/>
      <c r="AV200" s="6"/>
      <c r="AW200" s="6"/>
      <c r="AX200" s="6"/>
      <c r="AY200" s="6"/>
      <c r="AZ200" s="6"/>
      <c r="BB200" s="6"/>
      <c r="BC200" s="6"/>
      <c r="BD200" s="6"/>
      <c r="BE200" s="6"/>
      <c r="BF200" s="6"/>
    </row>
    <row r="201" spans="1:58" s="2" customFormat="1" x14ac:dyDescent="0.2">
      <c r="A201" s="6"/>
      <c r="B201" s="6"/>
      <c r="C201" s="42"/>
      <c r="D201" s="6"/>
      <c r="E201" s="6"/>
      <c r="F201" s="6"/>
      <c r="G201" s="6"/>
      <c r="H201" s="6"/>
      <c r="I201" s="6"/>
      <c r="J201" s="6"/>
      <c r="K201" s="6"/>
      <c r="L201" s="6"/>
      <c r="M201" s="6"/>
      <c r="N201" s="6"/>
      <c r="O201" s="6"/>
      <c r="P201" s="6"/>
      <c r="Q201" s="6"/>
      <c r="R201" s="6"/>
      <c r="S201" s="6"/>
      <c r="AV201" s="6"/>
      <c r="AW201" s="6"/>
      <c r="AX201" s="6"/>
      <c r="AY201" s="6"/>
      <c r="AZ201" s="6"/>
      <c r="BB201" s="6"/>
      <c r="BC201" s="6"/>
      <c r="BD201" s="6"/>
      <c r="BE201" s="6"/>
      <c r="BF201" s="6"/>
    </row>
    <row r="202" spans="1:58" s="2" customFormat="1" x14ac:dyDescent="0.2">
      <c r="A202" s="6"/>
      <c r="B202" s="6"/>
      <c r="C202" s="42"/>
      <c r="D202" s="6"/>
      <c r="E202" s="6"/>
      <c r="F202" s="6"/>
      <c r="G202" s="6"/>
      <c r="H202" s="6"/>
      <c r="I202" s="6"/>
      <c r="J202" s="6"/>
      <c r="K202" s="6"/>
      <c r="L202" s="6"/>
      <c r="M202" s="6"/>
      <c r="N202" s="6"/>
      <c r="O202" s="6"/>
      <c r="P202" s="6"/>
      <c r="Q202" s="6"/>
      <c r="R202" s="6"/>
      <c r="S202" s="6"/>
      <c r="AV202" s="6"/>
      <c r="AW202" s="6"/>
      <c r="AX202" s="6"/>
      <c r="AY202" s="6"/>
      <c r="AZ202" s="6"/>
      <c r="BB202" s="6"/>
      <c r="BC202" s="6"/>
      <c r="BD202" s="6"/>
      <c r="BE202" s="6"/>
      <c r="BF202" s="6"/>
    </row>
    <row r="203" spans="1:58" s="2" customFormat="1" x14ac:dyDescent="0.2">
      <c r="A203" s="6"/>
      <c r="B203" s="6"/>
      <c r="C203" s="42"/>
      <c r="D203" s="6"/>
      <c r="E203" s="6"/>
      <c r="F203" s="6"/>
      <c r="G203" s="6"/>
      <c r="H203" s="6"/>
      <c r="I203" s="6"/>
      <c r="J203" s="6"/>
      <c r="K203" s="6"/>
      <c r="L203" s="6"/>
      <c r="M203" s="6"/>
      <c r="N203" s="6"/>
      <c r="O203" s="6"/>
      <c r="P203" s="6"/>
      <c r="Q203" s="6"/>
      <c r="R203" s="6"/>
      <c r="S203" s="6"/>
      <c r="AV203" s="6"/>
      <c r="AW203" s="6"/>
      <c r="AX203" s="6"/>
      <c r="AY203" s="6"/>
      <c r="AZ203" s="6"/>
      <c r="BB203" s="6"/>
      <c r="BC203" s="6"/>
      <c r="BD203" s="6"/>
      <c r="BE203" s="6"/>
      <c r="BF203" s="6"/>
    </row>
    <row r="204" spans="1:58" s="2" customFormat="1" x14ac:dyDescent="0.2">
      <c r="A204" s="6"/>
      <c r="B204" s="6"/>
      <c r="C204" s="42"/>
      <c r="D204" s="6"/>
      <c r="E204" s="6"/>
      <c r="F204" s="6"/>
      <c r="G204" s="6"/>
      <c r="H204" s="6"/>
      <c r="I204" s="6"/>
      <c r="J204" s="6"/>
      <c r="K204" s="6"/>
      <c r="L204" s="6"/>
      <c r="M204" s="6"/>
      <c r="N204" s="6"/>
      <c r="O204" s="6"/>
      <c r="P204" s="6"/>
      <c r="Q204" s="6"/>
      <c r="R204" s="6"/>
      <c r="S204" s="6"/>
      <c r="AV204" s="6"/>
      <c r="AW204" s="6"/>
      <c r="AX204" s="6"/>
      <c r="AY204" s="6"/>
      <c r="AZ204" s="6"/>
      <c r="BB204" s="6"/>
      <c r="BC204" s="6"/>
      <c r="BD204" s="6"/>
      <c r="BE204" s="6"/>
      <c r="BF204" s="6"/>
    </row>
    <row r="205" spans="1:58" s="2" customFormat="1" x14ac:dyDescent="0.2">
      <c r="A205" s="6"/>
      <c r="B205" s="6"/>
      <c r="C205" s="42"/>
      <c r="D205" s="6"/>
      <c r="E205" s="6"/>
      <c r="F205" s="6"/>
      <c r="G205" s="6"/>
      <c r="H205" s="6"/>
      <c r="I205" s="6"/>
      <c r="J205" s="6"/>
      <c r="K205" s="6"/>
      <c r="L205" s="6"/>
      <c r="M205" s="6"/>
      <c r="N205" s="6"/>
      <c r="O205" s="6"/>
      <c r="P205" s="6"/>
      <c r="Q205" s="6"/>
      <c r="R205" s="6"/>
      <c r="S205" s="6"/>
      <c r="AV205" s="6"/>
      <c r="AW205" s="6"/>
      <c r="AX205" s="6"/>
      <c r="AY205" s="6"/>
      <c r="AZ205" s="6"/>
      <c r="BB205" s="6"/>
      <c r="BC205" s="6"/>
      <c r="BD205" s="6"/>
      <c r="BE205" s="6"/>
      <c r="BF205" s="6"/>
    </row>
    <row r="206" spans="1:58" s="2" customFormat="1" x14ac:dyDescent="0.2">
      <c r="A206" s="6"/>
      <c r="B206" s="6"/>
      <c r="C206" s="42"/>
      <c r="D206" s="6"/>
      <c r="E206" s="6"/>
      <c r="F206" s="6"/>
      <c r="G206" s="6"/>
      <c r="H206" s="6"/>
      <c r="I206" s="6"/>
      <c r="J206" s="6"/>
      <c r="K206" s="6"/>
      <c r="L206" s="6"/>
      <c r="M206" s="6"/>
      <c r="N206" s="6"/>
      <c r="O206" s="6"/>
      <c r="P206" s="6"/>
      <c r="Q206" s="6"/>
      <c r="R206" s="6"/>
      <c r="S206" s="6"/>
      <c r="AV206" s="6"/>
      <c r="AW206" s="6"/>
      <c r="AX206" s="6"/>
      <c r="AY206" s="6"/>
      <c r="AZ206" s="6"/>
      <c r="BB206" s="6"/>
      <c r="BC206" s="6"/>
      <c r="BD206" s="6"/>
      <c r="BE206" s="6"/>
      <c r="BF206" s="6"/>
    </row>
    <row r="207" spans="1:58" s="2" customFormat="1" x14ac:dyDescent="0.2">
      <c r="A207" s="6"/>
      <c r="B207" s="6"/>
      <c r="C207" s="42"/>
      <c r="D207" s="6"/>
      <c r="E207" s="6"/>
      <c r="F207" s="6"/>
      <c r="G207" s="6"/>
      <c r="H207" s="6"/>
      <c r="I207" s="6"/>
      <c r="J207" s="6"/>
      <c r="K207" s="6"/>
      <c r="L207" s="6"/>
      <c r="M207" s="6"/>
      <c r="N207" s="6"/>
      <c r="O207" s="6"/>
      <c r="P207" s="6"/>
      <c r="Q207" s="6"/>
      <c r="R207" s="6"/>
      <c r="S207" s="6"/>
      <c r="AV207" s="6"/>
      <c r="AW207" s="6"/>
      <c r="AX207" s="6"/>
      <c r="AY207" s="6"/>
      <c r="AZ207" s="6"/>
      <c r="BB207" s="6"/>
      <c r="BC207" s="6"/>
      <c r="BD207" s="6"/>
      <c r="BE207" s="6"/>
      <c r="BF207" s="6"/>
    </row>
    <row r="208" spans="1:58" s="2" customFormat="1" x14ac:dyDescent="0.2">
      <c r="A208" s="6"/>
      <c r="B208" s="6"/>
      <c r="C208" s="42"/>
      <c r="D208" s="6"/>
      <c r="E208" s="6"/>
      <c r="F208" s="6"/>
      <c r="G208" s="6"/>
      <c r="H208" s="6"/>
      <c r="I208" s="6"/>
      <c r="J208" s="6"/>
      <c r="K208" s="6"/>
      <c r="L208" s="6"/>
      <c r="M208" s="6"/>
      <c r="N208" s="6"/>
      <c r="O208" s="6"/>
      <c r="P208" s="6"/>
      <c r="Q208" s="6"/>
      <c r="R208" s="6"/>
      <c r="S208" s="6"/>
      <c r="AV208" s="6"/>
      <c r="AW208" s="6"/>
      <c r="AX208" s="6"/>
      <c r="AY208" s="6"/>
      <c r="AZ208" s="6"/>
      <c r="BB208" s="6"/>
      <c r="BC208" s="6"/>
      <c r="BD208" s="6"/>
      <c r="BE208" s="6"/>
      <c r="BF208" s="6"/>
    </row>
    <row r="209" spans="1:58" s="2" customFormat="1" x14ac:dyDescent="0.2">
      <c r="A209" s="6"/>
      <c r="B209" s="6"/>
      <c r="C209" s="42"/>
      <c r="D209" s="6"/>
      <c r="E209" s="6"/>
      <c r="F209" s="6"/>
      <c r="G209" s="6"/>
      <c r="H209" s="6"/>
      <c r="I209" s="6"/>
      <c r="J209" s="6"/>
      <c r="K209" s="6"/>
      <c r="L209" s="6"/>
      <c r="M209" s="6"/>
      <c r="N209" s="6"/>
      <c r="O209" s="6"/>
      <c r="P209" s="6"/>
      <c r="Q209" s="6"/>
      <c r="R209" s="6"/>
      <c r="S209" s="6"/>
      <c r="AV209" s="6"/>
      <c r="AW209" s="6"/>
      <c r="AX209" s="6"/>
      <c r="AY209" s="6"/>
      <c r="AZ209" s="6"/>
      <c r="BB209" s="6"/>
      <c r="BC209" s="6"/>
      <c r="BD209" s="6"/>
      <c r="BE209" s="6"/>
      <c r="BF209" s="6"/>
    </row>
    <row r="210" spans="1:58" s="2" customFormat="1" x14ac:dyDescent="0.2">
      <c r="A210" s="6"/>
      <c r="B210" s="6"/>
      <c r="C210" s="42"/>
      <c r="D210" s="6"/>
      <c r="E210" s="6"/>
      <c r="F210" s="6"/>
      <c r="G210" s="6"/>
      <c r="H210" s="6"/>
      <c r="I210" s="6"/>
      <c r="J210" s="6"/>
      <c r="K210" s="6"/>
      <c r="L210" s="6"/>
      <c r="M210" s="6"/>
      <c r="N210" s="6"/>
      <c r="O210" s="6"/>
      <c r="P210" s="6"/>
      <c r="Q210" s="6"/>
      <c r="R210" s="6"/>
      <c r="S210" s="6"/>
      <c r="AV210" s="6"/>
      <c r="AW210" s="6"/>
      <c r="AX210" s="6"/>
      <c r="AY210" s="6"/>
      <c r="AZ210" s="6"/>
      <c r="BB210" s="6"/>
      <c r="BC210" s="6"/>
      <c r="BD210" s="6"/>
      <c r="BE210" s="6"/>
      <c r="BF210" s="6"/>
    </row>
    <row r="211" spans="1:58" s="2" customFormat="1" x14ac:dyDescent="0.2">
      <c r="A211" s="6"/>
      <c r="B211" s="6"/>
      <c r="C211" s="42"/>
      <c r="D211" s="6"/>
      <c r="E211" s="6"/>
      <c r="F211" s="6"/>
      <c r="G211" s="6"/>
      <c r="H211" s="6"/>
      <c r="I211" s="6"/>
      <c r="J211" s="6"/>
      <c r="K211" s="6"/>
      <c r="L211" s="6"/>
      <c r="M211" s="6"/>
      <c r="N211" s="6"/>
      <c r="O211" s="6"/>
      <c r="P211" s="6"/>
      <c r="Q211" s="6"/>
      <c r="R211" s="6"/>
      <c r="S211" s="6"/>
      <c r="AV211" s="6"/>
      <c r="AW211" s="6"/>
      <c r="AX211" s="6"/>
      <c r="AY211" s="6"/>
      <c r="AZ211" s="6"/>
      <c r="BB211" s="6"/>
      <c r="BC211" s="6"/>
      <c r="BD211" s="6"/>
      <c r="BE211" s="6"/>
      <c r="BF211" s="6"/>
    </row>
    <row r="212" spans="1:58" s="2" customFormat="1" x14ac:dyDescent="0.2">
      <c r="A212" s="6"/>
      <c r="B212" s="6"/>
      <c r="C212" s="42"/>
      <c r="D212" s="6"/>
      <c r="E212" s="6"/>
      <c r="F212" s="6"/>
      <c r="G212" s="6"/>
      <c r="H212" s="6"/>
      <c r="I212" s="6"/>
      <c r="J212" s="6"/>
      <c r="K212" s="6"/>
      <c r="L212" s="6"/>
      <c r="M212" s="6"/>
      <c r="N212" s="6"/>
      <c r="O212" s="6"/>
      <c r="P212" s="6"/>
      <c r="Q212" s="6"/>
      <c r="R212" s="6"/>
      <c r="S212" s="6"/>
      <c r="AV212" s="6"/>
      <c r="AW212" s="6"/>
      <c r="AX212" s="6"/>
      <c r="AY212" s="6"/>
      <c r="AZ212" s="6"/>
      <c r="BB212" s="6"/>
      <c r="BC212" s="6"/>
      <c r="BD212" s="6"/>
      <c r="BE212" s="6"/>
      <c r="BF212" s="6"/>
    </row>
    <row r="213" spans="1:58" s="2" customFormat="1" x14ac:dyDescent="0.2">
      <c r="A213" s="6"/>
      <c r="B213" s="6"/>
      <c r="C213" s="42"/>
      <c r="D213" s="6"/>
      <c r="E213" s="6"/>
      <c r="F213" s="6"/>
      <c r="G213" s="6"/>
      <c r="H213" s="6"/>
      <c r="I213" s="6"/>
      <c r="J213" s="6"/>
      <c r="K213" s="6"/>
      <c r="L213" s="6"/>
      <c r="M213" s="6"/>
      <c r="N213" s="6"/>
      <c r="O213" s="6"/>
      <c r="P213" s="6"/>
      <c r="Q213" s="6"/>
      <c r="R213" s="6"/>
      <c r="S213" s="6"/>
      <c r="AV213" s="6"/>
      <c r="AW213" s="6"/>
      <c r="AX213" s="6"/>
      <c r="AY213" s="6"/>
      <c r="AZ213" s="6"/>
      <c r="BB213" s="6"/>
      <c r="BC213" s="6"/>
      <c r="BD213" s="6"/>
      <c r="BE213" s="6"/>
      <c r="BF213" s="6"/>
    </row>
    <row r="214" spans="1:58" s="2" customFormat="1" x14ac:dyDescent="0.2">
      <c r="A214" s="6"/>
      <c r="B214" s="6"/>
      <c r="C214" s="42"/>
      <c r="D214" s="6"/>
      <c r="E214" s="6"/>
      <c r="F214" s="6"/>
      <c r="G214" s="6"/>
      <c r="H214" s="6"/>
      <c r="I214" s="6"/>
      <c r="J214" s="6"/>
      <c r="K214" s="6"/>
      <c r="L214" s="6"/>
      <c r="M214" s="6"/>
      <c r="N214" s="6"/>
      <c r="O214" s="6"/>
      <c r="P214" s="6"/>
      <c r="Q214" s="6"/>
      <c r="R214" s="6"/>
      <c r="S214" s="6"/>
      <c r="AV214" s="6"/>
      <c r="AW214" s="6"/>
      <c r="AX214" s="6"/>
      <c r="AY214" s="6"/>
      <c r="AZ214" s="6"/>
      <c r="BB214" s="6"/>
      <c r="BC214" s="6"/>
      <c r="BD214" s="6"/>
      <c r="BE214" s="6"/>
      <c r="BF214" s="6"/>
    </row>
    <row r="215" spans="1:58" s="2" customFormat="1" x14ac:dyDescent="0.2">
      <c r="A215" s="6"/>
      <c r="B215" s="6"/>
      <c r="C215" s="42"/>
      <c r="D215" s="6"/>
      <c r="E215" s="6"/>
      <c r="F215" s="6"/>
      <c r="G215" s="6"/>
      <c r="H215" s="6"/>
      <c r="I215" s="6"/>
      <c r="J215" s="6"/>
      <c r="K215" s="6"/>
      <c r="L215" s="6"/>
      <c r="M215" s="6"/>
      <c r="N215" s="6"/>
      <c r="O215" s="6"/>
      <c r="P215" s="6"/>
      <c r="Q215" s="6"/>
      <c r="R215" s="6"/>
      <c r="S215" s="6"/>
      <c r="AV215" s="6"/>
      <c r="AW215" s="6"/>
      <c r="AX215" s="6"/>
      <c r="AY215" s="6"/>
      <c r="AZ215" s="6"/>
      <c r="BB215" s="6"/>
      <c r="BC215" s="6"/>
      <c r="BD215" s="6"/>
      <c r="BE215" s="6"/>
      <c r="BF215" s="6"/>
    </row>
    <row r="216" spans="1:58" s="2" customFormat="1" x14ac:dyDescent="0.2">
      <c r="A216" s="6"/>
      <c r="B216" s="6"/>
      <c r="C216" s="42"/>
      <c r="D216" s="6"/>
      <c r="E216" s="6"/>
      <c r="F216" s="6"/>
      <c r="G216" s="6"/>
      <c r="H216" s="6"/>
      <c r="I216" s="6"/>
      <c r="J216" s="6"/>
      <c r="K216" s="6"/>
      <c r="L216" s="6"/>
      <c r="M216" s="6"/>
      <c r="N216" s="6"/>
      <c r="O216" s="6"/>
      <c r="P216" s="6"/>
      <c r="Q216" s="6"/>
      <c r="R216" s="6"/>
      <c r="S216" s="6"/>
      <c r="AV216" s="6"/>
      <c r="AW216" s="6"/>
      <c r="AX216" s="6"/>
      <c r="AY216" s="6"/>
      <c r="AZ216" s="6"/>
      <c r="BB216" s="6"/>
      <c r="BC216" s="6"/>
      <c r="BD216" s="6"/>
      <c r="BE216" s="6"/>
      <c r="BF216" s="6"/>
    </row>
    <row r="217" spans="1:58" s="2" customFormat="1" x14ac:dyDescent="0.2">
      <c r="A217" s="6"/>
      <c r="B217" s="6"/>
      <c r="C217" s="42"/>
      <c r="D217" s="6"/>
      <c r="E217" s="6"/>
      <c r="F217" s="6"/>
      <c r="G217" s="6"/>
      <c r="H217" s="6"/>
      <c r="I217" s="6"/>
      <c r="J217" s="6"/>
      <c r="K217" s="6"/>
      <c r="L217" s="6"/>
      <c r="M217" s="6"/>
      <c r="N217" s="6"/>
      <c r="O217" s="6"/>
      <c r="P217" s="6"/>
      <c r="Q217" s="6"/>
      <c r="R217" s="6"/>
      <c r="S217" s="6"/>
      <c r="AV217" s="6"/>
      <c r="AW217" s="6"/>
      <c r="AX217" s="6"/>
      <c r="AY217" s="6"/>
      <c r="AZ217" s="6"/>
      <c r="BB217" s="6"/>
      <c r="BC217" s="6"/>
      <c r="BD217" s="6"/>
      <c r="BE217" s="6"/>
      <c r="BF217" s="6"/>
    </row>
    <row r="218" spans="1:58" s="2" customFormat="1" x14ac:dyDescent="0.2">
      <c r="A218" s="6"/>
      <c r="B218" s="6"/>
      <c r="C218" s="42"/>
      <c r="D218" s="6"/>
      <c r="E218" s="6"/>
      <c r="F218" s="6"/>
      <c r="G218" s="6"/>
      <c r="H218" s="6"/>
      <c r="I218" s="6"/>
      <c r="J218" s="6"/>
      <c r="K218" s="6"/>
      <c r="L218" s="6"/>
      <c r="M218" s="6"/>
      <c r="N218" s="6"/>
      <c r="O218" s="6"/>
      <c r="P218" s="6"/>
      <c r="Q218" s="6"/>
      <c r="R218" s="6"/>
      <c r="S218" s="6"/>
      <c r="AV218" s="6"/>
      <c r="AW218" s="6"/>
      <c r="AX218" s="6"/>
      <c r="AY218" s="6"/>
      <c r="AZ218" s="6"/>
      <c r="BB218" s="6"/>
      <c r="BC218" s="6"/>
      <c r="BD218" s="6"/>
      <c r="BE218" s="6"/>
      <c r="BF218" s="6"/>
    </row>
    <row r="219" spans="1:58" s="2" customFormat="1" x14ac:dyDescent="0.2">
      <c r="A219" s="6"/>
      <c r="B219" s="6"/>
      <c r="C219" s="42"/>
      <c r="D219" s="6"/>
      <c r="E219" s="6"/>
      <c r="F219" s="6"/>
      <c r="G219" s="6"/>
      <c r="H219" s="6"/>
      <c r="I219" s="6"/>
      <c r="J219" s="6"/>
      <c r="K219" s="6"/>
      <c r="L219" s="6"/>
      <c r="M219" s="6"/>
      <c r="N219" s="6"/>
      <c r="O219" s="6"/>
      <c r="P219" s="6"/>
      <c r="Q219" s="6"/>
      <c r="R219" s="6"/>
      <c r="S219" s="6"/>
      <c r="AV219" s="6"/>
      <c r="AW219" s="6"/>
      <c r="AX219" s="6"/>
      <c r="AY219" s="6"/>
      <c r="AZ219" s="6"/>
      <c r="BB219" s="6"/>
      <c r="BC219" s="6"/>
      <c r="BD219" s="6"/>
      <c r="BE219" s="6"/>
      <c r="BF219" s="6"/>
    </row>
    <row r="220" spans="1:58" s="2" customFormat="1" x14ac:dyDescent="0.2">
      <c r="A220" s="6"/>
      <c r="B220" s="6"/>
      <c r="C220" s="42"/>
      <c r="D220" s="6"/>
      <c r="E220" s="6"/>
      <c r="F220" s="6"/>
      <c r="G220" s="6"/>
      <c r="H220" s="6"/>
      <c r="I220" s="6"/>
      <c r="J220" s="6"/>
      <c r="K220" s="6"/>
      <c r="L220" s="6"/>
      <c r="M220" s="6"/>
      <c r="N220" s="6"/>
      <c r="O220" s="6"/>
      <c r="P220" s="6"/>
      <c r="Q220" s="6"/>
      <c r="R220" s="6"/>
      <c r="S220" s="6"/>
      <c r="AV220" s="6"/>
      <c r="AW220" s="6"/>
      <c r="AX220" s="6"/>
      <c r="AY220" s="6"/>
      <c r="AZ220" s="6"/>
      <c r="BB220" s="6"/>
      <c r="BC220" s="6"/>
      <c r="BD220" s="6"/>
      <c r="BE220" s="6"/>
      <c r="BF220" s="6"/>
    </row>
    <row r="221" spans="1:58" s="2" customFormat="1" x14ac:dyDescent="0.2">
      <c r="A221" s="6"/>
      <c r="B221" s="6"/>
      <c r="C221" s="42"/>
      <c r="D221" s="6"/>
      <c r="E221" s="6"/>
      <c r="F221" s="6"/>
      <c r="G221" s="6"/>
      <c r="H221" s="6"/>
      <c r="I221" s="6"/>
      <c r="J221" s="6"/>
      <c r="K221" s="6"/>
      <c r="L221" s="6"/>
      <c r="M221" s="6"/>
      <c r="N221" s="6"/>
      <c r="O221" s="6"/>
      <c r="P221" s="6"/>
      <c r="Q221" s="6"/>
      <c r="R221" s="6"/>
      <c r="S221" s="6"/>
      <c r="AV221" s="6"/>
      <c r="AW221" s="6"/>
      <c r="AX221" s="6"/>
      <c r="AY221" s="6"/>
      <c r="AZ221" s="6"/>
      <c r="BB221" s="6"/>
      <c r="BC221" s="6"/>
      <c r="BD221" s="6"/>
      <c r="BE221" s="6"/>
      <c r="BF221" s="6"/>
    </row>
    <row r="222" spans="1:58" s="2" customFormat="1" x14ac:dyDescent="0.2">
      <c r="A222" s="6"/>
      <c r="B222" s="6"/>
      <c r="C222" s="42"/>
      <c r="D222" s="6"/>
      <c r="E222" s="6"/>
      <c r="F222" s="6"/>
      <c r="G222" s="6"/>
      <c r="H222" s="6"/>
      <c r="I222" s="6"/>
      <c r="J222" s="6"/>
      <c r="K222" s="6"/>
      <c r="L222" s="6"/>
      <c r="M222" s="6"/>
      <c r="N222" s="6"/>
      <c r="O222" s="6"/>
      <c r="P222" s="6"/>
      <c r="Q222" s="6"/>
      <c r="R222" s="6"/>
      <c r="S222" s="6"/>
      <c r="AV222" s="6"/>
      <c r="AW222" s="6"/>
      <c r="AX222" s="6"/>
      <c r="AY222" s="6"/>
      <c r="AZ222" s="6"/>
      <c r="BB222" s="6"/>
      <c r="BC222" s="6"/>
      <c r="BD222" s="6"/>
      <c r="BE222" s="6"/>
      <c r="BF222" s="6"/>
    </row>
    <row r="223" spans="1:58" s="2" customFormat="1" x14ac:dyDescent="0.2">
      <c r="A223" s="6"/>
      <c r="B223" s="6"/>
      <c r="C223" s="42"/>
      <c r="D223" s="6"/>
      <c r="E223" s="6"/>
      <c r="F223" s="6"/>
      <c r="G223" s="6"/>
      <c r="H223" s="6"/>
      <c r="I223" s="6"/>
      <c r="J223" s="6"/>
      <c r="K223" s="6"/>
      <c r="L223" s="6"/>
      <c r="M223" s="6"/>
      <c r="N223" s="6"/>
      <c r="O223" s="6"/>
      <c r="P223" s="6"/>
      <c r="Q223" s="6"/>
      <c r="R223" s="6"/>
      <c r="S223" s="6"/>
      <c r="AV223" s="6"/>
      <c r="AW223" s="6"/>
      <c r="AX223" s="6"/>
      <c r="AY223" s="6"/>
      <c r="AZ223" s="6"/>
      <c r="BB223" s="6"/>
      <c r="BC223" s="6"/>
      <c r="BD223" s="6"/>
      <c r="BE223" s="6"/>
      <c r="BF223" s="6"/>
    </row>
    <row r="224" spans="1:58" s="2" customFormat="1" x14ac:dyDescent="0.2">
      <c r="A224" s="6"/>
      <c r="B224" s="6"/>
      <c r="C224" s="42"/>
      <c r="D224" s="6"/>
      <c r="E224" s="6"/>
      <c r="F224" s="6"/>
      <c r="G224" s="6"/>
      <c r="H224" s="6"/>
      <c r="I224" s="6"/>
      <c r="J224" s="6"/>
      <c r="K224" s="6"/>
      <c r="L224" s="6"/>
      <c r="M224" s="6"/>
      <c r="N224" s="6"/>
      <c r="O224" s="6"/>
      <c r="P224" s="6"/>
      <c r="Q224" s="6"/>
      <c r="R224" s="6"/>
      <c r="S224" s="6"/>
      <c r="AV224" s="6"/>
      <c r="AW224" s="6"/>
      <c r="AX224" s="6"/>
      <c r="AY224" s="6"/>
      <c r="AZ224" s="6"/>
      <c r="BB224" s="6"/>
      <c r="BC224" s="6"/>
      <c r="BD224" s="6"/>
      <c r="BE224" s="6"/>
      <c r="BF224" s="6"/>
    </row>
    <row r="225" spans="1:58" s="2" customFormat="1" x14ac:dyDescent="0.2">
      <c r="A225" s="6"/>
      <c r="B225" s="6"/>
      <c r="C225" s="42"/>
      <c r="D225" s="6"/>
      <c r="E225" s="6"/>
      <c r="F225" s="6"/>
      <c r="G225" s="6"/>
      <c r="H225" s="6"/>
      <c r="I225" s="6"/>
      <c r="J225" s="6"/>
      <c r="K225" s="6"/>
      <c r="L225" s="6"/>
      <c r="M225" s="6"/>
      <c r="N225" s="6"/>
      <c r="O225" s="6"/>
      <c r="P225" s="6"/>
      <c r="Q225" s="6"/>
      <c r="R225" s="6"/>
      <c r="S225" s="6"/>
      <c r="AV225" s="6"/>
      <c r="AW225" s="6"/>
      <c r="AX225" s="6"/>
      <c r="AY225" s="6"/>
      <c r="AZ225" s="6"/>
      <c r="BB225" s="6"/>
      <c r="BC225" s="6"/>
      <c r="BD225" s="6"/>
      <c r="BE225" s="6"/>
      <c r="BF225" s="6"/>
    </row>
    <row r="226" spans="1:58" s="2" customFormat="1" x14ac:dyDescent="0.2">
      <c r="A226" s="6"/>
      <c r="B226" s="6"/>
      <c r="C226" s="42"/>
      <c r="D226" s="6"/>
      <c r="E226" s="6"/>
      <c r="F226" s="6"/>
      <c r="G226" s="6"/>
      <c r="H226" s="6"/>
      <c r="I226" s="6"/>
      <c r="J226" s="6"/>
      <c r="K226" s="6"/>
      <c r="L226" s="6"/>
      <c r="M226" s="6"/>
      <c r="N226" s="6"/>
      <c r="O226" s="6"/>
      <c r="P226" s="6"/>
      <c r="Q226" s="6"/>
      <c r="R226" s="6"/>
      <c r="S226" s="6"/>
      <c r="AV226" s="6"/>
      <c r="AW226" s="6"/>
      <c r="AX226" s="6"/>
      <c r="AY226" s="6"/>
      <c r="AZ226" s="6"/>
      <c r="BB226" s="6"/>
      <c r="BC226" s="6"/>
      <c r="BD226" s="6"/>
      <c r="BE226" s="6"/>
      <c r="BF226" s="6"/>
    </row>
    <row r="227" spans="1:58" s="2" customFormat="1" x14ac:dyDescent="0.2">
      <c r="A227" s="6"/>
      <c r="B227" s="6"/>
      <c r="C227" s="42"/>
      <c r="D227" s="6"/>
      <c r="E227" s="6"/>
      <c r="F227" s="6"/>
      <c r="G227" s="6"/>
      <c r="H227" s="6"/>
      <c r="I227" s="6"/>
      <c r="J227" s="6"/>
      <c r="K227" s="6"/>
      <c r="L227" s="6"/>
      <c r="M227" s="6"/>
      <c r="N227" s="6"/>
      <c r="O227" s="6"/>
      <c r="P227" s="6"/>
      <c r="Q227" s="6"/>
      <c r="R227" s="6"/>
      <c r="S227" s="6"/>
      <c r="AV227" s="6"/>
      <c r="AW227" s="6"/>
      <c r="AX227" s="6"/>
      <c r="AY227" s="6"/>
      <c r="AZ227" s="6"/>
      <c r="BB227" s="6"/>
      <c r="BC227" s="6"/>
      <c r="BD227" s="6"/>
      <c r="BE227" s="6"/>
      <c r="BF227" s="6"/>
    </row>
    <row r="228" spans="1:58" s="2" customFormat="1" x14ac:dyDescent="0.2">
      <c r="A228" s="6"/>
      <c r="B228" s="6"/>
      <c r="C228" s="42"/>
      <c r="D228" s="6"/>
      <c r="E228" s="6"/>
      <c r="F228" s="6"/>
      <c r="G228" s="6"/>
      <c r="H228" s="6"/>
      <c r="I228" s="6"/>
      <c r="J228" s="6"/>
      <c r="K228" s="6"/>
      <c r="L228" s="6"/>
      <c r="M228" s="6"/>
      <c r="N228" s="6"/>
      <c r="O228" s="6"/>
      <c r="P228" s="6"/>
      <c r="Q228" s="6"/>
      <c r="R228" s="6"/>
      <c r="S228" s="6"/>
      <c r="AV228" s="6"/>
      <c r="AW228" s="6"/>
      <c r="AX228" s="6"/>
      <c r="AY228" s="6"/>
      <c r="AZ228" s="6"/>
      <c r="BB228" s="6"/>
      <c r="BC228" s="6"/>
      <c r="BD228" s="6"/>
      <c r="BE228" s="6"/>
      <c r="BF228" s="6"/>
    </row>
    <row r="229" spans="1:58" s="2" customFormat="1" x14ac:dyDescent="0.2">
      <c r="A229" s="6"/>
      <c r="B229" s="6"/>
      <c r="C229" s="42"/>
      <c r="D229" s="6"/>
      <c r="E229" s="6"/>
      <c r="F229" s="6"/>
      <c r="G229" s="6"/>
      <c r="H229" s="6"/>
      <c r="I229" s="6"/>
      <c r="J229" s="6"/>
      <c r="K229" s="6"/>
      <c r="L229" s="6"/>
      <c r="M229" s="6"/>
      <c r="N229" s="6"/>
      <c r="O229" s="6"/>
      <c r="P229" s="6"/>
      <c r="Q229" s="6"/>
      <c r="R229" s="6"/>
      <c r="S229" s="6"/>
      <c r="AV229" s="6"/>
      <c r="AW229" s="6"/>
      <c r="AX229" s="6"/>
      <c r="AY229" s="6"/>
      <c r="AZ229" s="6"/>
      <c r="BB229" s="6"/>
      <c r="BC229" s="6"/>
      <c r="BD229" s="6"/>
      <c r="BE229" s="6"/>
      <c r="BF229" s="6"/>
    </row>
    <row r="230" spans="1:58" s="2" customFormat="1" x14ac:dyDescent="0.2">
      <c r="A230" s="6"/>
      <c r="B230" s="6"/>
      <c r="C230" s="42"/>
      <c r="D230" s="6"/>
      <c r="E230" s="6"/>
      <c r="F230" s="6"/>
      <c r="G230" s="6"/>
      <c r="H230" s="6"/>
      <c r="I230" s="6"/>
      <c r="J230" s="6"/>
      <c r="K230" s="6"/>
      <c r="L230" s="6"/>
      <c r="M230" s="6"/>
      <c r="N230" s="6"/>
      <c r="O230" s="6"/>
      <c r="P230" s="6"/>
      <c r="Q230" s="6"/>
      <c r="R230" s="6"/>
      <c r="S230" s="6"/>
      <c r="AV230" s="6"/>
      <c r="AW230" s="6"/>
      <c r="AX230" s="6"/>
      <c r="AY230" s="6"/>
      <c r="AZ230" s="6"/>
      <c r="BB230" s="6"/>
      <c r="BC230" s="6"/>
      <c r="BD230" s="6"/>
      <c r="BE230" s="6"/>
      <c r="BF230" s="6"/>
    </row>
    <row r="231" spans="1:58" s="2" customFormat="1" x14ac:dyDescent="0.2">
      <c r="A231" s="6"/>
      <c r="B231" s="6"/>
      <c r="C231" s="42"/>
      <c r="D231" s="6"/>
      <c r="E231" s="6"/>
      <c r="F231" s="6"/>
      <c r="G231" s="6"/>
      <c r="H231" s="6"/>
      <c r="I231" s="6"/>
      <c r="J231" s="6"/>
      <c r="K231" s="6"/>
      <c r="L231" s="6"/>
      <c r="M231" s="6"/>
      <c r="N231" s="6"/>
      <c r="O231" s="6"/>
      <c r="P231" s="6"/>
      <c r="Q231" s="6"/>
      <c r="R231" s="6"/>
      <c r="S231" s="6"/>
      <c r="AV231" s="6"/>
      <c r="AW231" s="6"/>
      <c r="AX231" s="6"/>
      <c r="AY231" s="6"/>
      <c r="AZ231" s="6"/>
      <c r="BB231" s="6"/>
      <c r="BC231" s="6"/>
      <c r="BD231" s="6"/>
      <c r="BE231" s="6"/>
      <c r="BF231" s="6"/>
    </row>
    <row r="232" spans="1:58" s="2" customFormat="1" x14ac:dyDescent="0.2">
      <c r="A232" s="6"/>
      <c r="B232" s="6"/>
      <c r="C232" s="42"/>
      <c r="D232" s="6"/>
      <c r="E232" s="6"/>
      <c r="F232" s="6"/>
      <c r="G232" s="6"/>
      <c r="H232" s="6"/>
      <c r="I232" s="6"/>
      <c r="J232" s="6"/>
      <c r="K232" s="6"/>
      <c r="L232" s="6"/>
      <c r="M232" s="6"/>
      <c r="N232" s="6"/>
      <c r="O232" s="6"/>
      <c r="P232" s="6"/>
      <c r="Q232" s="6"/>
      <c r="R232" s="6"/>
      <c r="S232" s="6"/>
      <c r="AV232" s="6"/>
      <c r="AW232" s="6"/>
      <c r="AX232" s="6"/>
      <c r="AY232" s="6"/>
      <c r="AZ232" s="6"/>
      <c r="BB232" s="6"/>
      <c r="BC232" s="6"/>
      <c r="BD232" s="6"/>
      <c r="BE232" s="6"/>
      <c r="BF232" s="6"/>
    </row>
    <row r="233" spans="1:58" s="2" customFormat="1" x14ac:dyDescent="0.2">
      <c r="A233" s="6"/>
      <c r="B233" s="6"/>
      <c r="C233" s="42"/>
      <c r="D233" s="6"/>
      <c r="E233" s="6"/>
      <c r="F233" s="6"/>
      <c r="G233" s="6"/>
      <c r="H233" s="6"/>
      <c r="I233" s="6"/>
      <c r="J233" s="6"/>
      <c r="K233" s="6"/>
      <c r="L233" s="6"/>
      <c r="M233" s="6"/>
      <c r="N233" s="6"/>
      <c r="O233" s="6"/>
      <c r="P233" s="6"/>
      <c r="Q233" s="6"/>
      <c r="R233" s="6"/>
      <c r="S233" s="6"/>
      <c r="AV233" s="6"/>
      <c r="AW233" s="6"/>
      <c r="AX233" s="6"/>
      <c r="AY233" s="6"/>
      <c r="AZ233" s="6"/>
      <c r="BB233" s="6"/>
      <c r="BC233" s="6"/>
      <c r="BD233" s="6"/>
      <c r="BE233" s="6"/>
      <c r="BF233" s="6"/>
    </row>
    <row r="234" spans="1:58" s="2" customFormat="1" x14ac:dyDescent="0.2">
      <c r="A234" s="6"/>
      <c r="B234" s="6"/>
      <c r="C234" s="42"/>
      <c r="D234" s="6"/>
      <c r="E234" s="6"/>
      <c r="F234" s="6"/>
      <c r="G234" s="6"/>
      <c r="H234" s="6"/>
      <c r="I234" s="6"/>
      <c r="J234" s="6"/>
      <c r="K234" s="6"/>
      <c r="L234" s="6"/>
      <c r="M234" s="6"/>
      <c r="N234" s="6"/>
      <c r="O234" s="6"/>
      <c r="P234" s="6"/>
      <c r="Q234" s="6"/>
      <c r="R234" s="6"/>
      <c r="S234" s="6"/>
      <c r="AV234" s="6"/>
      <c r="AW234" s="6"/>
      <c r="AX234" s="6"/>
      <c r="AY234" s="6"/>
      <c r="AZ234" s="6"/>
      <c r="BB234" s="6"/>
      <c r="BC234" s="6"/>
      <c r="BD234" s="6"/>
      <c r="BE234" s="6"/>
      <c r="BF234" s="6"/>
    </row>
    <row r="235" spans="1:58" s="2" customFormat="1" x14ac:dyDescent="0.2">
      <c r="A235" s="6"/>
      <c r="B235" s="6"/>
      <c r="C235" s="42"/>
      <c r="D235" s="6"/>
      <c r="E235" s="6"/>
      <c r="F235" s="6"/>
      <c r="G235" s="6"/>
      <c r="H235" s="6"/>
      <c r="I235" s="6"/>
      <c r="J235" s="6"/>
      <c r="K235" s="6"/>
      <c r="L235" s="6"/>
      <c r="M235" s="6"/>
      <c r="N235" s="6"/>
      <c r="O235" s="6"/>
      <c r="P235" s="6"/>
      <c r="Q235" s="6"/>
      <c r="R235" s="6"/>
      <c r="S235" s="6"/>
      <c r="AV235" s="6"/>
      <c r="AW235" s="6"/>
      <c r="AX235" s="6"/>
      <c r="AY235" s="6"/>
      <c r="AZ235" s="6"/>
      <c r="BB235" s="6"/>
      <c r="BC235" s="6"/>
      <c r="BD235" s="6"/>
      <c r="BE235" s="6"/>
      <c r="BF235" s="6"/>
    </row>
    <row r="236" spans="1:58" s="2" customFormat="1" x14ac:dyDescent="0.2">
      <c r="A236" s="6"/>
      <c r="B236" s="6"/>
      <c r="C236" s="42"/>
      <c r="D236" s="6"/>
      <c r="E236" s="6"/>
      <c r="F236" s="6"/>
      <c r="G236" s="6"/>
      <c r="H236" s="6"/>
      <c r="I236" s="6"/>
      <c r="J236" s="6"/>
      <c r="K236" s="6"/>
      <c r="L236" s="6"/>
      <c r="M236" s="6"/>
      <c r="N236" s="6"/>
      <c r="O236" s="6"/>
      <c r="P236" s="6"/>
      <c r="Q236" s="6"/>
      <c r="R236" s="6"/>
      <c r="S236" s="6"/>
      <c r="AV236" s="6"/>
      <c r="AW236" s="6"/>
      <c r="AX236" s="6"/>
      <c r="AY236" s="6"/>
      <c r="AZ236" s="6"/>
      <c r="BB236" s="6"/>
      <c r="BC236" s="6"/>
      <c r="BD236" s="6"/>
      <c r="BE236" s="6"/>
      <c r="BF236" s="6"/>
    </row>
    <row r="237" spans="1:58" s="2" customFormat="1" x14ac:dyDescent="0.2">
      <c r="A237" s="6"/>
      <c r="B237" s="6"/>
      <c r="C237" s="42"/>
      <c r="D237" s="6"/>
      <c r="E237" s="6"/>
      <c r="F237" s="6"/>
      <c r="G237" s="6"/>
      <c r="H237" s="6"/>
      <c r="I237" s="6"/>
      <c r="J237" s="6"/>
      <c r="K237" s="6"/>
      <c r="L237" s="6"/>
      <c r="M237" s="6"/>
      <c r="N237" s="6"/>
      <c r="O237" s="6"/>
      <c r="P237" s="6"/>
      <c r="Q237" s="6"/>
      <c r="R237" s="6"/>
      <c r="S237" s="6"/>
      <c r="AV237" s="6"/>
      <c r="AW237" s="6"/>
      <c r="AX237" s="6"/>
      <c r="AY237" s="6"/>
      <c r="AZ237" s="6"/>
      <c r="BB237" s="6"/>
      <c r="BC237" s="6"/>
      <c r="BD237" s="6"/>
      <c r="BE237" s="6"/>
      <c r="BF237" s="6"/>
    </row>
    <row r="238" spans="1:58" s="2" customFormat="1" x14ac:dyDescent="0.2">
      <c r="A238" s="6"/>
      <c r="B238" s="6"/>
      <c r="C238" s="42"/>
      <c r="D238" s="6"/>
      <c r="E238" s="6"/>
      <c r="F238" s="6"/>
      <c r="G238" s="6"/>
      <c r="H238" s="6"/>
      <c r="I238" s="6"/>
      <c r="J238" s="6"/>
      <c r="K238" s="6"/>
      <c r="L238" s="6"/>
      <c r="M238" s="6"/>
      <c r="N238" s="6"/>
      <c r="O238" s="6"/>
      <c r="P238" s="6"/>
      <c r="Q238" s="6"/>
      <c r="R238" s="6"/>
      <c r="S238" s="6"/>
      <c r="AV238" s="6"/>
      <c r="AW238" s="6"/>
      <c r="AX238" s="6"/>
      <c r="AY238" s="6"/>
      <c r="AZ238" s="6"/>
      <c r="BB238" s="6"/>
      <c r="BC238" s="6"/>
      <c r="BD238" s="6"/>
      <c r="BE238" s="6"/>
      <c r="BF238" s="6"/>
    </row>
    <row r="239" spans="1:58" s="2" customFormat="1" x14ac:dyDescent="0.2">
      <c r="A239" s="6"/>
      <c r="B239" s="6"/>
      <c r="C239" s="42"/>
      <c r="D239" s="6"/>
      <c r="E239" s="6"/>
      <c r="F239" s="6"/>
      <c r="G239" s="6"/>
      <c r="H239" s="6"/>
      <c r="I239" s="6"/>
      <c r="J239" s="6"/>
      <c r="K239" s="6"/>
      <c r="L239" s="6"/>
      <c r="M239" s="6"/>
      <c r="N239" s="6"/>
      <c r="O239" s="6"/>
      <c r="P239" s="6"/>
      <c r="Q239" s="6"/>
      <c r="R239" s="6"/>
      <c r="S239" s="6"/>
      <c r="AV239" s="6"/>
      <c r="AW239" s="6"/>
      <c r="AX239" s="6"/>
      <c r="AY239" s="6"/>
      <c r="AZ239" s="6"/>
      <c r="BB239" s="6"/>
      <c r="BC239" s="6"/>
      <c r="BD239" s="6"/>
      <c r="BE239" s="6"/>
      <c r="BF239" s="6"/>
    </row>
    <row r="240" spans="1:58" s="2" customFormat="1" x14ac:dyDescent="0.2">
      <c r="A240" s="6"/>
      <c r="B240" s="6"/>
      <c r="C240" s="42"/>
      <c r="D240" s="6"/>
      <c r="E240" s="6"/>
      <c r="F240" s="6"/>
      <c r="G240" s="6"/>
      <c r="H240" s="6"/>
      <c r="I240" s="6"/>
      <c r="J240" s="6"/>
      <c r="K240" s="6"/>
      <c r="L240" s="6"/>
      <c r="M240" s="6"/>
      <c r="N240" s="6"/>
      <c r="O240" s="6"/>
      <c r="P240" s="6"/>
      <c r="Q240" s="6"/>
      <c r="R240" s="6"/>
      <c r="S240" s="6"/>
      <c r="AV240" s="6"/>
      <c r="AW240" s="6"/>
      <c r="AX240" s="6"/>
      <c r="AY240" s="6"/>
      <c r="AZ240" s="6"/>
      <c r="BB240" s="6"/>
      <c r="BC240" s="6"/>
      <c r="BD240" s="6"/>
      <c r="BE240" s="6"/>
      <c r="BF240" s="6"/>
    </row>
    <row r="241" spans="1:58" s="2" customFormat="1" x14ac:dyDescent="0.2">
      <c r="A241" s="6"/>
      <c r="B241" s="6"/>
      <c r="C241" s="42"/>
      <c r="D241" s="6"/>
      <c r="E241" s="6"/>
      <c r="F241" s="6"/>
      <c r="G241" s="6"/>
      <c r="H241" s="6"/>
      <c r="I241" s="6"/>
      <c r="J241" s="6"/>
      <c r="K241" s="6"/>
      <c r="L241" s="6"/>
      <c r="M241" s="6"/>
      <c r="N241" s="6"/>
      <c r="O241" s="6"/>
      <c r="P241" s="6"/>
      <c r="Q241" s="6"/>
      <c r="R241" s="6"/>
      <c r="S241" s="6"/>
      <c r="AV241" s="6"/>
      <c r="AW241" s="6"/>
      <c r="AX241" s="6"/>
      <c r="AY241" s="6"/>
      <c r="AZ241" s="6"/>
      <c r="BB241" s="6"/>
      <c r="BC241" s="6"/>
      <c r="BD241" s="6"/>
      <c r="BE241" s="6"/>
      <c r="BF241" s="6"/>
    </row>
    <row r="242" spans="1:58" s="2" customFormat="1" x14ac:dyDescent="0.2">
      <c r="A242" s="6"/>
      <c r="B242" s="6"/>
      <c r="C242" s="42"/>
      <c r="D242" s="6"/>
      <c r="E242" s="6"/>
      <c r="F242" s="6"/>
      <c r="G242" s="6"/>
      <c r="H242" s="6"/>
      <c r="I242" s="6"/>
      <c r="J242" s="6"/>
      <c r="K242" s="6"/>
      <c r="L242" s="6"/>
      <c r="M242" s="6"/>
      <c r="N242" s="6"/>
      <c r="O242" s="6"/>
      <c r="P242" s="6"/>
      <c r="Q242" s="6"/>
      <c r="R242" s="6"/>
      <c r="S242" s="6"/>
      <c r="AV242" s="6"/>
      <c r="AW242" s="6"/>
      <c r="AX242" s="6"/>
      <c r="AY242" s="6"/>
      <c r="AZ242" s="6"/>
      <c r="BB242" s="6"/>
      <c r="BC242" s="6"/>
      <c r="BD242" s="6"/>
      <c r="BE242" s="6"/>
      <c r="BF242" s="6"/>
    </row>
    <row r="243" spans="1:58" s="2" customFormat="1" x14ac:dyDescent="0.2">
      <c r="A243" s="6"/>
      <c r="B243" s="6"/>
      <c r="C243" s="42"/>
      <c r="D243" s="6"/>
      <c r="E243" s="6"/>
      <c r="F243" s="6"/>
      <c r="G243" s="6"/>
      <c r="H243" s="6"/>
      <c r="I243" s="6"/>
      <c r="J243" s="6"/>
      <c r="K243" s="6"/>
      <c r="L243" s="6"/>
      <c r="M243" s="6"/>
      <c r="N243" s="6"/>
      <c r="O243" s="6"/>
      <c r="P243" s="6"/>
      <c r="Q243" s="6"/>
      <c r="R243" s="6"/>
      <c r="S243" s="6"/>
      <c r="AV243" s="6"/>
      <c r="AW243" s="6"/>
      <c r="AX243" s="6"/>
      <c r="AY243" s="6"/>
      <c r="AZ243" s="6"/>
      <c r="BB243" s="6"/>
      <c r="BC243" s="6"/>
      <c r="BD243" s="6"/>
      <c r="BE243" s="6"/>
      <c r="BF243" s="6"/>
    </row>
    <row r="244" spans="1:58" s="2" customFormat="1" x14ac:dyDescent="0.2">
      <c r="A244" s="6"/>
      <c r="B244" s="6"/>
      <c r="C244" s="42"/>
      <c r="D244" s="6"/>
      <c r="E244" s="6"/>
      <c r="F244" s="6"/>
      <c r="G244" s="6"/>
      <c r="H244" s="6"/>
      <c r="I244" s="6"/>
      <c r="J244" s="6"/>
      <c r="K244" s="6"/>
      <c r="L244" s="6"/>
      <c r="M244" s="6"/>
      <c r="N244" s="6"/>
      <c r="O244" s="6"/>
      <c r="P244" s="6"/>
      <c r="Q244" s="6"/>
      <c r="R244" s="6"/>
      <c r="S244" s="6"/>
      <c r="AV244" s="6"/>
      <c r="AW244" s="6"/>
      <c r="AX244" s="6"/>
      <c r="AY244" s="6"/>
      <c r="AZ244" s="6"/>
      <c r="BB244" s="6"/>
      <c r="BC244" s="6"/>
      <c r="BD244" s="6"/>
      <c r="BE244" s="6"/>
      <c r="BF244" s="6"/>
    </row>
    <row r="245" spans="1:58" s="2" customFormat="1" x14ac:dyDescent="0.2">
      <c r="A245" s="6"/>
      <c r="B245" s="6"/>
      <c r="C245" s="42"/>
      <c r="D245" s="6"/>
      <c r="E245" s="6"/>
      <c r="F245" s="6"/>
      <c r="G245" s="6"/>
      <c r="H245" s="6"/>
      <c r="I245" s="6"/>
      <c r="J245" s="6"/>
      <c r="K245" s="6"/>
      <c r="L245" s="6"/>
      <c r="M245" s="6"/>
      <c r="N245" s="6"/>
      <c r="O245" s="6"/>
      <c r="P245" s="6"/>
      <c r="Q245" s="6"/>
      <c r="R245" s="6"/>
      <c r="S245" s="6"/>
      <c r="AV245" s="6"/>
      <c r="AW245" s="6"/>
      <c r="AX245" s="6"/>
      <c r="AY245" s="6"/>
      <c r="AZ245" s="6"/>
      <c r="BB245" s="6"/>
      <c r="BC245" s="6"/>
      <c r="BD245" s="6"/>
      <c r="BE245" s="6"/>
      <c r="BF245" s="6"/>
    </row>
    <row r="246" spans="1:58" s="2" customFormat="1" x14ac:dyDescent="0.2">
      <c r="A246" s="6"/>
      <c r="B246" s="6"/>
      <c r="C246" s="42"/>
      <c r="D246" s="6"/>
      <c r="E246" s="6"/>
      <c r="F246" s="6"/>
      <c r="G246" s="6"/>
      <c r="H246" s="6"/>
      <c r="I246" s="6"/>
      <c r="J246" s="6"/>
      <c r="K246" s="6"/>
      <c r="L246" s="6"/>
      <c r="M246" s="6"/>
      <c r="N246" s="6"/>
      <c r="O246" s="6"/>
      <c r="P246" s="6"/>
      <c r="Q246" s="6"/>
      <c r="R246" s="6"/>
      <c r="S246" s="6"/>
      <c r="AV246" s="6"/>
      <c r="AW246" s="6"/>
      <c r="AX246" s="6"/>
      <c r="AY246" s="6"/>
      <c r="AZ246" s="6"/>
      <c r="BB246" s="6"/>
      <c r="BC246" s="6"/>
      <c r="BD246" s="6"/>
      <c r="BE246" s="6"/>
      <c r="BF246" s="6"/>
    </row>
    <row r="247" spans="1:58" s="2" customFormat="1" x14ac:dyDescent="0.2">
      <c r="A247" s="6"/>
      <c r="B247" s="6"/>
      <c r="C247" s="42"/>
      <c r="D247" s="6"/>
      <c r="E247" s="6"/>
      <c r="F247" s="6"/>
      <c r="G247" s="6"/>
      <c r="H247" s="6"/>
      <c r="I247" s="6"/>
      <c r="J247" s="6"/>
      <c r="K247" s="6"/>
      <c r="L247" s="6"/>
      <c r="M247" s="6"/>
      <c r="N247" s="6"/>
      <c r="O247" s="6"/>
      <c r="P247" s="6"/>
      <c r="Q247" s="6"/>
      <c r="R247" s="6"/>
      <c r="S247" s="6"/>
      <c r="AV247" s="6"/>
      <c r="AW247" s="6"/>
      <c r="AX247" s="6"/>
      <c r="AY247" s="6"/>
      <c r="AZ247" s="6"/>
      <c r="BB247" s="6"/>
      <c r="BC247" s="6"/>
      <c r="BD247" s="6"/>
      <c r="BE247" s="6"/>
      <c r="BF247" s="6"/>
    </row>
    <row r="248" spans="1:58" s="2" customFormat="1" x14ac:dyDescent="0.2">
      <c r="A248" s="6"/>
      <c r="B248" s="6"/>
      <c r="C248" s="42"/>
      <c r="D248" s="6"/>
      <c r="E248" s="6"/>
      <c r="F248" s="6"/>
      <c r="G248" s="6"/>
      <c r="H248" s="6"/>
      <c r="I248" s="6"/>
      <c r="J248" s="6"/>
      <c r="K248" s="6"/>
      <c r="L248" s="6"/>
      <c r="M248" s="6"/>
      <c r="N248" s="6"/>
      <c r="O248" s="6"/>
      <c r="P248" s="6"/>
      <c r="Q248" s="6"/>
      <c r="R248" s="6"/>
      <c r="S248" s="6"/>
      <c r="AV248" s="6"/>
      <c r="AW248" s="6"/>
      <c r="AX248" s="6"/>
      <c r="AY248" s="6"/>
      <c r="AZ248" s="6"/>
      <c r="BB248" s="6"/>
      <c r="BC248" s="6"/>
      <c r="BD248" s="6"/>
      <c r="BE248" s="6"/>
      <c r="BF248" s="6"/>
    </row>
    <row r="249" spans="1:58" s="2" customFormat="1" x14ac:dyDescent="0.2">
      <c r="A249" s="6"/>
      <c r="B249" s="6"/>
      <c r="C249" s="42"/>
      <c r="D249" s="6"/>
      <c r="E249" s="6"/>
      <c r="F249" s="6"/>
      <c r="G249" s="6"/>
      <c r="H249" s="6"/>
      <c r="I249" s="6"/>
      <c r="J249" s="6"/>
      <c r="K249" s="6"/>
      <c r="L249" s="6"/>
      <c r="M249" s="6"/>
      <c r="N249" s="6"/>
      <c r="O249" s="6"/>
      <c r="P249" s="6"/>
      <c r="Q249" s="6"/>
      <c r="R249" s="6"/>
      <c r="S249" s="6"/>
      <c r="AV249" s="6"/>
      <c r="AW249" s="6"/>
      <c r="AX249" s="6"/>
      <c r="AY249" s="6"/>
      <c r="AZ249" s="6"/>
      <c r="BB249" s="6"/>
      <c r="BC249" s="6"/>
      <c r="BD249" s="6"/>
      <c r="BE249" s="6"/>
      <c r="BF249" s="6"/>
    </row>
    <row r="250" spans="1:58" s="2" customFormat="1" x14ac:dyDescent="0.2">
      <c r="A250" s="6"/>
      <c r="B250" s="6"/>
      <c r="C250" s="42"/>
      <c r="D250" s="6"/>
      <c r="E250" s="6"/>
      <c r="F250" s="6"/>
      <c r="G250" s="6"/>
      <c r="H250" s="6"/>
      <c r="I250" s="6"/>
      <c r="J250" s="6"/>
      <c r="K250" s="6"/>
      <c r="L250" s="6"/>
      <c r="M250" s="6"/>
      <c r="N250" s="6"/>
      <c r="O250" s="6"/>
      <c r="P250" s="6"/>
      <c r="Q250" s="6"/>
      <c r="R250" s="6"/>
      <c r="S250" s="6"/>
      <c r="AV250" s="6"/>
      <c r="AW250" s="6"/>
      <c r="AX250" s="6"/>
      <c r="AY250" s="6"/>
      <c r="AZ250" s="6"/>
      <c r="BB250" s="6"/>
      <c r="BC250" s="6"/>
      <c r="BD250" s="6"/>
      <c r="BE250" s="6"/>
      <c r="BF250" s="6"/>
    </row>
    <row r="251" spans="1:58" s="2" customFormat="1" x14ac:dyDescent="0.2">
      <c r="A251" s="6"/>
      <c r="B251" s="6"/>
      <c r="C251" s="42"/>
      <c r="D251" s="6"/>
      <c r="E251" s="6"/>
      <c r="F251" s="6"/>
      <c r="G251" s="6"/>
      <c r="H251" s="6"/>
      <c r="I251" s="6"/>
      <c r="J251" s="6"/>
      <c r="K251" s="6"/>
      <c r="L251" s="6"/>
      <c r="M251" s="6"/>
      <c r="N251" s="6"/>
      <c r="O251" s="6"/>
      <c r="P251" s="6"/>
      <c r="Q251" s="6"/>
      <c r="R251" s="6"/>
      <c r="S251" s="6"/>
      <c r="AV251" s="6"/>
      <c r="AW251" s="6"/>
      <c r="AX251" s="6"/>
      <c r="AY251" s="6"/>
      <c r="AZ251" s="6"/>
      <c r="BB251" s="6"/>
      <c r="BC251" s="6"/>
      <c r="BD251" s="6"/>
      <c r="BE251" s="6"/>
      <c r="BF251" s="6"/>
    </row>
    <row r="252" spans="1:58" s="2" customFormat="1" x14ac:dyDescent="0.2">
      <c r="A252" s="6"/>
      <c r="B252" s="6"/>
      <c r="C252" s="42"/>
      <c r="D252" s="6"/>
      <c r="E252" s="6"/>
      <c r="F252" s="6"/>
      <c r="G252" s="6"/>
      <c r="H252" s="6"/>
      <c r="I252" s="6"/>
      <c r="J252" s="6"/>
      <c r="K252" s="6"/>
      <c r="L252" s="6"/>
      <c r="M252" s="6"/>
      <c r="N252" s="6"/>
      <c r="O252" s="6"/>
      <c r="P252" s="6"/>
      <c r="Q252" s="6"/>
      <c r="R252" s="6"/>
      <c r="S252" s="6"/>
      <c r="AV252" s="6"/>
      <c r="AW252" s="6"/>
      <c r="AX252" s="6"/>
      <c r="AY252" s="6"/>
      <c r="AZ252" s="6"/>
      <c r="BB252" s="6"/>
      <c r="BC252" s="6"/>
      <c r="BD252" s="6"/>
      <c r="BE252" s="6"/>
      <c r="BF252" s="6"/>
    </row>
    <row r="253" spans="1:58" s="2" customFormat="1" x14ac:dyDescent="0.2">
      <c r="A253" s="6"/>
      <c r="B253" s="6"/>
      <c r="C253" s="42"/>
      <c r="D253" s="6"/>
      <c r="E253" s="6"/>
      <c r="F253" s="6"/>
      <c r="G253" s="6"/>
      <c r="H253" s="6"/>
      <c r="I253" s="6"/>
      <c r="J253" s="6"/>
      <c r="K253" s="6"/>
      <c r="L253" s="6"/>
      <c r="M253" s="6"/>
      <c r="N253" s="6"/>
      <c r="O253" s="6"/>
      <c r="P253" s="6"/>
      <c r="Q253" s="6"/>
      <c r="R253" s="6"/>
      <c r="S253" s="6"/>
      <c r="AV253" s="6"/>
      <c r="AW253" s="6"/>
      <c r="AX253" s="6"/>
      <c r="AY253" s="6"/>
      <c r="AZ253" s="6"/>
      <c r="BB253" s="6"/>
      <c r="BC253" s="6"/>
      <c r="BD253" s="6"/>
      <c r="BE253" s="6"/>
      <c r="BF253" s="6"/>
    </row>
    <row r="254" spans="1:58" s="2" customFormat="1" x14ac:dyDescent="0.2">
      <c r="A254" s="6"/>
      <c r="B254" s="6"/>
      <c r="C254" s="42"/>
      <c r="D254" s="6"/>
      <c r="E254" s="6"/>
      <c r="F254" s="6"/>
      <c r="G254" s="6"/>
      <c r="H254" s="6"/>
      <c r="I254" s="6"/>
      <c r="J254" s="6"/>
      <c r="K254" s="6"/>
      <c r="L254" s="6"/>
      <c r="M254" s="6"/>
      <c r="N254" s="6"/>
      <c r="O254" s="6"/>
      <c r="P254" s="6"/>
      <c r="Q254" s="6"/>
      <c r="R254" s="6"/>
      <c r="S254" s="6"/>
      <c r="AV254" s="6"/>
      <c r="AW254" s="6"/>
      <c r="AX254" s="6"/>
      <c r="AY254" s="6"/>
      <c r="AZ254" s="6"/>
      <c r="BB254" s="6"/>
      <c r="BC254" s="6"/>
      <c r="BD254" s="6"/>
      <c r="BE254" s="6"/>
      <c r="BF254" s="6"/>
    </row>
    <row r="255" spans="1:58" s="2" customFormat="1" x14ac:dyDescent="0.2">
      <c r="A255" s="6"/>
      <c r="B255" s="6"/>
      <c r="C255" s="42"/>
      <c r="D255" s="6"/>
      <c r="E255" s="6"/>
      <c r="F255" s="6"/>
      <c r="G255" s="6"/>
      <c r="H255" s="6"/>
      <c r="I255" s="6"/>
      <c r="J255" s="6"/>
      <c r="K255" s="6"/>
      <c r="L255" s="6"/>
      <c r="M255" s="6"/>
      <c r="N255" s="6"/>
      <c r="O255" s="6"/>
      <c r="P255" s="6"/>
      <c r="Q255" s="6"/>
      <c r="R255" s="6"/>
      <c r="S255" s="6"/>
      <c r="AV255" s="6"/>
      <c r="AW255" s="6"/>
      <c r="AX255" s="6"/>
      <c r="AY255" s="6"/>
      <c r="AZ255" s="6"/>
      <c r="BB255" s="6"/>
      <c r="BC255" s="6"/>
      <c r="BD255" s="6"/>
      <c r="BE255" s="6"/>
      <c r="BF255" s="6"/>
    </row>
    <row r="256" spans="1:58" s="2" customFormat="1" x14ac:dyDescent="0.2">
      <c r="A256" s="6"/>
      <c r="B256" s="6"/>
      <c r="C256" s="42"/>
      <c r="D256" s="6"/>
      <c r="E256" s="6"/>
      <c r="F256" s="6"/>
      <c r="G256" s="6"/>
      <c r="H256" s="6"/>
      <c r="I256" s="6"/>
      <c r="J256" s="6"/>
      <c r="K256" s="6"/>
      <c r="L256" s="6"/>
      <c r="M256" s="6"/>
      <c r="N256" s="6"/>
      <c r="O256" s="6"/>
      <c r="P256" s="6"/>
      <c r="Q256" s="6"/>
      <c r="R256" s="6"/>
      <c r="S256" s="6"/>
      <c r="AV256" s="6"/>
      <c r="AW256" s="6"/>
      <c r="AX256" s="6"/>
      <c r="AY256" s="6"/>
      <c r="AZ256" s="6"/>
      <c r="BB256" s="6"/>
      <c r="BC256" s="6"/>
      <c r="BD256" s="6"/>
      <c r="BE256" s="6"/>
      <c r="BF256" s="6"/>
    </row>
    <row r="257" spans="1:58" s="2" customFormat="1" x14ac:dyDescent="0.2">
      <c r="A257" s="6"/>
      <c r="B257" s="6"/>
      <c r="C257" s="42"/>
      <c r="D257" s="6"/>
      <c r="E257" s="6"/>
      <c r="F257" s="6"/>
      <c r="G257" s="6"/>
      <c r="H257" s="6"/>
      <c r="I257" s="6"/>
      <c r="J257" s="6"/>
      <c r="K257" s="6"/>
      <c r="L257" s="6"/>
      <c r="M257" s="6"/>
      <c r="N257" s="6"/>
      <c r="O257" s="6"/>
      <c r="P257" s="6"/>
      <c r="Q257" s="6"/>
      <c r="R257" s="6"/>
      <c r="S257" s="6"/>
      <c r="AV257" s="6"/>
      <c r="AW257" s="6"/>
      <c r="AX257" s="6"/>
      <c r="AY257" s="6"/>
      <c r="AZ257" s="6"/>
      <c r="BB257" s="6"/>
      <c r="BC257" s="6"/>
      <c r="BD257" s="6"/>
      <c r="BE257" s="6"/>
      <c r="BF257" s="6"/>
    </row>
    <row r="258" spans="1:58" s="2" customFormat="1" x14ac:dyDescent="0.2">
      <c r="A258" s="6"/>
      <c r="B258" s="6"/>
      <c r="C258" s="42"/>
      <c r="D258" s="6"/>
      <c r="E258" s="6"/>
      <c r="F258" s="6"/>
      <c r="G258" s="6"/>
      <c r="H258" s="6"/>
      <c r="I258" s="6"/>
      <c r="J258" s="6"/>
      <c r="K258" s="6"/>
      <c r="L258" s="6"/>
      <c r="M258" s="6"/>
      <c r="N258" s="6"/>
      <c r="O258" s="6"/>
      <c r="P258" s="6"/>
      <c r="Q258" s="6"/>
      <c r="R258" s="6"/>
      <c r="S258" s="6"/>
      <c r="AV258" s="6"/>
      <c r="AW258" s="6"/>
      <c r="AX258" s="6"/>
      <c r="AY258" s="6"/>
      <c r="AZ258" s="6"/>
      <c r="BB258" s="6"/>
      <c r="BC258" s="6"/>
      <c r="BD258" s="6"/>
      <c r="BE258" s="6"/>
      <c r="BF258" s="6"/>
    </row>
    <row r="259" spans="1:58" s="2" customFormat="1" x14ac:dyDescent="0.2">
      <c r="A259" s="6"/>
      <c r="B259" s="6"/>
      <c r="C259" s="42"/>
      <c r="D259" s="6"/>
      <c r="E259" s="6"/>
      <c r="F259" s="6"/>
      <c r="G259" s="6"/>
      <c r="H259" s="6"/>
      <c r="I259" s="6"/>
      <c r="J259" s="6"/>
      <c r="K259" s="6"/>
      <c r="L259" s="6"/>
      <c r="M259" s="6"/>
      <c r="N259" s="6"/>
      <c r="O259" s="6"/>
      <c r="P259" s="6"/>
      <c r="Q259" s="6"/>
      <c r="R259" s="6"/>
      <c r="S259" s="6"/>
      <c r="AV259" s="6"/>
      <c r="AW259" s="6"/>
      <c r="AX259" s="6"/>
      <c r="AY259" s="6"/>
      <c r="AZ259" s="6"/>
      <c r="BB259" s="6"/>
      <c r="BC259" s="6"/>
      <c r="BD259" s="6"/>
      <c r="BE259" s="6"/>
      <c r="BF259" s="6"/>
    </row>
    <row r="260" spans="1:58" s="2" customFormat="1" x14ac:dyDescent="0.2">
      <c r="A260" s="6"/>
      <c r="B260" s="6"/>
      <c r="C260" s="42"/>
      <c r="D260" s="6"/>
      <c r="E260" s="6"/>
      <c r="F260" s="6"/>
      <c r="G260" s="6"/>
      <c r="H260" s="6"/>
      <c r="I260" s="6"/>
      <c r="J260" s="6"/>
      <c r="K260" s="6"/>
      <c r="L260" s="6"/>
      <c r="M260" s="6"/>
      <c r="N260" s="6"/>
      <c r="O260" s="6"/>
      <c r="P260" s="6"/>
      <c r="Q260" s="6"/>
      <c r="R260" s="6"/>
      <c r="S260" s="6"/>
      <c r="AV260" s="6"/>
      <c r="AW260" s="6"/>
      <c r="AX260" s="6"/>
      <c r="AY260" s="6"/>
      <c r="AZ260" s="6"/>
      <c r="BB260" s="6"/>
      <c r="BC260" s="6"/>
      <c r="BD260" s="6"/>
      <c r="BE260" s="6"/>
      <c r="BF260" s="6"/>
    </row>
    <row r="261" spans="1:58" s="2" customFormat="1" x14ac:dyDescent="0.2">
      <c r="A261" s="6"/>
      <c r="B261" s="6"/>
      <c r="C261" s="42"/>
      <c r="D261" s="6"/>
      <c r="E261" s="6"/>
      <c r="F261" s="6"/>
      <c r="G261" s="6"/>
      <c r="H261" s="6"/>
      <c r="I261" s="6"/>
      <c r="J261" s="6"/>
      <c r="K261" s="6"/>
      <c r="L261" s="6"/>
      <c r="M261" s="6"/>
      <c r="N261" s="6"/>
      <c r="O261" s="6"/>
      <c r="P261" s="6"/>
      <c r="Q261" s="6"/>
      <c r="R261" s="6"/>
      <c r="S261" s="6"/>
      <c r="AV261" s="6"/>
      <c r="AW261" s="6"/>
      <c r="AX261" s="6"/>
      <c r="AY261" s="6"/>
      <c r="AZ261" s="6"/>
      <c r="BB261" s="6"/>
      <c r="BC261" s="6"/>
      <c r="BD261" s="6"/>
      <c r="BE261" s="6"/>
      <c r="BF261" s="6"/>
    </row>
    <row r="262" spans="1:58" s="2" customFormat="1" x14ac:dyDescent="0.2">
      <c r="A262" s="6"/>
      <c r="B262" s="6"/>
      <c r="C262" s="42"/>
      <c r="D262" s="6"/>
      <c r="E262" s="6"/>
      <c r="F262" s="6"/>
      <c r="G262" s="6"/>
      <c r="H262" s="6"/>
      <c r="I262" s="6"/>
      <c r="J262" s="6"/>
      <c r="K262" s="6"/>
      <c r="L262" s="6"/>
      <c r="M262" s="6"/>
      <c r="N262" s="6"/>
      <c r="O262" s="6"/>
      <c r="P262" s="6"/>
      <c r="Q262" s="6"/>
      <c r="R262" s="6"/>
      <c r="S262" s="6"/>
      <c r="AV262" s="6"/>
      <c r="AW262" s="6"/>
      <c r="AX262" s="6"/>
      <c r="AY262" s="6"/>
      <c r="AZ262" s="6"/>
      <c r="BB262" s="6"/>
      <c r="BC262" s="6"/>
      <c r="BD262" s="6"/>
      <c r="BE262" s="6"/>
      <c r="BF262" s="6"/>
    </row>
    <row r="263" spans="1:58" s="2" customFormat="1" x14ac:dyDescent="0.2">
      <c r="A263" s="6"/>
      <c r="B263" s="6"/>
      <c r="C263" s="42"/>
      <c r="D263" s="6"/>
      <c r="E263" s="6"/>
      <c r="F263" s="6"/>
      <c r="G263" s="6"/>
      <c r="H263" s="6"/>
      <c r="I263" s="6"/>
      <c r="J263" s="6"/>
      <c r="K263" s="6"/>
      <c r="L263" s="6"/>
      <c r="M263" s="6"/>
      <c r="N263" s="6"/>
      <c r="O263" s="6"/>
      <c r="P263" s="6"/>
      <c r="Q263" s="6"/>
      <c r="R263" s="6"/>
      <c r="S263" s="6"/>
      <c r="AV263" s="6"/>
      <c r="AW263" s="6"/>
      <c r="AX263" s="6"/>
      <c r="AY263" s="6"/>
      <c r="AZ263" s="6"/>
      <c r="BB263" s="6"/>
      <c r="BC263" s="6"/>
      <c r="BD263" s="6"/>
      <c r="BE263" s="6"/>
      <c r="BF263" s="6"/>
    </row>
    <row r="264" spans="1:58" s="2" customFormat="1" x14ac:dyDescent="0.2">
      <c r="A264" s="6"/>
      <c r="B264" s="6"/>
      <c r="C264" s="42"/>
      <c r="D264" s="6"/>
      <c r="E264" s="6"/>
      <c r="F264" s="6"/>
      <c r="G264" s="6"/>
      <c r="H264" s="6"/>
      <c r="I264" s="6"/>
      <c r="J264" s="6"/>
      <c r="K264" s="6"/>
      <c r="L264" s="6"/>
      <c r="M264" s="6"/>
      <c r="N264" s="6"/>
      <c r="O264" s="6"/>
      <c r="P264" s="6"/>
      <c r="Q264" s="6"/>
      <c r="R264" s="6"/>
      <c r="S264" s="6"/>
      <c r="AV264" s="6"/>
      <c r="AW264" s="6"/>
      <c r="AX264" s="6"/>
      <c r="AY264" s="6"/>
      <c r="AZ264" s="6"/>
      <c r="BB264" s="6"/>
      <c r="BC264" s="6"/>
      <c r="BD264" s="6"/>
      <c r="BE264" s="6"/>
      <c r="BF264" s="6"/>
    </row>
    <row r="265" spans="1:58" s="2" customFormat="1" x14ac:dyDescent="0.2">
      <c r="A265" s="6"/>
      <c r="B265" s="6"/>
      <c r="C265" s="42"/>
      <c r="D265" s="6"/>
      <c r="E265" s="6"/>
      <c r="F265" s="6"/>
      <c r="G265" s="6"/>
      <c r="H265" s="6"/>
      <c r="I265" s="6"/>
      <c r="J265" s="6"/>
      <c r="K265" s="6"/>
      <c r="L265" s="6"/>
      <c r="M265" s="6"/>
      <c r="N265" s="6"/>
      <c r="O265" s="6"/>
      <c r="P265" s="6"/>
      <c r="Q265" s="6"/>
      <c r="R265" s="6"/>
      <c r="S265" s="6"/>
      <c r="AV265" s="6"/>
      <c r="AW265" s="6"/>
      <c r="AX265" s="6"/>
      <c r="AY265" s="6"/>
      <c r="AZ265" s="6"/>
      <c r="BB265" s="6"/>
      <c r="BC265" s="6"/>
      <c r="BD265" s="6"/>
      <c r="BE265" s="6"/>
      <c r="BF265" s="6"/>
    </row>
    <row r="266" spans="1:58" s="2" customFormat="1" x14ac:dyDescent="0.2">
      <c r="A266" s="6"/>
      <c r="B266" s="6"/>
      <c r="C266" s="42"/>
      <c r="D266" s="6"/>
      <c r="E266" s="6"/>
      <c r="F266" s="6"/>
      <c r="G266" s="6"/>
      <c r="H266" s="6"/>
      <c r="I266" s="6"/>
      <c r="J266" s="6"/>
      <c r="K266" s="6"/>
      <c r="L266" s="6"/>
      <c r="M266" s="6"/>
      <c r="N266" s="6"/>
      <c r="O266" s="6"/>
      <c r="P266" s="6"/>
      <c r="Q266" s="6"/>
      <c r="R266" s="6"/>
      <c r="S266" s="6"/>
      <c r="AV266" s="6"/>
      <c r="AW266" s="6"/>
      <c r="AX266" s="6"/>
      <c r="AY266" s="6"/>
      <c r="AZ266" s="6"/>
      <c r="BB266" s="6"/>
      <c r="BC266" s="6"/>
      <c r="BD266" s="6"/>
      <c r="BE266" s="6"/>
      <c r="BF266" s="6"/>
    </row>
    <row r="267" spans="1:58" s="2" customFormat="1" x14ac:dyDescent="0.2">
      <c r="A267" s="6"/>
      <c r="B267" s="6"/>
      <c r="C267" s="42"/>
      <c r="D267" s="6"/>
      <c r="E267" s="6"/>
      <c r="F267" s="6"/>
      <c r="G267" s="6"/>
      <c r="H267" s="6"/>
      <c r="I267" s="6"/>
      <c r="J267" s="6"/>
      <c r="K267" s="6"/>
      <c r="L267" s="6"/>
      <c r="M267" s="6"/>
      <c r="N267" s="6"/>
      <c r="O267" s="6"/>
      <c r="P267" s="6"/>
      <c r="Q267" s="6"/>
      <c r="R267" s="6"/>
      <c r="S267" s="6"/>
      <c r="AV267" s="6"/>
      <c r="AW267" s="6"/>
      <c r="AX267" s="6"/>
      <c r="AY267" s="6"/>
      <c r="AZ267" s="6"/>
      <c r="BB267" s="6"/>
      <c r="BC267" s="6"/>
      <c r="BD267" s="6"/>
      <c r="BE267" s="6"/>
      <c r="BF267" s="6"/>
    </row>
    <row r="268" spans="1:58" s="2" customFormat="1" x14ac:dyDescent="0.2">
      <c r="A268" s="6"/>
      <c r="B268" s="6"/>
      <c r="C268" s="42"/>
      <c r="D268" s="6"/>
      <c r="E268" s="6"/>
      <c r="F268" s="6"/>
      <c r="G268" s="6"/>
      <c r="H268" s="6"/>
      <c r="I268" s="6"/>
      <c r="J268" s="6"/>
      <c r="K268" s="6"/>
      <c r="L268" s="6"/>
      <c r="M268" s="6"/>
      <c r="N268" s="6"/>
      <c r="O268" s="6"/>
      <c r="P268" s="6"/>
      <c r="Q268" s="6"/>
      <c r="R268" s="6"/>
      <c r="S268" s="6"/>
      <c r="AV268" s="6"/>
      <c r="AW268" s="6"/>
      <c r="AX268" s="6"/>
      <c r="AY268" s="6"/>
      <c r="AZ268" s="6"/>
      <c r="BB268" s="6"/>
      <c r="BC268" s="6"/>
      <c r="BD268" s="6"/>
      <c r="BE268" s="6"/>
      <c r="BF268" s="6"/>
    </row>
    <row r="269" spans="1:58" s="2" customFormat="1" x14ac:dyDescent="0.2">
      <c r="A269" s="6"/>
      <c r="B269" s="6"/>
      <c r="C269" s="42"/>
      <c r="D269" s="6"/>
      <c r="E269" s="6"/>
      <c r="F269" s="6"/>
      <c r="G269" s="6"/>
      <c r="H269" s="6"/>
      <c r="I269" s="6"/>
      <c r="J269" s="6"/>
      <c r="K269" s="6"/>
      <c r="L269" s="6"/>
      <c r="M269" s="6"/>
      <c r="N269" s="6"/>
      <c r="O269" s="6"/>
      <c r="P269" s="6"/>
      <c r="Q269" s="6"/>
      <c r="R269" s="6"/>
      <c r="S269" s="6"/>
      <c r="AV269" s="6"/>
      <c r="AW269" s="6"/>
      <c r="AX269" s="6"/>
      <c r="AY269" s="6"/>
      <c r="AZ269" s="6"/>
      <c r="BB269" s="6"/>
      <c r="BC269" s="6"/>
      <c r="BD269" s="6"/>
      <c r="BE269" s="6"/>
      <c r="BF269" s="6"/>
    </row>
    <row r="270" spans="1:58" s="2" customFormat="1" x14ac:dyDescent="0.2">
      <c r="A270" s="6"/>
      <c r="B270" s="6"/>
      <c r="C270" s="42"/>
      <c r="D270" s="6"/>
      <c r="E270" s="6"/>
      <c r="F270" s="6"/>
      <c r="G270" s="6"/>
      <c r="H270" s="6"/>
      <c r="I270" s="6"/>
      <c r="J270" s="6"/>
      <c r="K270" s="6"/>
      <c r="L270" s="6"/>
      <c r="M270" s="6"/>
      <c r="N270" s="6"/>
      <c r="O270" s="6"/>
      <c r="P270" s="6"/>
      <c r="Q270" s="6"/>
      <c r="R270" s="6"/>
      <c r="S270" s="6"/>
      <c r="AV270" s="6"/>
      <c r="AW270" s="6"/>
      <c r="AX270" s="6"/>
      <c r="AY270" s="6"/>
      <c r="AZ270" s="6"/>
      <c r="BB270" s="6"/>
      <c r="BC270" s="6"/>
      <c r="BD270" s="6"/>
      <c r="BE270" s="6"/>
      <c r="BF270" s="6"/>
    </row>
    <row r="271" spans="1:58" s="2" customFormat="1" x14ac:dyDescent="0.2">
      <c r="A271" s="6"/>
      <c r="B271" s="6"/>
      <c r="C271" s="42"/>
      <c r="D271" s="6"/>
      <c r="E271" s="6"/>
      <c r="F271" s="6"/>
      <c r="G271" s="6"/>
      <c r="H271" s="6"/>
      <c r="I271" s="6"/>
      <c r="J271" s="6"/>
      <c r="K271" s="6"/>
      <c r="L271" s="6"/>
      <c r="M271" s="6"/>
      <c r="N271" s="6"/>
      <c r="O271" s="6"/>
      <c r="P271" s="6"/>
      <c r="Q271" s="6"/>
      <c r="R271" s="6"/>
      <c r="S271" s="6"/>
      <c r="AV271" s="6"/>
      <c r="AW271" s="6"/>
      <c r="AX271" s="6"/>
      <c r="AY271" s="6"/>
      <c r="AZ271" s="6"/>
      <c r="BB271" s="6"/>
      <c r="BC271" s="6"/>
      <c r="BD271" s="6"/>
      <c r="BE271" s="6"/>
      <c r="BF271" s="6"/>
    </row>
    <row r="272" spans="1:58" s="2" customFormat="1" x14ac:dyDescent="0.2">
      <c r="A272" s="6"/>
      <c r="B272" s="6"/>
      <c r="C272" s="42"/>
      <c r="D272" s="6"/>
      <c r="E272" s="6"/>
      <c r="F272" s="6"/>
      <c r="G272" s="6"/>
      <c r="H272" s="6"/>
      <c r="I272" s="6"/>
      <c r="J272" s="6"/>
      <c r="K272" s="6"/>
      <c r="L272" s="6"/>
      <c r="M272" s="6"/>
      <c r="N272" s="6"/>
      <c r="O272" s="6"/>
      <c r="P272" s="6"/>
      <c r="Q272" s="6"/>
      <c r="R272" s="6"/>
      <c r="S272" s="6"/>
      <c r="AV272" s="6"/>
      <c r="AW272" s="6"/>
      <c r="AX272" s="6"/>
      <c r="AY272" s="6"/>
      <c r="AZ272" s="6"/>
      <c r="BB272" s="6"/>
      <c r="BC272" s="6"/>
      <c r="BD272" s="6"/>
      <c r="BE272" s="6"/>
      <c r="BF272" s="6"/>
    </row>
    <row r="273" spans="1:58" s="2" customFormat="1" x14ac:dyDescent="0.2">
      <c r="A273" s="6"/>
      <c r="B273" s="6"/>
      <c r="C273" s="42"/>
      <c r="D273" s="6"/>
      <c r="E273" s="6"/>
      <c r="F273" s="6"/>
      <c r="G273" s="6"/>
      <c r="H273" s="6"/>
      <c r="I273" s="6"/>
      <c r="J273" s="6"/>
      <c r="K273" s="6"/>
      <c r="L273" s="6"/>
      <c r="M273" s="6"/>
      <c r="N273" s="6"/>
      <c r="O273" s="6"/>
      <c r="P273" s="6"/>
      <c r="Q273" s="6"/>
      <c r="R273" s="6"/>
      <c r="S273" s="6"/>
      <c r="AV273" s="6"/>
      <c r="AW273" s="6"/>
      <c r="AX273" s="6"/>
      <c r="AY273" s="6"/>
      <c r="AZ273" s="6"/>
      <c r="BB273" s="6"/>
      <c r="BC273" s="6"/>
      <c r="BD273" s="6"/>
      <c r="BE273" s="6"/>
      <c r="BF273" s="6"/>
    </row>
    <row r="274" spans="1:58" s="2" customFormat="1" x14ac:dyDescent="0.2">
      <c r="A274" s="6"/>
      <c r="B274" s="6"/>
      <c r="C274" s="42"/>
      <c r="D274" s="6"/>
      <c r="E274" s="6"/>
      <c r="F274" s="6"/>
      <c r="G274" s="6"/>
      <c r="H274" s="6"/>
      <c r="I274" s="6"/>
      <c r="J274" s="6"/>
      <c r="K274" s="6"/>
      <c r="L274" s="6"/>
      <c r="M274" s="6"/>
      <c r="N274" s="6"/>
      <c r="O274" s="6"/>
      <c r="P274" s="6"/>
      <c r="Q274" s="6"/>
      <c r="R274" s="6"/>
      <c r="S274" s="6"/>
      <c r="AV274" s="6"/>
      <c r="AW274" s="6"/>
      <c r="AX274" s="6"/>
      <c r="AY274" s="6"/>
      <c r="AZ274" s="6"/>
      <c r="BB274" s="6"/>
      <c r="BC274" s="6"/>
      <c r="BD274" s="6"/>
      <c r="BE274" s="6"/>
      <c r="BF274" s="6"/>
    </row>
    <row r="275" spans="1:58" s="2" customFormat="1" x14ac:dyDescent="0.2">
      <c r="A275" s="6"/>
      <c r="B275" s="6"/>
      <c r="C275" s="42"/>
      <c r="D275" s="6"/>
      <c r="E275" s="6"/>
      <c r="F275" s="6"/>
      <c r="G275" s="6"/>
      <c r="H275" s="6"/>
      <c r="I275" s="6"/>
      <c r="J275" s="6"/>
      <c r="K275" s="6"/>
      <c r="L275" s="6"/>
      <c r="M275" s="6"/>
      <c r="N275" s="6"/>
      <c r="O275" s="6"/>
      <c r="P275" s="6"/>
      <c r="Q275" s="6"/>
      <c r="R275" s="6"/>
      <c r="S275" s="6"/>
      <c r="AV275" s="6"/>
      <c r="AW275" s="6"/>
      <c r="AX275" s="6"/>
      <c r="AY275" s="6"/>
      <c r="AZ275" s="6"/>
      <c r="BB275" s="6"/>
      <c r="BC275" s="6"/>
      <c r="BD275" s="6"/>
      <c r="BE275" s="6"/>
      <c r="BF275" s="6"/>
    </row>
    <row r="276" spans="1:58" s="2" customFormat="1" x14ac:dyDescent="0.2">
      <c r="A276" s="6"/>
      <c r="B276" s="6"/>
      <c r="C276" s="42"/>
      <c r="D276" s="6"/>
      <c r="E276" s="6"/>
      <c r="F276" s="6"/>
      <c r="G276" s="6"/>
      <c r="H276" s="6"/>
      <c r="I276" s="6"/>
      <c r="J276" s="6"/>
      <c r="K276" s="6"/>
      <c r="L276" s="6"/>
      <c r="M276" s="6"/>
      <c r="N276" s="6"/>
      <c r="O276" s="6"/>
      <c r="P276" s="6"/>
      <c r="Q276" s="6"/>
      <c r="R276" s="6"/>
      <c r="S276" s="6"/>
      <c r="AV276" s="6"/>
      <c r="AW276" s="6"/>
      <c r="AX276" s="6"/>
      <c r="AY276" s="6"/>
      <c r="AZ276" s="6"/>
      <c r="BB276" s="6"/>
      <c r="BC276" s="6"/>
      <c r="BD276" s="6"/>
      <c r="BE276" s="6"/>
      <c r="BF276" s="6"/>
    </row>
    <row r="277" spans="1:58" s="2" customFormat="1" x14ac:dyDescent="0.2">
      <c r="A277" s="6"/>
      <c r="B277" s="6"/>
      <c r="C277" s="42"/>
      <c r="D277" s="6"/>
      <c r="E277" s="6"/>
      <c r="F277" s="6"/>
      <c r="G277" s="6"/>
      <c r="H277" s="6"/>
      <c r="I277" s="6"/>
      <c r="J277" s="6"/>
      <c r="K277" s="6"/>
      <c r="L277" s="6"/>
      <c r="M277" s="6"/>
      <c r="N277" s="6"/>
      <c r="O277" s="6"/>
      <c r="P277" s="6"/>
      <c r="Q277" s="6"/>
      <c r="R277" s="6"/>
      <c r="S277" s="6"/>
      <c r="AV277" s="6"/>
      <c r="AW277" s="6"/>
      <c r="AX277" s="6"/>
      <c r="AY277" s="6"/>
      <c r="AZ277" s="6"/>
      <c r="BB277" s="6"/>
      <c r="BC277" s="6"/>
      <c r="BD277" s="6"/>
      <c r="BE277" s="6"/>
      <c r="BF277" s="6"/>
    </row>
    <row r="278" spans="1:58" s="2" customFormat="1" x14ac:dyDescent="0.2">
      <c r="A278" s="6"/>
      <c r="B278" s="6"/>
      <c r="C278" s="42"/>
      <c r="D278" s="6"/>
      <c r="E278" s="6"/>
      <c r="F278" s="6"/>
      <c r="G278" s="6"/>
      <c r="H278" s="6"/>
      <c r="I278" s="6"/>
      <c r="J278" s="6"/>
      <c r="K278" s="6"/>
      <c r="L278" s="6"/>
      <c r="M278" s="6"/>
      <c r="N278" s="6"/>
      <c r="O278" s="6"/>
      <c r="P278" s="6"/>
      <c r="Q278" s="6"/>
      <c r="R278" s="6"/>
      <c r="S278" s="6"/>
      <c r="AV278" s="6"/>
      <c r="AW278" s="6"/>
      <c r="AX278" s="6"/>
      <c r="AY278" s="6"/>
      <c r="AZ278" s="6"/>
      <c r="BB278" s="6"/>
      <c r="BC278" s="6"/>
      <c r="BD278" s="6"/>
      <c r="BE278" s="6"/>
      <c r="BF278" s="6"/>
    </row>
    <row r="279" spans="1:58" s="2" customFormat="1" x14ac:dyDescent="0.2">
      <c r="A279" s="6"/>
      <c r="B279" s="6"/>
      <c r="C279" s="42"/>
      <c r="D279" s="6"/>
      <c r="E279" s="6"/>
      <c r="F279" s="6"/>
      <c r="G279" s="6"/>
      <c r="H279" s="6"/>
      <c r="I279" s="6"/>
      <c r="J279" s="6"/>
      <c r="K279" s="6"/>
      <c r="L279" s="6"/>
      <c r="M279" s="6"/>
      <c r="N279" s="6"/>
      <c r="O279" s="6"/>
      <c r="P279" s="6"/>
      <c r="Q279" s="6"/>
      <c r="R279" s="6"/>
      <c r="S279" s="6"/>
      <c r="AV279" s="6"/>
      <c r="AW279" s="6"/>
      <c r="AX279" s="6"/>
      <c r="AY279" s="6"/>
      <c r="AZ279" s="6"/>
      <c r="BB279" s="6"/>
      <c r="BC279" s="6"/>
      <c r="BD279" s="6"/>
      <c r="BE279" s="6"/>
      <c r="BF279" s="6"/>
    </row>
    <row r="280" spans="1:58" s="2" customFormat="1" x14ac:dyDescent="0.2">
      <c r="A280" s="6"/>
      <c r="B280" s="6"/>
      <c r="C280" s="42"/>
      <c r="D280" s="6"/>
      <c r="E280" s="6"/>
      <c r="F280" s="6"/>
      <c r="G280" s="6"/>
      <c r="H280" s="6"/>
      <c r="I280" s="6"/>
      <c r="J280" s="6"/>
      <c r="K280" s="6"/>
      <c r="L280" s="6"/>
      <c r="M280" s="6"/>
      <c r="N280" s="6"/>
      <c r="O280" s="6"/>
      <c r="P280" s="6"/>
      <c r="Q280" s="6"/>
      <c r="R280" s="6"/>
      <c r="S280" s="6"/>
      <c r="AV280" s="6"/>
      <c r="AW280" s="6"/>
      <c r="AX280" s="6"/>
      <c r="AY280" s="6"/>
      <c r="AZ280" s="6"/>
      <c r="BB280" s="6"/>
      <c r="BC280" s="6"/>
      <c r="BD280" s="6"/>
      <c r="BE280" s="6"/>
      <c r="BF280" s="6"/>
    </row>
    <row r="281" spans="1:58" s="2" customFormat="1" x14ac:dyDescent="0.2">
      <c r="A281" s="6"/>
      <c r="B281" s="6"/>
      <c r="C281" s="42"/>
      <c r="D281" s="6"/>
      <c r="E281" s="6"/>
      <c r="F281" s="6"/>
      <c r="G281" s="6"/>
      <c r="H281" s="6"/>
      <c r="I281" s="6"/>
      <c r="J281" s="6"/>
      <c r="K281" s="6"/>
      <c r="L281" s="6"/>
      <c r="M281" s="6"/>
      <c r="N281" s="6"/>
      <c r="O281" s="6"/>
      <c r="P281" s="6"/>
      <c r="Q281" s="6"/>
      <c r="R281" s="6"/>
      <c r="S281" s="6"/>
      <c r="AV281" s="6"/>
      <c r="AW281" s="6"/>
      <c r="AX281" s="6"/>
      <c r="AY281" s="6"/>
      <c r="AZ281" s="6"/>
      <c r="BB281" s="6"/>
      <c r="BC281" s="6"/>
      <c r="BD281" s="6"/>
      <c r="BE281" s="6"/>
      <c r="BF281" s="6"/>
    </row>
    <row r="282" spans="1:58" s="2" customFormat="1" x14ac:dyDescent="0.2">
      <c r="A282" s="6"/>
      <c r="B282" s="6"/>
      <c r="C282" s="42"/>
      <c r="D282" s="6"/>
      <c r="E282" s="6"/>
      <c r="F282" s="6"/>
      <c r="G282" s="6"/>
      <c r="H282" s="6"/>
      <c r="I282" s="6"/>
      <c r="J282" s="6"/>
      <c r="K282" s="6"/>
      <c r="L282" s="6"/>
      <c r="M282" s="6"/>
      <c r="N282" s="6"/>
      <c r="O282" s="6"/>
      <c r="P282" s="6"/>
      <c r="Q282" s="6"/>
      <c r="R282" s="6"/>
      <c r="S282" s="6"/>
      <c r="AV282" s="6"/>
      <c r="AW282" s="6"/>
      <c r="AX282" s="6"/>
      <c r="AY282" s="6"/>
      <c r="AZ282" s="6"/>
      <c r="BB282" s="6"/>
      <c r="BC282" s="6"/>
      <c r="BD282" s="6"/>
      <c r="BE282" s="6"/>
      <c r="BF282" s="6"/>
    </row>
    <row r="283" spans="1:58" s="2" customFormat="1" x14ac:dyDescent="0.2">
      <c r="A283" s="6"/>
      <c r="B283" s="6"/>
      <c r="C283" s="42"/>
      <c r="D283" s="6"/>
      <c r="E283" s="6"/>
      <c r="F283" s="6"/>
      <c r="G283" s="6"/>
      <c r="H283" s="6"/>
      <c r="I283" s="6"/>
      <c r="J283" s="6"/>
      <c r="K283" s="6"/>
      <c r="L283" s="6"/>
      <c r="M283" s="6"/>
      <c r="N283" s="6"/>
      <c r="O283" s="6"/>
      <c r="P283" s="6"/>
      <c r="Q283" s="6"/>
      <c r="R283" s="6"/>
      <c r="S283" s="6"/>
      <c r="AV283" s="6"/>
      <c r="AW283" s="6"/>
      <c r="AX283" s="6"/>
      <c r="AY283" s="6"/>
      <c r="AZ283" s="6"/>
      <c r="BB283" s="6"/>
      <c r="BC283" s="6"/>
      <c r="BD283" s="6"/>
      <c r="BE283" s="6"/>
      <c r="BF283" s="6"/>
    </row>
    <row r="284" spans="1:58" s="2" customFormat="1" x14ac:dyDescent="0.2">
      <c r="A284" s="6"/>
      <c r="B284" s="6"/>
      <c r="C284" s="42"/>
      <c r="D284" s="6"/>
      <c r="E284" s="6"/>
      <c r="F284" s="6"/>
      <c r="G284" s="6"/>
      <c r="H284" s="6"/>
      <c r="I284" s="6"/>
      <c r="J284" s="6"/>
      <c r="K284" s="6"/>
      <c r="L284" s="6"/>
      <c r="M284" s="6"/>
      <c r="N284" s="6"/>
      <c r="O284" s="6"/>
      <c r="P284" s="6"/>
      <c r="Q284" s="6"/>
      <c r="R284" s="6"/>
      <c r="S284" s="6"/>
      <c r="AV284" s="6"/>
      <c r="AW284" s="6"/>
      <c r="AX284" s="6"/>
      <c r="AY284" s="6"/>
      <c r="AZ284" s="6"/>
      <c r="BB284" s="6"/>
      <c r="BC284" s="6"/>
      <c r="BD284" s="6"/>
      <c r="BE284" s="6"/>
      <c r="BF284" s="6"/>
    </row>
    <row r="285" spans="1:58" s="2" customFormat="1" x14ac:dyDescent="0.2">
      <c r="A285" s="6"/>
      <c r="B285" s="6"/>
      <c r="C285" s="42"/>
      <c r="D285" s="6"/>
      <c r="E285" s="6"/>
      <c r="F285" s="6"/>
      <c r="G285" s="6"/>
      <c r="H285" s="6"/>
      <c r="I285" s="6"/>
      <c r="J285" s="6"/>
      <c r="K285" s="6"/>
      <c r="L285" s="6"/>
      <c r="M285" s="6"/>
      <c r="N285" s="6"/>
      <c r="O285" s="6"/>
      <c r="P285" s="6"/>
      <c r="Q285" s="6"/>
      <c r="R285" s="6"/>
      <c r="S285" s="6"/>
      <c r="AV285" s="6"/>
      <c r="AW285" s="6"/>
      <c r="AX285" s="6"/>
      <c r="AY285" s="6"/>
      <c r="AZ285" s="6"/>
      <c r="BB285" s="6"/>
      <c r="BC285" s="6"/>
      <c r="BD285" s="6"/>
      <c r="BE285" s="6"/>
      <c r="BF285" s="6"/>
    </row>
    <row r="286" spans="1:58" s="2" customFormat="1" x14ac:dyDescent="0.2">
      <c r="A286" s="6"/>
      <c r="B286" s="6"/>
      <c r="C286" s="42"/>
      <c r="D286" s="6"/>
      <c r="E286" s="6"/>
      <c r="F286" s="6"/>
      <c r="G286" s="6"/>
      <c r="H286" s="6"/>
      <c r="I286" s="6"/>
      <c r="J286" s="6"/>
      <c r="K286" s="6"/>
      <c r="L286" s="6"/>
      <c r="M286" s="6"/>
      <c r="N286" s="6"/>
      <c r="O286" s="6"/>
      <c r="P286" s="6"/>
      <c r="Q286" s="6"/>
      <c r="R286" s="6"/>
      <c r="S286" s="6"/>
      <c r="AV286" s="6"/>
      <c r="AW286" s="6"/>
      <c r="AX286" s="6"/>
      <c r="AY286" s="6"/>
      <c r="AZ286" s="6"/>
      <c r="BB286" s="6"/>
      <c r="BC286" s="6"/>
      <c r="BD286" s="6"/>
      <c r="BE286" s="6"/>
      <c r="BF286" s="6"/>
    </row>
    <row r="287" spans="1:58" s="2" customFormat="1" x14ac:dyDescent="0.2">
      <c r="A287" s="6"/>
      <c r="B287" s="6"/>
      <c r="C287" s="42"/>
      <c r="D287" s="6"/>
      <c r="E287" s="6"/>
      <c r="F287" s="6"/>
      <c r="G287" s="6"/>
      <c r="H287" s="6"/>
      <c r="I287" s="6"/>
      <c r="J287" s="6"/>
      <c r="K287" s="6"/>
      <c r="L287" s="6"/>
      <c r="M287" s="6"/>
      <c r="N287" s="6"/>
      <c r="O287" s="6"/>
      <c r="P287" s="6"/>
      <c r="Q287" s="6"/>
      <c r="R287" s="6"/>
      <c r="S287" s="6"/>
      <c r="AV287" s="6"/>
      <c r="AW287" s="6"/>
      <c r="AX287" s="6"/>
      <c r="AY287" s="6"/>
      <c r="AZ287" s="6"/>
      <c r="BB287" s="6"/>
      <c r="BC287" s="6"/>
      <c r="BD287" s="6"/>
      <c r="BE287" s="6"/>
      <c r="BF287" s="6"/>
    </row>
    <row r="288" spans="1:58" s="2" customFormat="1" x14ac:dyDescent="0.2">
      <c r="A288" s="6"/>
      <c r="B288" s="6"/>
      <c r="C288" s="42"/>
      <c r="D288" s="6"/>
      <c r="E288" s="6"/>
      <c r="F288" s="6"/>
      <c r="G288" s="6"/>
      <c r="H288" s="6"/>
      <c r="I288" s="6"/>
      <c r="J288" s="6"/>
      <c r="K288" s="6"/>
      <c r="L288" s="6"/>
      <c r="M288" s="6"/>
      <c r="N288" s="6"/>
      <c r="O288" s="6"/>
      <c r="P288" s="6"/>
      <c r="Q288" s="6"/>
      <c r="R288" s="6"/>
      <c r="S288" s="6"/>
      <c r="AV288" s="6"/>
      <c r="AW288" s="6"/>
      <c r="AX288" s="6"/>
      <c r="AY288" s="6"/>
      <c r="AZ288" s="6"/>
      <c r="BB288" s="6"/>
      <c r="BC288" s="6"/>
      <c r="BD288" s="6"/>
      <c r="BE288" s="6"/>
      <c r="BF288" s="6"/>
    </row>
    <row r="289" spans="1:58" s="2" customFormat="1" x14ac:dyDescent="0.2">
      <c r="A289" s="6"/>
      <c r="B289" s="6"/>
      <c r="C289" s="42"/>
      <c r="D289" s="6"/>
      <c r="E289" s="6"/>
      <c r="F289" s="6"/>
      <c r="G289" s="6"/>
      <c r="H289" s="6"/>
      <c r="I289" s="6"/>
      <c r="J289" s="6"/>
      <c r="K289" s="6"/>
      <c r="L289" s="6"/>
      <c r="M289" s="6"/>
      <c r="N289" s="6"/>
      <c r="O289" s="6"/>
      <c r="P289" s="6"/>
      <c r="Q289" s="6"/>
      <c r="R289" s="6"/>
      <c r="S289" s="6"/>
      <c r="AV289" s="6"/>
      <c r="AW289" s="6"/>
      <c r="AX289" s="6"/>
      <c r="AY289" s="6"/>
      <c r="AZ289" s="6"/>
      <c r="BB289" s="6"/>
      <c r="BC289" s="6"/>
      <c r="BD289" s="6"/>
      <c r="BE289" s="6"/>
      <c r="BF289" s="6"/>
    </row>
    <row r="290" spans="1:58" s="2" customFormat="1" x14ac:dyDescent="0.2">
      <c r="A290" s="6"/>
      <c r="B290" s="6"/>
      <c r="C290" s="42"/>
      <c r="D290" s="6"/>
      <c r="E290" s="6"/>
      <c r="F290" s="6"/>
      <c r="G290" s="6"/>
      <c r="H290" s="6"/>
      <c r="I290" s="6"/>
      <c r="J290" s="6"/>
      <c r="K290" s="6"/>
      <c r="L290" s="6"/>
      <c r="M290" s="6"/>
      <c r="N290" s="6"/>
      <c r="O290" s="6"/>
      <c r="P290" s="6"/>
      <c r="Q290" s="6"/>
      <c r="R290" s="6"/>
      <c r="S290" s="6"/>
      <c r="AV290" s="6"/>
      <c r="AW290" s="6"/>
      <c r="AX290" s="6"/>
      <c r="AY290" s="6"/>
      <c r="AZ290" s="6"/>
      <c r="BB290" s="6"/>
      <c r="BC290" s="6"/>
      <c r="BD290" s="6"/>
      <c r="BE290" s="6"/>
      <c r="BF290" s="6"/>
    </row>
    <row r="291" spans="1:58" s="2" customFormat="1" x14ac:dyDescent="0.2">
      <c r="A291" s="6"/>
      <c r="B291" s="6"/>
      <c r="C291" s="42"/>
      <c r="D291" s="6"/>
      <c r="E291" s="6"/>
      <c r="F291" s="6"/>
      <c r="G291" s="6"/>
      <c r="H291" s="6"/>
      <c r="I291" s="6"/>
      <c r="J291" s="6"/>
      <c r="K291" s="6"/>
      <c r="L291" s="6"/>
      <c r="M291" s="6"/>
      <c r="N291" s="6"/>
      <c r="O291" s="6"/>
      <c r="P291" s="6"/>
      <c r="Q291" s="6"/>
      <c r="R291" s="6"/>
      <c r="S291" s="6"/>
      <c r="AV291" s="6"/>
      <c r="AW291" s="6"/>
      <c r="AX291" s="6"/>
      <c r="AY291" s="6"/>
      <c r="AZ291" s="6"/>
      <c r="BB291" s="6"/>
      <c r="BC291" s="6"/>
      <c r="BD291" s="6"/>
      <c r="BE291" s="6"/>
      <c r="BF291" s="6"/>
    </row>
    <row r="292" spans="1:58" s="2" customFormat="1" x14ac:dyDescent="0.2">
      <c r="A292" s="6"/>
      <c r="B292" s="6"/>
      <c r="C292" s="42"/>
      <c r="D292" s="6"/>
      <c r="E292" s="6"/>
      <c r="F292" s="6"/>
      <c r="G292" s="6"/>
      <c r="H292" s="6"/>
      <c r="I292" s="6"/>
      <c r="J292" s="6"/>
      <c r="K292" s="6"/>
      <c r="L292" s="6"/>
      <c r="M292" s="6"/>
      <c r="N292" s="6"/>
      <c r="O292" s="6"/>
      <c r="P292" s="6"/>
      <c r="Q292" s="6"/>
      <c r="R292" s="6"/>
      <c r="S292" s="6"/>
      <c r="AV292" s="6"/>
      <c r="AW292" s="6"/>
      <c r="AX292" s="6"/>
      <c r="AY292" s="6"/>
      <c r="AZ292" s="6"/>
      <c r="BB292" s="6"/>
      <c r="BC292" s="6"/>
      <c r="BD292" s="6"/>
      <c r="BE292" s="6"/>
      <c r="BF292" s="6"/>
    </row>
    <row r="293" spans="1:58" s="2" customFormat="1" x14ac:dyDescent="0.2">
      <c r="A293" s="6"/>
      <c r="B293" s="6"/>
      <c r="C293" s="42"/>
      <c r="D293" s="6"/>
      <c r="E293" s="6"/>
      <c r="F293" s="6"/>
      <c r="G293" s="6"/>
      <c r="H293" s="6"/>
      <c r="I293" s="6"/>
      <c r="J293" s="6"/>
      <c r="K293" s="6"/>
      <c r="L293" s="6"/>
      <c r="M293" s="6"/>
      <c r="N293" s="6"/>
      <c r="O293" s="6"/>
      <c r="P293" s="6"/>
      <c r="Q293" s="6"/>
      <c r="R293" s="6"/>
      <c r="S293" s="6"/>
      <c r="AV293" s="6"/>
      <c r="AW293" s="6"/>
      <c r="AX293" s="6"/>
      <c r="AY293" s="6"/>
      <c r="AZ293" s="6"/>
      <c r="BB293" s="6"/>
      <c r="BC293" s="6"/>
      <c r="BD293" s="6"/>
      <c r="BE293" s="6"/>
      <c r="BF293" s="6"/>
    </row>
    <row r="294" spans="1:58" s="2" customFormat="1" x14ac:dyDescent="0.2">
      <c r="A294" s="6"/>
      <c r="B294" s="6"/>
      <c r="C294" s="42"/>
      <c r="D294" s="6"/>
      <c r="E294" s="6"/>
      <c r="F294" s="6"/>
      <c r="G294" s="6"/>
      <c r="H294" s="6"/>
      <c r="I294" s="6"/>
      <c r="J294" s="6"/>
      <c r="K294" s="6"/>
      <c r="L294" s="6"/>
      <c r="M294" s="6"/>
      <c r="N294" s="6"/>
      <c r="O294" s="6"/>
      <c r="P294" s="6"/>
      <c r="Q294" s="6"/>
      <c r="R294" s="6"/>
      <c r="S294" s="6"/>
      <c r="AV294" s="6"/>
      <c r="AW294" s="6"/>
      <c r="AX294" s="6"/>
      <c r="AY294" s="6"/>
      <c r="AZ294" s="6"/>
      <c r="BB294" s="6"/>
      <c r="BC294" s="6"/>
      <c r="BD294" s="6"/>
      <c r="BE294" s="6"/>
      <c r="BF294" s="6"/>
    </row>
    <row r="295" spans="1:58" s="2" customFormat="1" x14ac:dyDescent="0.2">
      <c r="A295" s="6"/>
      <c r="B295" s="6"/>
      <c r="C295" s="42"/>
      <c r="D295" s="6"/>
      <c r="E295" s="6"/>
      <c r="F295" s="6"/>
      <c r="G295" s="6"/>
      <c r="H295" s="6"/>
      <c r="I295" s="6"/>
      <c r="J295" s="6"/>
      <c r="K295" s="6"/>
      <c r="L295" s="6"/>
      <c r="M295" s="6"/>
      <c r="N295" s="6"/>
      <c r="O295" s="6"/>
      <c r="P295" s="6"/>
      <c r="Q295" s="6"/>
      <c r="R295" s="6"/>
      <c r="S295" s="6"/>
      <c r="AV295" s="6"/>
      <c r="AW295" s="6"/>
      <c r="AX295" s="6"/>
      <c r="AY295" s="6"/>
      <c r="AZ295" s="6"/>
      <c r="BB295" s="6"/>
      <c r="BC295" s="6"/>
      <c r="BD295" s="6"/>
      <c r="BE295" s="6"/>
      <c r="BF295" s="6"/>
    </row>
    <row r="296" spans="1:58" s="2" customFormat="1" x14ac:dyDescent="0.2">
      <c r="A296" s="6"/>
      <c r="B296" s="6"/>
      <c r="C296" s="42"/>
      <c r="D296" s="6"/>
      <c r="E296" s="6"/>
      <c r="F296" s="6"/>
      <c r="G296" s="6"/>
      <c r="H296" s="6"/>
      <c r="I296" s="6"/>
      <c r="J296" s="6"/>
      <c r="K296" s="6"/>
      <c r="L296" s="6"/>
      <c r="M296" s="6"/>
      <c r="N296" s="6"/>
      <c r="O296" s="6"/>
      <c r="P296" s="6"/>
      <c r="Q296" s="6"/>
      <c r="R296" s="6"/>
      <c r="S296" s="6"/>
      <c r="AV296" s="6"/>
      <c r="AW296" s="6"/>
      <c r="AX296" s="6"/>
      <c r="AY296" s="6"/>
      <c r="AZ296" s="6"/>
      <c r="BB296" s="6"/>
      <c r="BC296" s="6"/>
      <c r="BD296" s="6"/>
      <c r="BE296" s="6"/>
      <c r="BF296" s="6"/>
    </row>
    <row r="297" spans="1:58" s="2" customFormat="1" x14ac:dyDescent="0.2">
      <c r="A297" s="6"/>
      <c r="B297" s="6"/>
      <c r="C297" s="42"/>
      <c r="D297" s="6"/>
      <c r="E297" s="6"/>
      <c r="F297" s="6"/>
      <c r="G297" s="6"/>
      <c r="H297" s="6"/>
      <c r="I297" s="6"/>
      <c r="J297" s="6"/>
      <c r="K297" s="6"/>
      <c r="L297" s="6"/>
      <c r="M297" s="6"/>
      <c r="N297" s="6"/>
      <c r="O297" s="6"/>
      <c r="P297" s="6"/>
      <c r="Q297" s="6"/>
      <c r="R297" s="6"/>
      <c r="S297" s="6"/>
      <c r="AV297" s="6"/>
      <c r="AW297" s="6"/>
      <c r="AX297" s="6"/>
      <c r="AY297" s="6"/>
      <c r="AZ297" s="6"/>
      <c r="BB297" s="6"/>
      <c r="BC297" s="6"/>
      <c r="BD297" s="6"/>
      <c r="BE297" s="6"/>
      <c r="BF297" s="6"/>
    </row>
    <row r="298" spans="1:58" s="2" customFormat="1" x14ac:dyDescent="0.2">
      <c r="A298" s="6"/>
      <c r="B298" s="6"/>
      <c r="C298" s="42"/>
      <c r="D298" s="6"/>
      <c r="E298" s="6"/>
      <c r="F298" s="6"/>
      <c r="G298" s="6"/>
      <c r="H298" s="6"/>
      <c r="I298" s="6"/>
      <c r="J298" s="6"/>
      <c r="K298" s="6"/>
      <c r="L298" s="6"/>
      <c r="M298" s="6"/>
      <c r="N298" s="6"/>
      <c r="O298" s="6"/>
      <c r="P298" s="6"/>
      <c r="Q298" s="6"/>
      <c r="R298" s="6"/>
      <c r="S298" s="6"/>
      <c r="AV298" s="6"/>
      <c r="AW298" s="6"/>
      <c r="AX298" s="6"/>
      <c r="AY298" s="6"/>
      <c r="AZ298" s="6"/>
      <c r="BB298" s="6"/>
      <c r="BC298" s="6"/>
      <c r="BD298" s="6"/>
      <c r="BE298" s="6"/>
      <c r="BF298" s="6"/>
    </row>
    <row r="299" spans="1:58" s="2" customFormat="1" x14ac:dyDescent="0.2">
      <c r="A299" s="6"/>
      <c r="B299" s="6"/>
      <c r="C299" s="42"/>
      <c r="D299" s="6"/>
      <c r="E299" s="6"/>
      <c r="F299" s="6"/>
      <c r="G299" s="6"/>
      <c r="H299" s="6"/>
      <c r="I299" s="6"/>
      <c r="J299" s="6"/>
      <c r="K299" s="6"/>
      <c r="L299" s="6"/>
      <c r="M299" s="6"/>
      <c r="N299" s="6"/>
      <c r="O299" s="6"/>
      <c r="P299" s="6"/>
      <c r="Q299" s="6"/>
      <c r="R299" s="6"/>
      <c r="S299" s="6"/>
      <c r="AV299" s="6"/>
      <c r="AW299" s="6"/>
      <c r="AX299" s="6"/>
      <c r="AY299" s="6"/>
      <c r="AZ299" s="6"/>
      <c r="BB299" s="6"/>
      <c r="BC299" s="6"/>
      <c r="BD299" s="6"/>
      <c r="BE299" s="6"/>
      <c r="BF299" s="6"/>
    </row>
    <row r="300" spans="1:58" s="2" customFormat="1" x14ac:dyDescent="0.2">
      <c r="A300" s="6"/>
      <c r="B300" s="6"/>
      <c r="C300" s="42"/>
      <c r="D300" s="6"/>
      <c r="E300" s="6"/>
      <c r="F300" s="6"/>
      <c r="G300" s="6"/>
      <c r="H300" s="6"/>
      <c r="I300" s="6"/>
      <c r="J300" s="6"/>
      <c r="K300" s="6"/>
      <c r="L300" s="6"/>
      <c r="M300" s="6"/>
      <c r="N300" s="6"/>
      <c r="O300" s="6"/>
      <c r="P300" s="6"/>
      <c r="Q300" s="6"/>
      <c r="R300" s="6"/>
      <c r="S300" s="6"/>
      <c r="AV300" s="6"/>
      <c r="AW300" s="6"/>
      <c r="AX300" s="6"/>
      <c r="AY300" s="6"/>
      <c r="AZ300" s="6"/>
      <c r="BB300" s="6"/>
      <c r="BC300" s="6"/>
      <c r="BD300" s="6"/>
      <c r="BE300" s="6"/>
      <c r="BF300" s="6"/>
    </row>
    <row r="301" spans="1:58" s="2" customFormat="1" x14ac:dyDescent="0.2">
      <c r="A301" s="6"/>
      <c r="B301" s="6"/>
      <c r="C301" s="42"/>
      <c r="D301" s="6"/>
      <c r="E301" s="6"/>
      <c r="F301" s="6"/>
      <c r="G301" s="6"/>
      <c r="H301" s="6"/>
      <c r="I301" s="6"/>
      <c r="J301" s="6"/>
      <c r="K301" s="6"/>
      <c r="L301" s="6"/>
      <c r="M301" s="6"/>
      <c r="N301" s="6"/>
      <c r="O301" s="6"/>
      <c r="P301" s="6"/>
      <c r="Q301" s="6"/>
      <c r="R301" s="6"/>
      <c r="S301" s="6"/>
      <c r="AV301" s="6"/>
      <c r="AW301" s="6"/>
      <c r="AX301" s="6"/>
      <c r="AY301" s="6"/>
      <c r="AZ301" s="6"/>
      <c r="BB301" s="6"/>
      <c r="BC301" s="6"/>
      <c r="BD301" s="6"/>
      <c r="BE301" s="6"/>
      <c r="BF301" s="6"/>
    </row>
    <row r="302" spans="1:58" s="2" customFormat="1" x14ac:dyDescent="0.2">
      <c r="A302" s="6"/>
      <c r="B302" s="6"/>
      <c r="C302" s="42"/>
      <c r="D302" s="6"/>
      <c r="E302" s="6"/>
      <c r="F302" s="6"/>
      <c r="G302" s="6"/>
      <c r="H302" s="6"/>
      <c r="I302" s="6"/>
      <c r="J302" s="6"/>
      <c r="K302" s="6"/>
      <c r="L302" s="6"/>
      <c r="M302" s="6"/>
      <c r="N302" s="6"/>
      <c r="O302" s="6"/>
      <c r="P302" s="6"/>
      <c r="Q302" s="6"/>
      <c r="R302" s="6"/>
      <c r="S302" s="6"/>
      <c r="AV302" s="6"/>
      <c r="AW302" s="6"/>
      <c r="AX302" s="6"/>
      <c r="AY302" s="6"/>
      <c r="AZ302" s="6"/>
      <c r="BB302" s="6"/>
      <c r="BC302" s="6"/>
      <c r="BD302" s="6"/>
      <c r="BE302" s="6"/>
      <c r="BF302" s="6"/>
    </row>
    <row r="303" spans="1:58" s="2" customFormat="1" x14ac:dyDescent="0.2">
      <c r="A303" s="6"/>
      <c r="B303" s="6"/>
      <c r="C303" s="42"/>
      <c r="D303" s="6"/>
      <c r="E303" s="6"/>
      <c r="F303" s="6"/>
      <c r="G303" s="6"/>
      <c r="H303" s="6"/>
      <c r="I303" s="6"/>
      <c r="J303" s="6"/>
      <c r="K303" s="6"/>
      <c r="L303" s="6"/>
      <c r="M303" s="6"/>
      <c r="N303" s="6"/>
      <c r="O303" s="6"/>
      <c r="P303" s="6"/>
      <c r="Q303" s="6"/>
      <c r="R303" s="6"/>
      <c r="S303" s="6"/>
      <c r="AV303" s="6"/>
      <c r="AW303" s="6"/>
      <c r="AX303" s="6"/>
      <c r="AY303" s="6"/>
      <c r="AZ303" s="6"/>
      <c r="BB303" s="6"/>
      <c r="BC303" s="6"/>
      <c r="BD303" s="6"/>
      <c r="BE303" s="6"/>
      <c r="BF303" s="6"/>
    </row>
    <row r="304" spans="1:58" s="2" customFormat="1" x14ac:dyDescent="0.2">
      <c r="A304" s="6"/>
      <c r="B304" s="6"/>
      <c r="C304" s="42"/>
      <c r="D304" s="6"/>
      <c r="E304" s="6"/>
      <c r="F304" s="6"/>
      <c r="G304" s="6"/>
      <c r="H304" s="6"/>
      <c r="I304" s="6"/>
      <c r="J304" s="6"/>
      <c r="K304" s="6"/>
      <c r="L304" s="6"/>
      <c r="M304" s="6"/>
      <c r="N304" s="6"/>
      <c r="O304" s="6"/>
      <c r="P304" s="6"/>
      <c r="Q304" s="6"/>
      <c r="R304" s="6"/>
      <c r="S304" s="6"/>
      <c r="AV304" s="6"/>
      <c r="AW304" s="6"/>
      <c r="AX304" s="6"/>
      <c r="AY304" s="6"/>
      <c r="AZ304" s="6"/>
      <c r="BB304" s="6"/>
      <c r="BC304" s="6"/>
      <c r="BD304" s="6"/>
      <c r="BE304" s="6"/>
      <c r="BF304" s="6"/>
    </row>
    <row r="305" spans="1:58" s="2" customFormat="1" x14ac:dyDescent="0.2">
      <c r="A305" s="6"/>
      <c r="B305" s="6"/>
      <c r="C305" s="42"/>
      <c r="D305" s="6"/>
      <c r="E305" s="6"/>
      <c r="F305" s="6"/>
      <c r="G305" s="6"/>
      <c r="H305" s="6"/>
      <c r="I305" s="6"/>
      <c r="J305" s="6"/>
      <c r="K305" s="6"/>
      <c r="L305" s="6"/>
      <c r="M305" s="6"/>
      <c r="N305" s="6"/>
      <c r="O305" s="6"/>
      <c r="P305" s="6"/>
      <c r="Q305" s="6"/>
      <c r="R305" s="6"/>
      <c r="S305" s="6"/>
      <c r="AV305" s="6"/>
      <c r="AW305" s="6"/>
      <c r="AX305" s="6"/>
      <c r="AY305" s="6"/>
      <c r="AZ305" s="6"/>
      <c r="BB305" s="6"/>
      <c r="BC305" s="6"/>
      <c r="BD305" s="6"/>
      <c r="BE305" s="6"/>
      <c r="BF305" s="6"/>
    </row>
    <row r="306" spans="1:58" s="2" customFormat="1" x14ac:dyDescent="0.2">
      <c r="A306" s="6"/>
      <c r="B306" s="6"/>
      <c r="C306" s="42"/>
      <c r="D306" s="6"/>
      <c r="E306" s="6"/>
      <c r="F306" s="6"/>
      <c r="G306" s="6"/>
      <c r="H306" s="6"/>
      <c r="I306" s="6"/>
      <c r="J306" s="6"/>
      <c r="K306" s="6"/>
      <c r="L306" s="6"/>
      <c r="M306" s="6"/>
      <c r="N306" s="6"/>
      <c r="O306" s="6"/>
      <c r="P306" s="6"/>
      <c r="Q306" s="6"/>
      <c r="R306" s="6"/>
      <c r="S306" s="6"/>
      <c r="AV306" s="6"/>
      <c r="AW306" s="6"/>
      <c r="AX306" s="6"/>
      <c r="AY306" s="6"/>
      <c r="AZ306" s="6"/>
      <c r="BB306" s="6"/>
      <c r="BC306" s="6"/>
      <c r="BD306" s="6"/>
      <c r="BE306" s="6"/>
      <c r="BF306" s="6"/>
    </row>
    <row r="307" spans="1:58" s="2" customFormat="1" x14ac:dyDescent="0.2">
      <c r="A307" s="6"/>
      <c r="B307" s="6"/>
      <c r="C307" s="42"/>
      <c r="D307" s="6"/>
      <c r="E307" s="6"/>
      <c r="F307" s="6"/>
      <c r="G307" s="6"/>
      <c r="H307" s="6"/>
      <c r="I307" s="6"/>
      <c r="J307" s="6"/>
      <c r="K307" s="6"/>
      <c r="L307" s="6"/>
      <c r="M307" s="6"/>
      <c r="N307" s="6"/>
      <c r="O307" s="6"/>
      <c r="P307" s="6"/>
      <c r="Q307" s="6"/>
      <c r="R307" s="6"/>
      <c r="S307" s="6"/>
      <c r="AV307" s="6"/>
      <c r="AW307" s="6"/>
      <c r="AX307" s="6"/>
      <c r="AY307" s="6"/>
      <c r="AZ307" s="6"/>
      <c r="BB307" s="6"/>
      <c r="BC307" s="6"/>
      <c r="BD307" s="6"/>
      <c r="BE307" s="6"/>
      <c r="BF307" s="6"/>
    </row>
    <row r="308" spans="1:58" s="2" customFormat="1" x14ac:dyDescent="0.2">
      <c r="A308" s="6"/>
      <c r="B308" s="6"/>
      <c r="C308" s="42"/>
      <c r="D308" s="6"/>
      <c r="E308" s="6"/>
      <c r="F308" s="6"/>
      <c r="G308" s="6"/>
      <c r="H308" s="6"/>
      <c r="I308" s="6"/>
      <c r="J308" s="6"/>
      <c r="K308" s="6"/>
      <c r="L308" s="6"/>
      <c r="M308" s="6"/>
      <c r="N308" s="6"/>
      <c r="O308" s="6"/>
      <c r="P308" s="6"/>
      <c r="Q308" s="6"/>
      <c r="R308" s="6"/>
      <c r="S308" s="6"/>
      <c r="AV308" s="6"/>
      <c r="AW308" s="6"/>
      <c r="AX308" s="6"/>
      <c r="AY308" s="6"/>
      <c r="AZ308" s="6"/>
      <c r="BB308" s="6"/>
      <c r="BC308" s="6"/>
      <c r="BD308" s="6"/>
      <c r="BE308" s="6"/>
      <c r="BF308" s="6"/>
    </row>
    <row r="309" spans="1:58" s="2" customFormat="1" x14ac:dyDescent="0.2">
      <c r="A309" s="6"/>
      <c r="B309" s="6"/>
      <c r="C309" s="42"/>
      <c r="D309" s="6"/>
      <c r="E309" s="6"/>
      <c r="F309" s="6"/>
      <c r="G309" s="6"/>
      <c r="H309" s="6"/>
      <c r="I309" s="6"/>
      <c r="J309" s="6"/>
      <c r="K309" s="6"/>
      <c r="L309" s="6"/>
      <c r="M309" s="6"/>
      <c r="N309" s="6"/>
      <c r="O309" s="6"/>
      <c r="P309" s="6"/>
      <c r="Q309" s="6"/>
      <c r="R309" s="6"/>
      <c r="S309" s="6"/>
      <c r="AV309" s="6"/>
      <c r="AW309" s="6"/>
      <c r="AX309" s="6"/>
      <c r="AY309" s="6"/>
      <c r="AZ309" s="6"/>
      <c r="BB309" s="6"/>
      <c r="BC309" s="6"/>
      <c r="BD309" s="6"/>
      <c r="BE309" s="6"/>
      <c r="BF309" s="6"/>
    </row>
    <row r="310" spans="1:58" s="2" customFormat="1" x14ac:dyDescent="0.2">
      <c r="A310" s="6"/>
      <c r="B310" s="6"/>
      <c r="C310" s="42"/>
      <c r="D310" s="6"/>
      <c r="E310" s="6"/>
      <c r="F310" s="6"/>
      <c r="G310" s="6"/>
      <c r="H310" s="6"/>
      <c r="I310" s="6"/>
      <c r="J310" s="6"/>
      <c r="K310" s="6"/>
      <c r="L310" s="6"/>
      <c r="M310" s="6"/>
      <c r="N310" s="6"/>
      <c r="O310" s="6"/>
      <c r="P310" s="6"/>
      <c r="Q310" s="6"/>
      <c r="R310" s="6"/>
      <c r="S310" s="6"/>
      <c r="AV310" s="6"/>
      <c r="AW310" s="6"/>
      <c r="AX310" s="6"/>
      <c r="AY310" s="6"/>
      <c r="AZ310" s="6"/>
      <c r="BB310" s="6"/>
      <c r="BC310" s="6"/>
      <c r="BD310" s="6"/>
      <c r="BE310" s="6"/>
      <c r="BF310" s="6"/>
    </row>
    <row r="311" spans="1:58" s="2" customFormat="1" x14ac:dyDescent="0.2">
      <c r="A311" s="6"/>
      <c r="B311" s="6"/>
      <c r="C311" s="42"/>
      <c r="D311" s="6"/>
      <c r="E311" s="6"/>
      <c r="F311" s="6"/>
      <c r="G311" s="6"/>
      <c r="H311" s="6"/>
      <c r="I311" s="6"/>
      <c r="J311" s="6"/>
      <c r="K311" s="6"/>
      <c r="L311" s="6"/>
      <c r="M311" s="6"/>
      <c r="N311" s="6"/>
      <c r="O311" s="6"/>
      <c r="P311" s="6"/>
      <c r="Q311" s="6"/>
      <c r="R311" s="6"/>
      <c r="S311" s="6"/>
      <c r="AV311" s="6"/>
      <c r="AW311" s="6"/>
      <c r="AX311" s="6"/>
      <c r="AY311" s="6"/>
      <c r="AZ311" s="6"/>
      <c r="BB311" s="6"/>
      <c r="BC311" s="6"/>
      <c r="BD311" s="6"/>
      <c r="BE311" s="6"/>
      <c r="BF311" s="6"/>
    </row>
    <row r="312" spans="1:58" s="2" customFormat="1" x14ac:dyDescent="0.2">
      <c r="A312" s="6"/>
      <c r="B312" s="6"/>
      <c r="C312" s="42"/>
      <c r="D312" s="6"/>
      <c r="E312" s="6"/>
      <c r="F312" s="6"/>
      <c r="G312" s="6"/>
      <c r="H312" s="6"/>
      <c r="I312" s="6"/>
      <c r="J312" s="6"/>
      <c r="K312" s="6"/>
      <c r="L312" s="6"/>
      <c r="M312" s="6"/>
      <c r="N312" s="6"/>
      <c r="O312" s="6"/>
      <c r="P312" s="6"/>
      <c r="Q312" s="6"/>
      <c r="R312" s="6"/>
      <c r="S312" s="6"/>
      <c r="AV312" s="6"/>
      <c r="AW312" s="6"/>
      <c r="AX312" s="6"/>
      <c r="AY312" s="6"/>
      <c r="AZ312" s="6"/>
      <c r="BB312" s="6"/>
      <c r="BC312" s="6"/>
      <c r="BD312" s="6"/>
      <c r="BE312" s="6"/>
      <c r="BF312" s="6"/>
    </row>
    <row r="313" spans="1:58" s="2" customFormat="1" x14ac:dyDescent="0.2">
      <c r="A313" s="6"/>
      <c r="B313" s="6"/>
      <c r="C313" s="42"/>
      <c r="D313" s="6"/>
      <c r="E313" s="6"/>
      <c r="F313" s="6"/>
      <c r="G313" s="6"/>
      <c r="H313" s="6"/>
      <c r="I313" s="6"/>
      <c r="J313" s="6"/>
      <c r="K313" s="6"/>
      <c r="L313" s="6"/>
      <c r="M313" s="6"/>
      <c r="N313" s="6"/>
      <c r="O313" s="6"/>
      <c r="P313" s="6"/>
      <c r="Q313" s="6"/>
      <c r="R313" s="6"/>
      <c r="S313" s="6"/>
      <c r="AV313" s="6"/>
      <c r="AW313" s="6"/>
      <c r="AX313" s="6"/>
      <c r="AY313" s="6"/>
      <c r="AZ313" s="6"/>
      <c r="BB313" s="6"/>
      <c r="BC313" s="6"/>
      <c r="BD313" s="6"/>
      <c r="BE313" s="6"/>
      <c r="BF313" s="6"/>
    </row>
    <row r="314" spans="1:58" s="2" customFormat="1" x14ac:dyDescent="0.2">
      <c r="A314" s="6"/>
      <c r="B314" s="6"/>
      <c r="C314" s="42"/>
      <c r="D314" s="6"/>
      <c r="E314" s="6"/>
      <c r="F314" s="6"/>
      <c r="G314" s="6"/>
      <c r="H314" s="6"/>
      <c r="I314" s="6"/>
      <c r="J314" s="6"/>
      <c r="K314" s="6"/>
      <c r="L314" s="6"/>
      <c r="M314" s="6"/>
      <c r="N314" s="6"/>
      <c r="O314" s="6"/>
      <c r="P314" s="6"/>
      <c r="Q314" s="6"/>
      <c r="R314" s="6"/>
      <c r="S314" s="6"/>
      <c r="AV314" s="6"/>
      <c r="AW314" s="6"/>
      <c r="AX314" s="6"/>
      <c r="AY314" s="6"/>
      <c r="AZ314" s="6"/>
      <c r="BB314" s="6"/>
      <c r="BC314" s="6"/>
      <c r="BD314" s="6"/>
      <c r="BE314" s="6"/>
      <c r="BF314" s="6"/>
    </row>
    <row r="315" spans="1:58" s="2" customFormat="1" x14ac:dyDescent="0.2">
      <c r="A315" s="6"/>
      <c r="B315" s="6"/>
      <c r="C315" s="42"/>
      <c r="D315" s="6"/>
      <c r="E315" s="6"/>
      <c r="F315" s="6"/>
      <c r="G315" s="6"/>
      <c r="H315" s="6"/>
      <c r="I315" s="6"/>
      <c r="J315" s="6"/>
      <c r="K315" s="6"/>
      <c r="L315" s="6"/>
      <c r="M315" s="6"/>
      <c r="N315" s="6"/>
      <c r="O315" s="6"/>
      <c r="P315" s="6"/>
      <c r="Q315" s="6"/>
      <c r="R315" s="6"/>
      <c r="S315" s="6"/>
      <c r="AV315" s="6"/>
      <c r="AW315" s="6"/>
      <c r="AX315" s="6"/>
      <c r="AY315" s="6"/>
      <c r="AZ315" s="6"/>
      <c r="BB315" s="6"/>
      <c r="BC315" s="6"/>
      <c r="BD315" s="6"/>
      <c r="BE315" s="6"/>
      <c r="BF315" s="6"/>
    </row>
    <row r="316" spans="1:58" s="2" customFormat="1" x14ac:dyDescent="0.2">
      <c r="A316" s="6"/>
      <c r="B316" s="6"/>
      <c r="C316" s="42"/>
      <c r="D316" s="6"/>
      <c r="E316" s="6"/>
      <c r="F316" s="6"/>
      <c r="G316" s="6"/>
      <c r="H316" s="6"/>
      <c r="I316" s="6"/>
      <c r="J316" s="6"/>
      <c r="K316" s="6"/>
      <c r="L316" s="6"/>
      <c r="M316" s="6"/>
      <c r="N316" s="6"/>
      <c r="O316" s="6"/>
      <c r="P316" s="6"/>
      <c r="Q316" s="6"/>
      <c r="R316" s="6"/>
      <c r="S316" s="6"/>
      <c r="AV316" s="6"/>
      <c r="AW316" s="6"/>
      <c r="AX316" s="6"/>
      <c r="AY316" s="6"/>
      <c r="AZ316" s="6"/>
      <c r="BB316" s="6"/>
      <c r="BC316" s="6"/>
      <c r="BD316" s="6"/>
      <c r="BE316" s="6"/>
      <c r="BF316" s="6"/>
    </row>
    <row r="317" spans="1:58" s="2" customFormat="1" x14ac:dyDescent="0.2">
      <c r="A317" s="6"/>
      <c r="B317" s="6"/>
      <c r="C317" s="42"/>
      <c r="D317" s="6"/>
      <c r="E317" s="6"/>
      <c r="F317" s="6"/>
      <c r="G317" s="6"/>
      <c r="H317" s="6"/>
      <c r="I317" s="6"/>
      <c r="J317" s="6"/>
      <c r="K317" s="6"/>
      <c r="L317" s="6"/>
      <c r="M317" s="6"/>
      <c r="N317" s="6"/>
      <c r="O317" s="6"/>
      <c r="P317" s="6"/>
      <c r="Q317" s="6"/>
      <c r="R317" s="6"/>
      <c r="S317" s="6"/>
      <c r="AV317" s="6"/>
      <c r="AW317" s="6"/>
      <c r="AX317" s="6"/>
      <c r="AY317" s="6"/>
      <c r="AZ317" s="6"/>
      <c r="BB317" s="6"/>
      <c r="BC317" s="6"/>
      <c r="BD317" s="6"/>
      <c r="BE317" s="6"/>
      <c r="BF317" s="6"/>
    </row>
    <row r="318" spans="1:58" s="2" customFormat="1" x14ac:dyDescent="0.2">
      <c r="A318" s="6"/>
      <c r="B318" s="6"/>
      <c r="C318" s="42"/>
      <c r="D318" s="6"/>
      <c r="E318" s="6"/>
      <c r="F318" s="6"/>
      <c r="G318" s="6"/>
      <c r="H318" s="6"/>
      <c r="I318" s="6"/>
      <c r="J318" s="6"/>
      <c r="K318" s="6"/>
      <c r="L318" s="6"/>
      <c r="M318" s="6"/>
      <c r="N318" s="6"/>
      <c r="O318" s="6"/>
      <c r="P318" s="6"/>
      <c r="Q318" s="6"/>
      <c r="R318" s="6"/>
      <c r="S318" s="6"/>
      <c r="AV318" s="6"/>
      <c r="AW318" s="6"/>
      <c r="AX318" s="6"/>
      <c r="AY318" s="6"/>
      <c r="AZ318" s="6"/>
      <c r="BB318" s="6"/>
      <c r="BC318" s="6"/>
      <c r="BD318" s="6"/>
      <c r="BE318" s="6"/>
      <c r="BF318" s="6"/>
    </row>
    <row r="319" spans="1:58" s="2" customFormat="1" x14ac:dyDescent="0.2">
      <c r="A319" s="6"/>
      <c r="B319" s="6"/>
      <c r="C319" s="42"/>
      <c r="D319" s="6"/>
      <c r="E319" s="6"/>
      <c r="F319" s="6"/>
      <c r="G319" s="6"/>
      <c r="H319" s="6"/>
      <c r="I319" s="6"/>
      <c r="J319" s="6"/>
      <c r="K319" s="6"/>
      <c r="L319" s="6"/>
      <c r="M319" s="6"/>
      <c r="N319" s="6"/>
      <c r="O319" s="6"/>
      <c r="P319" s="6"/>
      <c r="Q319" s="6"/>
      <c r="R319" s="6"/>
      <c r="S319" s="6"/>
      <c r="AV319" s="6"/>
      <c r="AW319" s="6"/>
      <c r="AX319" s="6"/>
      <c r="AY319" s="6"/>
      <c r="AZ319" s="6"/>
      <c r="BB319" s="6"/>
      <c r="BC319" s="6"/>
      <c r="BD319" s="6"/>
      <c r="BE319" s="6"/>
      <c r="BF319" s="6"/>
    </row>
    <row r="320" spans="1:58" s="2" customFormat="1" x14ac:dyDescent="0.2">
      <c r="A320" s="6"/>
      <c r="B320" s="6"/>
      <c r="C320" s="42"/>
      <c r="D320" s="6"/>
      <c r="E320" s="6"/>
      <c r="F320" s="6"/>
      <c r="G320" s="6"/>
      <c r="H320" s="6"/>
      <c r="I320" s="6"/>
      <c r="J320" s="6"/>
      <c r="K320" s="6"/>
      <c r="L320" s="6"/>
      <c r="M320" s="6"/>
      <c r="N320" s="6"/>
      <c r="O320" s="6"/>
      <c r="P320" s="6"/>
      <c r="Q320" s="6"/>
      <c r="R320" s="6"/>
      <c r="S320" s="6"/>
      <c r="AV320" s="6"/>
      <c r="AW320" s="6"/>
      <c r="AX320" s="6"/>
      <c r="AY320" s="6"/>
      <c r="AZ320" s="6"/>
      <c r="BB320" s="6"/>
      <c r="BC320" s="6"/>
      <c r="BD320" s="6"/>
      <c r="BE320" s="6"/>
      <c r="BF320" s="6"/>
    </row>
    <row r="321" spans="1:58" s="2" customFormat="1" x14ac:dyDescent="0.2">
      <c r="A321" s="6"/>
      <c r="B321" s="6"/>
      <c r="C321" s="42"/>
      <c r="D321" s="6"/>
      <c r="E321" s="6"/>
      <c r="F321" s="6"/>
      <c r="G321" s="6"/>
      <c r="H321" s="6"/>
      <c r="I321" s="6"/>
      <c r="J321" s="6"/>
      <c r="K321" s="6"/>
      <c r="L321" s="6"/>
      <c r="M321" s="6"/>
      <c r="N321" s="6"/>
      <c r="O321" s="6"/>
      <c r="P321" s="6"/>
      <c r="Q321" s="6"/>
      <c r="R321" s="6"/>
      <c r="S321" s="6"/>
      <c r="AV321" s="6"/>
      <c r="AW321" s="6"/>
      <c r="AX321" s="6"/>
      <c r="AY321" s="6"/>
      <c r="AZ321" s="6"/>
      <c r="BB321" s="6"/>
      <c r="BC321" s="6"/>
      <c r="BD321" s="6"/>
      <c r="BE321" s="6"/>
      <c r="BF321" s="6"/>
    </row>
    <row r="322" spans="1:58" s="2" customFormat="1" x14ac:dyDescent="0.2">
      <c r="A322" s="6"/>
      <c r="B322" s="6"/>
      <c r="C322" s="42"/>
      <c r="D322" s="6"/>
      <c r="E322" s="6"/>
      <c r="F322" s="6"/>
      <c r="G322" s="6"/>
      <c r="H322" s="6"/>
      <c r="I322" s="6"/>
      <c r="J322" s="6"/>
      <c r="K322" s="6"/>
      <c r="L322" s="6"/>
      <c r="M322" s="6"/>
      <c r="N322" s="6"/>
      <c r="O322" s="6"/>
      <c r="P322" s="6"/>
      <c r="Q322" s="6"/>
      <c r="R322" s="6"/>
      <c r="S322" s="6"/>
      <c r="AV322" s="6"/>
      <c r="AW322" s="6"/>
      <c r="AX322" s="6"/>
      <c r="AY322" s="6"/>
      <c r="AZ322" s="6"/>
      <c r="BB322" s="6"/>
      <c r="BC322" s="6"/>
      <c r="BD322" s="6"/>
      <c r="BE322" s="6"/>
      <c r="BF322" s="6"/>
    </row>
    <row r="323" spans="1:58" s="2" customFormat="1" x14ac:dyDescent="0.2">
      <c r="A323" s="6"/>
      <c r="B323" s="6"/>
      <c r="C323" s="42"/>
      <c r="D323" s="6"/>
      <c r="E323" s="6"/>
      <c r="F323" s="6"/>
      <c r="G323" s="6"/>
      <c r="H323" s="6"/>
      <c r="I323" s="6"/>
      <c r="J323" s="6"/>
      <c r="K323" s="6"/>
      <c r="L323" s="6"/>
      <c r="M323" s="6"/>
      <c r="N323" s="6"/>
      <c r="O323" s="6"/>
      <c r="P323" s="6"/>
      <c r="Q323" s="6"/>
      <c r="R323" s="6"/>
      <c r="S323" s="6"/>
      <c r="AV323" s="6"/>
      <c r="AW323" s="6"/>
      <c r="AX323" s="6"/>
      <c r="AY323" s="6"/>
      <c r="AZ323" s="6"/>
      <c r="BB323" s="6"/>
      <c r="BC323" s="6"/>
      <c r="BD323" s="6"/>
      <c r="BE323" s="6"/>
      <c r="BF323" s="6"/>
    </row>
    <row r="324" spans="1:58" s="2" customFormat="1" x14ac:dyDescent="0.2">
      <c r="A324" s="6"/>
      <c r="B324" s="6"/>
      <c r="C324" s="42"/>
      <c r="D324" s="6"/>
      <c r="E324" s="6"/>
      <c r="F324" s="6"/>
      <c r="G324" s="6"/>
      <c r="H324" s="6"/>
      <c r="I324" s="6"/>
      <c r="J324" s="6"/>
      <c r="K324" s="6"/>
      <c r="L324" s="6"/>
      <c r="M324" s="6"/>
      <c r="N324" s="6"/>
      <c r="O324" s="6"/>
      <c r="P324" s="6"/>
      <c r="Q324" s="6"/>
      <c r="R324" s="6"/>
      <c r="S324" s="6"/>
      <c r="AV324" s="6"/>
      <c r="AW324" s="6"/>
      <c r="AX324" s="6"/>
      <c r="AY324" s="6"/>
      <c r="AZ324" s="6"/>
      <c r="BB324" s="6"/>
      <c r="BC324" s="6"/>
      <c r="BD324" s="6"/>
      <c r="BE324" s="6"/>
      <c r="BF324" s="6"/>
    </row>
    <row r="325" spans="1:58" s="2" customFormat="1" x14ac:dyDescent="0.2">
      <c r="A325" s="6"/>
      <c r="B325" s="6"/>
      <c r="C325" s="42"/>
      <c r="D325" s="6"/>
      <c r="E325" s="6"/>
      <c r="F325" s="6"/>
      <c r="G325" s="6"/>
      <c r="H325" s="6"/>
      <c r="I325" s="6"/>
      <c r="J325" s="6"/>
      <c r="K325" s="6"/>
      <c r="L325" s="6"/>
      <c r="M325" s="6"/>
      <c r="N325" s="6"/>
      <c r="O325" s="6"/>
      <c r="P325" s="6"/>
      <c r="Q325" s="6"/>
      <c r="R325" s="6"/>
      <c r="S325" s="6"/>
      <c r="AV325" s="6"/>
      <c r="AW325" s="6"/>
      <c r="AX325" s="6"/>
      <c r="AY325" s="6"/>
      <c r="AZ325" s="6"/>
      <c r="BB325" s="6"/>
      <c r="BC325" s="6"/>
      <c r="BD325" s="6"/>
      <c r="BE325" s="6"/>
      <c r="BF325" s="6"/>
    </row>
    <row r="326" spans="1:58" s="2" customFormat="1" x14ac:dyDescent="0.2">
      <c r="A326" s="6"/>
      <c r="B326" s="6"/>
      <c r="C326" s="42"/>
      <c r="D326" s="6"/>
      <c r="E326" s="6"/>
      <c r="F326" s="6"/>
      <c r="G326" s="6"/>
      <c r="H326" s="6"/>
      <c r="I326" s="6"/>
      <c r="J326" s="6"/>
      <c r="K326" s="6"/>
      <c r="L326" s="6"/>
      <c r="M326" s="6"/>
      <c r="N326" s="6"/>
      <c r="O326" s="6"/>
      <c r="P326" s="6"/>
      <c r="Q326" s="6"/>
      <c r="R326" s="6"/>
      <c r="S326" s="6"/>
      <c r="AV326" s="6"/>
      <c r="AW326" s="6"/>
      <c r="AX326" s="6"/>
      <c r="AY326" s="6"/>
      <c r="AZ326" s="6"/>
      <c r="BB326" s="6"/>
      <c r="BC326" s="6"/>
      <c r="BD326" s="6"/>
      <c r="BE326" s="6"/>
      <c r="BF326" s="6"/>
    </row>
    <row r="327" spans="1:58" s="2" customFormat="1" x14ac:dyDescent="0.2">
      <c r="A327" s="6"/>
      <c r="B327" s="6"/>
      <c r="C327" s="42"/>
      <c r="D327" s="6"/>
      <c r="E327" s="6"/>
      <c r="F327" s="6"/>
      <c r="G327" s="6"/>
      <c r="H327" s="6"/>
      <c r="I327" s="6"/>
      <c r="J327" s="6"/>
      <c r="K327" s="6"/>
      <c r="L327" s="6"/>
      <c r="M327" s="6"/>
      <c r="N327" s="6"/>
      <c r="O327" s="6"/>
      <c r="P327" s="6"/>
      <c r="Q327" s="6"/>
      <c r="R327" s="6"/>
      <c r="S327" s="6"/>
      <c r="AV327" s="6"/>
      <c r="AW327" s="6"/>
      <c r="AX327" s="6"/>
      <c r="AY327" s="6"/>
      <c r="AZ327" s="6"/>
      <c r="BB327" s="6"/>
      <c r="BC327" s="6"/>
      <c r="BD327" s="6"/>
      <c r="BE327" s="6"/>
      <c r="BF327" s="6"/>
    </row>
    <row r="328" spans="1:58" s="2" customFormat="1" x14ac:dyDescent="0.2">
      <c r="A328" s="6"/>
      <c r="B328" s="6"/>
      <c r="C328" s="42"/>
      <c r="D328" s="6"/>
      <c r="E328" s="6"/>
      <c r="F328" s="6"/>
      <c r="G328" s="6"/>
      <c r="H328" s="6"/>
      <c r="I328" s="6"/>
      <c r="J328" s="6"/>
      <c r="K328" s="6"/>
      <c r="L328" s="6"/>
      <c r="M328" s="6"/>
      <c r="N328" s="6"/>
      <c r="O328" s="6"/>
      <c r="P328" s="6"/>
      <c r="Q328" s="6"/>
      <c r="R328" s="6"/>
      <c r="S328" s="6"/>
      <c r="AV328" s="6"/>
      <c r="AW328" s="6"/>
      <c r="AX328" s="6"/>
      <c r="AY328" s="6"/>
      <c r="AZ328" s="6"/>
      <c r="BB328" s="6"/>
      <c r="BC328" s="6"/>
      <c r="BD328" s="6"/>
      <c r="BE328" s="6"/>
      <c r="BF328" s="6"/>
    </row>
    <row r="329" spans="1:58" s="2" customFormat="1" x14ac:dyDescent="0.2">
      <c r="A329" s="6"/>
      <c r="B329" s="6"/>
      <c r="C329" s="42"/>
      <c r="D329" s="6"/>
      <c r="E329" s="6"/>
      <c r="F329" s="6"/>
      <c r="G329" s="6"/>
      <c r="H329" s="6"/>
      <c r="I329" s="6"/>
      <c r="J329" s="6"/>
      <c r="K329" s="6"/>
      <c r="L329" s="6"/>
      <c r="M329" s="6"/>
      <c r="N329" s="6"/>
      <c r="O329" s="6"/>
      <c r="P329" s="6"/>
      <c r="Q329" s="6"/>
      <c r="R329" s="6"/>
      <c r="S329" s="6"/>
      <c r="AV329" s="6"/>
      <c r="AW329" s="6"/>
      <c r="AX329" s="6"/>
      <c r="AY329" s="6"/>
      <c r="AZ329" s="6"/>
      <c r="BB329" s="6"/>
      <c r="BC329" s="6"/>
      <c r="BD329" s="6"/>
      <c r="BE329" s="6"/>
      <c r="BF329" s="6"/>
    </row>
    <row r="330" spans="1:58" s="2" customFormat="1" x14ac:dyDescent="0.2">
      <c r="A330" s="6"/>
      <c r="B330" s="6"/>
      <c r="C330" s="42"/>
      <c r="D330" s="6"/>
      <c r="E330" s="6"/>
      <c r="F330" s="6"/>
      <c r="G330" s="6"/>
      <c r="H330" s="6"/>
      <c r="I330" s="6"/>
      <c r="J330" s="6"/>
      <c r="K330" s="6"/>
      <c r="L330" s="6"/>
      <c r="M330" s="6"/>
      <c r="N330" s="6"/>
      <c r="O330" s="6"/>
      <c r="P330" s="6"/>
      <c r="Q330" s="6"/>
      <c r="R330" s="6"/>
      <c r="S330" s="6"/>
      <c r="AV330" s="6"/>
      <c r="AW330" s="6"/>
      <c r="AX330" s="6"/>
      <c r="AY330" s="6"/>
      <c r="AZ330" s="6"/>
      <c r="BB330" s="6"/>
      <c r="BC330" s="6"/>
      <c r="BD330" s="6"/>
      <c r="BE330" s="6"/>
      <c r="BF330" s="6"/>
    </row>
    <row r="331" spans="1:58" s="2" customFormat="1" x14ac:dyDescent="0.2">
      <c r="A331" s="6"/>
      <c r="B331" s="6"/>
      <c r="C331" s="42"/>
      <c r="D331" s="6"/>
      <c r="E331" s="6"/>
      <c r="F331" s="6"/>
      <c r="G331" s="6"/>
      <c r="H331" s="6"/>
      <c r="I331" s="6"/>
      <c r="J331" s="6"/>
      <c r="K331" s="6"/>
      <c r="L331" s="6"/>
      <c r="M331" s="6"/>
      <c r="N331" s="6"/>
      <c r="O331" s="6"/>
      <c r="P331" s="6"/>
      <c r="Q331" s="6"/>
      <c r="R331" s="6"/>
      <c r="S331" s="6"/>
      <c r="AV331" s="6"/>
      <c r="AW331" s="6"/>
      <c r="AX331" s="6"/>
      <c r="AY331" s="6"/>
      <c r="AZ331" s="6"/>
      <c r="BB331" s="6"/>
      <c r="BC331" s="6"/>
      <c r="BD331" s="6"/>
      <c r="BE331" s="6"/>
      <c r="BF331" s="6"/>
    </row>
    <row r="332" spans="1:58" s="2" customFormat="1" x14ac:dyDescent="0.2">
      <c r="A332" s="6"/>
      <c r="B332" s="6"/>
      <c r="C332" s="42"/>
      <c r="D332" s="6"/>
      <c r="E332" s="6"/>
      <c r="F332" s="6"/>
      <c r="G332" s="6"/>
      <c r="H332" s="6"/>
      <c r="I332" s="6"/>
      <c r="J332" s="6"/>
      <c r="K332" s="6"/>
      <c r="L332" s="6"/>
      <c r="M332" s="6"/>
      <c r="N332" s="6"/>
      <c r="O332" s="6"/>
      <c r="P332" s="6"/>
      <c r="Q332" s="6"/>
      <c r="R332" s="6"/>
      <c r="S332" s="6"/>
      <c r="AV332" s="6"/>
      <c r="AW332" s="6"/>
      <c r="AX332" s="6"/>
      <c r="AY332" s="6"/>
      <c r="AZ332" s="6"/>
      <c r="BB332" s="6"/>
      <c r="BC332" s="6"/>
      <c r="BD332" s="6"/>
      <c r="BE332" s="6"/>
      <c r="BF332" s="6"/>
    </row>
    <row r="333" spans="1:58" s="2" customFormat="1" x14ac:dyDescent="0.2">
      <c r="A333" s="6"/>
      <c r="B333" s="6"/>
      <c r="C333" s="42"/>
      <c r="D333" s="6"/>
      <c r="E333" s="6"/>
      <c r="F333" s="6"/>
      <c r="G333" s="6"/>
      <c r="H333" s="6"/>
      <c r="I333" s="6"/>
      <c r="J333" s="6"/>
      <c r="K333" s="6"/>
      <c r="L333" s="6"/>
      <c r="M333" s="6"/>
      <c r="N333" s="6"/>
      <c r="O333" s="6"/>
      <c r="P333" s="6"/>
      <c r="Q333" s="6"/>
      <c r="R333" s="6"/>
      <c r="S333" s="6"/>
      <c r="AV333" s="6"/>
      <c r="AW333" s="6"/>
      <c r="AX333" s="6"/>
      <c r="AY333" s="6"/>
      <c r="AZ333" s="6"/>
      <c r="BB333" s="6"/>
      <c r="BC333" s="6"/>
      <c r="BD333" s="6"/>
      <c r="BE333" s="6"/>
      <c r="BF333" s="6"/>
    </row>
    <row r="334" spans="1:58" s="2" customFormat="1" x14ac:dyDescent="0.2">
      <c r="A334" s="6"/>
      <c r="B334" s="6"/>
      <c r="C334" s="42"/>
      <c r="D334" s="6"/>
      <c r="E334" s="6"/>
      <c r="F334" s="6"/>
      <c r="G334" s="6"/>
      <c r="H334" s="6"/>
      <c r="I334" s="6"/>
      <c r="J334" s="6"/>
      <c r="K334" s="6"/>
      <c r="L334" s="6"/>
      <c r="M334" s="6"/>
      <c r="N334" s="6"/>
      <c r="O334" s="6"/>
      <c r="P334" s="6"/>
      <c r="Q334" s="6"/>
      <c r="R334" s="6"/>
      <c r="S334" s="6"/>
      <c r="AV334" s="6"/>
      <c r="AW334" s="6"/>
      <c r="AX334" s="6"/>
      <c r="AY334" s="6"/>
      <c r="AZ334" s="6"/>
      <c r="BB334" s="6"/>
      <c r="BC334" s="6"/>
      <c r="BD334" s="6"/>
      <c r="BE334" s="6"/>
      <c r="BF334" s="6"/>
    </row>
    <row r="335" spans="1:58" s="2" customFormat="1" x14ac:dyDescent="0.2">
      <c r="A335" s="6"/>
      <c r="B335" s="6"/>
      <c r="C335" s="42"/>
      <c r="D335" s="6"/>
      <c r="E335" s="6"/>
      <c r="F335" s="6"/>
      <c r="G335" s="6"/>
      <c r="H335" s="6"/>
      <c r="I335" s="6"/>
      <c r="J335" s="6"/>
      <c r="K335" s="6"/>
      <c r="L335" s="6"/>
      <c r="M335" s="6"/>
      <c r="N335" s="6"/>
      <c r="O335" s="6"/>
      <c r="P335" s="6"/>
      <c r="Q335" s="6"/>
      <c r="R335" s="6"/>
      <c r="S335" s="6"/>
      <c r="AV335" s="6"/>
      <c r="AW335" s="6"/>
      <c r="AX335" s="6"/>
      <c r="AY335" s="6"/>
      <c r="AZ335" s="6"/>
      <c r="BB335" s="6"/>
      <c r="BC335" s="6"/>
      <c r="BD335" s="6"/>
      <c r="BE335" s="6"/>
      <c r="BF335" s="6"/>
    </row>
    <row r="336" spans="1:58" s="2" customFormat="1" x14ac:dyDescent="0.2">
      <c r="A336" s="6"/>
      <c r="B336" s="6"/>
      <c r="C336" s="42"/>
      <c r="D336" s="6"/>
      <c r="E336" s="6"/>
      <c r="F336" s="6"/>
      <c r="G336" s="6"/>
      <c r="H336" s="6"/>
      <c r="I336" s="6"/>
      <c r="J336" s="6"/>
      <c r="K336" s="6"/>
      <c r="L336" s="6"/>
      <c r="M336" s="6"/>
      <c r="N336" s="6"/>
      <c r="O336" s="6"/>
      <c r="P336" s="6"/>
      <c r="Q336" s="6"/>
      <c r="R336" s="6"/>
      <c r="S336" s="6"/>
      <c r="AV336" s="6"/>
      <c r="AW336" s="6"/>
      <c r="AX336" s="6"/>
      <c r="AY336" s="6"/>
      <c r="AZ336" s="6"/>
      <c r="BB336" s="6"/>
      <c r="BC336" s="6"/>
      <c r="BD336" s="6"/>
      <c r="BE336" s="6"/>
      <c r="BF336" s="6"/>
    </row>
    <row r="337" spans="1:58" s="2" customFormat="1" x14ac:dyDescent="0.2">
      <c r="A337" s="6"/>
      <c r="B337" s="6"/>
      <c r="C337" s="42"/>
      <c r="D337" s="6"/>
      <c r="E337" s="6"/>
      <c r="F337" s="6"/>
      <c r="G337" s="6"/>
      <c r="H337" s="6"/>
      <c r="I337" s="6"/>
      <c r="J337" s="6"/>
      <c r="K337" s="6"/>
      <c r="L337" s="6"/>
      <c r="M337" s="6"/>
      <c r="N337" s="6"/>
      <c r="O337" s="6"/>
      <c r="P337" s="6"/>
      <c r="Q337" s="6"/>
      <c r="R337" s="6"/>
      <c r="S337" s="6"/>
      <c r="AV337" s="6"/>
      <c r="AW337" s="6"/>
      <c r="AX337" s="6"/>
      <c r="AY337" s="6"/>
      <c r="AZ337" s="6"/>
      <c r="BB337" s="6"/>
      <c r="BC337" s="6"/>
      <c r="BD337" s="6"/>
      <c r="BE337" s="6"/>
      <c r="BF337" s="6"/>
    </row>
    <row r="338" spans="1:58" s="2" customFormat="1" x14ac:dyDescent="0.2">
      <c r="A338" s="6"/>
      <c r="B338" s="6"/>
      <c r="C338" s="42"/>
      <c r="D338" s="6"/>
      <c r="E338" s="6"/>
      <c r="F338" s="6"/>
      <c r="G338" s="6"/>
      <c r="H338" s="6"/>
      <c r="I338" s="6"/>
      <c r="J338" s="6"/>
      <c r="K338" s="6"/>
      <c r="L338" s="6"/>
      <c r="M338" s="6"/>
      <c r="N338" s="6"/>
      <c r="O338" s="6"/>
      <c r="P338" s="6"/>
      <c r="Q338" s="6"/>
      <c r="R338" s="6"/>
      <c r="S338" s="6"/>
      <c r="AV338" s="6"/>
      <c r="AW338" s="6"/>
      <c r="AX338" s="6"/>
      <c r="AY338" s="6"/>
      <c r="AZ338" s="6"/>
      <c r="BB338" s="6"/>
      <c r="BC338" s="6"/>
      <c r="BD338" s="6"/>
      <c r="BE338" s="6"/>
      <c r="BF338" s="6"/>
    </row>
    <row r="339" spans="1:58" s="2" customFormat="1" x14ac:dyDescent="0.2">
      <c r="A339" s="6"/>
      <c r="B339" s="6"/>
      <c r="C339" s="42"/>
      <c r="D339" s="6"/>
      <c r="E339" s="6"/>
      <c r="F339" s="6"/>
      <c r="G339" s="6"/>
      <c r="H339" s="6"/>
      <c r="I339" s="6"/>
      <c r="J339" s="6"/>
      <c r="K339" s="6"/>
      <c r="L339" s="6"/>
      <c r="M339" s="6"/>
      <c r="N339" s="6"/>
      <c r="O339" s="6"/>
      <c r="P339" s="6"/>
      <c r="Q339" s="6"/>
      <c r="R339" s="6"/>
      <c r="S339" s="6"/>
      <c r="AV339" s="6"/>
      <c r="AW339" s="6"/>
      <c r="AX339" s="6"/>
      <c r="AY339" s="6"/>
      <c r="AZ339" s="6"/>
      <c r="BB339" s="6"/>
      <c r="BC339" s="6"/>
      <c r="BD339" s="6"/>
      <c r="BE339" s="6"/>
      <c r="BF339" s="6"/>
    </row>
    <row r="340" spans="1:58" s="2" customFormat="1" x14ac:dyDescent="0.2">
      <c r="A340" s="6"/>
      <c r="B340" s="6"/>
      <c r="C340" s="42"/>
      <c r="D340" s="6"/>
      <c r="E340" s="6"/>
      <c r="F340" s="6"/>
      <c r="G340" s="6"/>
      <c r="H340" s="6"/>
      <c r="I340" s="6"/>
      <c r="J340" s="6"/>
      <c r="K340" s="6"/>
      <c r="L340" s="6"/>
      <c r="M340" s="6"/>
      <c r="N340" s="6"/>
      <c r="O340" s="6"/>
      <c r="P340" s="6"/>
      <c r="Q340" s="6"/>
      <c r="R340" s="6"/>
      <c r="S340" s="6"/>
      <c r="AV340" s="6"/>
      <c r="AW340" s="6"/>
      <c r="AX340" s="6"/>
      <c r="AY340" s="6"/>
      <c r="AZ340" s="6"/>
      <c r="BB340" s="6"/>
      <c r="BC340" s="6"/>
      <c r="BD340" s="6"/>
      <c r="BE340" s="6"/>
      <c r="BF340" s="6"/>
    </row>
    <row r="341" spans="1:58" s="2" customFormat="1" x14ac:dyDescent="0.2">
      <c r="A341" s="6"/>
      <c r="B341" s="6"/>
      <c r="C341" s="42"/>
      <c r="D341" s="6"/>
      <c r="E341" s="6"/>
      <c r="F341" s="6"/>
      <c r="G341" s="6"/>
      <c r="H341" s="6"/>
      <c r="I341" s="6"/>
      <c r="J341" s="6"/>
      <c r="K341" s="6"/>
      <c r="L341" s="6"/>
      <c r="M341" s="6"/>
      <c r="N341" s="6"/>
      <c r="O341" s="6"/>
      <c r="P341" s="6"/>
      <c r="Q341" s="6"/>
      <c r="R341" s="6"/>
      <c r="S341" s="6"/>
      <c r="AV341" s="6"/>
      <c r="AW341" s="6"/>
      <c r="AX341" s="6"/>
      <c r="AY341" s="6"/>
      <c r="AZ341" s="6"/>
      <c r="BB341" s="6"/>
      <c r="BC341" s="6"/>
      <c r="BD341" s="6"/>
      <c r="BE341" s="6"/>
      <c r="BF341" s="6"/>
    </row>
    <row r="342" spans="1:58" s="2" customFormat="1" x14ac:dyDescent="0.2">
      <c r="A342" s="6"/>
      <c r="B342" s="6"/>
      <c r="C342" s="42"/>
      <c r="D342" s="6"/>
      <c r="E342" s="6"/>
      <c r="F342" s="6"/>
      <c r="G342" s="6"/>
      <c r="H342" s="6"/>
      <c r="I342" s="6"/>
      <c r="J342" s="6"/>
      <c r="K342" s="6"/>
      <c r="L342" s="6"/>
      <c r="M342" s="6"/>
      <c r="N342" s="6"/>
      <c r="O342" s="6"/>
      <c r="P342" s="6"/>
      <c r="Q342" s="6"/>
      <c r="R342" s="6"/>
      <c r="S342" s="6"/>
      <c r="AV342" s="6"/>
      <c r="AW342" s="6"/>
      <c r="AX342" s="6"/>
      <c r="AY342" s="6"/>
      <c r="AZ342" s="6"/>
      <c r="BB342" s="6"/>
      <c r="BC342" s="6"/>
      <c r="BD342" s="6"/>
      <c r="BE342" s="6"/>
      <c r="BF342" s="6"/>
    </row>
    <row r="343" spans="1:58" s="2" customFormat="1" x14ac:dyDescent="0.2">
      <c r="A343" s="6"/>
      <c r="B343" s="6"/>
      <c r="C343" s="42"/>
      <c r="D343" s="6"/>
      <c r="E343" s="6"/>
      <c r="F343" s="6"/>
      <c r="G343" s="6"/>
      <c r="H343" s="6"/>
      <c r="I343" s="6"/>
      <c r="J343" s="6"/>
      <c r="K343" s="6"/>
      <c r="L343" s="6"/>
      <c r="M343" s="6"/>
      <c r="N343" s="6"/>
      <c r="O343" s="6"/>
      <c r="P343" s="6"/>
      <c r="Q343" s="6"/>
      <c r="R343" s="6"/>
      <c r="S343" s="6"/>
      <c r="AV343" s="6"/>
      <c r="AW343" s="6"/>
      <c r="AX343" s="6"/>
      <c r="AY343" s="6"/>
      <c r="AZ343" s="6"/>
      <c r="BB343" s="6"/>
      <c r="BC343" s="6"/>
      <c r="BD343" s="6"/>
      <c r="BE343" s="6"/>
      <c r="BF343" s="6"/>
    </row>
    <row r="344" spans="1:58" s="2" customFormat="1" x14ac:dyDescent="0.2">
      <c r="A344" s="6"/>
      <c r="B344" s="6"/>
      <c r="C344" s="42"/>
      <c r="D344" s="6"/>
      <c r="E344" s="6"/>
      <c r="F344" s="6"/>
      <c r="G344" s="6"/>
      <c r="H344" s="6"/>
      <c r="I344" s="6"/>
      <c r="J344" s="6"/>
      <c r="K344" s="6"/>
      <c r="L344" s="6"/>
      <c r="M344" s="6"/>
      <c r="N344" s="6"/>
      <c r="O344" s="6"/>
      <c r="P344" s="6"/>
      <c r="Q344" s="6"/>
      <c r="R344" s="6"/>
      <c r="S344" s="6"/>
      <c r="AV344" s="6"/>
      <c r="AW344" s="6"/>
      <c r="AX344" s="6"/>
      <c r="AY344" s="6"/>
      <c r="AZ344" s="6"/>
      <c r="BB344" s="6"/>
      <c r="BC344" s="6"/>
      <c r="BD344" s="6"/>
      <c r="BE344" s="6"/>
      <c r="BF344" s="6"/>
    </row>
    <row r="345" spans="1:58" s="2" customFormat="1" x14ac:dyDescent="0.2">
      <c r="A345" s="6"/>
      <c r="B345" s="6"/>
      <c r="C345" s="42"/>
      <c r="D345" s="6"/>
      <c r="E345" s="6"/>
      <c r="F345" s="6"/>
      <c r="G345" s="6"/>
      <c r="H345" s="6"/>
      <c r="I345" s="6"/>
      <c r="J345" s="6"/>
      <c r="K345" s="6"/>
      <c r="L345" s="6"/>
      <c r="M345" s="6"/>
      <c r="N345" s="6"/>
      <c r="O345" s="6"/>
      <c r="P345" s="6"/>
      <c r="Q345" s="6"/>
      <c r="R345" s="6"/>
      <c r="S345" s="6"/>
      <c r="AV345" s="6"/>
      <c r="AW345" s="6"/>
      <c r="AX345" s="6"/>
      <c r="AY345" s="6"/>
      <c r="AZ345" s="6"/>
      <c r="BB345" s="6"/>
      <c r="BC345" s="6"/>
      <c r="BD345" s="6"/>
      <c r="BE345" s="6"/>
      <c r="BF345" s="6"/>
    </row>
    <row r="346" spans="1:58" s="2" customFormat="1" x14ac:dyDescent="0.2">
      <c r="A346" s="6"/>
      <c r="B346" s="6"/>
      <c r="C346" s="42"/>
      <c r="D346" s="6"/>
      <c r="E346" s="6"/>
      <c r="F346" s="6"/>
      <c r="G346" s="6"/>
      <c r="H346" s="6"/>
      <c r="I346" s="6"/>
      <c r="J346" s="6"/>
      <c r="K346" s="6"/>
      <c r="L346" s="6"/>
      <c r="M346" s="6"/>
      <c r="N346" s="6"/>
      <c r="O346" s="6"/>
      <c r="P346" s="6"/>
      <c r="Q346" s="6"/>
      <c r="R346" s="6"/>
      <c r="S346" s="6"/>
      <c r="AV346" s="6"/>
      <c r="AW346" s="6"/>
      <c r="AX346" s="6"/>
      <c r="AY346" s="6"/>
      <c r="AZ346" s="6"/>
      <c r="BB346" s="6"/>
      <c r="BC346" s="6"/>
      <c r="BD346" s="6"/>
      <c r="BE346" s="6"/>
      <c r="BF346" s="6"/>
    </row>
    <row r="347" spans="1:58" s="2" customFormat="1" x14ac:dyDescent="0.2">
      <c r="A347" s="6"/>
      <c r="B347" s="6"/>
      <c r="C347" s="42"/>
      <c r="D347" s="6"/>
      <c r="E347" s="6"/>
      <c r="F347" s="6"/>
      <c r="G347" s="6"/>
      <c r="H347" s="6"/>
      <c r="I347" s="6"/>
      <c r="J347" s="6"/>
      <c r="K347" s="6"/>
      <c r="L347" s="6"/>
      <c r="M347" s="6"/>
      <c r="N347" s="6"/>
      <c r="O347" s="6"/>
      <c r="P347" s="6"/>
      <c r="Q347" s="6"/>
      <c r="R347" s="6"/>
      <c r="S347" s="6"/>
      <c r="AV347" s="6"/>
      <c r="AW347" s="6"/>
      <c r="AX347" s="6"/>
      <c r="AY347" s="6"/>
      <c r="AZ347" s="6"/>
      <c r="BB347" s="6"/>
      <c r="BC347" s="6"/>
      <c r="BD347" s="6"/>
      <c r="BE347" s="6"/>
      <c r="BF347" s="6"/>
    </row>
    <row r="348" spans="1:58" s="2" customFormat="1" x14ac:dyDescent="0.2">
      <c r="A348" s="6"/>
      <c r="B348" s="6"/>
      <c r="C348" s="42"/>
      <c r="D348" s="6"/>
      <c r="E348" s="6"/>
      <c r="F348" s="6"/>
      <c r="G348" s="6"/>
      <c r="H348" s="6"/>
      <c r="I348" s="6"/>
      <c r="J348" s="6"/>
      <c r="K348" s="6"/>
      <c r="L348" s="6"/>
      <c r="M348" s="6"/>
      <c r="N348" s="6"/>
      <c r="O348" s="6"/>
      <c r="P348" s="6"/>
      <c r="Q348" s="6"/>
      <c r="R348" s="6"/>
      <c r="S348" s="6"/>
      <c r="AV348" s="6"/>
      <c r="AW348" s="6"/>
      <c r="AX348" s="6"/>
      <c r="AY348" s="6"/>
      <c r="AZ348" s="6"/>
      <c r="BB348" s="6"/>
      <c r="BC348" s="6"/>
      <c r="BD348" s="6"/>
      <c r="BE348" s="6"/>
      <c r="BF348" s="6"/>
    </row>
    <row r="349" spans="1:58" s="2" customFormat="1" x14ac:dyDescent="0.2">
      <c r="A349" s="6"/>
      <c r="B349" s="6"/>
      <c r="C349" s="42"/>
      <c r="D349" s="6"/>
      <c r="E349" s="6"/>
      <c r="F349" s="6"/>
      <c r="G349" s="6"/>
      <c r="H349" s="6"/>
      <c r="I349" s="6"/>
      <c r="J349" s="6"/>
      <c r="K349" s="6"/>
      <c r="L349" s="6"/>
      <c r="M349" s="6"/>
      <c r="N349" s="6"/>
      <c r="O349" s="6"/>
      <c r="P349" s="6"/>
      <c r="Q349" s="6"/>
      <c r="R349" s="6"/>
      <c r="S349" s="6"/>
      <c r="AV349" s="6"/>
      <c r="AW349" s="6"/>
      <c r="AX349" s="6"/>
      <c r="AY349" s="6"/>
      <c r="AZ349" s="6"/>
      <c r="BB349" s="6"/>
      <c r="BC349" s="6"/>
      <c r="BD349" s="6"/>
      <c r="BE349" s="6"/>
      <c r="BF349" s="6"/>
    </row>
    <row r="350" spans="1:58" s="2" customFormat="1" x14ac:dyDescent="0.2">
      <c r="A350" s="6"/>
      <c r="B350" s="6"/>
      <c r="C350" s="42"/>
      <c r="D350" s="6"/>
      <c r="E350" s="6"/>
      <c r="F350" s="6"/>
      <c r="G350" s="6"/>
      <c r="H350" s="6"/>
      <c r="I350" s="6"/>
      <c r="J350" s="6"/>
      <c r="K350" s="6"/>
      <c r="L350" s="6"/>
      <c r="M350" s="6"/>
      <c r="N350" s="6"/>
      <c r="O350" s="6"/>
      <c r="P350" s="6"/>
      <c r="Q350" s="6"/>
      <c r="R350" s="6"/>
      <c r="S350" s="6"/>
      <c r="AV350" s="6"/>
      <c r="AW350" s="6"/>
      <c r="AX350" s="6"/>
      <c r="AY350" s="6"/>
      <c r="AZ350" s="6"/>
      <c r="BB350" s="6"/>
      <c r="BC350" s="6"/>
      <c r="BD350" s="6"/>
      <c r="BE350" s="6"/>
      <c r="BF350" s="6"/>
    </row>
    <row r="351" spans="1:58" s="2" customFormat="1" x14ac:dyDescent="0.2">
      <c r="A351" s="6"/>
      <c r="B351" s="6"/>
      <c r="C351" s="42"/>
      <c r="D351" s="6"/>
      <c r="E351" s="6"/>
      <c r="F351" s="6"/>
      <c r="G351" s="6"/>
      <c r="H351" s="6"/>
      <c r="I351" s="6"/>
      <c r="J351" s="6"/>
      <c r="K351" s="6"/>
      <c r="L351" s="6"/>
      <c r="M351" s="6"/>
      <c r="N351" s="6"/>
      <c r="O351" s="6"/>
      <c r="P351" s="6"/>
      <c r="Q351" s="6"/>
      <c r="R351" s="6"/>
      <c r="S351" s="6"/>
      <c r="AV351" s="6"/>
      <c r="AW351" s="6"/>
      <c r="AX351" s="6"/>
      <c r="AY351" s="6"/>
      <c r="AZ351" s="6"/>
      <c r="BB351" s="6"/>
      <c r="BC351" s="6"/>
      <c r="BD351" s="6"/>
      <c r="BE351" s="6"/>
      <c r="BF351" s="6"/>
    </row>
    <row r="352" spans="1:58" s="2" customFormat="1" x14ac:dyDescent="0.2">
      <c r="A352" s="6"/>
      <c r="B352" s="6"/>
      <c r="C352" s="42"/>
      <c r="D352" s="6"/>
      <c r="E352" s="6"/>
      <c r="F352" s="6"/>
      <c r="G352" s="6"/>
      <c r="H352" s="6"/>
      <c r="I352" s="6"/>
      <c r="J352" s="6"/>
      <c r="K352" s="6"/>
      <c r="L352" s="6"/>
      <c r="M352" s="6"/>
      <c r="N352" s="6"/>
      <c r="O352" s="6"/>
      <c r="P352" s="6"/>
      <c r="Q352" s="6"/>
      <c r="R352" s="6"/>
      <c r="S352" s="6"/>
      <c r="AV352" s="6"/>
      <c r="AW352" s="6"/>
      <c r="AX352" s="6"/>
      <c r="AY352" s="6"/>
      <c r="AZ352" s="6"/>
      <c r="BB352" s="6"/>
      <c r="BC352" s="6"/>
      <c r="BD352" s="6"/>
      <c r="BE352" s="6"/>
      <c r="BF352" s="6"/>
    </row>
    <row r="353" spans="1:58" s="2" customFormat="1" x14ac:dyDescent="0.2">
      <c r="A353" s="6"/>
      <c r="B353" s="6"/>
      <c r="C353" s="42"/>
      <c r="D353" s="6"/>
      <c r="E353" s="6"/>
      <c r="F353" s="6"/>
      <c r="G353" s="6"/>
      <c r="H353" s="6"/>
      <c r="I353" s="6"/>
      <c r="J353" s="6"/>
      <c r="K353" s="6"/>
      <c r="L353" s="6"/>
      <c r="M353" s="6"/>
      <c r="N353" s="6"/>
      <c r="O353" s="6"/>
      <c r="P353" s="6"/>
      <c r="Q353" s="6"/>
      <c r="R353" s="6"/>
      <c r="S353" s="6"/>
      <c r="AV353" s="6"/>
      <c r="AW353" s="6"/>
      <c r="AX353" s="6"/>
      <c r="AY353" s="6"/>
      <c r="AZ353" s="6"/>
      <c r="BB353" s="6"/>
      <c r="BC353" s="6"/>
      <c r="BD353" s="6"/>
      <c r="BE353" s="6"/>
      <c r="BF353" s="6"/>
    </row>
    <row r="354" spans="1:58" s="2" customFormat="1" x14ac:dyDescent="0.2">
      <c r="A354" s="6"/>
      <c r="B354" s="6"/>
      <c r="C354" s="42"/>
      <c r="D354" s="6"/>
      <c r="E354" s="6"/>
      <c r="F354" s="6"/>
      <c r="G354" s="6"/>
      <c r="H354" s="6"/>
      <c r="I354" s="6"/>
      <c r="J354" s="6"/>
      <c r="K354" s="6"/>
      <c r="L354" s="6"/>
      <c r="M354" s="6"/>
      <c r="N354" s="6"/>
      <c r="O354" s="6"/>
      <c r="P354" s="6"/>
      <c r="Q354" s="6"/>
      <c r="R354" s="6"/>
      <c r="S354" s="6"/>
      <c r="AV354" s="6"/>
      <c r="AW354" s="6"/>
      <c r="AX354" s="6"/>
      <c r="AY354" s="6"/>
      <c r="AZ354" s="6"/>
      <c r="BB354" s="6"/>
      <c r="BC354" s="6"/>
      <c r="BD354" s="6"/>
      <c r="BE354" s="6"/>
      <c r="BF354" s="6"/>
    </row>
    <row r="355" spans="1:58" s="2" customFormat="1" x14ac:dyDescent="0.2">
      <c r="A355" s="6"/>
      <c r="B355" s="6"/>
      <c r="C355" s="42"/>
      <c r="D355" s="6"/>
      <c r="E355" s="6"/>
      <c r="F355" s="6"/>
      <c r="G355" s="6"/>
      <c r="H355" s="6"/>
      <c r="I355" s="6"/>
      <c r="J355" s="6"/>
      <c r="K355" s="6"/>
      <c r="L355" s="6"/>
      <c r="M355" s="6"/>
      <c r="N355" s="6"/>
      <c r="O355" s="6"/>
      <c r="P355" s="6"/>
      <c r="Q355" s="6"/>
      <c r="R355" s="6"/>
      <c r="S355" s="6"/>
      <c r="AV355" s="6"/>
      <c r="AW355" s="6"/>
      <c r="AX355" s="6"/>
      <c r="AY355" s="6"/>
      <c r="AZ355" s="6"/>
      <c r="BB355" s="6"/>
      <c r="BC355" s="6"/>
      <c r="BD355" s="6"/>
      <c r="BE355" s="6"/>
      <c r="BF355" s="6"/>
    </row>
    <row r="356" spans="1:58" s="2" customFormat="1" x14ac:dyDescent="0.2">
      <c r="A356" s="6"/>
      <c r="B356" s="6"/>
      <c r="C356" s="42"/>
      <c r="D356" s="6"/>
      <c r="E356" s="6"/>
      <c r="F356" s="6"/>
      <c r="G356" s="6"/>
      <c r="H356" s="6"/>
      <c r="I356" s="6"/>
      <c r="J356" s="6"/>
      <c r="K356" s="6"/>
      <c r="L356" s="6"/>
      <c r="M356" s="6"/>
      <c r="N356" s="6"/>
      <c r="O356" s="6"/>
      <c r="P356" s="6"/>
      <c r="Q356" s="6"/>
      <c r="R356" s="6"/>
      <c r="S356" s="6"/>
      <c r="AV356" s="6"/>
      <c r="AW356" s="6"/>
      <c r="AX356" s="6"/>
      <c r="AY356" s="6"/>
      <c r="AZ356" s="6"/>
      <c r="BB356" s="6"/>
      <c r="BC356" s="6"/>
      <c r="BD356" s="6"/>
      <c r="BE356" s="6"/>
      <c r="BF356" s="6"/>
    </row>
    <row r="357" spans="1:58" s="2" customFormat="1" x14ac:dyDescent="0.2">
      <c r="A357" s="6"/>
      <c r="B357" s="6"/>
      <c r="C357" s="42"/>
      <c r="D357" s="6"/>
      <c r="E357" s="6"/>
      <c r="F357" s="6"/>
      <c r="G357" s="6"/>
      <c r="H357" s="6"/>
      <c r="I357" s="6"/>
      <c r="J357" s="6"/>
      <c r="K357" s="6"/>
      <c r="L357" s="6"/>
      <c r="M357" s="6"/>
      <c r="N357" s="6"/>
      <c r="O357" s="6"/>
      <c r="P357" s="6"/>
      <c r="Q357" s="6"/>
      <c r="R357" s="6"/>
      <c r="S357" s="6"/>
      <c r="AV357" s="6"/>
      <c r="AW357" s="6"/>
      <c r="AX357" s="6"/>
      <c r="AY357" s="6"/>
      <c r="AZ357" s="6"/>
      <c r="BB357" s="6"/>
      <c r="BC357" s="6"/>
      <c r="BD357" s="6"/>
      <c r="BE357" s="6"/>
      <c r="BF357" s="6"/>
    </row>
    <row r="358" spans="1:58" s="2" customFormat="1" x14ac:dyDescent="0.2">
      <c r="A358" s="6"/>
      <c r="B358" s="6"/>
      <c r="C358" s="42"/>
      <c r="D358" s="6"/>
      <c r="E358" s="6"/>
      <c r="F358" s="6"/>
      <c r="G358" s="6"/>
      <c r="H358" s="6"/>
      <c r="I358" s="6"/>
      <c r="J358" s="6"/>
      <c r="K358" s="6"/>
      <c r="L358" s="6"/>
      <c r="M358" s="6"/>
      <c r="N358" s="6"/>
      <c r="O358" s="6"/>
      <c r="P358" s="6"/>
      <c r="Q358" s="6"/>
      <c r="R358" s="6"/>
      <c r="S358" s="6"/>
      <c r="AV358" s="6"/>
      <c r="AW358" s="6"/>
      <c r="AX358" s="6"/>
      <c r="AY358" s="6"/>
      <c r="AZ358" s="6"/>
      <c r="BB358" s="6"/>
      <c r="BC358" s="6"/>
      <c r="BD358" s="6"/>
      <c r="BE358" s="6"/>
      <c r="BF358" s="6"/>
    </row>
    <row r="359" spans="1:58" s="2" customFormat="1" x14ac:dyDescent="0.2">
      <c r="A359" s="6"/>
      <c r="B359" s="6"/>
      <c r="C359" s="42"/>
      <c r="D359" s="6"/>
      <c r="E359" s="6"/>
      <c r="F359" s="6"/>
      <c r="G359" s="6"/>
      <c r="H359" s="6"/>
      <c r="I359" s="6"/>
      <c r="J359" s="6"/>
      <c r="K359" s="6"/>
      <c r="L359" s="6"/>
      <c r="M359" s="6"/>
      <c r="N359" s="6"/>
      <c r="O359" s="6"/>
      <c r="P359" s="6"/>
      <c r="Q359" s="6"/>
      <c r="R359" s="6"/>
      <c r="S359" s="6"/>
      <c r="AV359" s="6"/>
      <c r="AW359" s="6"/>
      <c r="AX359" s="6"/>
      <c r="AY359" s="6"/>
      <c r="AZ359" s="6"/>
      <c r="BB359" s="6"/>
      <c r="BC359" s="6"/>
      <c r="BD359" s="6"/>
      <c r="BE359" s="6"/>
      <c r="BF359" s="6"/>
    </row>
    <row r="360" spans="1:58" s="2" customFormat="1" x14ac:dyDescent="0.2">
      <c r="A360" s="6"/>
      <c r="B360" s="6"/>
      <c r="C360" s="42"/>
      <c r="D360" s="6"/>
      <c r="E360" s="6"/>
      <c r="F360" s="6"/>
      <c r="G360" s="6"/>
      <c r="H360" s="6"/>
      <c r="I360" s="6"/>
      <c r="J360" s="6"/>
      <c r="K360" s="6"/>
      <c r="L360" s="6"/>
      <c r="M360" s="6"/>
      <c r="N360" s="6"/>
      <c r="O360" s="6"/>
      <c r="P360" s="6"/>
      <c r="Q360" s="6"/>
      <c r="R360" s="6"/>
      <c r="S360" s="6"/>
      <c r="AV360" s="6"/>
      <c r="AW360" s="6"/>
      <c r="AX360" s="6"/>
      <c r="AY360" s="6"/>
      <c r="AZ360" s="6"/>
      <c r="BB360" s="6"/>
      <c r="BC360" s="6"/>
      <c r="BD360" s="6"/>
      <c r="BE360" s="6"/>
      <c r="BF360" s="6"/>
    </row>
    <row r="361" spans="1:58" s="2" customFormat="1" x14ac:dyDescent="0.2">
      <c r="A361" s="6"/>
      <c r="B361" s="6"/>
      <c r="C361" s="42"/>
      <c r="D361" s="6"/>
      <c r="E361" s="6"/>
      <c r="F361" s="6"/>
      <c r="G361" s="6"/>
      <c r="H361" s="6"/>
      <c r="I361" s="6"/>
      <c r="J361" s="6"/>
      <c r="K361" s="6"/>
      <c r="L361" s="6"/>
      <c r="M361" s="6"/>
      <c r="N361" s="6"/>
      <c r="O361" s="6"/>
      <c r="P361" s="6"/>
      <c r="Q361" s="6"/>
      <c r="R361" s="6"/>
      <c r="S361" s="6"/>
      <c r="AV361" s="6"/>
      <c r="AW361" s="6"/>
      <c r="AX361" s="6"/>
      <c r="AY361" s="6"/>
      <c r="AZ361" s="6"/>
      <c r="BB361" s="6"/>
      <c r="BC361" s="6"/>
      <c r="BD361" s="6"/>
      <c r="BE361" s="6"/>
      <c r="BF361" s="6"/>
    </row>
    <row r="362" spans="1:58" s="2" customFormat="1" x14ac:dyDescent="0.2">
      <c r="A362" s="6"/>
      <c r="B362" s="6"/>
      <c r="C362" s="42"/>
      <c r="D362" s="6"/>
      <c r="E362" s="6"/>
      <c r="F362" s="6"/>
      <c r="G362" s="6"/>
      <c r="H362" s="6"/>
      <c r="I362" s="6"/>
      <c r="J362" s="6"/>
      <c r="K362" s="6"/>
      <c r="L362" s="6"/>
      <c r="M362" s="6"/>
      <c r="N362" s="6"/>
      <c r="O362" s="6"/>
      <c r="P362" s="6"/>
      <c r="Q362" s="6"/>
      <c r="R362" s="6"/>
      <c r="S362" s="6"/>
      <c r="AV362" s="6"/>
      <c r="AW362" s="6"/>
      <c r="AX362" s="6"/>
      <c r="AY362" s="6"/>
      <c r="AZ362" s="6"/>
      <c r="BB362" s="6"/>
      <c r="BC362" s="6"/>
      <c r="BD362" s="6"/>
      <c r="BE362" s="6"/>
      <c r="BF362" s="6"/>
    </row>
    <row r="363" spans="1:58" s="2" customFormat="1" x14ac:dyDescent="0.2">
      <c r="A363" s="6"/>
      <c r="B363" s="6"/>
      <c r="C363" s="42"/>
      <c r="D363" s="6"/>
      <c r="E363" s="6"/>
      <c r="F363" s="6"/>
      <c r="G363" s="6"/>
      <c r="H363" s="6"/>
      <c r="I363" s="6"/>
      <c r="J363" s="6"/>
      <c r="K363" s="6"/>
      <c r="L363" s="6"/>
      <c r="M363" s="6"/>
      <c r="N363" s="6"/>
      <c r="O363" s="6"/>
      <c r="P363" s="6"/>
      <c r="Q363" s="6"/>
      <c r="R363" s="6"/>
      <c r="S363" s="6"/>
      <c r="AV363" s="6"/>
      <c r="AW363" s="6"/>
      <c r="AX363" s="6"/>
      <c r="AY363" s="6"/>
      <c r="AZ363" s="6"/>
      <c r="BB363" s="6"/>
      <c r="BC363" s="6"/>
      <c r="BD363" s="6"/>
      <c r="BE363" s="6"/>
      <c r="BF363" s="6"/>
    </row>
    <row r="364" spans="1:58" s="2" customFormat="1" x14ac:dyDescent="0.2">
      <c r="A364" s="6"/>
      <c r="B364" s="6"/>
      <c r="C364" s="42"/>
      <c r="D364" s="6"/>
      <c r="E364" s="6"/>
      <c r="F364" s="6"/>
      <c r="G364" s="6"/>
      <c r="H364" s="6"/>
      <c r="I364" s="6"/>
      <c r="J364" s="6"/>
      <c r="K364" s="6"/>
      <c r="L364" s="6"/>
      <c r="M364" s="6"/>
      <c r="N364" s="6"/>
      <c r="O364" s="6"/>
      <c r="P364" s="6"/>
      <c r="Q364" s="6"/>
      <c r="R364" s="6"/>
      <c r="S364" s="6"/>
      <c r="AV364" s="6"/>
      <c r="AW364" s="6"/>
      <c r="AX364" s="6"/>
      <c r="AY364" s="6"/>
      <c r="AZ364" s="6"/>
      <c r="BB364" s="6"/>
      <c r="BC364" s="6"/>
      <c r="BD364" s="6"/>
      <c r="BE364" s="6"/>
      <c r="BF364" s="6"/>
    </row>
    <row r="365" spans="1:58" s="2" customFormat="1" x14ac:dyDescent="0.2">
      <c r="A365" s="6"/>
      <c r="B365" s="6"/>
      <c r="C365" s="42"/>
      <c r="D365" s="6"/>
      <c r="E365" s="6"/>
      <c r="F365" s="6"/>
      <c r="G365" s="6"/>
      <c r="H365" s="6"/>
      <c r="I365" s="6"/>
      <c r="J365" s="6"/>
      <c r="K365" s="6"/>
      <c r="L365" s="6"/>
      <c r="M365" s="6"/>
      <c r="N365" s="6"/>
      <c r="O365" s="6"/>
      <c r="P365" s="6"/>
      <c r="Q365" s="6"/>
      <c r="R365" s="6"/>
      <c r="S365" s="6"/>
      <c r="AV365" s="6"/>
      <c r="AW365" s="6"/>
      <c r="AX365" s="6"/>
      <c r="AY365" s="6"/>
      <c r="AZ365" s="6"/>
      <c r="BB365" s="6"/>
      <c r="BC365" s="6"/>
      <c r="BD365" s="6"/>
      <c r="BE365" s="6"/>
      <c r="BF365" s="6"/>
    </row>
    <row r="366" spans="1:58" s="2" customFormat="1" x14ac:dyDescent="0.2">
      <c r="A366" s="6"/>
      <c r="B366" s="6"/>
      <c r="C366" s="42"/>
      <c r="D366" s="6"/>
      <c r="E366" s="6"/>
      <c r="F366" s="6"/>
      <c r="G366" s="6"/>
      <c r="H366" s="6"/>
      <c r="I366" s="6"/>
      <c r="J366" s="6"/>
      <c r="K366" s="6"/>
      <c r="L366" s="6"/>
      <c r="M366" s="6"/>
      <c r="N366" s="6"/>
      <c r="O366" s="6"/>
      <c r="P366" s="6"/>
      <c r="Q366" s="6"/>
      <c r="R366" s="6"/>
      <c r="S366" s="6"/>
      <c r="AV366" s="6"/>
      <c r="AW366" s="6"/>
      <c r="AX366" s="6"/>
      <c r="AY366" s="6"/>
      <c r="AZ366" s="6"/>
      <c r="BB366" s="6"/>
      <c r="BC366" s="6"/>
      <c r="BD366" s="6"/>
      <c r="BE366" s="6"/>
      <c r="BF366" s="6"/>
    </row>
    <row r="367" spans="1:58" s="2" customFormat="1" x14ac:dyDescent="0.2">
      <c r="A367" s="6"/>
      <c r="B367" s="6"/>
      <c r="C367" s="42"/>
      <c r="D367" s="6"/>
      <c r="E367" s="6"/>
      <c r="F367" s="6"/>
      <c r="G367" s="6"/>
      <c r="H367" s="6"/>
      <c r="I367" s="6"/>
      <c r="J367" s="6"/>
      <c r="K367" s="6"/>
      <c r="L367" s="6"/>
      <c r="M367" s="6"/>
      <c r="N367" s="6"/>
      <c r="O367" s="6"/>
      <c r="P367" s="6"/>
      <c r="Q367" s="6"/>
      <c r="R367" s="6"/>
      <c r="S367" s="6"/>
      <c r="AV367" s="6"/>
      <c r="AW367" s="6"/>
      <c r="AX367" s="6"/>
      <c r="AY367" s="6"/>
      <c r="AZ367" s="6"/>
      <c r="BB367" s="6"/>
      <c r="BC367" s="6"/>
      <c r="BD367" s="6"/>
      <c r="BE367" s="6"/>
      <c r="BF367" s="6"/>
    </row>
    <row r="368" spans="1:58" s="2" customFormat="1" x14ac:dyDescent="0.2">
      <c r="A368" s="6"/>
      <c r="B368" s="6"/>
      <c r="C368" s="42"/>
      <c r="D368" s="6"/>
      <c r="E368" s="6"/>
      <c r="F368" s="6"/>
      <c r="G368" s="6"/>
      <c r="H368" s="6"/>
      <c r="I368" s="6"/>
      <c r="J368" s="6"/>
      <c r="K368" s="6"/>
      <c r="L368" s="6"/>
      <c r="M368" s="6"/>
      <c r="N368" s="6"/>
      <c r="O368" s="6"/>
      <c r="P368" s="6"/>
      <c r="Q368" s="6"/>
      <c r="R368" s="6"/>
      <c r="S368" s="6"/>
      <c r="AV368" s="6"/>
      <c r="AW368" s="6"/>
      <c r="AX368" s="6"/>
      <c r="AY368" s="6"/>
      <c r="AZ368" s="6"/>
      <c r="BB368" s="6"/>
      <c r="BC368" s="6"/>
      <c r="BD368" s="6"/>
      <c r="BE368" s="6"/>
      <c r="BF368" s="6"/>
    </row>
    <row r="369" spans="1:58" s="2" customFormat="1" x14ac:dyDescent="0.2">
      <c r="A369" s="6"/>
      <c r="B369" s="6"/>
      <c r="C369" s="42"/>
      <c r="D369" s="6"/>
      <c r="E369" s="6"/>
      <c r="F369" s="6"/>
      <c r="G369" s="6"/>
      <c r="H369" s="6"/>
      <c r="I369" s="6"/>
      <c r="J369" s="6"/>
      <c r="K369" s="6"/>
      <c r="L369" s="6"/>
      <c r="M369" s="6"/>
      <c r="N369" s="6"/>
      <c r="O369" s="6"/>
      <c r="P369" s="6"/>
      <c r="Q369" s="6"/>
      <c r="R369" s="6"/>
      <c r="S369" s="6"/>
      <c r="AV369" s="6"/>
      <c r="AW369" s="6"/>
      <c r="AX369" s="6"/>
      <c r="AY369" s="6"/>
      <c r="AZ369" s="6"/>
      <c r="BB369" s="6"/>
      <c r="BC369" s="6"/>
      <c r="BD369" s="6"/>
      <c r="BE369" s="6"/>
      <c r="BF369" s="6"/>
    </row>
    <row r="370" spans="1:58" s="2" customFormat="1" x14ac:dyDescent="0.2">
      <c r="A370" s="6"/>
      <c r="B370" s="6"/>
      <c r="C370" s="42"/>
      <c r="D370" s="6"/>
      <c r="E370" s="6"/>
      <c r="F370" s="6"/>
      <c r="G370" s="6"/>
      <c r="H370" s="6"/>
      <c r="I370" s="6"/>
      <c r="J370" s="6"/>
      <c r="K370" s="6"/>
      <c r="L370" s="6"/>
      <c r="M370" s="6"/>
      <c r="N370" s="6"/>
      <c r="O370" s="6"/>
      <c r="P370" s="6"/>
      <c r="Q370" s="6"/>
      <c r="R370" s="6"/>
      <c r="S370" s="6"/>
      <c r="AV370" s="6"/>
      <c r="AW370" s="6"/>
      <c r="AX370" s="6"/>
      <c r="AY370" s="6"/>
      <c r="AZ370" s="6"/>
      <c r="BB370" s="6"/>
      <c r="BC370" s="6"/>
      <c r="BD370" s="6"/>
      <c r="BE370" s="6"/>
      <c r="BF370" s="6"/>
    </row>
    <row r="371" spans="1:58" s="2" customFormat="1" x14ac:dyDescent="0.2">
      <c r="A371" s="6"/>
      <c r="B371" s="6"/>
      <c r="C371" s="42"/>
      <c r="D371" s="6"/>
      <c r="E371" s="6"/>
      <c r="F371" s="6"/>
      <c r="G371" s="6"/>
      <c r="H371" s="6"/>
      <c r="I371" s="6"/>
      <c r="J371" s="6"/>
      <c r="K371" s="6"/>
      <c r="L371" s="6"/>
      <c r="M371" s="6"/>
      <c r="N371" s="6"/>
      <c r="O371" s="6"/>
      <c r="P371" s="6"/>
      <c r="Q371" s="6"/>
      <c r="R371" s="6"/>
      <c r="S371" s="6"/>
      <c r="AV371" s="6"/>
      <c r="AW371" s="6"/>
      <c r="AX371" s="6"/>
      <c r="AY371" s="6"/>
      <c r="AZ371" s="6"/>
      <c r="BB371" s="6"/>
      <c r="BC371" s="6"/>
      <c r="BD371" s="6"/>
      <c r="BE371" s="6"/>
      <c r="BF371" s="6"/>
    </row>
    <row r="372" spans="1:58" s="2" customFormat="1" x14ac:dyDescent="0.2">
      <c r="A372" s="6"/>
      <c r="B372" s="6"/>
      <c r="C372" s="42"/>
      <c r="D372" s="6"/>
      <c r="E372" s="6"/>
      <c r="F372" s="6"/>
      <c r="G372" s="6"/>
      <c r="H372" s="6"/>
      <c r="I372" s="6"/>
      <c r="J372" s="6"/>
      <c r="K372" s="6"/>
      <c r="L372" s="6"/>
      <c r="M372" s="6"/>
      <c r="N372" s="6"/>
      <c r="O372" s="6"/>
      <c r="P372" s="6"/>
      <c r="Q372" s="6"/>
      <c r="R372" s="6"/>
      <c r="S372" s="6"/>
      <c r="AV372" s="6"/>
      <c r="AW372" s="6"/>
      <c r="AX372" s="6"/>
      <c r="AY372" s="6"/>
      <c r="AZ372" s="6"/>
      <c r="BB372" s="6"/>
      <c r="BC372" s="6"/>
      <c r="BD372" s="6"/>
      <c r="BE372" s="6"/>
      <c r="BF372" s="6"/>
    </row>
    <row r="373" spans="1:58" s="2" customFormat="1" x14ac:dyDescent="0.2">
      <c r="A373" s="6"/>
      <c r="B373" s="6"/>
      <c r="C373" s="42"/>
      <c r="D373" s="6"/>
      <c r="E373" s="6"/>
      <c r="F373" s="6"/>
      <c r="G373" s="6"/>
      <c r="H373" s="6"/>
      <c r="I373" s="6"/>
      <c r="J373" s="6"/>
      <c r="K373" s="6"/>
      <c r="L373" s="6"/>
      <c r="M373" s="6"/>
      <c r="N373" s="6"/>
      <c r="O373" s="6"/>
      <c r="P373" s="6"/>
      <c r="Q373" s="6"/>
      <c r="R373" s="6"/>
      <c r="S373" s="6"/>
      <c r="AV373" s="6"/>
      <c r="AW373" s="6"/>
      <c r="AX373" s="6"/>
      <c r="AY373" s="6"/>
      <c r="AZ373" s="6"/>
      <c r="BB373" s="6"/>
      <c r="BC373" s="6"/>
      <c r="BD373" s="6"/>
      <c r="BE373" s="6"/>
      <c r="BF373" s="6"/>
    </row>
    <row r="374" spans="1:58" s="2" customFormat="1" x14ac:dyDescent="0.2">
      <c r="A374" s="6"/>
      <c r="B374" s="6"/>
      <c r="C374" s="42"/>
      <c r="D374" s="6"/>
      <c r="E374" s="6"/>
      <c r="F374" s="6"/>
      <c r="G374" s="6"/>
      <c r="H374" s="6"/>
      <c r="I374" s="6"/>
      <c r="J374" s="6"/>
      <c r="K374" s="6"/>
      <c r="L374" s="6"/>
      <c r="M374" s="6"/>
      <c r="N374" s="6"/>
      <c r="O374" s="6"/>
      <c r="P374" s="6"/>
      <c r="Q374" s="6"/>
      <c r="R374" s="6"/>
      <c r="S374" s="6"/>
      <c r="AV374" s="6"/>
      <c r="AW374" s="6"/>
      <c r="AX374" s="6"/>
      <c r="AY374" s="6"/>
      <c r="AZ374" s="6"/>
      <c r="BB374" s="6"/>
      <c r="BC374" s="6"/>
      <c r="BD374" s="6"/>
      <c r="BE374" s="6"/>
      <c r="BF374" s="6"/>
    </row>
    <row r="375" spans="1:58" s="2" customFormat="1" x14ac:dyDescent="0.2">
      <c r="A375" s="6"/>
      <c r="B375" s="6"/>
      <c r="C375" s="42"/>
      <c r="D375" s="6"/>
      <c r="E375" s="6"/>
      <c r="F375" s="6"/>
      <c r="G375" s="6"/>
      <c r="H375" s="6"/>
      <c r="I375" s="6"/>
      <c r="J375" s="6"/>
      <c r="K375" s="6"/>
      <c r="L375" s="6"/>
      <c r="M375" s="6"/>
      <c r="N375" s="6"/>
      <c r="O375" s="6"/>
      <c r="P375" s="6"/>
      <c r="Q375" s="6"/>
      <c r="R375" s="6"/>
      <c r="S375" s="6"/>
      <c r="AV375" s="6"/>
      <c r="AW375" s="6"/>
      <c r="AX375" s="6"/>
      <c r="AY375" s="6"/>
      <c r="AZ375" s="6"/>
      <c r="BB375" s="6"/>
      <c r="BC375" s="6"/>
      <c r="BD375" s="6"/>
      <c r="BE375" s="6"/>
      <c r="BF375" s="6"/>
    </row>
    <row r="376" spans="1:58" s="2" customFormat="1" x14ac:dyDescent="0.2">
      <c r="A376" s="6"/>
      <c r="B376" s="6"/>
      <c r="C376" s="42"/>
      <c r="D376" s="6"/>
      <c r="E376" s="6"/>
      <c r="F376" s="6"/>
      <c r="G376" s="6"/>
      <c r="H376" s="6"/>
      <c r="I376" s="6"/>
      <c r="J376" s="6"/>
      <c r="K376" s="6"/>
      <c r="L376" s="6"/>
      <c r="M376" s="6"/>
      <c r="N376" s="6"/>
      <c r="O376" s="6"/>
      <c r="P376" s="6"/>
      <c r="Q376" s="6"/>
      <c r="R376" s="6"/>
      <c r="S376" s="6"/>
      <c r="AV376" s="6"/>
      <c r="AW376" s="6"/>
      <c r="AX376" s="6"/>
      <c r="AY376" s="6"/>
      <c r="AZ376" s="6"/>
      <c r="BB376" s="6"/>
      <c r="BC376" s="6"/>
      <c r="BD376" s="6"/>
      <c r="BE376" s="6"/>
      <c r="BF376" s="6"/>
    </row>
    <row r="377" spans="1:58" s="2" customFormat="1" x14ac:dyDescent="0.2">
      <c r="A377" s="6"/>
      <c r="B377" s="6"/>
      <c r="C377" s="42"/>
      <c r="D377" s="6"/>
      <c r="E377" s="6"/>
      <c r="F377" s="6"/>
      <c r="G377" s="6"/>
      <c r="H377" s="6"/>
      <c r="I377" s="6"/>
      <c r="J377" s="6"/>
      <c r="K377" s="6"/>
      <c r="L377" s="6"/>
      <c r="M377" s="6"/>
      <c r="N377" s="6"/>
      <c r="O377" s="6"/>
      <c r="P377" s="6"/>
      <c r="Q377" s="6"/>
      <c r="R377" s="6"/>
      <c r="S377" s="6"/>
      <c r="AV377" s="6"/>
      <c r="AW377" s="6"/>
      <c r="AX377" s="6"/>
      <c r="AY377" s="6"/>
      <c r="AZ377" s="6"/>
      <c r="BB377" s="6"/>
      <c r="BC377" s="6"/>
      <c r="BD377" s="6"/>
      <c r="BE377" s="6"/>
      <c r="BF377" s="6"/>
    </row>
    <row r="378" spans="1:58" s="2" customFormat="1" x14ac:dyDescent="0.2">
      <c r="A378" s="6"/>
      <c r="B378" s="6"/>
      <c r="C378" s="42"/>
      <c r="D378" s="6"/>
      <c r="E378" s="6"/>
      <c r="F378" s="6"/>
      <c r="G378" s="6"/>
      <c r="H378" s="6"/>
      <c r="I378" s="6"/>
      <c r="J378" s="6"/>
      <c r="K378" s="6"/>
      <c r="L378" s="6"/>
      <c r="M378" s="6"/>
      <c r="N378" s="6"/>
      <c r="O378" s="6"/>
      <c r="P378" s="6"/>
      <c r="Q378" s="6"/>
      <c r="R378" s="6"/>
      <c r="S378" s="6"/>
      <c r="AV378" s="6"/>
      <c r="AW378" s="6"/>
      <c r="AX378" s="6"/>
      <c r="AY378" s="6"/>
      <c r="AZ378" s="6"/>
      <c r="BB378" s="6"/>
      <c r="BC378" s="6"/>
      <c r="BD378" s="6"/>
      <c r="BE378" s="6"/>
      <c r="BF378" s="6"/>
    </row>
    <row r="379" spans="1:58" s="2" customFormat="1" x14ac:dyDescent="0.2">
      <c r="A379" s="6"/>
      <c r="B379" s="6"/>
      <c r="C379" s="42"/>
      <c r="D379" s="6"/>
      <c r="E379" s="6"/>
      <c r="F379" s="6"/>
      <c r="G379" s="6"/>
      <c r="H379" s="6"/>
      <c r="I379" s="6"/>
      <c r="J379" s="6"/>
      <c r="K379" s="6"/>
      <c r="L379" s="6"/>
      <c r="M379" s="6"/>
      <c r="N379" s="6"/>
      <c r="O379" s="6"/>
      <c r="P379" s="6"/>
      <c r="Q379" s="6"/>
      <c r="R379" s="6"/>
      <c r="S379" s="6"/>
      <c r="AV379" s="6"/>
      <c r="AW379" s="6"/>
      <c r="AX379" s="6"/>
      <c r="AY379" s="6"/>
      <c r="AZ379" s="6"/>
      <c r="BB379" s="6"/>
      <c r="BC379" s="6"/>
      <c r="BD379" s="6"/>
      <c r="BE379" s="6"/>
      <c r="BF379" s="6"/>
    </row>
    <row r="380" spans="1:58" s="2" customFormat="1" x14ac:dyDescent="0.2">
      <c r="A380" s="6"/>
      <c r="B380" s="6"/>
      <c r="C380" s="42"/>
      <c r="D380" s="6"/>
      <c r="E380" s="6"/>
      <c r="F380" s="6"/>
      <c r="G380" s="6"/>
      <c r="H380" s="6"/>
      <c r="I380" s="6"/>
      <c r="J380" s="6"/>
      <c r="K380" s="6"/>
      <c r="L380" s="6"/>
      <c r="M380" s="6"/>
      <c r="N380" s="6"/>
      <c r="O380" s="6"/>
      <c r="P380" s="6"/>
      <c r="Q380" s="6"/>
      <c r="R380" s="6"/>
      <c r="S380" s="6"/>
      <c r="AV380" s="6"/>
      <c r="AW380" s="6"/>
      <c r="AX380" s="6"/>
      <c r="AY380" s="6"/>
      <c r="AZ380" s="6"/>
      <c r="BB380" s="6"/>
      <c r="BC380" s="6"/>
      <c r="BD380" s="6"/>
      <c r="BE380" s="6"/>
      <c r="BF380" s="6"/>
    </row>
    <row r="381" spans="1:58" s="2" customFormat="1" x14ac:dyDescent="0.2">
      <c r="A381" s="6"/>
      <c r="B381" s="6"/>
      <c r="C381" s="42"/>
      <c r="D381" s="6"/>
      <c r="E381" s="6"/>
      <c r="F381" s="6"/>
      <c r="G381" s="6"/>
      <c r="H381" s="6"/>
      <c r="I381" s="6"/>
      <c r="J381" s="6"/>
      <c r="K381" s="6"/>
      <c r="L381" s="6"/>
      <c r="M381" s="6"/>
      <c r="N381" s="6"/>
      <c r="O381" s="6"/>
      <c r="P381" s="6"/>
      <c r="Q381" s="6"/>
      <c r="R381" s="6"/>
      <c r="S381" s="6"/>
      <c r="AV381" s="6"/>
      <c r="AW381" s="6"/>
      <c r="AX381" s="6"/>
      <c r="AY381" s="6"/>
      <c r="AZ381" s="6"/>
      <c r="BB381" s="6"/>
      <c r="BC381" s="6"/>
      <c r="BD381" s="6"/>
      <c r="BE381" s="6"/>
      <c r="BF381" s="6"/>
    </row>
    <row r="382" spans="1:58" s="2" customFormat="1" x14ac:dyDescent="0.2">
      <c r="A382" s="6"/>
      <c r="B382" s="6"/>
      <c r="C382" s="42"/>
      <c r="D382" s="6"/>
      <c r="E382" s="6"/>
      <c r="F382" s="6"/>
      <c r="G382" s="6"/>
      <c r="H382" s="6"/>
      <c r="I382" s="6"/>
      <c r="J382" s="6"/>
      <c r="K382" s="6"/>
      <c r="L382" s="6"/>
      <c r="M382" s="6"/>
      <c r="N382" s="6"/>
      <c r="O382" s="6"/>
      <c r="P382" s="6"/>
      <c r="Q382" s="6"/>
      <c r="R382" s="6"/>
      <c r="S382" s="6"/>
      <c r="AV382" s="6"/>
      <c r="AW382" s="6"/>
      <c r="AX382" s="6"/>
      <c r="AY382" s="6"/>
      <c r="AZ382" s="6"/>
      <c r="BB382" s="6"/>
      <c r="BC382" s="6"/>
      <c r="BD382" s="6"/>
      <c r="BE382" s="6"/>
      <c r="BF382" s="6"/>
    </row>
    <row r="383" spans="1:58" s="2" customFormat="1" x14ac:dyDescent="0.2">
      <c r="A383" s="6"/>
      <c r="B383" s="6"/>
      <c r="C383" s="42"/>
      <c r="D383" s="6"/>
      <c r="E383" s="6"/>
      <c r="F383" s="6"/>
      <c r="G383" s="6"/>
      <c r="H383" s="6"/>
      <c r="I383" s="6"/>
      <c r="J383" s="6"/>
      <c r="K383" s="6"/>
      <c r="L383" s="6"/>
      <c r="M383" s="6"/>
      <c r="N383" s="6"/>
      <c r="O383" s="6"/>
      <c r="P383" s="6"/>
      <c r="Q383" s="6"/>
      <c r="R383" s="6"/>
      <c r="S383" s="6"/>
      <c r="AV383" s="6"/>
      <c r="AW383" s="6"/>
      <c r="AX383" s="6"/>
      <c r="AY383" s="6"/>
      <c r="AZ383" s="6"/>
      <c r="BB383" s="6"/>
      <c r="BC383" s="6"/>
      <c r="BD383" s="6"/>
      <c r="BE383" s="6"/>
      <c r="BF383" s="6"/>
    </row>
    <row r="384" spans="1:58" s="2" customFormat="1" x14ac:dyDescent="0.2">
      <c r="A384" s="6"/>
      <c r="B384" s="6"/>
      <c r="C384" s="42"/>
      <c r="D384" s="6"/>
      <c r="E384" s="6"/>
      <c r="F384" s="6"/>
      <c r="G384" s="6"/>
      <c r="H384" s="6"/>
      <c r="I384" s="6"/>
      <c r="J384" s="6"/>
      <c r="K384" s="6"/>
      <c r="L384" s="6"/>
      <c r="M384" s="6"/>
      <c r="N384" s="6"/>
      <c r="O384" s="6"/>
      <c r="P384" s="6"/>
      <c r="Q384" s="6"/>
      <c r="R384" s="6"/>
      <c r="S384" s="6"/>
      <c r="AV384" s="6"/>
      <c r="AW384" s="6"/>
      <c r="AX384" s="6"/>
      <c r="AY384" s="6"/>
      <c r="AZ384" s="6"/>
      <c r="BB384" s="6"/>
      <c r="BC384" s="6"/>
      <c r="BD384" s="6"/>
      <c r="BE384" s="6"/>
      <c r="BF384" s="6"/>
    </row>
    <row r="385" spans="1:58" s="2" customFormat="1" x14ac:dyDescent="0.2">
      <c r="A385" s="6"/>
      <c r="B385" s="6"/>
      <c r="C385" s="42"/>
      <c r="D385" s="6"/>
      <c r="E385" s="6"/>
      <c r="F385" s="6"/>
      <c r="G385" s="6"/>
      <c r="H385" s="6"/>
      <c r="I385" s="6"/>
      <c r="J385" s="6"/>
      <c r="K385" s="6"/>
      <c r="L385" s="6"/>
      <c r="M385" s="6"/>
      <c r="N385" s="6"/>
      <c r="O385" s="6"/>
      <c r="P385" s="6"/>
      <c r="Q385" s="6"/>
      <c r="R385" s="6"/>
      <c r="S385" s="6"/>
      <c r="AV385" s="6"/>
      <c r="AW385" s="6"/>
      <c r="AX385" s="6"/>
      <c r="AY385" s="6"/>
      <c r="AZ385" s="6"/>
      <c r="BB385" s="6"/>
      <c r="BC385" s="6"/>
      <c r="BD385" s="6"/>
      <c r="BE385" s="6"/>
      <c r="BF385" s="6"/>
    </row>
    <row r="386" spans="1:58" s="2" customFormat="1" x14ac:dyDescent="0.2">
      <c r="A386" s="6"/>
      <c r="B386" s="6"/>
      <c r="C386" s="42"/>
      <c r="D386" s="6"/>
      <c r="E386" s="6"/>
      <c r="F386" s="6"/>
      <c r="G386" s="6"/>
      <c r="H386" s="6"/>
      <c r="I386" s="6"/>
      <c r="J386" s="6"/>
      <c r="K386" s="6"/>
      <c r="L386" s="6"/>
      <c r="M386" s="6"/>
      <c r="N386" s="6"/>
      <c r="O386" s="6"/>
      <c r="P386" s="6"/>
      <c r="Q386" s="6"/>
      <c r="R386" s="6"/>
      <c r="S386" s="6"/>
      <c r="AV386" s="6"/>
      <c r="AW386" s="6"/>
      <c r="AX386" s="6"/>
      <c r="AY386" s="6"/>
      <c r="AZ386" s="6"/>
      <c r="BB386" s="6"/>
      <c r="BC386" s="6"/>
      <c r="BD386" s="6"/>
      <c r="BE386" s="6"/>
      <c r="BF386" s="6"/>
    </row>
    <row r="387" spans="1:58" s="2" customFormat="1" x14ac:dyDescent="0.2">
      <c r="A387" s="6"/>
      <c r="B387" s="6"/>
      <c r="C387" s="42"/>
      <c r="D387" s="6"/>
      <c r="E387" s="6"/>
      <c r="F387" s="6"/>
      <c r="G387" s="6"/>
      <c r="H387" s="6"/>
      <c r="I387" s="6"/>
      <c r="J387" s="6"/>
      <c r="K387" s="6"/>
      <c r="L387" s="6"/>
      <c r="M387" s="6"/>
      <c r="N387" s="6"/>
      <c r="O387" s="6"/>
      <c r="P387" s="6"/>
      <c r="Q387" s="6"/>
      <c r="R387" s="6"/>
      <c r="S387" s="6"/>
      <c r="AV387" s="6"/>
      <c r="AW387" s="6"/>
      <c r="AX387" s="6"/>
      <c r="AY387" s="6"/>
      <c r="AZ387" s="6"/>
      <c r="BB387" s="6"/>
      <c r="BC387" s="6"/>
      <c r="BD387" s="6"/>
      <c r="BE387" s="6"/>
      <c r="BF387" s="6"/>
    </row>
    <row r="388" spans="1:58" s="2" customFormat="1" x14ac:dyDescent="0.2">
      <c r="A388" s="6"/>
      <c r="B388" s="6"/>
      <c r="C388" s="42"/>
      <c r="D388" s="6"/>
      <c r="E388" s="6"/>
      <c r="F388" s="6"/>
      <c r="G388" s="6"/>
      <c r="H388" s="6"/>
      <c r="I388" s="6"/>
      <c r="J388" s="6"/>
      <c r="K388" s="6"/>
      <c r="L388" s="6"/>
      <c r="M388" s="6"/>
      <c r="N388" s="6"/>
      <c r="O388" s="6"/>
      <c r="P388" s="6"/>
      <c r="Q388" s="6"/>
      <c r="R388" s="6"/>
      <c r="S388" s="6"/>
      <c r="AV388" s="6"/>
      <c r="AW388" s="6"/>
      <c r="AX388" s="6"/>
      <c r="AY388" s="6"/>
      <c r="AZ388" s="6"/>
      <c r="BB388" s="6"/>
      <c r="BC388" s="6"/>
      <c r="BD388" s="6"/>
      <c r="BE388" s="6"/>
      <c r="BF388" s="6"/>
    </row>
    <row r="389" spans="1:58" s="2" customFormat="1" x14ac:dyDescent="0.2">
      <c r="A389" s="6"/>
      <c r="B389" s="6"/>
      <c r="C389" s="42"/>
      <c r="D389" s="6"/>
      <c r="E389" s="6"/>
      <c r="F389" s="6"/>
      <c r="G389" s="6"/>
      <c r="H389" s="6"/>
      <c r="I389" s="6"/>
      <c r="J389" s="6"/>
      <c r="K389" s="6"/>
      <c r="L389" s="6"/>
      <c r="M389" s="6"/>
      <c r="N389" s="6"/>
      <c r="O389" s="6"/>
      <c r="P389" s="6"/>
      <c r="Q389" s="6"/>
      <c r="R389" s="6"/>
      <c r="S389" s="6"/>
      <c r="AV389" s="6"/>
      <c r="AW389" s="6"/>
      <c r="AX389" s="6"/>
      <c r="AY389" s="6"/>
      <c r="AZ389" s="6"/>
      <c r="BB389" s="6"/>
      <c r="BC389" s="6"/>
      <c r="BD389" s="6"/>
      <c r="BE389" s="6"/>
      <c r="BF389" s="6"/>
    </row>
    <row r="390" spans="1:58" s="2" customFormat="1" x14ac:dyDescent="0.2">
      <c r="A390" s="6"/>
      <c r="B390" s="6"/>
      <c r="C390" s="42"/>
      <c r="D390" s="6"/>
      <c r="E390" s="6"/>
      <c r="F390" s="6"/>
      <c r="G390" s="6"/>
      <c r="H390" s="6"/>
      <c r="I390" s="6"/>
      <c r="J390" s="6"/>
      <c r="K390" s="6"/>
      <c r="L390" s="6"/>
      <c r="M390" s="6"/>
      <c r="N390" s="6"/>
      <c r="O390" s="6"/>
      <c r="P390" s="6"/>
      <c r="Q390" s="6"/>
      <c r="R390" s="6"/>
      <c r="S390" s="6"/>
      <c r="AV390" s="6"/>
      <c r="AW390" s="6"/>
      <c r="AX390" s="6"/>
      <c r="AY390" s="6"/>
      <c r="AZ390" s="6"/>
      <c r="BB390" s="6"/>
      <c r="BC390" s="6"/>
      <c r="BD390" s="6"/>
      <c r="BE390" s="6"/>
      <c r="BF390" s="6"/>
    </row>
    <row r="391" spans="1:58" s="2" customFormat="1" x14ac:dyDescent="0.2">
      <c r="A391" s="6"/>
      <c r="B391" s="6"/>
      <c r="C391" s="42"/>
      <c r="D391" s="6"/>
      <c r="E391" s="6"/>
      <c r="F391" s="6"/>
      <c r="G391" s="6"/>
      <c r="H391" s="6"/>
      <c r="I391" s="6"/>
      <c r="J391" s="6"/>
      <c r="K391" s="6"/>
      <c r="L391" s="6"/>
      <c r="M391" s="6"/>
      <c r="N391" s="6"/>
      <c r="O391" s="6"/>
      <c r="P391" s="6"/>
      <c r="Q391" s="6"/>
      <c r="R391" s="6"/>
      <c r="S391" s="6"/>
      <c r="AV391" s="6"/>
      <c r="AW391" s="6"/>
      <c r="AX391" s="6"/>
      <c r="AY391" s="6"/>
      <c r="AZ391" s="6"/>
      <c r="BB391" s="6"/>
      <c r="BC391" s="6"/>
      <c r="BD391" s="6"/>
      <c r="BE391" s="6"/>
      <c r="BF391" s="6"/>
    </row>
    <row r="392" spans="1:58" s="2" customFormat="1" x14ac:dyDescent="0.2">
      <c r="A392" s="6"/>
      <c r="B392" s="6"/>
      <c r="C392" s="42"/>
      <c r="D392" s="6"/>
      <c r="E392" s="6"/>
      <c r="F392" s="6"/>
      <c r="G392" s="6"/>
      <c r="H392" s="6"/>
      <c r="I392" s="6"/>
      <c r="J392" s="6"/>
      <c r="K392" s="6"/>
      <c r="L392" s="6"/>
      <c r="M392" s="6"/>
      <c r="N392" s="6"/>
      <c r="O392" s="6"/>
      <c r="P392" s="6"/>
      <c r="Q392" s="6"/>
      <c r="R392" s="6"/>
      <c r="S392" s="6"/>
      <c r="AV392" s="6"/>
      <c r="AW392" s="6"/>
      <c r="AX392" s="6"/>
      <c r="AY392" s="6"/>
      <c r="AZ392" s="6"/>
      <c r="BB392" s="6"/>
      <c r="BC392" s="6"/>
      <c r="BD392" s="6"/>
      <c r="BE392" s="6"/>
      <c r="BF392" s="6"/>
    </row>
    <row r="393" spans="1:58" s="2" customFormat="1" x14ac:dyDescent="0.2">
      <c r="A393" s="6"/>
      <c r="B393" s="6"/>
      <c r="C393" s="42"/>
      <c r="D393" s="6"/>
      <c r="E393" s="6"/>
      <c r="F393" s="6"/>
      <c r="G393" s="6"/>
      <c r="H393" s="6"/>
      <c r="I393" s="6"/>
      <c r="J393" s="6"/>
      <c r="K393" s="6"/>
      <c r="L393" s="6"/>
      <c r="M393" s="6"/>
      <c r="N393" s="6"/>
      <c r="O393" s="6"/>
      <c r="P393" s="6"/>
      <c r="Q393" s="6"/>
      <c r="R393" s="6"/>
      <c r="S393" s="6"/>
      <c r="AV393" s="6"/>
      <c r="AW393" s="6"/>
      <c r="AX393" s="6"/>
      <c r="AY393" s="6"/>
      <c r="AZ393" s="6"/>
      <c r="BB393" s="6"/>
      <c r="BC393" s="6"/>
      <c r="BD393" s="6"/>
      <c r="BE393" s="6"/>
      <c r="BF393" s="6"/>
    </row>
    <row r="394" spans="1:58" s="2" customFormat="1" x14ac:dyDescent="0.2">
      <c r="A394" s="6"/>
      <c r="B394" s="6"/>
      <c r="C394" s="42"/>
      <c r="D394" s="6"/>
      <c r="E394" s="6"/>
      <c r="F394" s="6"/>
      <c r="G394" s="6"/>
      <c r="H394" s="6"/>
      <c r="I394" s="6"/>
      <c r="J394" s="6"/>
      <c r="K394" s="6"/>
      <c r="L394" s="6"/>
      <c r="M394" s="6"/>
      <c r="N394" s="6"/>
      <c r="O394" s="6"/>
      <c r="P394" s="6"/>
      <c r="Q394" s="6"/>
      <c r="R394" s="6"/>
      <c r="S394" s="6"/>
      <c r="AV394" s="6"/>
      <c r="AW394" s="6"/>
      <c r="AX394" s="6"/>
      <c r="AY394" s="6"/>
      <c r="AZ394" s="6"/>
      <c r="BB394" s="6"/>
      <c r="BC394" s="6"/>
      <c r="BD394" s="6"/>
      <c r="BE394" s="6"/>
      <c r="BF394" s="6"/>
    </row>
    <row r="395" spans="1:58" s="2" customFormat="1" x14ac:dyDescent="0.2">
      <c r="A395" s="6"/>
      <c r="B395" s="6"/>
      <c r="C395" s="42"/>
      <c r="D395" s="6"/>
      <c r="E395" s="6"/>
      <c r="F395" s="6"/>
      <c r="G395" s="6"/>
      <c r="H395" s="6"/>
      <c r="I395" s="6"/>
      <c r="J395" s="6"/>
      <c r="K395" s="6"/>
      <c r="L395" s="6"/>
      <c r="M395" s="6"/>
      <c r="N395" s="6"/>
      <c r="O395" s="6"/>
      <c r="P395" s="6"/>
      <c r="Q395" s="6"/>
      <c r="R395" s="6"/>
      <c r="S395" s="6"/>
      <c r="AV395" s="6"/>
      <c r="AW395" s="6"/>
      <c r="AX395" s="6"/>
      <c r="AY395" s="6"/>
      <c r="AZ395" s="6"/>
      <c r="BB395" s="6"/>
      <c r="BC395" s="6"/>
      <c r="BD395" s="6"/>
      <c r="BE395" s="6"/>
      <c r="BF395" s="6"/>
    </row>
    <row r="396" spans="1:58" s="2" customFormat="1" x14ac:dyDescent="0.2">
      <c r="A396" s="6"/>
      <c r="B396" s="6"/>
      <c r="C396" s="42"/>
      <c r="D396" s="6"/>
      <c r="E396" s="6"/>
      <c r="F396" s="6"/>
      <c r="G396" s="6"/>
      <c r="H396" s="6"/>
      <c r="I396" s="6"/>
      <c r="J396" s="6"/>
      <c r="K396" s="6"/>
      <c r="L396" s="6"/>
      <c r="M396" s="6"/>
      <c r="N396" s="6"/>
      <c r="O396" s="6"/>
      <c r="P396" s="6"/>
      <c r="Q396" s="6"/>
      <c r="R396" s="6"/>
      <c r="S396" s="6"/>
      <c r="AV396" s="6"/>
      <c r="AW396" s="6"/>
      <c r="AX396" s="6"/>
      <c r="AY396" s="6"/>
      <c r="AZ396" s="6"/>
      <c r="BB396" s="6"/>
      <c r="BC396" s="6"/>
      <c r="BD396" s="6"/>
      <c r="BE396" s="6"/>
      <c r="BF396" s="6"/>
    </row>
    <row r="397" spans="1:58" s="2" customFormat="1" x14ac:dyDescent="0.2">
      <c r="A397" s="6"/>
      <c r="B397" s="6"/>
      <c r="C397" s="42"/>
      <c r="D397" s="6"/>
      <c r="E397" s="6"/>
      <c r="F397" s="6"/>
      <c r="G397" s="6"/>
      <c r="H397" s="6"/>
      <c r="I397" s="6"/>
      <c r="J397" s="6"/>
      <c r="K397" s="6"/>
      <c r="L397" s="6"/>
      <c r="M397" s="6"/>
      <c r="N397" s="6"/>
      <c r="O397" s="6"/>
      <c r="P397" s="6"/>
      <c r="Q397" s="6"/>
      <c r="R397" s="6"/>
      <c r="S397" s="6"/>
      <c r="AV397" s="6"/>
      <c r="AW397" s="6"/>
      <c r="AX397" s="6"/>
      <c r="AY397" s="6"/>
      <c r="AZ397" s="6"/>
      <c r="BB397" s="6"/>
      <c r="BC397" s="6"/>
      <c r="BD397" s="6"/>
      <c r="BE397" s="6"/>
      <c r="BF397" s="6"/>
    </row>
    <row r="398" spans="1:58" s="2" customFormat="1" x14ac:dyDescent="0.2">
      <c r="A398" s="6"/>
      <c r="B398" s="6"/>
      <c r="C398" s="42"/>
      <c r="D398" s="6"/>
      <c r="E398" s="6"/>
      <c r="F398" s="6"/>
      <c r="G398" s="6"/>
      <c r="H398" s="6"/>
      <c r="I398" s="6"/>
      <c r="J398" s="6"/>
      <c r="K398" s="6"/>
      <c r="L398" s="6"/>
      <c r="M398" s="6"/>
      <c r="N398" s="6"/>
      <c r="O398" s="6"/>
      <c r="P398" s="6"/>
      <c r="Q398" s="6"/>
      <c r="R398" s="6"/>
      <c r="S398" s="6"/>
      <c r="AV398" s="6"/>
      <c r="AW398" s="6"/>
      <c r="AX398" s="6"/>
      <c r="AY398" s="6"/>
      <c r="AZ398" s="6"/>
      <c r="BB398" s="6"/>
      <c r="BC398" s="6"/>
      <c r="BD398" s="6"/>
      <c r="BE398" s="6"/>
      <c r="BF398" s="6"/>
    </row>
    <row r="399" spans="1:58" s="2" customFormat="1" x14ac:dyDescent="0.2">
      <c r="A399" s="6"/>
      <c r="B399" s="6"/>
      <c r="C399" s="42"/>
      <c r="D399" s="6"/>
      <c r="E399" s="6"/>
      <c r="F399" s="6"/>
      <c r="G399" s="6"/>
      <c r="H399" s="6"/>
      <c r="I399" s="6"/>
      <c r="J399" s="6"/>
      <c r="K399" s="6"/>
      <c r="L399" s="6"/>
      <c r="M399" s="6"/>
      <c r="N399" s="6"/>
      <c r="O399" s="6"/>
      <c r="P399" s="6"/>
      <c r="Q399" s="6"/>
      <c r="R399" s="6"/>
      <c r="S399" s="6"/>
      <c r="AV399" s="6"/>
      <c r="AW399" s="6"/>
      <c r="AX399" s="6"/>
      <c r="AY399" s="6"/>
      <c r="AZ399" s="6"/>
      <c r="BB399" s="6"/>
      <c r="BC399" s="6"/>
      <c r="BD399" s="6"/>
      <c r="BE399" s="6"/>
      <c r="BF399" s="6"/>
    </row>
    <row r="400" spans="1:58" s="2" customFormat="1" x14ac:dyDescent="0.2">
      <c r="A400" s="6"/>
      <c r="B400" s="6"/>
      <c r="C400" s="42"/>
      <c r="D400" s="6"/>
      <c r="E400" s="6"/>
      <c r="F400" s="6"/>
      <c r="G400" s="6"/>
      <c r="H400" s="6"/>
      <c r="I400" s="6"/>
      <c r="J400" s="6"/>
      <c r="K400" s="6"/>
      <c r="L400" s="6"/>
      <c r="M400" s="6"/>
      <c r="N400" s="6"/>
      <c r="O400" s="6"/>
      <c r="P400" s="6"/>
      <c r="Q400" s="6"/>
      <c r="R400" s="6"/>
      <c r="S400" s="6"/>
      <c r="AV400" s="6"/>
      <c r="AW400" s="6"/>
      <c r="AX400" s="6"/>
      <c r="AY400" s="6"/>
      <c r="AZ400" s="6"/>
      <c r="BB400" s="6"/>
      <c r="BC400" s="6"/>
      <c r="BD400" s="6"/>
      <c r="BE400" s="6"/>
      <c r="BF400" s="6"/>
    </row>
    <row r="401" spans="1:58" s="2" customFormat="1" x14ac:dyDescent="0.2">
      <c r="A401" s="6"/>
      <c r="B401" s="6"/>
      <c r="C401" s="42"/>
      <c r="D401" s="6"/>
      <c r="E401" s="6"/>
      <c r="F401" s="6"/>
      <c r="G401" s="6"/>
      <c r="H401" s="6"/>
      <c r="I401" s="6"/>
      <c r="J401" s="6"/>
      <c r="K401" s="6"/>
      <c r="L401" s="6"/>
      <c r="M401" s="6"/>
      <c r="N401" s="6"/>
      <c r="O401" s="6"/>
      <c r="P401" s="6"/>
      <c r="Q401" s="6"/>
      <c r="R401" s="6"/>
      <c r="S401" s="6"/>
      <c r="AV401" s="6"/>
      <c r="AW401" s="6"/>
      <c r="AX401" s="6"/>
      <c r="AY401" s="6"/>
      <c r="AZ401" s="6"/>
      <c r="BB401" s="6"/>
      <c r="BC401" s="6"/>
      <c r="BD401" s="6"/>
      <c r="BE401" s="6"/>
      <c r="BF401" s="6"/>
    </row>
    <row r="402" spans="1:58" s="2" customFormat="1" x14ac:dyDescent="0.2">
      <c r="A402" s="6"/>
      <c r="B402" s="6"/>
      <c r="C402" s="42"/>
      <c r="D402" s="6"/>
      <c r="E402" s="6"/>
      <c r="F402" s="6"/>
      <c r="G402" s="6"/>
      <c r="H402" s="6"/>
      <c r="I402" s="6"/>
      <c r="J402" s="6"/>
      <c r="K402" s="6"/>
      <c r="L402" s="6"/>
      <c r="M402" s="6"/>
      <c r="N402" s="6"/>
      <c r="O402" s="6"/>
      <c r="P402" s="6"/>
      <c r="Q402" s="6"/>
      <c r="R402" s="6"/>
      <c r="S402" s="6"/>
      <c r="AV402" s="6"/>
      <c r="AW402" s="6"/>
      <c r="AX402" s="6"/>
      <c r="AY402" s="6"/>
      <c r="AZ402" s="6"/>
      <c r="BB402" s="6"/>
      <c r="BC402" s="6"/>
      <c r="BD402" s="6"/>
      <c r="BE402" s="6"/>
      <c r="BF402" s="6"/>
    </row>
    <row r="403" spans="1:58" s="2" customFormat="1" x14ac:dyDescent="0.2">
      <c r="A403" s="6"/>
      <c r="B403" s="6"/>
      <c r="C403" s="42"/>
      <c r="D403" s="6"/>
      <c r="E403" s="6"/>
      <c r="F403" s="6"/>
      <c r="G403" s="6"/>
      <c r="H403" s="6"/>
      <c r="I403" s="6"/>
      <c r="J403" s="6"/>
      <c r="K403" s="6"/>
      <c r="L403" s="6"/>
      <c r="M403" s="6"/>
      <c r="N403" s="6"/>
      <c r="O403" s="6"/>
      <c r="P403" s="6"/>
      <c r="Q403" s="6"/>
      <c r="R403" s="6"/>
      <c r="S403" s="6"/>
      <c r="AV403" s="6"/>
      <c r="AW403" s="6"/>
      <c r="AX403" s="6"/>
      <c r="AY403" s="6"/>
      <c r="AZ403" s="6"/>
      <c r="BB403" s="6"/>
      <c r="BC403" s="6"/>
      <c r="BD403" s="6"/>
      <c r="BE403" s="6"/>
      <c r="BF403" s="6"/>
    </row>
    <row r="404" spans="1:58" s="2" customFormat="1" x14ac:dyDescent="0.2">
      <c r="A404" s="6"/>
      <c r="B404" s="6"/>
      <c r="C404" s="42"/>
      <c r="D404" s="6"/>
      <c r="E404" s="6"/>
      <c r="F404" s="6"/>
      <c r="G404" s="6"/>
      <c r="H404" s="6"/>
      <c r="I404" s="6"/>
      <c r="J404" s="6"/>
      <c r="K404" s="6"/>
      <c r="L404" s="6"/>
      <c r="M404" s="6"/>
      <c r="N404" s="6"/>
      <c r="O404" s="6"/>
      <c r="P404" s="6"/>
      <c r="Q404" s="6"/>
      <c r="R404" s="6"/>
      <c r="S404" s="6"/>
      <c r="AV404" s="6"/>
      <c r="AW404" s="6"/>
      <c r="AX404" s="6"/>
      <c r="AY404" s="6"/>
      <c r="AZ404" s="6"/>
      <c r="BB404" s="6"/>
      <c r="BC404" s="6"/>
      <c r="BD404" s="6"/>
      <c r="BE404" s="6"/>
      <c r="BF404" s="6"/>
    </row>
    <row r="405" spans="1:58" s="2" customFormat="1" x14ac:dyDescent="0.2">
      <c r="A405" s="6"/>
      <c r="B405" s="6"/>
      <c r="C405" s="42"/>
      <c r="D405" s="6"/>
      <c r="E405" s="6"/>
      <c r="F405" s="6"/>
      <c r="G405" s="6"/>
      <c r="H405" s="6"/>
      <c r="I405" s="6"/>
      <c r="J405" s="6"/>
      <c r="K405" s="6"/>
      <c r="L405" s="6"/>
      <c r="M405" s="6"/>
      <c r="N405" s="6"/>
      <c r="O405" s="6"/>
      <c r="P405" s="6"/>
      <c r="Q405" s="6"/>
      <c r="R405" s="6"/>
      <c r="S405" s="6"/>
      <c r="AV405" s="6"/>
      <c r="AW405" s="6"/>
      <c r="AX405" s="6"/>
      <c r="AY405" s="6"/>
      <c r="AZ405" s="6"/>
      <c r="BB405" s="6"/>
      <c r="BC405" s="6"/>
      <c r="BD405" s="6"/>
      <c r="BE405" s="6"/>
      <c r="BF405" s="6"/>
    </row>
    <row r="406" spans="1:58" s="2" customFormat="1" x14ac:dyDescent="0.2">
      <c r="A406" s="6"/>
      <c r="B406" s="6"/>
      <c r="C406" s="42"/>
      <c r="D406" s="6"/>
      <c r="E406" s="6"/>
      <c r="F406" s="6"/>
      <c r="G406" s="6"/>
      <c r="H406" s="6"/>
      <c r="I406" s="6"/>
      <c r="J406" s="6"/>
      <c r="K406" s="6"/>
      <c r="L406" s="6"/>
      <c r="M406" s="6"/>
      <c r="N406" s="6"/>
      <c r="O406" s="6"/>
      <c r="P406" s="6"/>
      <c r="Q406" s="6"/>
      <c r="R406" s="6"/>
      <c r="S406" s="6"/>
      <c r="AV406" s="6"/>
      <c r="AW406" s="6"/>
      <c r="AX406" s="6"/>
      <c r="AY406" s="6"/>
      <c r="AZ406" s="6"/>
      <c r="BB406" s="6"/>
      <c r="BC406" s="6"/>
      <c r="BD406" s="6"/>
      <c r="BE406" s="6"/>
      <c r="BF406" s="6"/>
    </row>
    <row r="407" spans="1:58" s="2" customFormat="1" x14ac:dyDescent="0.2">
      <c r="A407" s="6"/>
      <c r="B407" s="6"/>
      <c r="C407" s="42"/>
      <c r="D407" s="6"/>
      <c r="E407" s="6"/>
      <c r="F407" s="6"/>
      <c r="G407" s="6"/>
      <c r="H407" s="6"/>
      <c r="I407" s="6"/>
      <c r="J407" s="6"/>
      <c r="K407" s="6"/>
      <c r="L407" s="6"/>
      <c r="M407" s="6"/>
      <c r="N407" s="6"/>
      <c r="O407" s="6"/>
      <c r="P407" s="6"/>
      <c r="Q407" s="6"/>
      <c r="R407" s="6"/>
      <c r="S407" s="6"/>
      <c r="AV407" s="6"/>
      <c r="AW407" s="6"/>
      <c r="AX407" s="6"/>
      <c r="AY407" s="6"/>
      <c r="AZ407" s="6"/>
      <c r="BB407" s="6"/>
      <c r="BC407" s="6"/>
      <c r="BD407" s="6"/>
      <c r="BE407" s="6"/>
      <c r="BF407" s="6"/>
    </row>
    <row r="408" spans="1:58" s="2" customFormat="1" x14ac:dyDescent="0.2">
      <c r="A408" s="6"/>
      <c r="B408" s="6"/>
      <c r="C408" s="42"/>
      <c r="D408" s="6"/>
      <c r="E408" s="6"/>
      <c r="F408" s="6"/>
      <c r="G408" s="6"/>
      <c r="H408" s="6"/>
      <c r="I408" s="6"/>
      <c r="J408" s="6"/>
      <c r="K408" s="6"/>
      <c r="L408" s="6"/>
      <c r="M408" s="6"/>
      <c r="N408" s="6"/>
      <c r="O408" s="6"/>
      <c r="P408" s="6"/>
      <c r="Q408" s="6"/>
      <c r="R408" s="6"/>
      <c r="S408" s="6"/>
      <c r="AV408" s="6"/>
      <c r="AW408" s="6"/>
      <c r="AX408" s="6"/>
      <c r="AY408" s="6"/>
      <c r="AZ408" s="6"/>
      <c r="BB408" s="6"/>
      <c r="BC408" s="6"/>
      <c r="BD408" s="6"/>
      <c r="BE408" s="6"/>
      <c r="BF408" s="6"/>
    </row>
    <row r="409" spans="1:58" s="2" customFormat="1" x14ac:dyDescent="0.2">
      <c r="A409" s="6"/>
      <c r="B409" s="6"/>
      <c r="C409" s="42"/>
      <c r="D409" s="6"/>
      <c r="E409" s="6"/>
      <c r="F409" s="6"/>
      <c r="G409" s="6"/>
      <c r="H409" s="6"/>
      <c r="I409" s="6"/>
      <c r="J409" s="6"/>
      <c r="K409" s="6"/>
      <c r="L409" s="6"/>
      <c r="M409" s="6"/>
      <c r="N409" s="6"/>
      <c r="O409" s="6"/>
      <c r="P409" s="6"/>
      <c r="Q409" s="6"/>
      <c r="R409" s="6"/>
      <c r="S409" s="6"/>
      <c r="AV409" s="6"/>
      <c r="AW409" s="6"/>
      <c r="AX409" s="6"/>
      <c r="AY409" s="6"/>
      <c r="AZ409" s="6"/>
      <c r="BB409" s="6"/>
      <c r="BC409" s="6"/>
      <c r="BD409" s="6"/>
      <c r="BE409" s="6"/>
      <c r="BF409" s="6"/>
    </row>
    <row r="410" spans="1:58" s="2" customFormat="1" x14ac:dyDescent="0.2">
      <c r="A410" s="6"/>
      <c r="B410" s="6"/>
      <c r="C410" s="42"/>
      <c r="D410" s="6"/>
      <c r="E410" s="6"/>
      <c r="F410" s="6"/>
      <c r="G410" s="6"/>
      <c r="H410" s="6"/>
      <c r="I410" s="6"/>
      <c r="J410" s="6"/>
      <c r="K410" s="6"/>
      <c r="L410" s="6"/>
      <c r="M410" s="6"/>
      <c r="N410" s="6"/>
      <c r="O410" s="6"/>
      <c r="P410" s="6"/>
      <c r="Q410" s="6"/>
      <c r="R410" s="6"/>
      <c r="S410" s="6"/>
      <c r="AV410" s="6"/>
      <c r="AW410" s="6"/>
      <c r="AX410" s="6"/>
      <c r="AY410" s="6"/>
      <c r="AZ410" s="6"/>
      <c r="BB410" s="6"/>
      <c r="BC410" s="6"/>
      <c r="BD410" s="6"/>
      <c r="BE410" s="6"/>
      <c r="BF410" s="6"/>
    </row>
    <row r="411" spans="1:58" s="2" customFormat="1" x14ac:dyDescent="0.2">
      <c r="A411" s="6"/>
      <c r="B411" s="6"/>
      <c r="C411" s="42"/>
      <c r="D411" s="6"/>
      <c r="E411" s="6"/>
      <c r="F411" s="6"/>
      <c r="G411" s="6"/>
      <c r="H411" s="6"/>
      <c r="I411" s="6"/>
      <c r="J411" s="6"/>
      <c r="K411" s="6"/>
      <c r="L411" s="6"/>
      <c r="M411" s="6"/>
      <c r="N411" s="6"/>
      <c r="O411" s="6"/>
      <c r="P411" s="6"/>
      <c r="Q411" s="6"/>
      <c r="R411" s="6"/>
      <c r="S411" s="6"/>
      <c r="AV411" s="6"/>
      <c r="AW411" s="6"/>
      <c r="AX411" s="6"/>
      <c r="AY411" s="6"/>
      <c r="AZ411" s="6"/>
      <c r="BB411" s="6"/>
      <c r="BC411" s="6"/>
      <c r="BD411" s="6"/>
      <c r="BE411" s="6"/>
      <c r="BF411" s="6"/>
    </row>
    <row r="412" spans="1:58" s="2" customFormat="1" x14ac:dyDescent="0.2">
      <c r="A412" s="6"/>
      <c r="B412" s="6"/>
      <c r="C412" s="42"/>
      <c r="D412" s="6"/>
      <c r="E412" s="6"/>
      <c r="F412" s="6"/>
      <c r="G412" s="6"/>
      <c r="H412" s="6"/>
      <c r="I412" s="6"/>
      <c r="J412" s="6"/>
      <c r="K412" s="6"/>
      <c r="L412" s="6"/>
      <c r="M412" s="6"/>
      <c r="N412" s="6"/>
      <c r="O412" s="6"/>
      <c r="P412" s="6"/>
      <c r="Q412" s="6"/>
      <c r="R412" s="6"/>
      <c r="S412" s="6"/>
      <c r="AV412" s="6"/>
      <c r="AW412" s="6"/>
      <c r="AX412" s="6"/>
      <c r="AY412" s="6"/>
      <c r="AZ412" s="6"/>
      <c r="BB412" s="6"/>
      <c r="BC412" s="6"/>
      <c r="BD412" s="6"/>
      <c r="BE412" s="6"/>
      <c r="BF412" s="6"/>
    </row>
    <row r="413" spans="1:58" s="2" customFormat="1" x14ac:dyDescent="0.2">
      <c r="A413" s="6"/>
      <c r="B413" s="6"/>
      <c r="C413" s="42"/>
      <c r="D413" s="6"/>
      <c r="E413" s="6"/>
      <c r="F413" s="6"/>
      <c r="G413" s="6"/>
      <c r="H413" s="6"/>
      <c r="I413" s="6"/>
      <c r="J413" s="6"/>
      <c r="K413" s="6"/>
      <c r="L413" s="6"/>
      <c r="M413" s="6"/>
      <c r="N413" s="6"/>
      <c r="O413" s="6"/>
      <c r="P413" s="6"/>
      <c r="Q413" s="6"/>
      <c r="R413" s="6"/>
      <c r="S413" s="6"/>
      <c r="AV413" s="6"/>
      <c r="AW413" s="6"/>
      <c r="AX413" s="6"/>
      <c r="AY413" s="6"/>
      <c r="AZ413" s="6"/>
      <c r="BB413" s="6"/>
      <c r="BC413" s="6"/>
      <c r="BD413" s="6"/>
      <c r="BE413" s="6"/>
      <c r="BF413" s="6"/>
    </row>
    <row r="414" spans="1:58" s="2" customFormat="1" x14ac:dyDescent="0.2">
      <c r="A414" s="6"/>
      <c r="B414" s="6"/>
      <c r="C414" s="42"/>
      <c r="D414" s="6"/>
      <c r="E414" s="6"/>
      <c r="F414" s="6"/>
      <c r="G414" s="6"/>
      <c r="H414" s="6"/>
      <c r="I414" s="6"/>
      <c r="J414" s="6"/>
      <c r="K414" s="6"/>
      <c r="L414" s="6"/>
      <c r="M414" s="6"/>
      <c r="N414" s="6"/>
      <c r="O414" s="6"/>
      <c r="P414" s="6"/>
      <c r="Q414" s="6"/>
      <c r="R414" s="6"/>
      <c r="S414" s="6"/>
      <c r="AV414" s="6"/>
      <c r="AW414" s="6"/>
      <c r="AX414" s="6"/>
      <c r="AY414" s="6"/>
      <c r="AZ414" s="6"/>
      <c r="BB414" s="6"/>
      <c r="BC414" s="6"/>
      <c r="BD414" s="6"/>
      <c r="BE414" s="6"/>
      <c r="BF414" s="6"/>
    </row>
    <row r="415" spans="1:58" s="2" customFormat="1" x14ac:dyDescent="0.2">
      <c r="A415" s="6"/>
      <c r="B415" s="6"/>
      <c r="C415" s="42"/>
      <c r="D415" s="6"/>
      <c r="E415" s="6"/>
      <c r="F415" s="6"/>
      <c r="G415" s="6"/>
      <c r="H415" s="6"/>
      <c r="I415" s="6"/>
      <c r="J415" s="6"/>
      <c r="K415" s="6"/>
      <c r="L415" s="6"/>
      <c r="M415" s="6"/>
      <c r="N415" s="6"/>
      <c r="O415" s="6"/>
      <c r="P415" s="6"/>
      <c r="Q415" s="6"/>
      <c r="R415" s="6"/>
      <c r="S415" s="6"/>
      <c r="AV415" s="6"/>
      <c r="AW415" s="6"/>
      <c r="AX415" s="6"/>
      <c r="AY415" s="6"/>
      <c r="AZ415" s="6"/>
      <c r="BB415" s="6"/>
      <c r="BC415" s="6"/>
      <c r="BD415" s="6"/>
      <c r="BE415" s="6"/>
      <c r="BF415" s="6"/>
    </row>
    <row r="416" spans="1:58" s="2" customFormat="1" x14ac:dyDescent="0.2">
      <c r="A416" s="6"/>
      <c r="B416" s="6"/>
      <c r="C416" s="42"/>
      <c r="D416" s="6"/>
      <c r="E416" s="6"/>
      <c r="F416" s="6"/>
      <c r="G416" s="6"/>
      <c r="H416" s="6"/>
      <c r="I416" s="6"/>
      <c r="J416" s="6"/>
      <c r="K416" s="6"/>
      <c r="L416" s="6"/>
      <c r="M416" s="6"/>
      <c r="N416" s="6"/>
      <c r="O416" s="6"/>
      <c r="P416" s="6"/>
      <c r="Q416" s="6"/>
      <c r="R416" s="6"/>
      <c r="S416" s="6"/>
      <c r="AV416" s="6"/>
      <c r="AW416" s="6"/>
      <c r="AX416" s="6"/>
      <c r="AY416" s="6"/>
      <c r="AZ416" s="6"/>
      <c r="BB416" s="6"/>
      <c r="BC416" s="6"/>
      <c r="BD416" s="6"/>
      <c r="BE416" s="6"/>
      <c r="BF416" s="6"/>
    </row>
    <row r="417" spans="1:58" s="2" customFormat="1" x14ac:dyDescent="0.2">
      <c r="A417" s="6"/>
      <c r="B417" s="6"/>
      <c r="C417" s="42"/>
      <c r="D417" s="6"/>
      <c r="E417" s="6"/>
      <c r="F417" s="6"/>
      <c r="G417" s="6"/>
      <c r="H417" s="6"/>
      <c r="I417" s="6"/>
      <c r="J417" s="6"/>
      <c r="K417" s="6"/>
      <c r="L417" s="6"/>
      <c r="M417" s="6"/>
      <c r="N417" s="6"/>
      <c r="O417" s="6"/>
      <c r="P417" s="6"/>
      <c r="Q417" s="6"/>
      <c r="R417" s="6"/>
      <c r="S417" s="6"/>
      <c r="AV417" s="6"/>
      <c r="AW417" s="6"/>
      <c r="AX417" s="6"/>
      <c r="AY417" s="6"/>
      <c r="AZ417" s="6"/>
      <c r="BB417" s="6"/>
      <c r="BC417" s="6"/>
      <c r="BD417" s="6"/>
      <c r="BE417" s="6"/>
      <c r="BF417" s="6"/>
    </row>
    <row r="418" spans="1:58" s="2" customFormat="1" x14ac:dyDescent="0.2">
      <c r="A418" s="6"/>
      <c r="B418" s="6"/>
      <c r="C418" s="42"/>
      <c r="D418" s="6"/>
      <c r="E418" s="6"/>
      <c r="F418" s="6"/>
      <c r="G418" s="6"/>
      <c r="H418" s="6"/>
      <c r="I418" s="6"/>
      <c r="J418" s="6"/>
      <c r="K418" s="6"/>
      <c r="L418" s="6"/>
      <c r="M418" s="6"/>
      <c r="N418" s="6"/>
      <c r="O418" s="6"/>
      <c r="P418" s="6"/>
      <c r="Q418" s="6"/>
      <c r="R418" s="6"/>
      <c r="S418" s="6"/>
      <c r="AV418" s="6"/>
      <c r="AW418" s="6"/>
      <c r="AX418" s="6"/>
      <c r="AY418" s="6"/>
      <c r="AZ418" s="6"/>
      <c r="BB418" s="6"/>
      <c r="BC418" s="6"/>
      <c r="BD418" s="6"/>
      <c r="BE418" s="6"/>
      <c r="BF418" s="6"/>
    </row>
    <row r="419" spans="1:58" s="2" customFormat="1" x14ac:dyDescent="0.2">
      <c r="A419" s="6"/>
      <c r="B419" s="6"/>
      <c r="C419" s="42"/>
      <c r="D419" s="6"/>
      <c r="E419" s="6"/>
      <c r="F419" s="6"/>
      <c r="G419" s="6"/>
      <c r="H419" s="6"/>
      <c r="I419" s="6"/>
      <c r="J419" s="6"/>
      <c r="K419" s="6"/>
      <c r="L419" s="6"/>
      <c r="M419" s="6"/>
      <c r="N419" s="6"/>
      <c r="O419" s="6"/>
      <c r="P419" s="6"/>
      <c r="Q419" s="6"/>
      <c r="R419" s="6"/>
      <c r="S419" s="6"/>
      <c r="AV419" s="6"/>
      <c r="AW419" s="6"/>
      <c r="AX419" s="6"/>
      <c r="AY419" s="6"/>
      <c r="AZ419" s="6"/>
      <c r="BB419" s="6"/>
      <c r="BC419" s="6"/>
      <c r="BD419" s="6"/>
      <c r="BE419" s="6"/>
      <c r="BF419" s="6"/>
    </row>
    <row r="420" spans="1:58" s="2" customFormat="1" x14ac:dyDescent="0.2">
      <c r="A420" s="6"/>
      <c r="B420" s="6"/>
      <c r="C420" s="42"/>
      <c r="D420" s="6"/>
      <c r="E420" s="6"/>
      <c r="F420" s="6"/>
      <c r="G420" s="6"/>
      <c r="H420" s="6"/>
      <c r="I420" s="6"/>
      <c r="J420" s="6"/>
      <c r="K420" s="6"/>
      <c r="L420" s="6"/>
      <c r="M420" s="6"/>
      <c r="N420" s="6"/>
      <c r="O420" s="6"/>
      <c r="P420" s="6"/>
      <c r="Q420" s="6"/>
      <c r="R420" s="6"/>
      <c r="S420" s="6"/>
      <c r="AV420" s="6"/>
      <c r="AW420" s="6"/>
      <c r="AX420" s="6"/>
      <c r="AY420" s="6"/>
      <c r="AZ420" s="6"/>
      <c r="BB420" s="6"/>
      <c r="BC420" s="6"/>
      <c r="BD420" s="6"/>
      <c r="BE420" s="6"/>
      <c r="BF420" s="6"/>
    </row>
    <row r="421" spans="1:58" s="2" customFormat="1" x14ac:dyDescent="0.2">
      <c r="A421" s="6"/>
      <c r="B421" s="6"/>
      <c r="C421" s="42"/>
      <c r="D421" s="6"/>
      <c r="E421" s="6"/>
      <c r="F421" s="6"/>
      <c r="G421" s="6"/>
      <c r="H421" s="6"/>
      <c r="I421" s="6"/>
      <c r="J421" s="6"/>
      <c r="K421" s="6"/>
      <c r="L421" s="6"/>
      <c r="M421" s="6"/>
      <c r="N421" s="6"/>
      <c r="O421" s="6"/>
      <c r="P421" s="6"/>
      <c r="Q421" s="6"/>
      <c r="R421" s="6"/>
      <c r="S421" s="6"/>
      <c r="AV421" s="6"/>
      <c r="AW421" s="6"/>
      <c r="AX421" s="6"/>
      <c r="AY421" s="6"/>
      <c r="AZ421" s="6"/>
      <c r="BB421" s="6"/>
      <c r="BC421" s="6"/>
      <c r="BD421" s="6"/>
      <c r="BE421" s="6"/>
      <c r="BF421" s="6"/>
    </row>
    <row r="422" spans="1:58" s="2" customFormat="1" x14ac:dyDescent="0.2">
      <c r="A422" s="6"/>
      <c r="B422" s="6"/>
      <c r="C422" s="42"/>
      <c r="D422" s="6"/>
      <c r="E422" s="6"/>
      <c r="F422" s="6"/>
      <c r="G422" s="6"/>
      <c r="H422" s="6"/>
      <c r="I422" s="6"/>
      <c r="J422" s="6"/>
      <c r="K422" s="6"/>
      <c r="L422" s="6"/>
      <c r="M422" s="6"/>
      <c r="N422" s="6"/>
      <c r="O422" s="6"/>
      <c r="P422" s="6"/>
      <c r="Q422" s="6"/>
      <c r="R422" s="6"/>
      <c r="S422" s="6"/>
      <c r="AV422" s="6"/>
      <c r="AW422" s="6"/>
      <c r="AX422" s="6"/>
      <c r="AY422" s="6"/>
      <c r="AZ422" s="6"/>
      <c r="BB422" s="6"/>
      <c r="BC422" s="6"/>
      <c r="BD422" s="6"/>
      <c r="BE422" s="6"/>
      <c r="BF422" s="6"/>
    </row>
    <row r="423" spans="1:58" s="2" customFormat="1" x14ac:dyDescent="0.2">
      <c r="A423" s="6"/>
      <c r="B423" s="6"/>
      <c r="C423" s="42"/>
      <c r="D423" s="6"/>
      <c r="E423" s="6"/>
      <c r="F423" s="6"/>
      <c r="G423" s="6"/>
      <c r="H423" s="6"/>
      <c r="I423" s="6"/>
      <c r="J423" s="6"/>
      <c r="K423" s="6"/>
      <c r="L423" s="6"/>
      <c r="M423" s="6"/>
      <c r="N423" s="6"/>
      <c r="O423" s="6"/>
      <c r="P423" s="6"/>
      <c r="Q423" s="6"/>
      <c r="R423" s="6"/>
      <c r="S423" s="6"/>
      <c r="AV423" s="6"/>
      <c r="AW423" s="6"/>
      <c r="AX423" s="6"/>
      <c r="AY423" s="6"/>
      <c r="AZ423" s="6"/>
      <c r="BB423" s="6"/>
      <c r="BC423" s="6"/>
      <c r="BD423" s="6"/>
      <c r="BE423" s="6"/>
      <c r="BF423" s="6"/>
    </row>
    <row r="424" spans="1:58" s="2" customFormat="1" x14ac:dyDescent="0.2">
      <c r="A424" s="6"/>
      <c r="B424" s="6"/>
      <c r="C424" s="42"/>
      <c r="D424" s="6"/>
      <c r="E424" s="6"/>
      <c r="F424" s="6"/>
      <c r="G424" s="6"/>
      <c r="H424" s="6"/>
      <c r="I424" s="6"/>
      <c r="J424" s="6"/>
      <c r="K424" s="6"/>
      <c r="L424" s="6"/>
      <c r="M424" s="6"/>
      <c r="N424" s="6"/>
      <c r="O424" s="6"/>
      <c r="P424" s="6"/>
      <c r="Q424" s="6"/>
      <c r="R424" s="6"/>
      <c r="S424" s="6"/>
      <c r="AV424" s="6"/>
      <c r="AW424" s="6"/>
      <c r="AX424" s="6"/>
      <c r="AY424" s="6"/>
      <c r="AZ424" s="6"/>
      <c r="BB424" s="6"/>
      <c r="BC424" s="6"/>
      <c r="BD424" s="6"/>
      <c r="BE424" s="6"/>
      <c r="BF424" s="6"/>
    </row>
    <row r="425" spans="1:58" s="2" customFormat="1" x14ac:dyDescent="0.2">
      <c r="A425" s="6"/>
      <c r="B425" s="6"/>
      <c r="C425" s="42"/>
      <c r="D425" s="6"/>
      <c r="E425" s="6"/>
      <c r="F425" s="6"/>
      <c r="G425" s="6"/>
      <c r="H425" s="6"/>
      <c r="I425" s="6"/>
      <c r="J425" s="6"/>
      <c r="K425" s="6"/>
      <c r="L425" s="6"/>
      <c r="M425" s="6"/>
      <c r="N425" s="6"/>
      <c r="O425" s="6"/>
      <c r="P425" s="6"/>
      <c r="Q425" s="6"/>
      <c r="R425" s="6"/>
      <c r="S425" s="6"/>
      <c r="AV425" s="6"/>
      <c r="AW425" s="6"/>
      <c r="AX425" s="6"/>
      <c r="AY425" s="6"/>
      <c r="AZ425" s="6"/>
      <c r="BB425" s="6"/>
      <c r="BC425" s="6"/>
      <c r="BD425" s="6"/>
      <c r="BE425" s="6"/>
      <c r="BF425" s="6"/>
    </row>
    <row r="426" spans="1:58" s="2" customFormat="1" x14ac:dyDescent="0.2">
      <c r="A426" s="6"/>
      <c r="B426" s="6"/>
      <c r="C426" s="42"/>
      <c r="D426" s="6"/>
      <c r="E426" s="6"/>
      <c r="F426" s="6"/>
      <c r="G426" s="6"/>
      <c r="H426" s="6"/>
      <c r="I426" s="6"/>
      <c r="J426" s="6"/>
      <c r="K426" s="6"/>
      <c r="L426" s="6"/>
      <c r="M426" s="6"/>
      <c r="N426" s="6"/>
      <c r="O426" s="6"/>
      <c r="P426" s="6"/>
      <c r="Q426" s="6"/>
      <c r="R426" s="6"/>
      <c r="S426" s="6"/>
      <c r="AV426" s="6"/>
      <c r="AW426" s="6"/>
      <c r="AX426" s="6"/>
      <c r="AY426" s="6"/>
      <c r="AZ426" s="6"/>
      <c r="BB426" s="6"/>
      <c r="BC426" s="6"/>
      <c r="BD426" s="6"/>
      <c r="BE426" s="6"/>
      <c r="BF426" s="6"/>
    </row>
    <row r="427" spans="1:58" s="2" customFormat="1" x14ac:dyDescent="0.2">
      <c r="A427" s="6"/>
      <c r="B427" s="6"/>
      <c r="C427" s="42"/>
      <c r="D427" s="6"/>
      <c r="E427" s="6"/>
      <c r="F427" s="6"/>
      <c r="G427" s="6"/>
      <c r="H427" s="6"/>
      <c r="I427" s="6"/>
      <c r="J427" s="6"/>
      <c r="K427" s="6"/>
      <c r="L427" s="6"/>
      <c r="M427" s="6"/>
      <c r="N427" s="6"/>
      <c r="O427" s="6"/>
      <c r="P427" s="6"/>
      <c r="Q427" s="6"/>
      <c r="R427" s="6"/>
      <c r="S427" s="6"/>
      <c r="AV427" s="6"/>
      <c r="AW427" s="6"/>
      <c r="AX427" s="6"/>
      <c r="AY427" s="6"/>
      <c r="AZ427" s="6"/>
      <c r="BB427" s="6"/>
      <c r="BC427" s="6"/>
      <c r="BD427" s="6"/>
      <c r="BE427" s="6"/>
      <c r="BF427" s="6"/>
    </row>
    <row r="428" spans="1:58" s="2" customFormat="1" x14ac:dyDescent="0.2">
      <c r="A428" s="6"/>
      <c r="B428" s="6"/>
      <c r="C428" s="42"/>
      <c r="D428" s="6"/>
      <c r="E428" s="6"/>
      <c r="F428" s="6"/>
      <c r="G428" s="6"/>
      <c r="H428" s="6"/>
      <c r="I428" s="6"/>
      <c r="J428" s="6"/>
      <c r="K428" s="6"/>
      <c r="L428" s="6"/>
      <c r="M428" s="6"/>
      <c r="N428" s="6"/>
      <c r="O428" s="6"/>
      <c r="P428" s="6"/>
      <c r="Q428" s="6"/>
      <c r="R428" s="6"/>
      <c r="S428" s="6"/>
      <c r="AV428" s="6"/>
      <c r="AW428" s="6"/>
      <c r="AX428" s="6"/>
      <c r="AY428" s="6"/>
      <c r="AZ428" s="6"/>
      <c r="BB428" s="6"/>
      <c r="BC428" s="6"/>
      <c r="BD428" s="6"/>
      <c r="BE428" s="6"/>
      <c r="BF428" s="6"/>
    </row>
    <row r="429" spans="1:58" s="2" customFormat="1" x14ac:dyDescent="0.2">
      <c r="A429" s="6"/>
      <c r="B429" s="6"/>
      <c r="C429" s="42"/>
      <c r="D429" s="6"/>
      <c r="E429" s="6"/>
      <c r="F429" s="6"/>
      <c r="G429" s="6"/>
      <c r="H429" s="6"/>
      <c r="I429" s="6"/>
      <c r="J429" s="6"/>
      <c r="K429" s="6"/>
      <c r="L429" s="6"/>
      <c r="M429" s="6"/>
      <c r="N429" s="6"/>
      <c r="O429" s="6"/>
      <c r="P429" s="6"/>
      <c r="Q429" s="6"/>
      <c r="R429" s="6"/>
      <c r="S429" s="6"/>
      <c r="AV429" s="6"/>
      <c r="AW429" s="6"/>
      <c r="AX429" s="6"/>
      <c r="AY429" s="6"/>
      <c r="AZ429" s="6"/>
      <c r="BB429" s="6"/>
      <c r="BC429" s="6"/>
      <c r="BD429" s="6"/>
      <c r="BE429" s="6"/>
      <c r="BF429" s="6"/>
    </row>
    <row r="430" spans="1:58" s="2" customFormat="1" x14ac:dyDescent="0.2">
      <c r="A430" s="6"/>
      <c r="B430" s="6"/>
      <c r="C430" s="42"/>
      <c r="D430" s="6"/>
      <c r="E430" s="6"/>
      <c r="F430" s="6"/>
      <c r="G430" s="6"/>
      <c r="H430" s="6"/>
      <c r="I430" s="6"/>
      <c r="J430" s="6"/>
      <c r="K430" s="6"/>
      <c r="L430" s="6"/>
      <c r="M430" s="6"/>
      <c r="N430" s="6"/>
      <c r="O430" s="6"/>
      <c r="P430" s="6"/>
      <c r="Q430" s="6"/>
      <c r="R430" s="6"/>
      <c r="S430" s="6"/>
      <c r="AV430" s="6"/>
      <c r="AW430" s="6"/>
      <c r="AX430" s="6"/>
      <c r="AY430" s="6"/>
      <c r="AZ430" s="6"/>
      <c r="BB430" s="6"/>
      <c r="BC430" s="6"/>
      <c r="BD430" s="6"/>
      <c r="BE430" s="6"/>
      <c r="BF430" s="6"/>
    </row>
    <row r="431" spans="1:58" s="2" customFormat="1" x14ac:dyDescent="0.2">
      <c r="A431" s="6"/>
      <c r="B431" s="6"/>
      <c r="C431" s="42"/>
      <c r="D431" s="6"/>
      <c r="E431" s="6"/>
      <c r="F431" s="6"/>
      <c r="G431" s="6"/>
      <c r="H431" s="6"/>
      <c r="I431" s="6"/>
      <c r="J431" s="6"/>
      <c r="K431" s="6"/>
      <c r="L431" s="6"/>
      <c r="M431" s="6"/>
      <c r="N431" s="6"/>
      <c r="O431" s="6"/>
      <c r="P431" s="6"/>
      <c r="Q431" s="6"/>
      <c r="R431" s="6"/>
      <c r="S431" s="6"/>
      <c r="AV431" s="6"/>
      <c r="AW431" s="6"/>
      <c r="AX431" s="6"/>
      <c r="AY431" s="6"/>
      <c r="AZ431" s="6"/>
      <c r="BB431" s="6"/>
      <c r="BC431" s="6"/>
      <c r="BD431" s="6"/>
      <c r="BE431" s="6"/>
      <c r="BF431" s="6"/>
    </row>
    <row r="432" spans="1:58" s="2" customFormat="1" x14ac:dyDescent="0.2">
      <c r="A432" s="6"/>
      <c r="B432" s="6"/>
      <c r="C432" s="42"/>
      <c r="D432" s="6"/>
      <c r="E432" s="6"/>
      <c r="F432" s="6"/>
      <c r="G432" s="6"/>
      <c r="H432" s="6"/>
      <c r="I432" s="6"/>
      <c r="J432" s="6"/>
      <c r="K432" s="6"/>
      <c r="L432" s="6"/>
      <c r="M432" s="6"/>
      <c r="N432" s="6"/>
      <c r="O432" s="6"/>
      <c r="P432" s="6"/>
      <c r="Q432" s="6"/>
      <c r="R432" s="6"/>
      <c r="S432" s="6"/>
      <c r="AV432" s="6"/>
      <c r="AW432" s="6"/>
      <c r="AX432" s="6"/>
      <c r="AY432" s="6"/>
      <c r="AZ432" s="6"/>
      <c r="BB432" s="6"/>
      <c r="BC432" s="6"/>
      <c r="BD432" s="6"/>
      <c r="BE432" s="6"/>
      <c r="BF432" s="6"/>
    </row>
    <row r="433" spans="1:58" s="2" customFormat="1" x14ac:dyDescent="0.2">
      <c r="A433" s="6"/>
      <c r="B433" s="6"/>
      <c r="C433" s="42"/>
      <c r="D433" s="6"/>
      <c r="E433" s="6"/>
      <c r="F433" s="6"/>
      <c r="G433" s="6"/>
      <c r="H433" s="6"/>
      <c r="I433" s="6"/>
      <c r="J433" s="6"/>
      <c r="K433" s="6"/>
      <c r="L433" s="6"/>
      <c r="M433" s="6"/>
      <c r="N433" s="6"/>
      <c r="O433" s="6"/>
      <c r="P433" s="6"/>
      <c r="Q433" s="6"/>
      <c r="R433" s="6"/>
      <c r="S433" s="6"/>
      <c r="AV433" s="6"/>
      <c r="AW433" s="6"/>
      <c r="AX433" s="6"/>
      <c r="AY433" s="6"/>
      <c r="AZ433" s="6"/>
      <c r="BB433" s="6"/>
      <c r="BC433" s="6"/>
      <c r="BD433" s="6"/>
      <c r="BE433" s="6"/>
      <c r="BF433" s="6"/>
    </row>
    <row r="434" spans="1:58" s="2" customFormat="1" x14ac:dyDescent="0.2">
      <c r="A434" s="6"/>
      <c r="B434" s="6"/>
      <c r="C434" s="42"/>
      <c r="D434" s="6"/>
      <c r="E434" s="6"/>
      <c r="F434" s="6"/>
      <c r="G434" s="6"/>
      <c r="H434" s="6"/>
      <c r="I434" s="6"/>
      <c r="J434" s="6"/>
      <c r="K434" s="6"/>
      <c r="L434" s="6"/>
      <c r="M434" s="6"/>
      <c r="N434" s="6"/>
      <c r="O434" s="6"/>
      <c r="P434" s="6"/>
      <c r="Q434" s="6"/>
      <c r="R434" s="6"/>
      <c r="S434" s="6"/>
      <c r="AV434" s="6"/>
      <c r="AW434" s="6"/>
      <c r="AX434" s="6"/>
      <c r="AY434" s="6"/>
      <c r="AZ434" s="6"/>
      <c r="BB434" s="6"/>
      <c r="BC434" s="6"/>
      <c r="BD434" s="6"/>
      <c r="BE434" s="6"/>
      <c r="BF434" s="6"/>
    </row>
    <row r="435" spans="1:58" s="2" customFormat="1" x14ac:dyDescent="0.2">
      <c r="A435" s="6"/>
      <c r="B435" s="6"/>
      <c r="C435" s="42"/>
      <c r="D435" s="6"/>
      <c r="E435" s="6"/>
      <c r="F435" s="6"/>
      <c r="G435" s="6"/>
      <c r="H435" s="6"/>
      <c r="I435" s="6"/>
      <c r="J435" s="6"/>
      <c r="K435" s="6"/>
      <c r="L435" s="6"/>
      <c r="M435" s="6"/>
      <c r="N435" s="6"/>
      <c r="O435" s="6"/>
      <c r="P435" s="6"/>
      <c r="Q435" s="6"/>
      <c r="R435" s="6"/>
      <c r="S435" s="6"/>
      <c r="AV435" s="6"/>
      <c r="AW435" s="6"/>
      <c r="AX435" s="6"/>
      <c r="AY435" s="6"/>
      <c r="AZ435" s="6"/>
      <c r="BB435" s="6"/>
      <c r="BC435" s="6"/>
      <c r="BD435" s="6"/>
      <c r="BE435" s="6"/>
      <c r="BF435" s="6"/>
    </row>
    <row r="436" spans="1:58" s="2" customFormat="1" x14ac:dyDescent="0.2">
      <c r="A436" s="6"/>
      <c r="B436" s="6"/>
      <c r="C436" s="42"/>
      <c r="D436" s="6"/>
      <c r="E436" s="6"/>
      <c r="F436" s="6"/>
      <c r="G436" s="6"/>
      <c r="H436" s="6"/>
      <c r="I436" s="6"/>
      <c r="J436" s="6"/>
      <c r="K436" s="6"/>
      <c r="L436" s="6"/>
      <c r="M436" s="6"/>
      <c r="N436" s="6"/>
      <c r="O436" s="6"/>
      <c r="P436" s="6"/>
      <c r="Q436" s="6"/>
      <c r="R436" s="6"/>
      <c r="S436" s="6"/>
      <c r="AV436" s="6"/>
      <c r="AW436" s="6"/>
      <c r="AX436" s="6"/>
      <c r="AY436" s="6"/>
      <c r="AZ436" s="6"/>
      <c r="BB436" s="6"/>
      <c r="BC436" s="6"/>
      <c r="BD436" s="6"/>
      <c r="BE436" s="6"/>
      <c r="BF436" s="6"/>
    </row>
    <row r="437" spans="1:58" s="2" customFormat="1" x14ac:dyDescent="0.2">
      <c r="A437" s="6"/>
      <c r="B437" s="6"/>
      <c r="C437" s="42"/>
      <c r="D437" s="6"/>
      <c r="E437" s="6"/>
      <c r="F437" s="6"/>
      <c r="G437" s="6"/>
      <c r="H437" s="6"/>
      <c r="I437" s="6"/>
      <c r="J437" s="6"/>
      <c r="K437" s="6"/>
      <c r="L437" s="6"/>
      <c r="M437" s="6"/>
      <c r="N437" s="6"/>
      <c r="O437" s="6"/>
      <c r="P437" s="6"/>
      <c r="Q437" s="6"/>
      <c r="R437" s="6"/>
      <c r="S437" s="6"/>
      <c r="AV437" s="6"/>
      <c r="AW437" s="6"/>
      <c r="AX437" s="6"/>
      <c r="AY437" s="6"/>
      <c r="AZ437" s="6"/>
      <c r="BB437" s="6"/>
      <c r="BC437" s="6"/>
      <c r="BD437" s="6"/>
      <c r="BE437" s="6"/>
      <c r="BF437" s="6"/>
    </row>
    <row r="438" spans="1:58" s="2" customFormat="1" x14ac:dyDescent="0.2">
      <c r="A438" s="6"/>
      <c r="B438" s="6"/>
      <c r="C438" s="42"/>
      <c r="D438" s="6"/>
      <c r="E438" s="6"/>
      <c r="F438" s="6"/>
      <c r="G438" s="6"/>
      <c r="H438" s="6"/>
      <c r="I438" s="6"/>
      <c r="J438" s="6"/>
      <c r="K438" s="6"/>
      <c r="L438" s="6"/>
      <c r="M438" s="6"/>
      <c r="N438" s="6"/>
      <c r="O438" s="6"/>
      <c r="P438" s="6"/>
      <c r="Q438" s="6"/>
      <c r="R438" s="6"/>
      <c r="S438" s="6"/>
      <c r="AV438" s="6"/>
      <c r="AW438" s="6"/>
      <c r="AX438" s="6"/>
      <c r="AY438" s="6"/>
      <c r="AZ438" s="6"/>
      <c r="BB438" s="6"/>
      <c r="BC438" s="6"/>
      <c r="BD438" s="6"/>
      <c r="BE438" s="6"/>
      <c r="BF438" s="6"/>
    </row>
    <row r="439" spans="1:58" s="2" customFormat="1" x14ac:dyDescent="0.2">
      <c r="A439" s="6"/>
      <c r="B439" s="6"/>
      <c r="C439" s="42"/>
      <c r="D439" s="6"/>
      <c r="E439" s="6"/>
      <c r="F439" s="6"/>
      <c r="G439" s="6"/>
      <c r="H439" s="6"/>
      <c r="I439" s="6"/>
      <c r="J439" s="6"/>
      <c r="K439" s="6"/>
      <c r="L439" s="6"/>
      <c r="M439" s="6"/>
      <c r="N439" s="6"/>
      <c r="O439" s="6"/>
      <c r="P439" s="6"/>
      <c r="Q439" s="6"/>
      <c r="R439" s="6"/>
      <c r="S439" s="6"/>
      <c r="AV439" s="6"/>
      <c r="AW439" s="6"/>
      <c r="AX439" s="6"/>
      <c r="AY439" s="6"/>
      <c r="AZ439" s="6"/>
      <c r="BB439" s="6"/>
      <c r="BC439" s="6"/>
      <c r="BD439" s="6"/>
      <c r="BE439" s="6"/>
      <c r="BF439" s="6"/>
    </row>
    <row r="440" spans="1:58" s="2" customFormat="1" x14ac:dyDescent="0.2">
      <c r="A440" s="6"/>
      <c r="B440" s="6"/>
      <c r="C440" s="42"/>
      <c r="D440" s="6"/>
      <c r="E440" s="6"/>
      <c r="F440" s="6"/>
      <c r="G440" s="6"/>
      <c r="H440" s="6"/>
      <c r="I440" s="6"/>
      <c r="J440" s="6"/>
      <c r="K440" s="6"/>
      <c r="L440" s="6"/>
      <c r="M440" s="6"/>
      <c r="N440" s="6"/>
      <c r="O440" s="6"/>
      <c r="P440" s="6"/>
      <c r="Q440" s="6"/>
      <c r="R440" s="6"/>
      <c r="S440" s="6"/>
      <c r="AV440" s="6"/>
      <c r="AW440" s="6"/>
      <c r="AX440" s="6"/>
      <c r="AY440" s="6"/>
      <c r="AZ440" s="6"/>
      <c r="BB440" s="6"/>
      <c r="BC440" s="6"/>
      <c r="BD440" s="6"/>
      <c r="BE440" s="6"/>
      <c r="BF440" s="6"/>
    </row>
    <row r="441" spans="1:58" s="2" customFormat="1" x14ac:dyDescent="0.2">
      <c r="A441" s="6"/>
      <c r="B441" s="6"/>
      <c r="C441" s="42"/>
      <c r="D441" s="6"/>
      <c r="E441" s="6"/>
      <c r="F441" s="6"/>
      <c r="G441" s="6"/>
      <c r="H441" s="6"/>
      <c r="I441" s="6"/>
      <c r="J441" s="6"/>
      <c r="K441" s="6"/>
      <c r="L441" s="6"/>
      <c r="M441" s="6"/>
      <c r="N441" s="6"/>
      <c r="O441" s="6"/>
      <c r="P441" s="6"/>
      <c r="Q441" s="6"/>
      <c r="R441" s="6"/>
      <c r="S441" s="6"/>
      <c r="AV441" s="6"/>
      <c r="AW441" s="6"/>
      <c r="AX441" s="6"/>
      <c r="AY441" s="6"/>
      <c r="AZ441" s="6"/>
      <c r="BB441" s="6"/>
      <c r="BC441" s="6"/>
      <c r="BD441" s="6"/>
      <c r="BE441" s="6"/>
      <c r="BF441" s="6"/>
    </row>
    <row r="442" spans="1:58" s="2" customFormat="1" x14ac:dyDescent="0.2">
      <c r="A442" s="6"/>
      <c r="B442" s="6"/>
      <c r="C442" s="42"/>
      <c r="D442" s="6"/>
      <c r="E442" s="6"/>
      <c r="F442" s="6"/>
      <c r="G442" s="6"/>
      <c r="H442" s="6"/>
      <c r="I442" s="6"/>
      <c r="J442" s="6"/>
      <c r="K442" s="6"/>
      <c r="L442" s="6"/>
      <c r="M442" s="6"/>
      <c r="N442" s="6"/>
      <c r="O442" s="6"/>
      <c r="P442" s="6"/>
      <c r="Q442" s="6"/>
      <c r="R442" s="6"/>
      <c r="S442" s="6"/>
      <c r="AV442" s="6"/>
      <c r="AW442" s="6"/>
      <c r="AX442" s="6"/>
      <c r="AY442" s="6"/>
      <c r="AZ442" s="6"/>
      <c r="BB442" s="6"/>
      <c r="BC442" s="6"/>
      <c r="BD442" s="6"/>
      <c r="BE442" s="6"/>
      <c r="BF442" s="6"/>
    </row>
    <row r="443" spans="1:58" s="2" customFormat="1" x14ac:dyDescent="0.2">
      <c r="A443" s="6"/>
      <c r="B443" s="6"/>
      <c r="C443" s="42"/>
      <c r="D443" s="6"/>
      <c r="E443" s="6"/>
      <c r="F443" s="6"/>
      <c r="G443" s="6"/>
      <c r="H443" s="6"/>
      <c r="I443" s="6"/>
      <c r="J443" s="6"/>
      <c r="K443" s="6"/>
      <c r="L443" s="6"/>
      <c r="M443" s="6"/>
      <c r="N443" s="6"/>
      <c r="O443" s="6"/>
      <c r="P443" s="6"/>
      <c r="Q443" s="6"/>
      <c r="R443" s="6"/>
      <c r="S443" s="6"/>
      <c r="AV443" s="6"/>
      <c r="AW443" s="6"/>
      <c r="AX443" s="6"/>
      <c r="AY443" s="6"/>
      <c r="AZ443" s="6"/>
      <c r="BB443" s="6"/>
      <c r="BC443" s="6"/>
      <c r="BD443" s="6"/>
      <c r="BE443" s="6"/>
      <c r="BF443" s="6"/>
    </row>
    <row r="444" spans="1:58" s="2" customFormat="1" x14ac:dyDescent="0.2">
      <c r="A444" s="6"/>
      <c r="B444" s="6"/>
      <c r="C444" s="42"/>
      <c r="D444" s="6"/>
      <c r="E444" s="6"/>
      <c r="F444" s="6"/>
      <c r="G444" s="6"/>
      <c r="H444" s="6"/>
      <c r="I444" s="6"/>
      <c r="J444" s="6"/>
      <c r="K444" s="6"/>
      <c r="L444" s="6"/>
      <c r="M444" s="6"/>
      <c r="N444" s="6"/>
      <c r="O444" s="6"/>
      <c r="P444" s="6"/>
      <c r="Q444" s="6"/>
      <c r="R444" s="6"/>
      <c r="S444" s="6"/>
      <c r="AV444" s="6"/>
      <c r="AW444" s="6"/>
      <c r="AX444" s="6"/>
      <c r="AY444" s="6"/>
      <c r="AZ444" s="6"/>
      <c r="BB444" s="6"/>
      <c r="BC444" s="6"/>
      <c r="BD444" s="6"/>
      <c r="BE444" s="6"/>
      <c r="BF444" s="6"/>
    </row>
    <row r="445" spans="1:58" s="2" customFormat="1" x14ac:dyDescent="0.2">
      <c r="A445" s="6"/>
      <c r="B445" s="6"/>
      <c r="C445" s="42"/>
      <c r="D445" s="6"/>
      <c r="E445" s="6"/>
      <c r="F445" s="6"/>
      <c r="G445" s="6"/>
      <c r="H445" s="6"/>
      <c r="I445" s="6"/>
      <c r="J445" s="6"/>
      <c r="K445" s="6"/>
      <c r="L445" s="6"/>
      <c r="M445" s="6"/>
      <c r="N445" s="6"/>
      <c r="O445" s="6"/>
      <c r="P445" s="6"/>
      <c r="Q445" s="6"/>
      <c r="R445" s="6"/>
      <c r="S445" s="6"/>
      <c r="AV445" s="6"/>
      <c r="AW445" s="6"/>
      <c r="AX445" s="6"/>
      <c r="AY445" s="6"/>
      <c r="AZ445" s="6"/>
      <c r="BB445" s="6"/>
      <c r="BC445" s="6"/>
      <c r="BD445" s="6"/>
      <c r="BE445" s="6"/>
      <c r="BF445" s="6"/>
    </row>
    <row r="446" spans="1:58" s="2" customFormat="1" x14ac:dyDescent="0.2">
      <c r="A446" s="6"/>
      <c r="B446" s="6"/>
      <c r="C446" s="42"/>
      <c r="D446" s="6"/>
      <c r="E446" s="6"/>
      <c r="F446" s="6"/>
      <c r="G446" s="6"/>
      <c r="H446" s="6"/>
      <c r="I446" s="6"/>
      <c r="J446" s="6"/>
      <c r="K446" s="6"/>
      <c r="L446" s="6"/>
      <c r="M446" s="6"/>
      <c r="N446" s="6"/>
      <c r="O446" s="6"/>
      <c r="P446" s="6"/>
      <c r="Q446" s="6"/>
      <c r="R446" s="6"/>
      <c r="S446" s="6"/>
      <c r="AV446" s="6"/>
      <c r="AW446" s="6"/>
      <c r="AX446" s="6"/>
      <c r="AY446" s="6"/>
      <c r="AZ446" s="6"/>
      <c r="BB446" s="6"/>
      <c r="BC446" s="6"/>
      <c r="BD446" s="6"/>
      <c r="BE446" s="6"/>
      <c r="BF446" s="6"/>
    </row>
    <row r="447" spans="1:58" s="2" customFormat="1" x14ac:dyDescent="0.2">
      <c r="A447" s="6"/>
      <c r="B447" s="6"/>
      <c r="C447" s="42"/>
      <c r="D447" s="6"/>
      <c r="E447" s="6"/>
      <c r="F447" s="6"/>
      <c r="G447" s="6"/>
      <c r="H447" s="6"/>
      <c r="I447" s="6"/>
      <c r="J447" s="6"/>
      <c r="K447" s="6"/>
      <c r="L447" s="6"/>
      <c r="M447" s="6"/>
      <c r="N447" s="6"/>
      <c r="O447" s="6"/>
      <c r="P447" s="6"/>
      <c r="Q447" s="6"/>
      <c r="R447" s="6"/>
      <c r="S447" s="6"/>
      <c r="AV447" s="6"/>
      <c r="AW447" s="6"/>
      <c r="AX447" s="6"/>
      <c r="AY447" s="6"/>
      <c r="AZ447" s="6"/>
      <c r="BB447" s="6"/>
      <c r="BC447" s="6"/>
      <c r="BD447" s="6"/>
      <c r="BE447" s="6"/>
      <c r="BF447" s="6"/>
    </row>
    <row r="448" spans="1:58" s="2" customFormat="1" x14ac:dyDescent="0.2">
      <c r="A448" s="6"/>
      <c r="B448" s="6"/>
      <c r="C448" s="42"/>
      <c r="D448" s="6"/>
      <c r="E448" s="6"/>
      <c r="F448" s="6"/>
      <c r="G448" s="6"/>
      <c r="H448" s="6"/>
      <c r="I448" s="6"/>
      <c r="J448" s="6"/>
      <c r="K448" s="6"/>
      <c r="L448" s="6"/>
      <c r="M448" s="6"/>
      <c r="N448" s="6"/>
      <c r="O448" s="6"/>
      <c r="P448" s="6"/>
      <c r="Q448" s="6"/>
      <c r="R448" s="6"/>
      <c r="S448" s="6"/>
      <c r="AV448" s="6"/>
      <c r="AW448" s="6"/>
      <c r="AX448" s="6"/>
      <c r="AY448" s="6"/>
      <c r="AZ448" s="6"/>
      <c r="BB448" s="6"/>
      <c r="BC448" s="6"/>
      <c r="BD448" s="6"/>
      <c r="BE448" s="6"/>
      <c r="BF448" s="6"/>
    </row>
    <row r="449" spans="1:58" s="2" customFormat="1" x14ac:dyDescent="0.2">
      <c r="A449" s="6"/>
      <c r="B449" s="6"/>
      <c r="C449" s="42"/>
      <c r="D449" s="6"/>
      <c r="E449" s="6"/>
      <c r="F449" s="6"/>
      <c r="G449" s="6"/>
      <c r="H449" s="6"/>
      <c r="I449" s="6"/>
      <c r="J449" s="6"/>
      <c r="K449" s="6"/>
      <c r="L449" s="6"/>
      <c r="M449" s="6"/>
      <c r="N449" s="6"/>
      <c r="O449" s="6"/>
      <c r="P449" s="6"/>
      <c r="Q449" s="6"/>
      <c r="R449" s="6"/>
      <c r="S449" s="6"/>
      <c r="AV449" s="6"/>
      <c r="AW449" s="6"/>
      <c r="AX449" s="6"/>
      <c r="AY449" s="6"/>
      <c r="AZ449" s="6"/>
      <c r="BB449" s="6"/>
      <c r="BC449" s="6"/>
      <c r="BD449" s="6"/>
      <c r="BE449" s="6"/>
      <c r="BF449" s="6"/>
    </row>
    <row r="450" spans="1:58" s="2" customFormat="1" x14ac:dyDescent="0.2">
      <c r="A450" s="6"/>
      <c r="B450" s="6"/>
      <c r="C450" s="42"/>
      <c r="D450" s="6"/>
      <c r="E450" s="6"/>
      <c r="F450" s="6"/>
      <c r="G450" s="6"/>
      <c r="H450" s="6"/>
      <c r="I450" s="6"/>
      <c r="J450" s="6"/>
      <c r="K450" s="6"/>
      <c r="L450" s="6"/>
      <c r="M450" s="6"/>
      <c r="N450" s="6"/>
      <c r="O450" s="6"/>
      <c r="P450" s="6"/>
      <c r="Q450" s="6"/>
      <c r="R450" s="6"/>
      <c r="S450" s="6"/>
      <c r="AV450" s="6"/>
      <c r="AW450" s="6"/>
      <c r="AX450" s="6"/>
      <c r="AY450" s="6"/>
      <c r="AZ450" s="6"/>
      <c r="BB450" s="6"/>
      <c r="BC450" s="6"/>
      <c r="BD450" s="6"/>
      <c r="BE450" s="6"/>
      <c r="BF450" s="6"/>
    </row>
    <row r="451" spans="1:58" s="2" customFormat="1" x14ac:dyDescent="0.2">
      <c r="A451" s="6"/>
      <c r="B451" s="6"/>
      <c r="C451" s="42"/>
      <c r="D451" s="6"/>
      <c r="E451" s="6"/>
      <c r="F451" s="6"/>
      <c r="G451" s="6"/>
      <c r="H451" s="6"/>
      <c r="I451" s="6"/>
      <c r="J451" s="6"/>
      <c r="K451" s="6"/>
      <c r="L451" s="6"/>
      <c r="M451" s="6"/>
      <c r="N451" s="6"/>
      <c r="O451" s="6"/>
      <c r="P451" s="6"/>
      <c r="Q451" s="6"/>
      <c r="R451" s="6"/>
      <c r="S451" s="6"/>
      <c r="AV451" s="6"/>
      <c r="AW451" s="6"/>
      <c r="AX451" s="6"/>
      <c r="AY451" s="6"/>
      <c r="AZ451" s="6"/>
      <c r="BB451" s="6"/>
      <c r="BC451" s="6"/>
      <c r="BD451" s="6"/>
      <c r="BE451" s="6"/>
      <c r="BF451" s="6"/>
    </row>
    <row r="452" spans="1:58" s="2" customFormat="1" x14ac:dyDescent="0.2">
      <c r="A452" s="6"/>
      <c r="B452" s="6"/>
      <c r="C452" s="42"/>
      <c r="D452" s="6"/>
      <c r="E452" s="6"/>
      <c r="F452" s="6"/>
      <c r="G452" s="6"/>
      <c r="H452" s="6"/>
      <c r="I452" s="6"/>
      <c r="J452" s="6"/>
      <c r="K452" s="6"/>
      <c r="L452" s="6"/>
      <c r="M452" s="6"/>
      <c r="N452" s="6"/>
      <c r="O452" s="6"/>
      <c r="P452" s="6"/>
      <c r="Q452" s="6"/>
      <c r="R452" s="6"/>
      <c r="S452" s="6"/>
      <c r="AV452" s="6"/>
      <c r="AW452" s="6"/>
      <c r="AX452" s="6"/>
      <c r="AY452" s="6"/>
      <c r="AZ452" s="6"/>
      <c r="BB452" s="6"/>
      <c r="BC452" s="6"/>
      <c r="BD452" s="6"/>
      <c r="BE452" s="6"/>
      <c r="BF452" s="6"/>
    </row>
    <row r="453" spans="1:58" s="2" customFormat="1" x14ac:dyDescent="0.2">
      <c r="A453" s="6"/>
      <c r="B453" s="6"/>
      <c r="C453" s="42"/>
      <c r="D453" s="6"/>
      <c r="E453" s="6"/>
      <c r="F453" s="6"/>
      <c r="G453" s="6"/>
      <c r="H453" s="6"/>
      <c r="I453" s="6"/>
      <c r="J453" s="6"/>
      <c r="K453" s="6"/>
      <c r="L453" s="6"/>
      <c r="M453" s="6"/>
      <c r="N453" s="6"/>
      <c r="O453" s="6"/>
      <c r="P453" s="6"/>
      <c r="Q453" s="6"/>
      <c r="R453" s="6"/>
      <c r="S453" s="6"/>
      <c r="AV453" s="6"/>
      <c r="AW453" s="6"/>
      <c r="AX453" s="6"/>
      <c r="AY453" s="6"/>
      <c r="AZ453" s="6"/>
      <c r="BB453" s="6"/>
      <c r="BC453" s="6"/>
      <c r="BD453" s="6"/>
      <c r="BE453" s="6"/>
      <c r="BF453" s="6"/>
    </row>
    <row r="454" spans="1:58" s="2" customFormat="1" x14ac:dyDescent="0.2">
      <c r="A454" s="6"/>
      <c r="B454" s="6"/>
      <c r="C454" s="42"/>
      <c r="D454" s="6"/>
      <c r="E454" s="6"/>
      <c r="F454" s="6"/>
      <c r="G454" s="6"/>
      <c r="H454" s="6"/>
      <c r="I454" s="6"/>
      <c r="J454" s="6"/>
      <c r="K454" s="6"/>
      <c r="L454" s="6"/>
      <c r="M454" s="6"/>
      <c r="N454" s="6"/>
      <c r="O454" s="6"/>
      <c r="P454" s="6"/>
      <c r="Q454" s="6"/>
      <c r="R454" s="6"/>
      <c r="S454" s="6"/>
      <c r="AV454" s="6"/>
      <c r="AW454" s="6"/>
      <c r="AX454" s="6"/>
      <c r="AY454" s="6"/>
      <c r="AZ454" s="6"/>
      <c r="BB454" s="6"/>
      <c r="BC454" s="6"/>
      <c r="BD454" s="6"/>
      <c r="BE454" s="6"/>
      <c r="BF454" s="6"/>
    </row>
    <row r="455" spans="1:58" s="2" customFormat="1" x14ac:dyDescent="0.2">
      <c r="A455" s="6"/>
      <c r="B455" s="6"/>
      <c r="C455" s="42"/>
      <c r="D455" s="6"/>
      <c r="E455" s="6"/>
      <c r="F455" s="6"/>
      <c r="G455" s="6"/>
      <c r="H455" s="6"/>
      <c r="I455" s="6"/>
      <c r="J455" s="6"/>
      <c r="K455" s="6"/>
      <c r="L455" s="6"/>
      <c r="M455" s="6"/>
      <c r="N455" s="6"/>
      <c r="O455" s="6"/>
      <c r="P455" s="6"/>
      <c r="Q455" s="6"/>
      <c r="R455" s="6"/>
      <c r="S455" s="6"/>
      <c r="AV455" s="6"/>
      <c r="AW455" s="6"/>
      <c r="AX455" s="6"/>
      <c r="AY455" s="6"/>
      <c r="AZ455" s="6"/>
      <c r="BB455" s="6"/>
      <c r="BC455" s="6"/>
      <c r="BD455" s="6"/>
      <c r="BE455" s="6"/>
      <c r="BF455" s="6"/>
    </row>
    <row r="456" spans="1:58" s="2" customFormat="1" x14ac:dyDescent="0.2">
      <c r="A456" s="6"/>
      <c r="B456" s="6"/>
      <c r="C456" s="42"/>
      <c r="D456" s="6"/>
      <c r="E456" s="6"/>
      <c r="F456" s="6"/>
      <c r="G456" s="6"/>
      <c r="H456" s="6"/>
      <c r="I456" s="6"/>
      <c r="J456" s="6"/>
      <c r="K456" s="6"/>
      <c r="L456" s="6"/>
      <c r="M456" s="6"/>
      <c r="N456" s="6"/>
      <c r="O456" s="6"/>
      <c r="P456" s="6"/>
      <c r="Q456" s="6"/>
      <c r="R456" s="6"/>
      <c r="S456" s="6"/>
      <c r="AV456" s="6"/>
      <c r="AW456" s="6"/>
      <c r="AX456" s="6"/>
      <c r="AY456" s="6"/>
      <c r="AZ456" s="6"/>
      <c r="BB456" s="6"/>
      <c r="BC456" s="6"/>
      <c r="BD456" s="6"/>
      <c r="BE456" s="6"/>
      <c r="BF456" s="6"/>
    </row>
    <row r="457" spans="1:58" s="2" customFormat="1" x14ac:dyDescent="0.2">
      <c r="A457" s="6"/>
      <c r="B457" s="6"/>
      <c r="C457" s="42"/>
      <c r="D457" s="6"/>
      <c r="E457" s="6"/>
      <c r="F457" s="6"/>
      <c r="G457" s="6"/>
      <c r="H457" s="6"/>
      <c r="I457" s="6"/>
      <c r="J457" s="6"/>
      <c r="K457" s="6"/>
      <c r="L457" s="6"/>
      <c r="M457" s="6"/>
      <c r="N457" s="6"/>
      <c r="O457" s="6"/>
      <c r="P457" s="6"/>
      <c r="Q457" s="6"/>
      <c r="R457" s="6"/>
      <c r="S457" s="6"/>
      <c r="AV457" s="6"/>
      <c r="AW457" s="6"/>
      <c r="AX457" s="6"/>
      <c r="AY457" s="6"/>
      <c r="AZ457" s="6"/>
      <c r="BB457" s="6"/>
      <c r="BC457" s="6"/>
      <c r="BD457" s="6"/>
      <c r="BE457" s="6"/>
      <c r="BF457" s="6"/>
    </row>
    <row r="458" spans="1:58" s="2" customFormat="1" x14ac:dyDescent="0.2">
      <c r="A458" s="6"/>
      <c r="B458" s="6"/>
      <c r="C458" s="42"/>
      <c r="D458" s="6"/>
      <c r="E458" s="6"/>
      <c r="F458" s="6"/>
      <c r="G458" s="6"/>
      <c r="H458" s="6"/>
      <c r="I458" s="6"/>
      <c r="J458" s="6"/>
      <c r="K458" s="6"/>
      <c r="L458" s="6"/>
      <c r="M458" s="6"/>
      <c r="N458" s="6"/>
      <c r="O458" s="6"/>
      <c r="P458" s="6"/>
      <c r="Q458" s="6"/>
      <c r="R458" s="6"/>
      <c r="S458" s="6"/>
      <c r="AV458" s="6"/>
      <c r="AW458" s="6"/>
      <c r="AX458" s="6"/>
      <c r="AY458" s="6"/>
      <c r="AZ458" s="6"/>
      <c r="BB458" s="6"/>
      <c r="BC458" s="6"/>
      <c r="BD458" s="6"/>
      <c r="BE458" s="6"/>
      <c r="BF458" s="6"/>
    </row>
    <row r="459" spans="1:58" s="2" customFormat="1" x14ac:dyDescent="0.2">
      <c r="A459" s="6"/>
      <c r="B459" s="6"/>
      <c r="C459" s="42"/>
      <c r="D459" s="6"/>
      <c r="E459" s="6"/>
      <c r="F459" s="6"/>
      <c r="G459" s="6"/>
      <c r="H459" s="6"/>
      <c r="I459" s="6"/>
      <c r="J459" s="6"/>
      <c r="K459" s="6"/>
      <c r="L459" s="6"/>
      <c r="M459" s="6"/>
      <c r="N459" s="6"/>
      <c r="O459" s="6"/>
      <c r="P459" s="6"/>
      <c r="Q459" s="6"/>
      <c r="R459" s="6"/>
      <c r="S459" s="6"/>
      <c r="AV459" s="6"/>
      <c r="AW459" s="6"/>
      <c r="AX459" s="6"/>
      <c r="AY459" s="6"/>
      <c r="AZ459" s="6"/>
      <c r="BB459" s="6"/>
      <c r="BC459" s="6"/>
      <c r="BD459" s="6"/>
      <c r="BE459" s="6"/>
      <c r="BF459" s="6"/>
    </row>
    <row r="460" spans="1:58" s="2" customFormat="1" x14ac:dyDescent="0.2">
      <c r="A460" s="6"/>
      <c r="B460" s="6"/>
      <c r="C460" s="42"/>
      <c r="D460" s="6"/>
      <c r="E460" s="6"/>
      <c r="F460" s="6"/>
      <c r="G460" s="6"/>
      <c r="H460" s="6"/>
      <c r="I460" s="6"/>
      <c r="J460" s="6"/>
      <c r="K460" s="6"/>
      <c r="L460" s="6"/>
      <c r="M460" s="6"/>
      <c r="N460" s="6"/>
      <c r="O460" s="6"/>
      <c r="P460" s="6"/>
      <c r="Q460" s="6"/>
      <c r="R460" s="6"/>
      <c r="S460" s="6"/>
      <c r="AV460" s="6"/>
      <c r="AW460" s="6"/>
      <c r="AX460" s="6"/>
      <c r="AY460" s="6"/>
      <c r="AZ460" s="6"/>
      <c r="BB460" s="6"/>
      <c r="BC460" s="6"/>
      <c r="BD460" s="6"/>
      <c r="BE460" s="6"/>
      <c r="BF460" s="6"/>
    </row>
    <row r="461" spans="1:58" s="2" customFormat="1" x14ac:dyDescent="0.2">
      <c r="A461" s="6"/>
      <c r="B461" s="6"/>
      <c r="C461" s="42"/>
      <c r="D461" s="6"/>
      <c r="E461" s="6"/>
      <c r="F461" s="6"/>
      <c r="G461" s="6"/>
      <c r="H461" s="6"/>
      <c r="I461" s="6"/>
      <c r="J461" s="6"/>
      <c r="K461" s="6"/>
      <c r="L461" s="6"/>
      <c r="M461" s="6"/>
      <c r="N461" s="6"/>
      <c r="O461" s="6"/>
      <c r="P461" s="6"/>
      <c r="Q461" s="6"/>
      <c r="R461" s="6"/>
      <c r="S461" s="6"/>
      <c r="AV461" s="6"/>
      <c r="AW461" s="6"/>
      <c r="AX461" s="6"/>
      <c r="AY461" s="6"/>
      <c r="AZ461" s="6"/>
      <c r="BB461" s="6"/>
      <c r="BC461" s="6"/>
      <c r="BD461" s="6"/>
      <c r="BE461" s="6"/>
      <c r="BF461" s="6"/>
    </row>
    <row r="462" spans="1:58" s="2" customFormat="1" x14ac:dyDescent="0.2">
      <c r="A462" s="6"/>
      <c r="B462" s="6"/>
      <c r="C462" s="42"/>
      <c r="D462" s="6"/>
      <c r="E462" s="6"/>
      <c r="F462" s="6"/>
      <c r="G462" s="6"/>
      <c r="H462" s="6"/>
      <c r="I462" s="6"/>
      <c r="J462" s="6"/>
      <c r="K462" s="6"/>
      <c r="L462" s="6"/>
      <c r="M462" s="6"/>
      <c r="N462" s="6"/>
      <c r="O462" s="6"/>
      <c r="P462" s="6"/>
      <c r="Q462" s="6"/>
      <c r="R462" s="6"/>
      <c r="S462" s="6"/>
      <c r="AV462" s="6"/>
      <c r="AW462" s="6"/>
      <c r="AX462" s="6"/>
      <c r="AY462" s="6"/>
      <c r="AZ462" s="6"/>
      <c r="BB462" s="6"/>
      <c r="BC462" s="6"/>
      <c r="BD462" s="6"/>
      <c r="BE462" s="6"/>
      <c r="BF462" s="6"/>
    </row>
    <row r="463" spans="1:58" s="2" customFormat="1" x14ac:dyDescent="0.2">
      <c r="A463" s="6"/>
      <c r="B463" s="6"/>
      <c r="C463" s="42"/>
      <c r="D463" s="6"/>
      <c r="E463" s="6"/>
      <c r="F463" s="6"/>
      <c r="G463" s="6"/>
      <c r="H463" s="6"/>
      <c r="I463" s="6"/>
      <c r="J463" s="6"/>
      <c r="K463" s="6"/>
      <c r="L463" s="6"/>
      <c r="M463" s="6"/>
      <c r="N463" s="6"/>
      <c r="O463" s="6"/>
      <c r="P463" s="6"/>
      <c r="Q463" s="6"/>
      <c r="R463" s="6"/>
      <c r="S463" s="6"/>
      <c r="AV463" s="6"/>
      <c r="AW463" s="6"/>
      <c r="AX463" s="6"/>
      <c r="AY463" s="6"/>
      <c r="AZ463" s="6"/>
      <c r="BB463" s="6"/>
      <c r="BC463" s="6"/>
      <c r="BD463" s="6"/>
      <c r="BE463" s="6"/>
      <c r="BF463" s="6"/>
    </row>
    <row r="464" spans="1:58" s="2" customFormat="1" x14ac:dyDescent="0.2">
      <c r="A464" s="6"/>
      <c r="B464" s="6"/>
      <c r="C464" s="42"/>
      <c r="D464" s="6"/>
      <c r="E464" s="6"/>
      <c r="F464" s="6"/>
      <c r="G464" s="6"/>
      <c r="H464" s="6"/>
      <c r="I464" s="6"/>
      <c r="J464" s="6"/>
      <c r="K464" s="6"/>
      <c r="L464" s="6"/>
      <c r="M464" s="6"/>
      <c r="N464" s="6"/>
      <c r="O464" s="6"/>
      <c r="P464" s="6"/>
      <c r="Q464" s="6"/>
      <c r="R464" s="6"/>
      <c r="S464" s="6"/>
      <c r="AV464" s="6"/>
      <c r="AW464" s="6"/>
      <c r="AX464" s="6"/>
      <c r="AY464" s="6"/>
      <c r="AZ464" s="6"/>
      <c r="BB464" s="6"/>
      <c r="BC464" s="6"/>
      <c r="BD464" s="6"/>
      <c r="BE464" s="6"/>
      <c r="BF464" s="6"/>
    </row>
    <row r="465" spans="1:58" s="2" customFormat="1" x14ac:dyDescent="0.2">
      <c r="A465" s="6"/>
      <c r="B465" s="6"/>
      <c r="C465" s="42"/>
      <c r="D465" s="6"/>
      <c r="E465" s="6"/>
      <c r="F465" s="6"/>
      <c r="G465" s="6"/>
      <c r="H465" s="6"/>
      <c r="I465" s="6"/>
      <c r="J465" s="6"/>
      <c r="K465" s="6"/>
      <c r="L465" s="6"/>
      <c r="M465" s="6"/>
      <c r="N465" s="6"/>
      <c r="O465" s="6"/>
      <c r="P465" s="6"/>
      <c r="Q465" s="6"/>
      <c r="R465" s="6"/>
      <c r="S465" s="6"/>
      <c r="AV465" s="6"/>
      <c r="AW465" s="6"/>
      <c r="AX465" s="6"/>
      <c r="AY465" s="6"/>
      <c r="AZ465" s="6"/>
      <c r="BB465" s="6"/>
      <c r="BC465" s="6"/>
      <c r="BD465" s="6"/>
      <c r="BE465" s="6"/>
      <c r="BF465" s="6"/>
    </row>
    <row r="466" spans="1:58" s="2" customFormat="1" x14ac:dyDescent="0.2">
      <c r="A466" s="6"/>
      <c r="B466" s="6"/>
      <c r="C466" s="42"/>
      <c r="D466" s="6"/>
      <c r="E466" s="6"/>
      <c r="F466" s="6"/>
      <c r="G466" s="6"/>
      <c r="H466" s="6"/>
      <c r="I466" s="6"/>
      <c r="J466" s="6"/>
      <c r="K466" s="6"/>
      <c r="L466" s="6"/>
      <c r="M466" s="6"/>
      <c r="N466" s="6"/>
      <c r="O466" s="6"/>
      <c r="P466" s="6"/>
      <c r="Q466" s="6"/>
      <c r="R466" s="6"/>
      <c r="S466" s="6"/>
      <c r="AV466" s="6"/>
      <c r="AW466" s="6"/>
      <c r="AX466" s="6"/>
      <c r="AY466" s="6"/>
      <c r="AZ466" s="6"/>
      <c r="BB466" s="6"/>
      <c r="BC466" s="6"/>
      <c r="BD466" s="6"/>
      <c r="BE466" s="6"/>
      <c r="BF466" s="6"/>
    </row>
    <row r="467" spans="1:58" s="2" customFormat="1" x14ac:dyDescent="0.2">
      <c r="A467" s="6"/>
      <c r="B467" s="6"/>
      <c r="C467" s="42"/>
      <c r="D467" s="6"/>
      <c r="E467" s="6"/>
      <c r="F467" s="6"/>
      <c r="G467" s="6"/>
      <c r="H467" s="6"/>
      <c r="I467" s="6"/>
      <c r="J467" s="6"/>
      <c r="K467" s="6"/>
      <c r="L467" s="6"/>
      <c r="M467" s="6"/>
      <c r="N467" s="6"/>
      <c r="O467" s="6"/>
      <c r="P467" s="6"/>
      <c r="Q467" s="6"/>
      <c r="R467" s="6"/>
      <c r="S467" s="6"/>
      <c r="AV467" s="6"/>
      <c r="AW467" s="6"/>
      <c r="AX467" s="6"/>
      <c r="AY467" s="6"/>
      <c r="AZ467" s="6"/>
      <c r="BB467" s="6"/>
      <c r="BC467" s="6"/>
      <c r="BD467" s="6"/>
      <c r="BE467" s="6"/>
      <c r="BF467" s="6"/>
    </row>
    <row r="468" spans="1:58" s="2" customFormat="1" x14ac:dyDescent="0.2">
      <c r="A468" s="6"/>
      <c r="B468" s="6"/>
      <c r="C468" s="42"/>
      <c r="D468" s="6"/>
      <c r="E468" s="6"/>
      <c r="F468" s="6"/>
      <c r="G468" s="6"/>
      <c r="H468" s="6"/>
      <c r="I468" s="6"/>
      <c r="J468" s="6"/>
      <c r="K468" s="6"/>
      <c r="L468" s="6"/>
      <c r="M468" s="6"/>
      <c r="N468" s="6"/>
      <c r="O468" s="6"/>
      <c r="P468" s="6"/>
      <c r="Q468" s="6"/>
      <c r="R468" s="6"/>
      <c r="S468" s="6"/>
      <c r="AV468" s="6"/>
      <c r="AW468" s="6"/>
      <c r="AX468" s="6"/>
      <c r="AY468" s="6"/>
      <c r="AZ468" s="6"/>
      <c r="BB468" s="6"/>
      <c r="BC468" s="6"/>
      <c r="BD468" s="6"/>
      <c r="BE468" s="6"/>
      <c r="BF468" s="6"/>
    </row>
    <row r="469" spans="1:58" s="2" customFormat="1" x14ac:dyDescent="0.2">
      <c r="A469" s="6"/>
      <c r="B469" s="6"/>
      <c r="C469" s="42"/>
      <c r="D469" s="6"/>
      <c r="E469" s="6"/>
      <c r="F469" s="6"/>
      <c r="G469" s="6"/>
      <c r="H469" s="6"/>
      <c r="I469" s="6"/>
      <c r="J469" s="6"/>
      <c r="K469" s="6"/>
      <c r="L469" s="6"/>
      <c r="M469" s="6"/>
      <c r="N469" s="6"/>
      <c r="O469" s="6"/>
      <c r="P469" s="6"/>
      <c r="Q469" s="6"/>
      <c r="R469" s="6"/>
      <c r="S469" s="6"/>
      <c r="AV469" s="6"/>
      <c r="AW469" s="6"/>
      <c r="AX469" s="6"/>
      <c r="AY469" s="6"/>
      <c r="AZ469" s="6"/>
      <c r="BB469" s="6"/>
      <c r="BC469" s="6"/>
      <c r="BD469" s="6"/>
      <c r="BE469" s="6"/>
      <c r="BF469" s="6"/>
    </row>
    <row r="470" spans="1:58" s="2" customFormat="1" x14ac:dyDescent="0.2">
      <c r="A470" s="6"/>
      <c r="B470" s="6"/>
      <c r="C470" s="42"/>
      <c r="D470" s="6"/>
      <c r="E470" s="6"/>
      <c r="F470" s="6"/>
      <c r="G470" s="6"/>
      <c r="H470" s="6"/>
      <c r="I470" s="6"/>
      <c r="J470" s="6"/>
      <c r="K470" s="6"/>
      <c r="L470" s="6"/>
      <c r="M470" s="6"/>
      <c r="N470" s="6"/>
      <c r="O470" s="6"/>
      <c r="P470" s="6"/>
      <c r="Q470" s="6"/>
      <c r="R470" s="6"/>
      <c r="S470" s="6"/>
      <c r="AV470" s="6"/>
      <c r="AW470" s="6"/>
      <c r="AX470" s="6"/>
      <c r="AY470" s="6"/>
      <c r="AZ470" s="6"/>
      <c r="BB470" s="6"/>
      <c r="BC470" s="6"/>
      <c r="BD470" s="6"/>
      <c r="BE470" s="6"/>
      <c r="BF470" s="6"/>
    </row>
    <row r="471" spans="1:58" s="2" customFormat="1" x14ac:dyDescent="0.2">
      <c r="A471" s="6"/>
      <c r="B471" s="6"/>
      <c r="C471" s="42"/>
      <c r="D471" s="6"/>
      <c r="E471" s="6"/>
      <c r="F471" s="6"/>
      <c r="G471" s="6"/>
      <c r="H471" s="6"/>
      <c r="I471" s="6"/>
      <c r="J471" s="6"/>
      <c r="K471" s="6"/>
      <c r="L471" s="6"/>
      <c r="M471" s="6"/>
      <c r="N471" s="6"/>
      <c r="O471" s="6"/>
      <c r="P471" s="6"/>
      <c r="Q471" s="6"/>
      <c r="R471" s="6"/>
      <c r="S471" s="6"/>
      <c r="AV471" s="6"/>
      <c r="AW471" s="6"/>
      <c r="AX471" s="6"/>
      <c r="AY471" s="6"/>
      <c r="AZ471" s="6"/>
      <c r="BB471" s="6"/>
      <c r="BC471" s="6"/>
      <c r="BD471" s="6"/>
      <c r="BE471" s="6"/>
      <c r="BF471" s="6"/>
    </row>
    <row r="472" spans="1:58" s="2" customFormat="1" x14ac:dyDescent="0.2">
      <c r="A472" s="6"/>
      <c r="B472" s="6"/>
      <c r="C472" s="42"/>
      <c r="D472" s="6"/>
      <c r="E472" s="6"/>
      <c r="F472" s="6"/>
      <c r="G472" s="6"/>
      <c r="H472" s="6"/>
      <c r="I472" s="6"/>
      <c r="J472" s="6"/>
      <c r="K472" s="6"/>
      <c r="L472" s="6"/>
      <c r="M472" s="6"/>
      <c r="N472" s="6"/>
      <c r="O472" s="6"/>
      <c r="P472" s="6"/>
      <c r="Q472" s="6"/>
      <c r="R472" s="6"/>
      <c r="S472" s="6"/>
      <c r="AV472" s="6"/>
      <c r="AW472" s="6"/>
      <c r="AX472" s="6"/>
      <c r="AY472" s="6"/>
      <c r="AZ472" s="6"/>
      <c r="BB472" s="6"/>
      <c r="BC472" s="6"/>
      <c r="BD472" s="6"/>
      <c r="BE472" s="6"/>
      <c r="BF472" s="6"/>
    </row>
    <row r="473" spans="1:58" s="2" customFormat="1" x14ac:dyDescent="0.2">
      <c r="A473" s="6"/>
      <c r="B473" s="6"/>
      <c r="C473" s="42"/>
      <c r="D473" s="6"/>
      <c r="E473" s="6"/>
      <c r="F473" s="6"/>
      <c r="G473" s="6"/>
      <c r="H473" s="6"/>
      <c r="I473" s="6"/>
      <c r="J473" s="6"/>
      <c r="K473" s="6"/>
      <c r="L473" s="6"/>
      <c r="M473" s="6"/>
      <c r="N473" s="6"/>
      <c r="O473" s="6"/>
      <c r="P473" s="6"/>
      <c r="Q473" s="6"/>
      <c r="R473" s="6"/>
      <c r="S473" s="6"/>
      <c r="AV473" s="6"/>
      <c r="AW473" s="6"/>
      <c r="AX473" s="6"/>
      <c r="AY473" s="6"/>
      <c r="AZ473" s="6"/>
      <c r="BB473" s="6"/>
      <c r="BC473" s="6"/>
      <c r="BD473" s="6"/>
      <c r="BE473" s="6"/>
      <c r="BF473" s="6"/>
    </row>
    <row r="474" spans="1:58" s="2" customFormat="1" x14ac:dyDescent="0.2">
      <c r="A474" s="6"/>
      <c r="B474" s="6"/>
      <c r="C474" s="42"/>
      <c r="D474" s="6"/>
      <c r="E474" s="6"/>
      <c r="F474" s="6"/>
      <c r="G474" s="6"/>
      <c r="H474" s="6"/>
      <c r="I474" s="6"/>
      <c r="J474" s="6"/>
      <c r="K474" s="6"/>
      <c r="L474" s="6"/>
      <c r="M474" s="6"/>
      <c r="N474" s="6"/>
      <c r="O474" s="6"/>
      <c r="P474" s="6"/>
      <c r="Q474" s="6"/>
      <c r="R474" s="6"/>
      <c r="S474" s="6"/>
      <c r="AV474" s="6"/>
      <c r="AW474" s="6"/>
      <c r="AX474" s="6"/>
      <c r="AY474" s="6"/>
      <c r="AZ474" s="6"/>
      <c r="BB474" s="6"/>
      <c r="BC474" s="6"/>
      <c r="BD474" s="6"/>
      <c r="BE474" s="6"/>
      <c r="BF474" s="6"/>
    </row>
    <row r="475" spans="1:58" s="2" customFormat="1" x14ac:dyDescent="0.2">
      <c r="A475" s="6"/>
      <c r="B475" s="6"/>
      <c r="C475" s="42"/>
      <c r="D475" s="6"/>
      <c r="E475" s="6"/>
      <c r="F475" s="6"/>
      <c r="G475" s="6"/>
      <c r="H475" s="6"/>
      <c r="I475" s="6"/>
      <c r="J475" s="6"/>
      <c r="K475" s="6"/>
      <c r="L475" s="6"/>
      <c r="M475" s="6"/>
      <c r="N475" s="6"/>
      <c r="O475" s="6"/>
      <c r="P475" s="6"/>
      <c r="Q475" s="6"/>
      <c r="R475" s="6"/>
      <c r="S475" s="6"/>
      <c r="AV475" s="6"/>
      <c r="AW475" s="6"/>
      <c r="AX475" s="6"/>
      <c r="AY475" s="6"/>
      <c r="AZ475" s="6"/>
      <c r="BB475" s="6"/>
      <c r="BC475" s="6"/>
      <c r="BD475" s="6"/>
      <c r="BE475" s="6"/>
      <c r="BF475" s="6"/>
    </row>
    <row r="476" spans="1:58" s="2" customFormat="1" x14ac:dyDescent="0.2">
      <c r="A476" s="6"/>
      <c r="B476" s="6"/>
      <c r="C476" s="42"/>
      <c r="D476" s="6"/>
      <c r="E476" s="6"/>
      <c r="F476" s="6"/>
      <c r="G476" s="6"/>
      <c r="H476" s="6"/>
      <c r="I476" s="6"/>
      <c r="J476" s="6"/>
      <c r="K476" s="6"/>
      <c r="L476" s="6"/>
      <c r="M476" s="6"/>
      <c r="N476" s="6"/>
      <c r="O476" s="6"/>
      <c r="P476" s="6"/>
      <c r="Q476" s="6"/>
      <c r="R476" s="6"/>
      <c r="S476" s="6"/>
      <c r="AV476" s="6"/>
      <c r="AW476" s="6"/>
      <c r="AX476" s="6"/>
      <c r="AY476" s="6"/>
      <c r="AZ476" s="6"/>
      <c r="BB476" s="6"/>
      <c r="BC476" s="6"/>
      <c r="BD476" s="6"/>
      <c r="BE476" s="6"/>
      <c r="BF476" s="6"/>
    </row>
    <row r="477" spans="1:58" s="2" customFormat="1" x14ac:dyDescent="0.2">
      <c r="A477" s="6"/>
      <c r="B477" s="6"/>
      <c r="C477" s="42"/>
      <c r="D477" s="6"/>
      <c r="E477" s="6"/>
      <c r="F477" s="6"/>
      <c r="G477" s="6"/>
      <c r="H477" s="6"/>
      <c r="I477" s="6"/>
      <c r="J477" s="6"/>
      <c r="K477" s="6"/>
      <c r="L477" s="6"/>
      <c r="M477" s="6"/>
      <c r="N477" s="6"/>
      <c r="O477" s="6"/>
      <c r="P477" s="6"/>
      <c r="Q477" s="6"/>
      <c r="R477" s="6"/>
      <c r="S477" s="6"/>
      <c r="AV477" s="6"/>
      <c r="AW477" s="6"/>
      <c r="AX477" s="6"/>
      <c r="AY477" s="6"/>
      <c r="AZ477" s="6"/>
      <c r="BB477" s="6"/>
      <c r="BC477" s="6"/>
      <c r="BD477" s="6"/>
      <c r="BE477" s="6"/>
      <c r="BF477" s="6"/>
    </row>
    <row r="478" spans="1:58" s="2" customFormat="1" x14ac:dyDescent="0.2">
      <c r="A478" s="6"/>
      <c r="B478" s="6"/>
      <c r="C478" s="42"/>
      <c r="D478" s="6"/>
      <c r="E478" s="6"/>
      <c r="F478" s="6"/>
      <c r="G478" s="6"/>
      <c r="H478" s="6"/>
      <c r="I478" s="6"/>
      <c r="J478" s="6"/>
      <c r="K478" s="6"/>
      <c r="L478" s="6"/>
      <c r="M478" s="6"/>
      <c r="N478" s="6"/>
      <c r="O478" s="6"/>
      <c r="P478" s="6"/>
      <c r="Q478" s="6"/>
      <c r="R478" s="6"/>
      <c r="S478" s="6"/>
      <c r="AV478" s="6"/>
      <c r="AW478" s="6"/>
      <c r="AX478" s="6"/>
      <c r="AY478" s="6"/>
      <c r="AZ478" s="6"/>
      <c r="BB478" s="6"/>
      <c r="BC478" s="6"/>
      <c r="BD478" s="6"/>
      <c r="BE478" s="6"/>
      <c r="BF478" s="6"/>
    </row>
    <row r="479" spans="1:58" s="2" customFormat="1" x14ac:dyDescent="0.2">
      <c r="A479" s="6"/>
      <c r="B479" s="6"/>
      <c r="C479" s="42"/>
      <c r="D479" s="6"/>
      <c r="E479" s="6"/>
      <c r="F479" s="6"/>
      <c r="G479" s="6"/>
      <c r="H479" s="6"/>
      <c r="I479" s="6"/>
      <c r="J479" s="6"/>
      <c r="K479" s="6"/>
      <c r="L479" s="6"/>
      <c r="M479" s="6"/>
      <c r="N479" s="6"/>
      <c r="O479" s="6"/>
      <c r="P479" s="6"/>
      <c r="Q479" s="6"/>
      <c r="R479" s="6"/>
      <c r="S479" s="6"/>
      <c r="AV479" s="6"/>
      <c r="AW479" s="6"/>
      <c r="AX479" s="6"/>
      <c r="AY479" s="6"/>
      <c r="AZ479" s="6"/>
      <c r="BB479" s="6"/>
      <c r="BC479" s="6"/>
      <c r="BD479" s="6"/>
      <c r="BE479" s="6"/>
      <c r="BF479" s="6"/>
    </row>
    <row r="480" spans="1:58" s="2" customFormat="1" x14ac:dyDescent="0.2">
      <c r="A480" s="6"/>
      <c r="B480" s="6"/>
      <c r="C480" s="42"/>
      <c r="D480" s="6"/>
      <c r="E480" s="6"/>
      <c r="F480" s="6"/>
      <c r="G480" s="6"/>
      <c r="H480" s="6"/>
      <c r="I480" s="6"/>
      <c r="J480" s="6"/>
      <c r="K480" s="6"/>
      <c r="L480" s="6"/>
      <c r="M480" s="6"/>
      <c r="N480" s="6"/>
      <c r="O480" s="6"/>
      <c r="P480" s="6"/>
      <c r="Q480" s="6"/>
      <c r="R480" s="6"/>
      <c r="S480" s="6"/>
      <c r="AV480" s="6"/>
      <c r="AW480" s="6"/>
      <c r="AX480" s="6"/>
      <c r="AY480" s="6"/>
      <c r="AZ480" s="6"/>
      <c r="BB480" s="6"/>
      <c r="BC480" s="6"/>
      <c r="BD480" s="6"/>
      <c r="BE480" s="6"/>
      <c r="BF480" s="6"/>
    </row>
    <row r="481" spans="1:58" s="2" customFormat="1" x14ac:dyDescent="0.2">
      <c r="A481" s="6"/>
      <c r="B481" s="6"/>
      <c r="C481" s="42"/>
      <c r="D481" s="6"/>
      <c r="E481" s="6"/>
      <c r="F481" s="6"/>
      <c r="G481" s="6"/>
      <c r="H481" s="6"/>
      <c r="I481" s="6"/>
      <c r="J481" s="6"/>
      <c r="K481" s="6"/>
      <c r="L481" s="6"/>
      <c r="M481" s="6"/>
      <c r="N481" s="6"/>
      <c r="O481" s="6"/>
      <c r="P481" s="6"/>
      <c r="Q481" s="6"/>
      <c r="R481" s="6"/>
      <c r="S481" s="6"/>
      <c r="AV481" s="6"/>
      <c r="AW481" s="6"/>
      <c r="AX481" s="6"/>
      <c r="AY481" s="6"/>
      <c r="AZ481" s="6"/>
      <c r="BB481" s="6"/>
      <c r="BC481" s="6"/>
      <c r="BD481" s="6"/>
      <c r="BE481" s="6"/>
      <c r="BF481" s="6"/>
    </row>
    <row r="482" spans="1:58" s="2" customFormat="1" x14ac:dyDescent="0.2">
      <c r="A482" s="6"/>
      <c r="B482" s="6"/>
      <c r="C482" s="42"/>
      <c r="D482" s="6"/>
      <c r="E482" s="6"/>
      <c r="F482" s="6"/>
      <c r="G482" s="6"/>
      <c r="H482" s="6"/>
      <c r="I482" s="6"/>
      <c r="J482" s="6"/>
      <c r="K482" s="6"/>
      <c r="L482" s="6"/>
      <c r="M482" s="6"/>
      <c r="N482" s="6"/>
      <c r="O482" s="6"/>
      <c r="P482" s="6"/>
      <c r="Q482" s="6"/>
      <c r="R482" s="6"/>
      <c r="S482" s="6"/>
      <c r="AV482" s="6"/>
      <c r="AW482" s="6"/>
      <c r="AX482" s="6"/>
      <c r="AY482" s="6"/>
      <c r="AZ482" s="6"/>
      <c r="BB482" s="6"/>
      <c r="BC482" s="6"/>
      <c r="BD482" s="6"/>
      <c r="BE482" s="6"/>
      <c r="BF482" s="6"/>
    </row>
    <row r="483" spans="1:58" s="2" customFormat="1" x14ac:dyDescent="0.2">
      <c r="A483" s="6"/>
      <c r="B483" s="6"/>
      <c r="C483" s="42"/>
      <c r="D483" s="6"/>
      <c r="E483" s="6"/>
      <c r="F483" s="6"/>
      <c r="G483" s="6"/>
      <c r="H483" s="6"/>
      <c r="I483" s="6"/>
      <c r="J483" s="6"/>
      <c r="K483" s="6"/>
      <c r="L483" s="6"/>
      <c r="M483" s="6"/>
      <c r="N483" s="6"/>
      <c r="O483" s="6"/>
      <c r="P483" s="6"/>
      <c r="Q483" s="6"/>
      <c r="R483" s="6"/>
      <c r="S483" s="6"/>
      <c r="AV483" s="6"/>
      <c r="AW483" s="6"/>
      <c r="AX483" s="6"/>
      <c r="AY483" s="6"/>
      <c r="AZ483" s="6"/>
      <c r="BB483" s="6"/>
      <c r="BC483" s="6"/>
      <c r="BD483" s="6"/>
      <c r="BE483" s="6"/>
      <c r="BF483" s="6"/>
    </row>
    <row r="484" spans="1:58" s="2" customFormat="1" x14ac:dyDescent="0.2">
      <c r="A484" s="6"/>
      <c r="B484" s="6"/>
      <c r="C484" s="42"/>
      <c r="D484" s="6"/>
      <c r="E484" s="6"/>
      <c r="F484" s="6"/>
      <c r="G484" s="6"/>
      <c r="H484" s="6"/>
      <c r="I484" s="6"/>
      <c r="J484" s="6"/>
      <c r="K484" s="6"/>
      <c r="L484" s="6"/>
      <c r="M484" s="6"/>
      <c r="N484" s="6"/>
      <c r="O484" s="6"/>
      <c r="P484" s="6"/>
      <c r="Q484" s="6"/>
      <c r="R484" s="6"/>
      <c r="S484" s="6"/>
      <c r="AV484" s="6"/>
      <c r="AW484" s="6"/>
      <c r="AX484" s="6"/>
      <c r="AY484" s="6"/>
      <c r="AZ484" s="6"/>
      <c r="BB484" s="6"/>
      <c r="BC484" s="6"/>
      <c r="BD484" s="6"/>
      <c r="BE484" s="6"/>
      <c r="BF484" s="6"/>
    </row>
    <row r="485" spans="1:58" s="2" customFormat="1" x14ac:dyDescent="0.2">
      <c r="A485" s="6"/>
      <c r="B485" s="6"/>
      <c r="C485" s="42"/>
      <c r="D485" s="6"/>
      <c r="E485" s="6"/>
      <c r="F485" s="6"/>
      <c r="G485" s="6"/>
      <c r="H485" s="6"/>
      <c r="I485" s="6"/>
      <c r="J485" s="6"/>
      <c r="K485" s="6"/>
      <c r="L485" s="6"/>
      <c r="M485" s="6"/>
      <c r="N485" s="6"/>
      <c r="O485" s="6"/>
      <c r="P485" s="6"/>
      <c r="Q485" s="6"/>
      <c r="R485" s="6"/>
      <c r="S485" s="6"/>
      <c r="AV485" s="6"/>
      <c r="AW485" s="6"/>
      <c r="AX485" s="6"/>
      <c r="AY485" s="6"/>
      <c r="AZ485" s="6"/>
      <c r="BB485" s="6"/>
      <c r="BC485" s="6"/>
      <c r="BD485" s="6"/>
      <c r="BE485" s="6"/>
      <c r="BF485" s="6"/>
    </row>
    <row r="486" spans="1:58" s="2" customFormat="1" x14ac:dyDescent="0.2">
      <c r="A486" s="6"/>
      <c r="B486" s="6"/>
      <c r="C486" s="42"/>
      <c r="D486" s="6"/>
      <c r="E486" s="6"/>
      <c r="F486" s="6"/>
      <c r="G486" s="6"/>
      <c r="H486" s="6"/>
      <c r="I486" s="6"/>
      <c r="J486" s="6"/>
      <c r="K486" s="6"/>
      <c r="L486" s="6"/>
      <c r="M486" s="6"/>
      <c r="N486" s="6"/>
      <c r="O486" s="6"/>
      <c r="P486" s="6"/>
      <c r="Q486" s="6"/>
      <c r="R486" s="6"/>
      <c r="S486" s="6"/>
      <c r="AV486" s="6"/>
      <c r="AW486" s="6"/>
      <c r="AX486" s="6"/>
      <c r="AY486" s="6"/>
      <c r="AZ486" s="6"/>
      <c r="BB486" s="6"/>
      <c r="BC486" s="6"/>
      <c r="BD486" s="6"/>
      <c r="BE486" s="6"/>
      <c r="BF486" s="6"/>
    </row>
    <row r="487" spans="1:58" s="2" customFormat="1" x14ac:dyDescent="0.2">
      <c r="A487" s="6"/>
      <c r="B487" s="6"/>
      <c r="C487" s="42"/>
      <c r="D487" s="6"/>
      <c r="E487" s="6"/>
      <c r="F487" s="6"/>
      <c r="G487" s="6"/>
      <c r="H487" s="6"/>
      <c r="I487" s="6"/>
      <c r="J487" s="6"/>
      <c r="K487" s="6"/>
      <c r="L487" s="6"/>
      <c r="M487" s="6"/>
      <c r="N487" s="6"/>
      <c r="O487" s="6"/>
      <c r="P487" s="6"/>
      <c r="Q487" s="6"/>
      <c r="R487" s="6"/>
      <c r="S487" s="6"/>
      <c r="AV487" s="6"/>
      <c r="AW487" s="6"/>
      <c r="AX487" s="6"/>
      <c r="AY487" s="6"/>
      <c r="AZ487" s="6"/>
      <c r="BB487" s="6"/>
      <c r="BC487" s="6"/>
      <c r="BD487" s="6"/>
      <c r="BE487" s="6"/>
      <c r="BF487" s="6"/>
    </row>
    <row r="488" spans="1:58" s="2" customFormat="1" x14ac:dyDescent="0.2">
      <c r="A488" s="6"/>
      <c r="B488" s="6"/>
      <c r="C488" s="42"/>
      <c r="D488" s="6"/>
      <c r="E488" s="6"/>
      <c r="F488" s="6"/>
      <c r="G488" s="6"/>
      <c r="H488" s="6"/>
      <c r="I488" s="6"/>
      <c r="J488" s="6"/>
      <c r="K488" s="6"/>
      <c r="L488" s="6"/>
      <c r="M488" s="6"/>
      <c r="N488" s="6"/>
      <c r="O488" s="6"/>
      <c r="P488" s="6"/>
      <c r="Q488" s="6"/>
      <c r="R488" s="6"/>
      <c r="S488" s="6"/>
      <c r="AV488" s="6"/>
      <c r="AW488" s="6"/>
      <c r="AX488" s="6"/>
      <c r="AY488" s="6"/>
      <c r="AZ488" s="6"/>
      <c r="BB488" s="6"/>
      <c r="BC488" s="6"/>
      <c r="BD488" s="6"/>
      <c r="BE488" s="6"/>
      <c r="BF488" s="6"/>
    </row>
    <row r="489" spans="1:58" s="2" customFormat="1" x14ac:dyDescent="0.2">
      <c r="A489" s="6"/>
      <c r="B489" s="6"/>
      <c r="C489" s="42"/>
      <c r="D489" s="6"/>
      <c r="E489" s="6"/>
      <c r="F489" s="6"/>
      <c r="G489" s="6"/>
      <c r="H489" s="6"/>
      <c r="I489" s="6"/>
      <c r="J489" s="6"/>
      <c r="K489" s="6"/>
      <c r="L489" s="6"/>
      <c r="M489" s="6"/>
      <c r="N489" s="6"/>
      <c r="O489" s="6"/>
      <c r="P489" s="6"/>
      <c r="Q489" s="6"/>
      <c r="R489" s="6"/>
      <c r="S489" s="6"/>
      <c r="AV489" s="6"/>
      <c r="AW489" s="6"/>
      <c r="AX489" s="6"/>
      <c r="AY489" s="6"/>
      <c r="AZ489" s="6"/>
      <c r="BB489" s="6"/>
      <c r="BC489" s="6"/>
      <c r="BD489" s="6"/>
      <c r="BE489" s="6"/>
      <c r="BF489" s="6"/>
    </row>
    <row r="490" spans="1:58" s="2" customFormat="1" x14ac:dyDescent="0.2">
      <c r="A490" s="6"/>
      <c r="B490" s="6"/>
      <c r="C490" s="42"/>
      <c r="D490" s="6"/>
      <c r="E490" s="6"/>
      <c r="F490" s="6"/>
      <c r="G490" s="6"/>
      <c r="H490" s="6"/>
      <c r="I490" s="6"/>
      <c r="J490" s="6"/>
      <c r="K490" s="6"/>
      <c r="L490" s="6"/>
      <c r="M490" s="6"/>
      <c r="N490" s="6"/>
      <c r="O490" s="6"/>
      <c r="P490" s="6"/>
      <c r="Q490" s="6"/>
      <c r="R490" s="6"/>
      <c r="S490" s="6"/>
      <c r="AV490" s="6"/>
      <c r="AW490" s="6"/>
      <c r="AX490" s="6"/>
      <c r="AY490" s="6"/>
      <c r="AZ490" s="6"/>
      <c r="BB490" s="6"/>
      <c r="BC490" s="6"/>
      <c r="BD490" s="6"/>
      <c r="BE490" s="6"/>
      <c r="BF490" s="6"/>
    </row>
    <row r="491" spans="1:58" s="2" customFormat="1" x14ac:dyDescent="0.2">
      <c r="A491" s="6"/>
      <c r="B491" s="6"/>
      <c r="C491" s="42"/>
      <c r="D491" s="6"/>
      <c r="E491" s="6"/>
      <c r="F491" s="6"/>
      <c r="G491" s="6"/>
      <c r="H491" s="6"/>
      <c r="I491" s="6"/>
      <c r="J491" s="6"/>
      <c r="K491" s="6"/>
      <c r="L491" s="6"/>
      <c r="M491" s="6"/>
      <c r="N491" s="6"/>
      <c r="O491" s="6"/>
      <c r="P491" s="6"/>
      <c r="Q491" s="6"/>
      <c r="R491" s="6"/>
      <c r="S491" s="6"/>
      <c r="AV491" s="6"/>
      <c r="AW491" s="6"/>
      <c r="AX491" s="6"/>
      <c r="AY491" s="6"/>
      <c r="AZ491" s="6"/>
      <c r="BB491" s="6"/>
      <c r="BC491" s="6"/>
      <c r="BD491" s="6"/>
      <c r="BE491" s="6"/>
      <c r="BF491" s="6"/>
    </row>
    <row r="492" spans="1:58" s="2" customFormat="1" x14ac:dyDescent="0.2">
      <c r="A492" s="6"/>
      <c r="B492" s="6"/>
      <c r="C492" s="42"/>
      <c r="D492" s="6"/>
      <c r="E492" s="6"/>
      <c r="F492" s="6"/>
      <c r="G492" s="6"/>
      <c r="H492" s="6"/>
      <c r="I492" s="6"/>
      <c r="J492" s="6"/>
      <c r="K492" s="6"/>
      <c r="L492" s="6"/>
      <c r="M492" s="6"/>
      <c r="N492" s="6"/>
      <c r="O492" s="6"/>
      <c r="P492" s="6"/>
      <c r="Q492" s="6"/>
      <c r="R492" s="6"/>
      <c r="S492" s="6"/>
      <c r="AV492" s="6"/>
      <c r="AW492" s="6"/>
      <c r="AX492" s="6"/>
      <c r="AY492" s="6"/>
      <c r="AZ492" s="6"/>
      <c r="BB492" s="6"/>
      <c r="BC492" s="6"/>
      <c r="BD492" s="6"/>
      <c r="BE492" s="6"/>
      <c r="BF492" s="6"/>
    </row>
    <row r="493" spans="1:58" s="2" customFormat="1" x14ac:dyDescent="0.2">
      <c r="A493" s="6"/>
      <c r="B493" s="6"/>
      <c r="C493" s="42"/>
      <c r="D493" s="6"/>
      <c r="E493" s="6"/>
      <c r="F493" s="6"/>
      <c r="G493" s="6"/>
      <c r="H493" s="6"/>
      <c r="I493" s="6"/>
      <c r="J493" s="6"/>
      <c r="K493" s="6"/>
      <c r="L493" s="6"/>
      <c r="M493" s="6"/>
      <c r="N493" s="6"/>
      <c r="O493" s="6"/>
      <c r="P493" s="6"/>
      <c r="Q493" s="6"/>
      <c r="R493" s="6"/>
      <c r="S493" s="6"/>
      <c r="AV493" s="6"/>
      <c r="AW493" s="6"/>
      <c r="AX493" s="6"/>
      <c r="AY493" s="6"/>
      <c r="AZ493" s="6"/>
      <c r="BB493" s="6"/>
      <c r="BC493" s="6"/>
      <c r="BD493" s="6"/>
      <c r="BE493" s="6"/>
      <c r="BF493" s="6"/>
    </row>
    <row r="494" spans="1:58" s="2" customFormat="1" x14ac:dyDescent="0.2">
      <c r="A494" s="6"/>
      <c r="B494" s="6"/>
      <c r="C494" s="42"/>
      <c r="D494" s="6"/>
      <c r="E494" s="6"/>
      <c r="F494" s="6"/>
      <c r="G494" s="6"/>
      <c r="H494" s="6"/>
      <c r="I494" s="6"/>
      <c r="J494" s="6"/>
      <c r="K494" s="6"/>
      <c r="L494" s="6"/>
      <c r="M494" s="6"/>
      <c r="N494" s="6"/>
      <c r="O494" s="6"/>
      <c r="P494" s="6"/>
      <c r="Q494" s="6"/>
      <c r="R494" s="6"/>
      <c r="S494" s="6"/>
      <c r="AV494" s="6"/>
      <c r="AW494" s="6"/>
      <c r="AX494" s="6"/>
      <c r="AY494" s="6"/>
      <c r="AZ494" s="6"/>
      <c r="BB494" s="6"/>
      <c r="BC494" s="6"/>
      <c r="BD494" s="6"/>
      <c r="BE494" s="6"/>
      <c r="BF494" s="6"/>
    </row>
    <row r="495" spans="1:58" s="2" customFormat="1" x14ac:dyDescent="0.2">
      <c r="A495" s="6"/>
      <c r="B495" s="6"/>
      <c r="C495" s="42"/>
      <c r="D495" s="6"/>
      <c r="E495" s="6"/>
      <c r="F495" s="6"/>
      <c r="G495" s="6"/>
      <c r="H495" s="6"/>
      <c r="I495" s="6"/>
      <c r="J495" s="6"/>
      <c r="K495" s="6"/>
      <c r="L495" s="6"/>
      <c r="M495" s="6"/>
      <c r="N495" s="6"/>
      <c r="O495" s="6"/>
      <c r="P495" s="6"/>
      <c r="Q495" s="6"/>
      <c r="R495" s="6"/>
      <c r="S495" s="6"/>
      <c r="AV495" s="6"/>
      <c r="AW495" s="6"/>
      <c r="AX495" s="6"/>
      <c r="AY495" s="6"/>
      <c r="AZ495" s="6"/>
      <c r="BB495" s="6"/>
      <c r="BC495" s="6"/>
      <c r="BD495" s="6"/>
      <c r="BE495" s="6"/>
      <c r="BF495" s="6"/>
    </row>
    <row r="496" spans="1:58" s="2" customFormat="1" x14ac:dyDescent="0.2">
      <c r="A496" s="6"/>
      <c r="B496" s="6"/>
      <c r="C496" s="42"/>
      <c r="D496" s="6"/>
      <c r="E496" s="6"/>
      <c r="F496" s="6"/>
      <c r="G496" s="6"/>
      <c r="H496" s="6"/>
      <c r="I496" s="6"/>
      <c r="J496" s="6"/>
      <c r="K496" s="6"/>
      <c r="L496" s="6"/>
      <c r="M496" s="6"/>
      <c r="N496" s="6"/>
      <c r="O496" s="6"/>
      <c r="P496" s="6"/>
      <c r="Q496" s="6"/>
      <c r="R496" s="6"/>
      <c r="S496" s="6"/>
      <c r="AV496" s="6"/>
      <c r="AW496" s="6"/>
      <c r="AX496" s="6"/>
      <c r="AY496" s="6"/>
      <c r="AZ496" s="6"/>
      <c r="BB496" s="6"/>
      <c r="BC496" s="6"/>
      <c r="BD496" s="6"/>
      <c r="BE496" s="6"/>
      <c r="BF496" s="6"/>
    </row>
    <row r="497" spans="1:58" s="2" customFormat="1" x14ac:dyDescent="0.2">
      <c r="A497" s="6"/>
      <c r="B497" s="6"/>
      <c r="C497" s="42"/>
      <c r="D497" s="6"/>
      <c r="E497" s="6"/>
      <c r="F497" s="6"/>
      <c r="G497" s="6"/>
      <c r="H497" s="6"/>
      <c r="I497" s="6"/>
      <c r="J497" s="6"/>
      <c r="K497" s="6"/>
      <c r="L497" s="6"/>
      <c r="M497" s="6"/>
      <c r="N497" s="6"/>
      <c r="O497" s="6"/>
      <c r="P497" s="6"/>
      <c r="Q497" s="6"/>
      <c r="R497" s="6"/>
      <c r="S497" s="6"/>
      <c r="AV497" s="6"/>
      <c r="AW497" s="6"/>
      <c r="AX497" s="6"/>
      <c r="AY497" s="6"/>
      <c r="AZ497" s="6"/>
      <c r="BB497" s="6"/>
      <c r="BC497" s="6"/>
      <c r="BD497" s="6"/>
      <c r="BE497" s="6"/>
      <c r="BF497" s="6"/>
    </row>
    <row r="498" spans="1:58" s="2" customFormat="1" x14ac:dyDescent="0.2">
      <c r="A498" s="6"/>
      <c r="B498" s="6"/>
      <c r="C498" s="42"/>
      <c r="D498" s="6"/>
      <c r="E498" s="6"/>
      <c r="F498" s="6"/>
      <c r="G498" s="6"/>
      <c r="H498" s="6"/>
      <c r="I498" s="6"/>
      <c r="J498" s="6"/>
      <c r="K498" s="6"/>
      <c r="L498" s="6"/>
      <c r="M498" s="6"/>
      <c r="N498" s="6"/>
      <c r="O498" s="6"/>
      <c r="P498" s="6"/>
      <c r="Q498" s="6"/>
      <c r="R498" s="6"/>
      <c r="S498" s="6"/>
      <c r="AV498" s="6"/>
      <c r="AW498" s="6"/>
      <c r="AX498" s="6"/>
      <c r="AY498" s="6"/>
      <c r="AZ498" s="6"/>
      <c r="BB498" s="6"/>
      <c r="BC498" s="6"/>
      <c r="BD498" s="6"/>
      <c r="BE498" s="6"/>
      <c r="BF498" s="6"/>
    </row>
    <row r="499" spans="1:58" s="2" customFormat="1" x14ac:dyDescent="0.2">
      <c r="A499" s="6"/>
      <c r="B499" s="6"/>
      <c r="C499" s="42"/>
      <c r="D499" s="6"/>
      <c r="E499" s="6"/>
      <c r="F499" s="6"/>
      <c r="G499" s="6"/>
      <c r="H499" s="6"/>
      <c r="I499" s="6"/>
      <c r="J499" s="6"/>
      <c r="K499" s="6"/>
      <c r="L499" s="6"/>
      <c r="M499" s="6"/>
      <c r="N499" s="6"/>
      <c r="O499" s="6"/>
      <c r="P499" s="6"/>
      <c r="Q499" s="6"/>
      <c r="R499" s="6"/>
      <c r="S499" s="6"/>
      <c r="AV499" s="6"/>
      <c r="AW499" s="6"/>
      <c r="AX499" s="6"/>
      <c r="AY499" s="6"/>
      <c r="AZ499" s="6"/>
      <c r="BB499" s="6"/>
      <c r="BC499" s="6"/>
      <c r="BD499" s="6"/>
      <c r="BE499" s="6"/>
      <c r="BF499" s="6"/>
    </row>
    <row r="500" spans="1:58" s="2" customFormat="1" x14ac:dyDescent="0.2">
      <c r="A500" s="6"/>
      <c r="B500" s="6"/>
      <c r="C500" s="42"/>
      <c r="D500" s="6"/>
      <c r="E500" s="6"/>
      <c r="F500" s="6"/>
      <c r="G500" s="6"/>
      <c r="H500" s="6"/>
      <c r="I500" s="6"/>
      <c r="J500" s="6"/>
      <c r="K500" s="6"/>
      <c r="L500" s="6"/>
      <c r="M500" s="6"/>
      <c r="N500" s="6"/>
      <c r="O500" s="6"/>
      <c r="P500" s="6"/>
      <c r="Q500" s="6"/>
      <c r="R500" s="6"/>
      <c r="S500" s="6"/>
      <c r="AV500" s="6"/>
      <c r="AW500" s="6"/>
      <c r="AX500" s="6"/>
      <c r="AY500" s="6"/>
      <c r="AZ500" s="6"/>
      <c r="BB500" s="6"/>
      <c r="BC500" s="6"/>
      <c r="BD500" s="6"/>
      <c r="BE500" s="6"/>
      <c r="BF500" s="6"/>
    </row>
    <row r="501" spans="1:58" s="2" customFormat="1" x14ac:dyDescent="0.2">
      <c r="A501" s="6"/>
      <c r="B501" s="6"/>
      <c r="C501" s="42"/>
      <c r="D501" s="6"/>
      <c r="E501" s="6"/>
      <c r="F501" s="6"/>
      <c r="G501" s="6"/>
      <c r="H501" s="6"/>
      <c r="I501" s="6"/>
      <c r="J501" s="6"/>
      <c r="K501" s="6"/>
      <c r="L501" s="6"/>
      <c r="M501" s="6"/>
      <c r="N501" s="6"/>
      <c r="O501" s="6"/>
      <c r="P501" s="6"/>
      <c r="Q501" s="6"/>
      <c r="R501" s="6"/>
      <c r="S501" s="6"/>
      <c r="AV501" s="6"/>
      <c r="AW501" s="6"/>
      <c r="AX501" s="6"/>
      <c r="AY501" s="6"/>
      <c r="AZ501" s="6"/>
      <c r="BB501" s="6"/>
      <c r="BC501" s="6"/>
      <c r="BD501" s="6"/>
      <c r="BE501" s="6"/>
      <c r="BF501" s="6"/>
    </row>
    <row r="502" spans="1:58" s="2" customFormat="1" x14ac:dyDescent="0.2">
      <c r="A502" s="6"/>
      <c r="B502" s="6"/>
      <c r="C502" s="42"/>
      <c r="D502" s="6"/>
      <c r="E502" s="6"/>
      <c r="F502" s="6"/>
      <c r="G502" s="6"/>
      <c r="H502" s="6"/>
      <c r="I502" s="6"/>
      <c r="J502" s="6"/>
      <c r="K502" s="6"/>
      <c r="L502" s="6"/>
      <c r="M502" s="6"/>
      <c r="N502" s="6"/>
      <c r="O502" s="6"/>
      <c r="P502" s="6"/>
      <c r="Q502" s="6"/>
      <c r="R502" s="6"/>
      <c r="S502" s="6"/>
      <c r="AV502" s="6"/>
      <c r="AW502" s="6"/>
      <c r="AX502" s="6"/>
      <c r="AY502" s="6"/>
      <c r="AZ502" s="6"/>
      <c r="BB502" s="6"/>
      <c r="BC502" s="6"/>
      <c r="BD502" s="6"/>
      <c r="BE502" s="6"/>
      <c r="BF502" s="6"/>
    </row>
    <row r="503" spans="1:58" s="2" customFormat="1" x14ac:dyDescent="0.2">
      <c r="A503" s="6"/>
      <c r="B503" s="6"/>
      <c r="C503" s="42"/>
      <c r="D503" s="6"/>
      <c r="E503" s="6"/>
      <c r="F503" s="6"/>
      <c r="G503" s="6"/>
      <c r="H503" s="6"/>
      <c r="I503" s="6"/>
      <c r="J503" s="6"/>
      <c r="K503" s="6"/>
      <c r="L503" s="6"/>
      <c r="M503" s="6"/>
      <c r="N503" s="6"/>
      <c r="O503" s="6"/>
      <c r="P503" s="6"/>
      <c r="Q503" s="6"/>
      <c r="R503" s="6"/>
      <c r="S503" s="6"/>
      <c r="AV503" s="6"/>
      <c r="AW503" s="6"/>
      <c r="AX503" s="6"/>
      <c r="AY503" s="6"/>
      <c r="AZ503" s="6"/>
      <c r="BB503" s="6"/>
      <c r="BC503" s="6"/>
      <c r="BD503" s="6"/>
      <c r="BE503" s="6"/>
      <c r="BF503" s="6"/>
    </row>
    <row r="504" spans="1:58" s="2" customFormat="1" x14ac:dyDescent="0.2">
      <c r="A504" s="6"/>
      <c r="B504" s="6"/>
      <c r="C504" s="42"/>
      <c r="D504" s="6"/>
      <c r="E504" s="6"/>
      <c r="F504" s="6"/>
      <c r="G504" s="6"/>
      <c r="H504" s="6"/>
      <c r="I504" s="6"/>
      <c r="J504" s="6"/>
      <c r="K504" s="6"/>
      <c r="L504" s="6"/>
      <c r="M504" s="6"/>
      <c r="N504" s="6"/>
      <c r="O504" s="6"/>
      <c r="P504" s="6"/>
      <c r="Q504" s="6"/>
      <c r="R504" s="6"/>
      <c r="S504" s="6"/>
      <c r="AV504" s="6"/>
      <c r="AW504" s="6"/>
      <c r="AX504" s="6"/>
      <c r="AY504" s="6"/>
      <c r="AZ504" s="6"/>
      <c r="BB504" s="6"/>
      <c r="BC504" s="6"/>
      <c r="BD504" s="6"/>
      <c r="BE504" s="6"/>
      <c r="BF504" s="6"/>
    </row>
    <row r="505" spans="1:58" s="2" customFormat="1" x14ac:dyDescent="0.2">
      <c r="A505" s="6"/>
      <c r="B505" s="6"/>
      <c r="C505" s="42"/>
      <c r="D505" s="6"/>
      <c r="E505" s="6"/>
      <c r="F505" s="6"/>
      <c r="G505" s="6"/>
      <c r="H505" s="6"/>
      <c r="I505" s="6"/>
      <c r="J505" s="6"/>
      <c r="K505" s="6"/>
      <c r="L505" s="6"/>
      <c r="M505" s="6"/>
      <c r="N505" s="6"/>
      <c r="O505" s="6"/>
      <c r="P505" s="6"/>
      <c r="Q505" s="6"/>
      <c r="R505" s="6"/>
      <c r="S505" s="6"/>
      <c r="AV505" s="6"/>
      <c r="AW505" s="6"/>
      <c r="AX505" s="6"/>
      <c r="AY505" s="6"/>
      <c r="AZ505" s="6"/>
      <c r="BB505" s="6"/>
      <c r="BC505" s="6"/>
      <c r="BD505" s="6"/>
      <c r="BE505" s="6"/>
      <c r="BF505" s="6"/>
    </row>
    <row r="506" spans="1:58" s="2" customFormat="1" x14ac:dyDescent="0.2">
      <c r="A506" s="6"/>
      <c r="B506" s="6"/>
      <c r="C506" s="42"/>
      <c r="D506" s="6"/>
      <c r="E506" s="6"/>
      <c r="F506" s="6"/>
      <c r="G506" s="6"/>
      <c r="H506" s="6"/>
      <c r="I506" s="6"/>
      <c r="J506" s="6"/>
      <c r="K506" s="6"/>
      <c r="L506" s="6"/>
      <c r="M506" s="6"/>
      <c r="N506" s="6"/>
      <c r="O506" s="6"/>
      <c r="P506" s="6"/>
      <c r="Q506" s="6"/>
      <c r="R506" s="6"/>
      <c r="S506" s="6"/>
      <c r="AV506" s="6"/>
      <c r="AW506" s="6"/>
      <c r="AX506" s="6"/>
      <c r="AY506" s="6"/>
      <c r="AZ506" s="6"/>
      <c r="BB506" s="6"/>
      <c r="BC506" s="6"/>
      <c r="BD506" s="6"/>
      <c r="BE506" s="6"/>
      <c r="BF506" s="6"/>
    </row>
    <row r="507" spans="1:58" s="2" customFormat="1" x14ac:dyDescent="0.2">
      <c r="A507" s="6"/>
      <c r="B507" s="6"/>
      <c r="C507" s="42"/>
      <c r="D507" s="6"/>
      <c r="E507" s="6"/>
      <c r="F507" s="6"/>
      <c r="G507" s="6"/>
      <c r="H507" s="6"/>
      <c r="I507" s="6"/>
      <c r="J507" s="6"/>
      <c r="K507" s="6"/>
      <c r="L507" s="6"/>
      <c r="M507" s="6"/>
      <c r="N507" s="6"/>
      <c r="O507" s="6"/>
      <c r="P507" s="6"/>
      <c r="Q507" s="6"/>
      <c r="R507" s="6"/>
      <c r="S507" s="6"/>
      <c r="AV507" s="6"/>
      <c r="AW507" s="6"/>
      <c r="AX507" s="6"/>
      <c r="AY507" s="6"/>
      <c r="AZ507" s="6"/>
      <c r="BB507" s="6"/>
      <c r="BC507" s="6"/>
      <c r="BD507" s="6"/>
      <c r="BE507" s="6"/>
      <c r="BF507" s="6"/>
    </row>
    <row r="508" spans="1:58" s="2" customFormat="1" x14ac:dyDescent="0.2">
      <c r="A508" s="6"/>
      <c r="B508" s="6"/>
      <c r="C508" s="42"/>
      <c r="D508" s="6"/>
      <c r="E508" s="6"/>
      <c r="F508" s="6"/>
      <c r="G508" s="6"/>
      <c r="H508" s="6"/>
      <c r="I508" s="6"/>
      <c r="J508" s="6"/>
      <c r="K508" s="6"/>
      <c r="L508" s="6"/>
      <c r="M508" s="6"/>
      <c r="N508" s="6"/>
      <c r="O508" s="6"/>
      <c r="P508" s="6"/>
      <c r="Q508" s="6"/>
      <c r="R508" s="6"/>
      <c r="S508" s="6"/>
      <c r="AV508" s="6"/>
      <c r="AW508" s="6"/>
      <c r="AX508" s="6"/>
      <c r="AY508" s="6"/>
      <c r="AZ508" s="6"/>
      <c r="BB508" s="6"/>
      <c r="BC508" s="6"/>
      <c r="BD508" s="6"/>
      <c r="BE508" s="6"/>
      <c r="BF508" s="6"/>
    </row>
    <row r="509" spans="1:58" s="2" customFormat="1" x14ac:dyDescent="0.2">
      <c r="A509" s="6"/>
      <c r="B509" s="6"/>
      <c r="C509" s="42"/>
      <c r="D509" s="6"/>
      <c r="E509" s="6"/>
      <c r="F509" s="6"/>
      <c r="G509" s="6"/>
      <c r="H509" s="6"/>
      <c r="I509" s="6"/>
      <c r="J509" s="6"/>
      <c r="K509" s="6"/>
      <c r="L509" s="6"/>
      <c r="M509" s="6"/>
      <c r="N509" s="6"/>
      <c r="O509" s="6"/>
      <c r="P509" s="6"/>
      <c r="Q509" s="6"/>
      <c r="R509" s="6"/>
      <c r="S509" s="6"/>
      <c r="AV509" s="6"/>
      <c r="AW509" s="6"/>
      <c r="AX509" s="6"/>
      <c r="AY509" s="6"/>
      <c r="AZ509" s="6"/>
      <c r="BB509" s="6"/>
      <c r="BC509" s="6"/>
      <c r="BD509" s="6"/>
      <c r="BE509" s="6"/>
      <c r="BF509" s="6"/>
    </row>
    <row r="510" spans="1:58" s="2" customFormat="1" x14ac:dyDescent="0.2">
      <c r="A510" s="6"/>
      <c r="B510" s="6"/>
      <c r="C510" s="42"/>
      <c r="D510" s="6"/>
      <c r="E510" s="6"/>
      <c r="F510" s="6"/>
      <c r="G510" s="6"/>
      <c r="H510" s="6"/>
      <c r="I510" s="6"/>
      <c r="J510" s="6"/>
      <c r="K510" s="6"/>
      <c r="L510" s="6"/>
      <c r="M510" s="6"/>
      <c r="N510" s="6"/>
      <c r="O510" s="6"/>
      <c r="P510" s="6"/>
      <c r="Q510" s="6"/>
      <c r="R510" s="6"/>
      <c r="S510" s="6"/>
      <c r="AV510" s="6"/>
      <c r="AW510" s="6"/>
      <c r="AX510" s="6"/>
      <c r="AY510" s="6"/>
      <c r="AZ510" s="6"/>
      <c r="BB510" s="6"/>
      <c r="BC510" s="6"/>
      <c r="BD510" s="6"/>
      <c r="BE510" s="6"/>
      <c r="BF510" s="6"/>
    </row>
    <row r="511" spans="1:58" s="2" customFormat="1" x14ac:dyDescent="0.2">
      <c r="A511" s="6"/>
      <c r="B511" s="6"/>
      <c r="C511" s="42"/>
      <c r="D511" s="6"/>
      <c r="E511" s="6"/>
      <c r="F511" s="6"/>
      <c r="G511" s="6"/>
      <c r="H511" s="6"/>
      <c r="I511" s="6"/>
      <c r="J511" s="6"/>
      <c r="K511" s="6"/>
      <c r="L511" s="6"/>
      <c r="M511" s="6"/>
      <c r="N511" s="6"/>
      <c r="O511" s="6"/>
      <c r="P511" s="6"/>
      <c r="Q511" s="6"/>
      <c r="R511" s="6"/>
      <c r="S511" s="6"/>
      <c r="AV511" s="6"/>
      <c r="AW511" s="6"/>
      <c r="AX511" s="6"/>
      <c r="AY511" s="6"/>
      <c r="AZ511" s="6"/>
      <c r="BB511" s="6"/>
      <c r="BC511" s="6"/>
      <c r="BD511" s="6"/>
      <c r="BE511" s="6"/>
      <c r="BF511" s="6"/>
    </row>
    <row r="512" spans="1:58" s="2" customFormat="1" x14ac:dyDescent="0.2">
      <c r="A512" s="6"/>
      <c r="B512" s="6"/>
      <c r="C512" s="42"/>
      <c r="D512" s="6"/>
      <c r="E512" s="6"/>
      <c r="F512" s="6"/>
      <c r="G512" s="6"/>
      <c r="H512" s="6"/>
      <c r="I512" s="6"/>
      <c r="J512" s="6"/>
      <c r="K512" s="6"/>
      <c r="L512" s="6"/>
      <c r="M512" s="6"/>
      <c r="N512" s="6"/>
      <c r="O512" s="6"/>
      <c r="P512" s="6"/>
      <c r="Q512" s="6"/>
      <c r="R512" s="6"/>
      <c r="S512" s="6"/>
      <c r="AV512" s="6"/>
      <c r="AW512" s="6"/>
      <c r="AX512" s="6"/>
      <c r="AY512" s="6"/>
      <c r="AZ512" s="6"/>
      <c r="BB512" s="6"/>
      <c r="BC512" s="6"/>
      <c r="BD512" s="6"/>
      <c r="BE512" s="6"/>
      <c r="BF512" s="6"/>
    </row>
    <row r="513" spans="1:58" s="2" customFormat="1" x14ac:dyDescent="0.2">
      <c r="A513" s="6"/>
      <c r="B513" s="6"/>
      <c r="C513" s="42"/>
      <c r="D513" s="6"/>
      <c r="E513" s="6"/>
      <c r="F513" s="6"/>
      <c r="G513" s="6"/>
      <c r="H513" s="6"/>
      <c r="I513" s="6"/>
      <c r="J513" s="6"/>
      <c r="K513" s="6"/>
      <c r="L513" s="6"/>
      <c r="M513" s="6"/>
      <c r="N513" s="6"/>
      <c r="O513" s="6"/>
      <c r="P513" s="6"/>
      <c r="Q513" s="6"/>
      <c r="R513" s="6"/>
      <c r="S513" s="6"/>
      <c r="AV513" s="6"/>
      <c r="AW513" s="6"/>
      <c r="AX513" s="6"/>
      <c r="AY513" s="6"/>
      <c r="AZ513" s="6"/>
      <c r="BB513" s="6"/>
      <c r="BC513" s="6"/>
      <c r="BD513" s="6"/>
      <c r="BE513" s="6"/>
      <c r="BF513" s="6"/>
    </row>
    <row r="514" spans="1:58" s="2" customFormat="1" x14ac:dyDescent="0.2">
      <c r="A514" s="6"/>
      <c r="B514" s="6"/>
      <c r="C514" s="42"/>
      <c r="D514" s="6"/>
      <c r="E514" s="6"/>
      <c r="F514" s="6"/>
      <c r="G514" s="6"/>
      <c r="H514" s="6"/>
      <c r="I514" s="6"/>
      <c r="J514" s="6"/>
      <c r="K514" s="6"/>
      <c r="L514" s="6"/>
      <c r="M514" s="6"/>
      <c r="N514" s="6"/>
      <c r="O514" s="6"/>
      <c r="P514" s="6"/>
      <c r="Q514" s="6"/>
      <c r="R514" s="6"/>
      <c r="S514" s="6"/>
      <c r="AV514" s="6"/>
      <c r="AW514" s="6"/>
      <c r="AX514" s="6"/>
      <c r="AY514" s="6"/>
      <c r="AZ514" s="6"/>
      <c r="BB514" s="6"/>
      <c r="BC514" s="6"/>
      <c r="BD514" s="6"/>
      <c r="BE514" s="6"/>
      <c r="BF514" s="6"/>
    </row>
    <row r="515" spans="1:58" s="2" customFormat="1" x14ac:dyDescent="0.2">
      <c r="A515" s="6"/>
      <c r="B515" s="6"/>
      <c r="C515" s="42"/>
      <c r="D515" s="6"/>
      <c r="E515" s="6"/>
      <c r="F515" s="6"/>
      <c r="G515" s="6"/>
      <c r="H515" s="6"/>
      <c r="I515" s="6"/>
      <c r="J515" s="6"/>
      <c r="K515" s="6"/>
      <c r="L515" s="6"/>
      <c r="M515" s="6"/>
      <c r="N515" s="6"/>
      <c r="O515" s="6"/>
      <c r="P515" s="6"/>
      <c r="Q515" s="6"/>
      <c r="R515" s="6"/>
      <c r="S515" s="6"/>
      <c r="AV515" s="6"/>
      <c r="AW515" s="6"/>
      <c r="AX515" s="6"/>
      <c r="AY515" s="6"/>
      <c r="AZ515" s="6"/>
      <c r="BB515" s="6"/>
      <c r="BC515" s="6"/>
      <c r="BD515" s="6"/>
      <c r="BE515" s="6"/>
      <c r="BF515" s="6"/>
    </row>
    <row r="516" spans="1:58" s="2" customFormat="1" x14ac:dyDescent="0.2">
      <c r="A516" s="6"/>
      <c r="B516" s="6"/>
      <c r="C516" s="42"/>
      <c r="D516" s="6"/>
      <c r="E516" s="6"/>
      <c r="F516" s="6"/>
      <c r="G516" s="6"/>
      <c r="H516" s="6"/>
      <c r="I516" s="6"/>
      <c r="J516" s="6"/>
      <c r="K516" s="6"/>
      <c r="L516" s="6"/>
      <c r="M516" s="6"/>
      <c r="N516" s="6"/>
      <c r="O516" s="6"/>
      <c r="P516" s="6"/>
      <c r="Q516" s="6"/>
      <c r="R516" s="6"/>
      <c r="S516" s="6"/>
      <c r="AV516" s="6"/>
      <c r="AW516" s="6"/>
      <c r="AX516" s="6"/>
      <c r="AY516" s="6"/>
      <c r="AZ516" s="6"/>
      <c r="BB516" s="6"/>
      <c r="BC516" s="6"/>
      <c r="BD516" s="6"/>
      <c r="BE516" s="6"/>
      <c r="BF516" s="6"/>
    </row>
    <row r="517" spans="1:58" s="2" customFormat="1" x14ac:dyDescent="0.2">
      <c r="A517" s="6"/>
      <c r="B517" s="6"/>
      <c r="C517" s="42"/>
      <c r="D517" s="6"/>
      <c r="E517" s="6"/>
      <c r="F517" s="6"/>
      <c r="G517" s="6"/>
      <c r="H517" s="6"/>
      <c r="I517" s="6"/>
      <c r="J517" s="6"/>
      <c r="K517" s="6"/>
      <c r="L517" s="6"/>
      <c r="M517" s="6"/>
      <c r="N517" s="6"/>
      <c r="O517" s="6"/>
      <c r="P517" s="6"/>
      <c r="Q517" s="6"/>
      <c r="R517" s="6"/>
      <c r="S517" s="6"/>
      <c r="AV517" s="6"/>
      <c r="AW517" s="6"/>
      <c r="AX517" s="6"/>
      <c r="AY517" s="6"/>
      <c r="AZ517" s="6"/>
      <c r="BB517" s="6"/>
      <c r="BC517" s="6"/>
      <c r="BD517" s="6"/>
      <c r="BE517" s="6"/>
      <c r="BF517" s="6"/>
    </row>
    <row r="518" spans="1:58" s="2" customFormat="1" x14ac:dyDescent="0.2">
      <c r="A518" s="6"/>
      <c r="B518" s="6"/>
      <c r="C518" s="42"/>
      <c r="D518" s="6"/>
      <c r="E518" s="6"/>
      <c r="F518" s="6"/>
      <c r="G518" s="6"/>
      <c r="H518" s="6"/>
      <c r="I518" s="6"/>
      <c r="J518" s="6"/>
      <c r="K518" s="6"/>
      <c r="L518" s="6"/>
      <c r="M518" s="6"/>
      <c r="N518" s="6"/>
      <c r="O518" s="6"/>
      <c r="P518" s="6"/>
      <c r="Q518" s="6"/>
      <c r="R518" s="6"/>
      <c r="S518" s="6"/>
      <c r="AV518" s="6"/>
      <c r="AW518" s="6"/>
      <c r="AX518" s="6"/>
      <c r="AY518" s="6"/>
      <c r="AZ518" s="6"/>
      <c r="BB518" s="6"/>
      <c r="BC518" s="6"/>
      <c r="BD518" s="6"/>
      <c r="BE518" s="6"/>
      <c r="BF518" s="6"/>
    </row>
    <row r="519" spans="1:58" s="2" customFormat="1" x14ac:dyDescent="0.2">
      <c r="A519" s="6"/>
      <c r="B519" s="6"/>
      <c r="C519" s="42"/>
      <c r="D519" s="6"/>
      <c r="E519" s="6"/>
      <c r="F519" s="6"/>
      <c r="G519" s="6"/>
      <c r="H519" s="6"/>
      <c r="I519" s="6"/>
      <c r="J519" s="6"/>
      <c r="K519" s="6"/>
      <c r="L519" s="6"/>
      <c r="M519" s="6"/>
      <c r="N519" s="6"/>
      <c r="O519" s="6"/>
      <c r="P519" s="6"/>
      <c r="Q519" s="6"/>
      <c r="R519" s="6"/>
      <c r="S519" s="6"/>
      <c r="AV519" s="6"/>
      <c r="AW519" s="6"/>
      <c r="AX519" s="6"/>
      <c r="AY519" s="6"/>
      <c r="AZ519" s="6"/>
      <c r="BB519" s="6"/>
      <c r="BC519" s="6"/>
      <c r="BD519" s="6"/>
      <c r="BE519" s="6"/>
      <c r="BF519" s="6"/>
    </row>
    <row r="520" spans="1:58" s="2" customFormat="1" x14ac:dyDescent="0.2">
      <c r="A520" s="6"/>
      <c r="B520" s="6"/>
      <c r="C520" s="42"/>
      <c r="D520" s="6"/>
      <c r="E520" s="6"/>
      <c r="F520" s="6"/>
      <c r="G520" s="6"/>
      <c r="H520" s="6"/>
      <c r="I520" s="6"/>
      <c r="J520" s="6"/>
      <c r="K520" s="6"/>
      <c r="L520" s="6"/>
      <c r="M520" s="6"/>
      <c r="N520" s="6"/>
      <c r="O520" s="6"/>
      <c r="P520" s="6"/>
      <c r="Q520" s="6"/>
      <c r="R520" s="6"/>
      <c r="S520" s="6"/>
      <c r="AV520" s="6"/>
      <c r="AW520" s="6"/>
      <c r="AX520" s="6"/>
      <c r="AY520" s="6"/>
      <c r="AZ520" s="6"/>
      <c r="BB520" s="6"/>
      <c r="BC520" s="6"/>
      <c r="BD520" s="6"/>
      <c r="BE520" s="6"/>
      <c r="BF520" s="6"/>
    </row>
    <row r="521" spans="1:58" s="2" customFormat="1" x14ac:dyDescent="0.2">
      <c r="A521" s="6"/>
      <c r="B521" s="6"/>
      <c r="C521" s="42"/>
      <c r="D521" s="6"/>
      <c r="E521" s="6"/>
      <c r="F521" s="6"/>
      <c r="G521" s="6"/>
      <c r="H521" s="6"/>
      <c r="I521" s="6"/>
      <c r="J521" s="6"/>
      <c r="K521" s="6"/>
      <c r="L521" s="6"/>
      <c r="M521" s="6"/>
      <c r="N521" s="6"/>
      <c r="O521" s="6"/>
      <c r="P521" s="6"/>
      <c r="Q521" s="6"/>
      <c r="R521" s="6"/>
      <c r="S521" s="6"/>
      <c r="AV521" s="6"/>
      <c r="AW521" s="6"/>
      <c r="AX521" s="6"/>
      <c r="AY521" s="6"/>
      <c r="AZ521" s="6"/>
      <c r="BB521" s="6"/>
      <c r="BC521" s="6"/>
      <c r="BD521" s="6"/>
      <c r="BE521" s="6"/>
      <c r="BF521" s="6"/>
    </row>
    <row r="522" spans="1:58" s="2" customFormat="1" x14ac:dyDescent="0.2">
      <c r="A522" s="6"/>
      <c r="B522" s="6"/>
      <c r="C522" s="42"/>
      <c r="D522" s="6"/>
      <c r="E522" s="6"/>
      <c r="F522" s="6"/>
      <c r="G522" s="6"/>
      <c r="H522" s="6"/>
      <c r="I522" s="6"/>
      <c r="J522" s="6"/>
      <c r="K522" s="6"/>
      <c r="L522" s="6"/>
      <c r="M522" s="6"/>
      <c r="N522" s="6"/>
      <c r="O522" s="6"/>
      <c r="P522" s="6"/>
      <c r="Q522" s="6"/>
      <c r="R522" s="6"/>
      <c r="S522" s="6"/>
      <c r="AV522" s="6"/>
      <c r="AW522" s="6"/>
      <c r="AX522" s="6"/>
      <c r="AY522" s="6"/>
      <c r="AZ522" s="6"/>
      <c r="BB522" s="6"/>
      <c r="BC522" s="6"/>
      <c r="BD522" s="6"/>
      <c r="BE522" s="6"/>
      <c r="BF522" s="6"/>
    </row>
    <row r="523" spans="1:58" s="2" customFormat="1" x14ac:dyDescent="0.2">
      <c r="A523" s="6"/>
      <c r="B523" s="6"/>
      <c r="C523" s="42"/>
      <c r="D523" s="6"/>
      <c r="E523" s="6"/>
      <c r="F523" s="6"/>
      <c r="G523" s="6"/>
      <c r="H523" s="6"/>
      <c r="I523" s="6"/>
      <c r="J523" s="6"/>
      <c r="K523" s="6"/>
      <c r="L523" s="6"/>
      <c r="M523" s="6"/>
      <c r="N523" s="6"/>
      <c r="O523" s="6"/>
      <c r="P523" s="6"/>
      <c r="Q523" s="6"/>
      <c r="R523" s="6"/>
      <c r="S523" s="6"/>
      <c r="AV523" s="6"/>
      <c r="AW523" s="6"/>
      <c r="AX523" s="6"/>
      <c r="AY523" s="6"/>
      <c r="AZ523" s="6"/>
      <c r="BB523" s="6"/>
      <c r="BC523" s="6"/>
      <c r="BD523" s="6"/>
      <c r="BE523" s="6"/>
      <c r="BF523" s="6"/>
    </row>
    <row r="524" spans="1:58" s="2" customFormat="1" x14ac:dyDescent="0.2">
      <c r="A524" s="6"/>
      <c r="B524" s="6"/>
      <c r="C524" s="42"/>
      <c r="D524" s="6"/>
      <c r="E524" s="6"/>
      <c r="F524" s="6"/>
      <c r="G524" s="6"/>
      <c r="H524" s="6"/>
      <c r="I524" s="6"/>
      <c r="J524" s="6"/>
      <c r="K524" s="6"/>
      <c r="L524" s="6"/>
      <c r="M524" s="6"/>
      <c r="N524" s="6"/>
      <c r="O524" s="6"/>
      <c r="P524" s="6"/>
      <c r="Q524" s="6"/>
      <c r="R524" s="6"/>
      <c r="S524" s="6"/>
      <c r="AV524" s="6"/>
      <c r="AW524" s="6"/>
      <c r="AX524" s="6"/>
      <c r="AY524" s="6"/>
      <c r="AZ524" s="6"/>
      <c r="BB524" s="6"/>
      <c r="BC524" s="6"/>
      <c r="BD524" s="6"/>
      <c r="BE524" s="6"/>
      <c r="BF524" s="6"/>
    </row>
    <row r="525" spans="1:58" s="2" customFormat="1" x14ac:dyDescent="0.2">
      <c r="A525" s="6"/>
      <c r="B525" s="6"/>
      <c r="C525" s="42"/>
      <c r="D525" s="6"/>
      <c r="E525" s="6"/>
      <c r="F525" s="6"/>
      <c r="G525" s="6"/>
      <c r="H525" s="6"/>
      <c r="I525" s="6"/>
      <c r="J525" s="6"/>
      <c r="K525" s="6"/>
      <c r="L525" s="6"/>
      <c r="M525" s="6"/>
      <c r="N525" s="6"/>
      <c r="O525" s="6"/>
      <c r="P525" s="6"/>
      <c r="Q525" s="6"/>
      <c r="R525" s="6"/>
      <c r="S525" s="6"/>
      <c r="AV525" s="6"/>
      <c r="AW525" s="6"/>
      <c r="AX525" s="6"/>
      <c r="AY525" s="6"/>
      <c r="AZ525" s="6"/>
      <c r="BB525" s="6"/>
      <c r="BC525" s="6"/>
      <c r="BD525" s="6"/>
      <c r="BE525" s="6"/>
      <c r="BF525" s="6"/>
    </row>
    <row r="526" spans="1:58" s="2" customFormat="1" x14ac:dyDescent="0.2">
      <c r="A526" s="6"/>
      <c r="B526" s="6"/>
      <c r="C526" s="42"/>
      <c r="D526" s="6"/>
      <c r="E526" s="6"/>
      <c r="F526" s="6"/>
      <c r="G526" s="6"/>
      <c r="H526" s="6"/>
      <c r="I526" s="6"/>
      <c r="J526" s="6"/>
      <c r="K526" s="6"/>
      <c r="L526" s="6"/>
      <c r="M526" s="6"/>
      <c r="N526" s="6"/>
      <c r="O526" s="6"/>
      <c r="P526" s="6"/>
      <c r="Q526" s="6"/>
      <c r="R526" s="6"/>
      <c r="S526" s="6"/>
      <c r="AV526" s="6"/>
      <c r="AW526" s="6"/>
      <c r="AX526" s="6"/>
      <c r="AY526" s="6"/>
      <c r="AZ526" s="6"/>
      <c r="BB526" s="6"/>
      <c r="BC526" s="6"/>
      <c r="BD526" s="6"/>
      <c r="BE526" s="6"/>
      <c r="BF526" s="6"/>
    </row>
    <row r="527" spans="1:58" s="2" customFormat="1" x14ac:dyDescent="0.2">
      <c r="A527" s="6"/>
      <c r="B527" s="6"/>
      <c r="C527" s="42"/>
      <c r="D527" s="6"/>
      <c r="E527" s="6"/>
      <c r="F527" s="6"/>
      <c r="G527" s="6"/>
      <c r="H527" s="6"/>
      <c r="I527" s="6"/>
      <c r="J527" s="6"/>
      <c r="K527" s="6"/>
      <c r="L527" s="6"/>
      <c r="M527" s="6"/>
      <c r="N527" s="6"/>
      <c r="O527" s="6"/>
      <c r="P527" s="6"/>
      <c r="Q527" s="6"/>
      <c r="R527" s="6"/>
      <c r="S527" s="6"/>
      <c r="AV527" s="6"/>
      <c r="AW527" s="6"/>
      <c r="AX527" s="6"/>
      <c r="AY527" s="6"/>
      <c r="AZ527" s="6"/>
      <c r="BB527" s="6"/>
      <c r="BC527" s="6"/>
      <c r="BD527" s="6"/>
      <c r="BE527" s="6"/>
      <c r="BF527" s="6"/>
    </row>
    <row r="528" spans="1:58" s="2" customFormat="1" x14ac:dyDescent="0.2">
      <c r="A528" s="6"/>
      <c r="B528" s="6"/>
      <c r="C528" s="42"/>
      <c r="D528" s="6"/>
      <c r="E528" s="6"/>
      <c r="F528" s="6"/>
      <c r="G528" s="6"/>
      <c r="H528" s="6"/>
      <c r="I528" s="6"/>
      <c r="J528" s="6"/>
      <c r="K528" s="6"/>
      <c r="L528" s="6"/>
      <c r="M528" s="6"/>
      <c r="N528" s="6"/>
      <c r="O528" s="6"/>
      <c r="P528" s="6"/>
      <c r="Q528" s="6"/>
      <c r="R528" s="6"/>
      <c r="S528" s="6"/>
      <c r="AV528" s="6"/>
      <c r="AW528" s="6"/>
      <c r="AX528" s="6"/>
      <c r="AY528" s="6"/>
      <c r="AZ528" s="6"/>
      <c r="BB528" s="6"/>
      <c r="BC528" s="6"/>
      <c r="BD528" s="6"/>
      <c r="BE528" s="6"/>
      <c r="BF528" s="6"/>
    </row>
    <row r="529" spans="1:58" s="2" customFormat="1" x14ac:dyDescent="0.2">
      <c r="A529" s="6"/>
      <c r="B529" s="6"/>
      <c r="C529" s="42"/>
      <c r="D529" s="6"/>
      <c r="E529" s="6"/>
      <c r="F529" s="6"/>
      <c r="G529" s="6"/>
      <c r="H529" s="6"/>
      <c r="I529" s="6"/>
      <c r="J529" s="6"/>
      <c r="K529" s="6"/>
      <c r="L529" s="6"/>
      <c r="M529" s="6"/>
      <c r="N529" s="6"/>
      <c r="O529" s="6"/>
      <c r="P529" s="6"/>
      <c r="Q529" s="6"/>
      <c r="R529" s="6"/>
      <c r="S529" s="6"/>
      <c r="AV529" s="6"/>
      <c r="AW529" s="6"/>
      <c r="AX529" s="6"/>
      <c r="AY529" s="6"/>
      <c r="AZ529" s="6"/>
      <c r="BB529" s="6"/>
      <c r="BC529" s="6"/>
      <c r="BD529" s="6"/>
      <c r="BE529" s="6"/>
      <c r="BF529" s="6"/>
    </row>
    <row r="530" spans="1:58" s="2" customFormat="1" x14ac:dyDescent="0.2">
      <c r="A530" s="6"/>
      <c r="B530" s="6"/>
      <c r="C530" s="42"/>
      <c r="D530" s="6"/>
      <c r="E530" s="6"/>
      <c r="F530" s="6"/>
      <c r="G530" s="6"/>
      <c r="H530" s="6"/>
      <c r="I530" s="6"/>
      <c r="J530" s="6"/>
      <c r="K530" s="6"/>
      <c r="L530" s="6"/>
      <c r="M530" s="6"/>
      <c r="N530" s="6"/>
      <c r="O530" s="6"/>
      <c r="P530" s="6"/>
      <c r="Q530" s="6"/>
      <c r="R530" s="6"/>
      <c r="S530" s="6"/>
      <c r="AV530" s="6"/>
      <c r="AW530" s="6"/>
      <c r="AX530" s="6"/>
      <c r="AY530" s="6"/>
      <c r="AZ530" s="6"/>
      <c r="BB530" s="6"/>
      <c r="BC530" s="6"/>
      <c r="BD530" s="6"/>
      <c r="BE530" s="6"/>
      <c r="BF530" s="6"/>
    </row>
    <row r="531" spans="1:58" s="2" customFormat="1" x14ac:dyDescent="0.2">
      <c r="A531" s="6"/>
      <c r="B531" s="6"/>
      <c r="C531" s="42"/>
      <c r="D531" s="6"/>
      <c r="E531" s="6"/>
      <c r="F531" s="6"/>
      <c r="G531" s="6"/>
      <c r="H531" s="6"/>
      <c r="I531" s="6"/>
      <c r="J531" s="6"/>
      <c r="K531" s="6"/>
      <c r="L531" s="6"/>
      <c r="M531" s="6"/>
      <c r="N531" s="6"/>
      <c r="O531" s="6"/>
      <c r="P531" s="6"/>
      <c r="Q531" s="6"/>
      <c r="R531" s="6"/>
      <c r="S531" s="6"/>
      <c r="AV531" s="6"/>
      <c r="AW531" s="6"/>
      <c r="AX531" s="6"/>
      <c r="AY531" s="6"/>
      <c r="AZ531" s="6"/>
      <c r="BB531" s="6"/>
      <c r="BC531" s="6"/>
      <c r="BD531" s="6"/>
      <c r="BE531" s="6"/>
      <c r="BF531" s="6"/>
    </row>
    <row r="532" spans="1:58" s="2" customFormat="1" x14ac:dyDescent="0.2">
      <c r="A532" s="6"/>
      <c r="B532" s="6"/>
      <c r="C532" s="42"/>
      <c r="D532" s="6"/>
      <c r="E532" s="6"/>
      <c r="F532" s="6"/>
      <c r="G532" s="6"/>
      <c r="H532" s="6"/>
      <c r="I532" s="6"/>
      <c r="J532" s="6"/>
      <c r="K532" s="6"/>
      <c r="L532" s="6"/>
      <c r="M532" s="6"/>
      <c r="N532" s="6"/>
      <c r="O532" s="6"/>
      <c r="P532" s="6"/>
      <c r="Q532" s="6"/>
      <c r="R532" s="6"/>
      <c r="S532" s="6"/>
      <c r="AV532" s="6"/>
      <c r="AW532" s="6"/>
      <c r="AX532" s="6"/>
      <c r="AY532" s="6"/>
      <c r="AZ532" s="6"/>
      <c r="BB532" s="6"/>
      <c r="BC532" s="6"/>
      <c r="BD532" s="6"/>
      <c r="BE532" s="6"/>
      <c r="BF532" s="6"/>
    </row>
    <row r="533" spans="1:58" s="2" customFormat="1" x14ac:dyDescent="0.2">
      <c r="A533" s="6"/>
      <c r="B533" s="6"/>
      <c r="C533" s="42"/>
      <c r="D533" s="6"/>
      <c r="E533" s="6"/>
      <c r="F533" s="6"/>
      <c r="G533" s="6"/>
      <c r="H533" s="6"/>
      <c r="I533" s="6"/>
      <c r="J533" s="6"/>
      <c r="K533" s="6"/>
      <c r="L533" s="6"/>
      <c r="M533" s="6"/>
      <c r="N533" s="6"/>
      <c r="O533" s="6"/>
      <c r="P533" s="6"/>
      <c r="Q533" s="6"/>
      <c r="R533" s="6"/>
      <c r="S533" s="6"/>
      <c r="AV533" s="6"/>
      <c r="AW533" s="6"/>
      <c r="AX533" s="6"/>
      <c r="AY533" s="6"/>
      <c r="AZ533" s="6"/>
      <c r="BB533" s="6"/>
      <c r="BC533" s="6"/>
      <c r="BD533" s="6"/>
      <c r="BE533" s="6"/>
      <c r="BF533" s="6"/>
    </row>
    <row r="534" spans="1:58" s="2" customFormat="1" x14ac:dyDescent="0.2">
      <c r="A534" s="6"/>
      <c r="B534" s="6"/>
      <c r="C534" s="42"/>
      <c r="D534" s="6"/>
      <c r="E534" s="6"/>
      <c r="F534" s="6"/>
      <c r="G534" s="6"/>
      <c r="H534" s="6"/>
      <c r="I534" s="6"/>
      <c r="J534" s="6"/>
      <c r="K534" s="6"/>
      <c r="L534" s="6"/>
      <c r="M534" s="6"/>
      <c r="N534" s="6"/>
      <c r="O534" s="6"/>
      <c r="P534" s="6"/>
      <c r="Q534" s="6"/>
      <c r="R534" s="6"/>
      <c r="S534" s="6"/>
      <c r="AV534" s="6"/>
      <c r="AW534" s="6"/>
      <c r="AX534" s="6"/>
      <c r="AY534" s="6"/>
      <c r="AZ534" s="6"/>
      <c r="BB534" s="6"/>
      <c r="BC534" s="6"/>
      <c r="BD534" s="6"/>
      <c r="BE534" s="6"/>
      <c r="BF534" s="6"/>
    </row>
    <row r="535" spans="1:58" s="2" customFormat="1" x14ac:dyDescent="0.2">
      <c r="A535" s="6"/>
      <c r="B535" s="6"/>
      <c r="C535" s="42"/>
      <c r="D535" s="6"/>
      <c r="E535" s="6"/>
      <c r="F535" s="6"/>
      <c r="G535" s="6"/>
      <c r="H535" s="6"/>
      <c r="I535" s="6"/>
      <c r="J535" s="6"/>
      <c r="K535" s="6"/>
      <c r="L535" s="6"/>
      <c r="M535" s="6"/>
      <c r="N535" s="6"/>
      <c r="O535" s="6"/>
      <c r="P535" s="6"/>
      <c r="Q535" s="6"/>
      <c r="R535" s="6"/>
      <c r="S535" s="6"/>
      <c r="AV535" s="6"/>
      <c r="AW535" s="6"/>
      <c r="AX535" s="6"/>
      <c r="AY535" s="6"/>
      <c r="AZ535" s="6"/>
      <c r="BB535" s="6"/>
      <c r="BC535" s="6"/>
      <c r="BD535" s="6"/>
      <c r="BE535" s="6"/>
      <c r="BF535" s="6"/>
    </row>
    <row r="536" spans="1:58" s="2" customFormat="1" x14ac:dyDescent="0.2">
      <c r="A536" s="6"/>
      <c r="B536" s="6"/>
      <c r="C536" s="42"/>
      <c r="D536" s="6"/>
      <c r="E536" s="6"/>
      <c r="F536" s="6"/>
      <c r="G536" s="6"/>
      <c r="H536" s="6"/>
      <c r="I536" s="6"/>
      <c r="J536" s="6"/>
      <c r="K536" s="6"/>
      <c r="L536" s="6"/>
      <c r="M536" s="6"/>
      <c r="N536" s="6"/>
      <c r="O536" s="6"/>
      <c r="P536" s="6"/>
      <c r="Q536" s="6"/>
      <c r="R536" s="6"/>
      <c r="S536" s="6"/>
      <c r="AV536" s="6"/>
      <c r="AW536" s="6"/>
      <c r="AX536" s="6"/>
      <c r="AY536" s="6"/>
      <c r="AZ536" s="6"/>
      <c r="BB536" s="6"/>
      <c r="BC536" s="6"/>
      <c r="BD536" s="6"/>
      <c r="BE536" s="6"/>
      <c r="BF536" s="6"/>
    </row>
    <row r="537" spans="1:58" s="2" customFormat="1" x14ac:dyDescent="0.2">
      <c r="A537" s="6"/>
      <c r="B537" s="6"/>
      <c r="C537" s="42"/>
      <c r="D537" s="6"/>
      <c r="E537" s="6"/>
      <c r="F537" s="6"/>
      <c r="G537" s="6"/>
      <c r="H537" s="6"/>
      <c r="I537" s="6"/>
      <c r="J537" s="6"/>
      <c r="K537" s="6"/>
      <c r="L537" s="6"/>
      <c r="M537" s="6"/>
      <c r="N537" s="6"/>
      <c r="O537" s="6"/>
      <c r="P537" s="6"/>
      <c r="Q537" s="6"/>
      <c r="R537" s="6"/>
      <c r="S537" s="6"/>
      <c r="AV537" s="6"/>
      <c r="AW537" s="6"/>
      <c r="AX537" s="6"/>
      <c r="AY537" s="6"/>
      <c r="AZ537" s="6"/>
      <c r="BB537" s="6"/>
      <c r="BC537" s="6"/>
      <c r="BD537" s="6"/>
      <c r="BE537" s="6"/>
      <c r="BF537" s="6"/>
    </row>
    <row r="538" spans="1:58" s="2" customFormat="1" x14ac:dyDescent="0.2">
      <c r="A538" s="6"/>
      <c r="B538" s="6"/>
      <c r="C538" s="42"/>
      <c r="D538" s="6"/>
      <c r="E538" s="6"/>
      <c r="F538" s="6"/>
      <c r="G538" s="6"/>
      <c r="H538" s="6"/>
      <c r="I538" s="6"/>
      <c r="J538" s="6"/>
      <c r="K538" s="6"/>
      <c r="L538" s="6"/>
      <c r="M538" s="6"/>
      <c r="N538" s="6"/>
      <c r="O538" s="6"/>
      <c r="P538" s="6"/>
      <c r="Q538" s="6"/>
      <c r="R538" s="6"/>
      <c r="S538" s="6"/>
      <c r="AV538" s="6"/>
      <c r="AW538" s="6"/>
      <c r="AX538" s="6"/>
      <c r="AY538" s="6"/>
      <c r="AZ538" s="6"/>
      <c r="BB538" s="6"/>
      <c r="BC538" s="6"/>
      <c r="BD538" s="6"/>
      <c r="BE538" s="6"/>
      <c r="BF538" s="6"/>
    </row>
    <row r="539" spans="1:58" s="2" customFormat="1" x14ac:dyDescent="0.2">
      <c r="A539" s="6"/>
      <c r="B539" s="6"/>
      <c r="C539" s="42"/>
      <c r="D539" s="6"/>
      <c r="E539" s="6"/>
      <c r="F539" s="6"/>
      <c r="G539" s="6"/>
      <c r="H539" s="6"/>
      <c r="I539" s="6"/>
      <c r="J539" s="6"/>
      <c r="K539" s="6"/>
      <c r="L539" s="6"/>
      <c r="M539" s="6"/>
      <c r="N539" s="6"/>
      <c r="O539" s="6"/>
      <c r="P539" s="6"/>
      <c r="Q539" s="6"/>
      <c r="R539" s="6"/>
      <c r="S539" s="6"/>
      <c r="AV539" s="6"/>
      <c r="AW539" s="6"/>
      <c r="AX539" s="6"/>
      <c r="AY539" s="6"/>
      <c r="AZ539" s="6"/>
      <c r="BB539" s="6"/>
      <c r="BC539" s="6"/>
      <c r="BD539" s="6"/>
      <c r="BE539" s="6"/>
      <c r="BF539" s="6"/>
    </row>
    <row r="540" spans="1:58" s="2" customFormat="1" x14ac:dyDescent="0.2">
      <c r="A540" s="6"/>
      <c r="B540" s="6"/>
      <c r="C540" s="42"/>
      <c r="D540" s="6"/>
      <c r="E540" s="6"/>
      <c r="F540" s="6"/>
      <c r="G540" s="6"/>
      <c r="H540" s="6"/>
      <c r="I540" s="6"/>
      <c r="J540" s="6"/>
      <c r="K540" s="6"/>
      <c r="L540" s="6"/>
      <c r="M540" s="6"/>
      <c r="N540" s="6"/>
      <c r="O540" s="6"/>
      <c r="P540" s="6"/>
      <c r="Q540" s="6"/>
      <c r="R540" s="6"/>
      <c r="S540" s="6"/>
      <c r="AV540" s="6"/>
      <c r="AW540" s="6"/>
      <c r="AX540" s="6"/>
      <c r="AY540" s="6"/>
      <c r="AZ540" s="6"/>
      <c r="BB540" s="6"/>
      <c r="BC540" s="6"/>
      <c r="BD540" s="6"/>
      <c r="BE540" s="6"/>
      <c r="BF540" s="6"/>
    </row>
    <row r="541" spans="1:58" s="2" customFormat="1" x14ac:dyDescent="0.2">
      <c r="A541" s="6"/>
      <c r="B541" s="6"/>
      <c r="C541" s="42"/>
      <c r="D541" s="6"/>
      <c r="E541" s="6"/>
      <c r="F541" s="6"/>
      <c r="G541" s="6"/>
      <c r="H541" s="6"/>
      <c r="I541" s="6"/>
      <c r="J541" s="6"/>
      <c r="K541" s="6"/>
      <c r="L541" s="6"/>
      <c r="M541" s="6"/>
      <c r="N541" s="6"/>
      <c r="O541" s="6"/>
      <c r="P541" s="6"/>
      <c r="Q541" s="6"/>
      <c r="R541" s="6"/>
      <c r="S541" s="6"/>
      <c r="AV541" s="6"/>
      <c r="AW541" s="6"/>
      <c r="AX541" s="6"/>
      <c r="AY541" s="6"/>
      <c r="AZ541" s="6"/>
      <c r="BB541" s="6"/>
      <c r="BC541" s="6"/>
      <c r="BD541" s="6"/>
      <c r="BE541" s="6"/>
      <c r="BF541" s="6"/>
    </row>
    <row r="542" spans="1:58" s="2" customFormat="1" x14ac:dyDescent="0.2">
      <c r="A542" s="6"/>
      <c r="B542" s="6"/>
      <c r="C542" s="42"/>
      <c r="D542" s="6"/>
      <c r="E542" s="6"/>
      <c r="F542" s="6"/>
      <c r="G542" s="6"/>
      <c r="H542" s="6"/>
      <c r="I542" s="6"/>
      <c r="J542" s="6"/>
      <c r="K542" s="6"/>
      <c r="L542" s="6"/>
      <c r="M542" s="6"/>
      <c r="N542" s="6"/>
      <c r="O542" s="6"/>
      <c r="P542" s="6"/>
      <c r="Q542" s="6"/>
      <c r="R542" s="6"/>
      <c r="S542" s="6"/>
      <c r="AV542" s="6"/>
      <c r="AW542" s="6"/>
      <c r="AX542" s="6"/>
      <c r="AY542" s="6"/>
      <c r="AZ542" s="6"/>
      <c r="BB542" s="6"/>
      <c r="BC542" s="6"/>
      <c r="BD542" s="6"/>
      <c r="BE542" s="6"/>
      <c r="BF542" s="6"/>
    </row>
    <row r="543" spans="1:58" s="2" customFormat="1" x14ac:dyDescent="0.2">
      <c r="A543" s="6"/>
      <c r="B543" s="6"/>
      <c r="C543" s="42"/>
      <c r="D543" s="6"/>
      <c r="E543" s="6"/>
      <c r="F543" s="6"/>
      <c r="G543" s="6"/>
      <c r="H543" s="6"/>
      <c r="I543" s="6"/>
      <c r="J543" s="6"/>
      <c r="K543" s="6"/>
      <c r="L543" s="6"/>
      <c r="M543" s="6"/>
      <c r="N543" s="6"/>
      <c r="O543" s="6"/>
      <c r="P543" s="6"/>
      <c r="Q543" s="6"/>
      <c r="R543" s="6"/>
      <c r="S543" s="6"/>
      <c r="AV543" s="6"/>
      <c r="AW543" s="6"/>
      <c r="AX543" s="6"/>
      <c r="AY543" s="6"/>
      <c r="AZ543" s="6"/>
      <c r="BB543" s="6"/>
      <c r="BC543" s="6"/>
      <c r="BD543" s="6"/>
      <c r="BE543" s="6"/>
      <c r="BF543" s="6"/>
    </row>
    <row r="544" spans="1:58" s="2" customFormat="1" x14ac:dyDescent="0.2">
      <c r="A544" s="6"/>
      <c r="B544" s="6"/>
      <c r="C544" s="42"/>
      <c r="D544" s="6"/>
      <c r="E544" s="6"/>
      <c r="F544" s="6"/>
      <c r="G544" s="6"/>
      <c r="H544" s="6"/>
      <c r="I544" s="6"/>
      <c r="J544" s="6"/>
      <c r="K544" s="6"/>
      <c r="L544" s="6"/>
      <c r="M544" s="6"/>
      <c r="N544" s="6"/>
      <c r="O544" s="6"/>
      <c r="P544" s="6"/>
      <c r="Q544" s="6"/>
      <c r="R544" s="6"/>
      <c r="S544" s="6"/>
      <c r="AV544" s="6"/>
      <c r="AW544" s="6"/>
      <c r="AX544" s="6"/>
      <c r="AY544" s="6"/>
      <c r="AZ544" s="6"/>
      <c r="BB544" s="6"/>
      <c r="BC544" s="6"/>
      <c r="BD544" s="6"/>
      <c r="BE544" s="6"/>
      <c r="BF544" s="6"/>
    </row>
    <row r="545" spans="1:58" s="2" customFormat="1" x14ac:dyDescent="0.2">
      <c r="A545" s="6"/>
      <c r="B545" s="6"/>
      <c r="C545" s="42"/>
      <c r="D545" s="6"/>
      <c r="E545" s="6"/>
      <c r="F545" s="6"/>
      <c r="G545" s="6"/>
      <c r="H545" s="6"/>
      <c r="I545" s="6"/>
      <c r="J545" s="6"/>
      <c r="K545" s="6"/>
      <c r="L545" s="6"/>
      <c r="M545" s="6"/>
      <c r="N545" s="6"/>
      <c r="O545" s="6"/>
      <c r="P545" s="6"/>
      <c r="Q545" s="6"/>
      <c r="R545" s="6"/>
      <c r="S545" s="6"/>
      <c r="AV545" s="6"/>
      <c r="AW545" s="6"/>
      <c r="AX545" s="6"/>
      <c r="AY545" s="6"/>
      <c r="AZ545" s="6"/>
      <c r="BB545" s="6"/>
      <c r="BC545" s="6"/>
      <c r="BD545" s="6"/>
      <c r="BE545" s="6"/>
      <c r="BF545" s="6"/>
    </row>
    <row r="546" spans="1:58" s="2" customFormat="1" x14ac:dyDescent="0.2">
      <c r="A546" s="6"/>
      <c r="B546" s="6"/>
      <c r="C546" s="42"/>
      <c r="D546" s="6"/>
      <c r="E546" s="6"/>
      <c r="F546" s="6"/>
      <c r="G546" s="6"/>
      <c r="H546" s="6"/>
      <c r="I546" s="6"/>
      <c r="J546" s="6"/>
      <c r="K546" s="6"/>
      <c r="L546" s="6"/>
      <c r="M546" s="6"/>
      <c r="N546" s="6"/>
      <c r="O546" s="6"/>
      <c r="P546" s="6"/>
      <c r="Q546" s="6"/>
      <c r="R546" s="6"/>
      <c r="S546" s="6"/>
      <c r="AV546" s="6"/>
      <c r="AW546" s="6"/>
      <c r="AX546" s="6"/>
      <c r="AY546" s="6"/>
      <c r="AZ546" s="6"/>
      <c r="BB546" s="6"/>
      <c r="BC546" s="6"/>
      <c r="BD546" s="6"/>
      <c r="BE546" s="6"/>
      <c r="BF546" s="6"/>
    </row>
    <row r="547" spans="1:58" s="2" customFormat="1" x14ac:dyDescent="0.2">
      <c r="A547" s="6"/>
      <c r="B547" s="6"/>
      <c r="C547" s="42"/>
      <c r="D547" s="6"/>
      <c r="E547" s="6"/>
      <c r="F547" s="6"/>
      <c r="G547" s="6"/>
      <c r="H547" s="6"/>
      <c r="I547" s="6"/>
      <c r="J547" s="6"/>
      <c r="K547" s="6"/>
      <c r="L547" s="6"/>
      <c r="M547" s="6"/>
      <c r="N547" s="6"/>
      <c r="O547" s="6"/>
      <c r="P547" s="6"/>
      <c r="Q547" s="6"/>
      <c r="R547" s="6"/>
      <c r="S547" s="6"/>
      <c r="AV547" s="6"/>
      <c r="AW547" s="6"/>
      <c r="AX547" s="6"/>
      <c r="AY547" s="6"/>
      <c r="AZ547" s="6"/>
      <c r="BB547" s="6"/>
      <c r="BC547" s="6"/>
      <c r="BD547" s="6"/>
      <c r="BE547" s="6"/>
      <c r="BF547" s="6"/>
    </row>
    <row r="548" spans="1:58" s="2" customFormat="1" x14ac:dyDescent="0.2">
      <c r="A548" s="6"/>
      <c r="B548" s="6"/>
      <c r="C548" s="42"/>
      <c r="D548" s="6"/>
      <c r="E548" s="6"/>
      <c r="F548" s="6"/>
      <c r="G548" s="6"/>
      <c r="H548" s="6"/>
      <c r="I548" s="6"/>
      <c r="J548" s="6"/>
      <c r="K548" s="6"/>
      <c r="L548" s="6"/>
      <c r="M548" s="6"/>
      <c r="N548" s="6"/>
      <c r="O548" s="6"/>
      <c r="P548" s="6"/>
      <c r="Q548" s="6"/>
      <c r="R548" s="6"/>
      <c r="S548" s="6"/>
      <c r="AV548" s="6"/>
      <c r="AW548" s="6"/>
      <c r="AX548" s="6"/>
      <c r="AY548" s="6"/>
      <c r="AZ548" s="6"/>
      <c r="BB548" s="6"/>
      <c r="BC548" s="6"/>
      <c r="BD548" s="6"/>
      <c r="BE548" s="6"/>
      <c r="BF548" s="6"/>
    </row>
    <row r="549" spans="1:58" s="2" customFormat="1" x14ac:dyDescent="0.2">
      <c r="A549" s="6"/>
      <c r="B549" s="6"/>
      <c r="C549" s="42"/>
      <c r="D549" s="6"/>
      <c r="E549" s="6"/>
      <c r="F549" s="6"/>
      <c r="G549" s="6"/>
      <c r="H549" s="6"/>
      <c r="I549" s="6"/>
      <c r="J549" s="6"/>
      <c r="K549" s="6"/>
      <c r="L549" s="6"/>
      <c r="M549" s="6"/>
      <c r="N549" s="6"/>
      <c r="O549" s="6"/>
      <c r="P549" s="6"/>
      <c r="Q549" s="6"/>
      <c r="R549" s="6"/>
      <c r="S549" s="6"/>
      <c r="AV549" s="6"/>
      <c r="AW549" s="6"/>
      <c r="AX549" s="6"/>
      <c r="AY549" s="6"/>
      <c r="AZ549" s="6"/>
      <c r="BB549" s="6"/>
      <c r="BC549" s="6"/>
      <c r="BD549" s="6"/>
      <c r="BE549" s="6"/>
      <c r="BF549" s="6"/>
    </row>
    <row r="550" spans="1:58" s="2" customFormat="1" x14ac:dyDescent="0.2">
      <c r="A550" s="6"/>
      <c r="B550" s="6"/>
      <c r="C550" s="42"/>
      <c r="D550" s="6"/>
      <c r="E550" s="6"/>
      <c r="F550" s="6"/>
      <c r="G550" s="6"/>
      <c r="H550" s="6"/>
      <c r="I550" s="6"/>
      <c r="J550" s="6"/>
      <c r="K550" s="6"/>
      <c r="L550" s="6"/>
      <c r="M550" s="6"/>
      <c r="N550" s="6"/>
      <c r="O550" s="6"/>
      <c r="P550" s="6"/>
      <c r="Q550" s="6"/>
      <c r="R550" s="6"/>
      <c r="S550" s="6"/>
      <c r="AV550" s="6"/>
      <c r="AW550" s="6"/>
      <c r="AX550" s="6"/>
      <c r="AY550" s="6"/>
      <c r="AZ550" s="6"/>
      <c r="BB550" s="6"/>
      <c r="BC550" s="6"/>
      <c r="BD550" s="6"/>
      <c r="BE550" s="6"/>
      <c r="BF550" s="6"/>
    </row>
    <row r="551" spans="1:58" s="2" customFormat="1" x14ac:dyDescent="0.2">
      <c r="A551" s="6"/>
      <c r="B551" s="6"/>
      <c r="C551" s="42"/>
      <c r="D551" s="6"/>
      <c r="E551" s="6"/>
      <c r="F551" s="6"/>
      <c r="G551" s="6"/>
      <c r="H551" s="6"/>
      <c r="I551" s="6"/>
      <c r="J551" s="6"/>
      <c r="K551" s="6"/>
      <c r="L551" s="6"/>
      <c r="M551" s="6"/>
      <c r="N551" s="6"/>
      <c r="O551" s="6"/>
      <c r="P551" s="6"/>
      <c r="Q551" s="6"/>
      <c r="R551" s="6"/>
      <c r="S551" s="6"/>
      <c r="AV551" s="6"/>
      <c r="AW551" s="6"/>
      <c r="AX551" s="6"/>
      <c r="AY551" s="6"/>
      <c r="AZ551" s="6"/>
      <c r="BB551" s="6"/>
      <c r="BC551" s="6"/>
      <c r="BD551" s="6"/>
      <c r="BE551" s="6"/>
      <c r="BF551" s="6"/>
    </row>
    <row r="552" spans="1:58" s="2" customFormat="1" x14ac:dyDescent="0.2">
      <c r="A552" s="6"/>
      <c r="B552" s="6"/>
      <c r="C552" s="42"/>
      <c r="D552" s="6"/>
      <c r="E552" s="6"/>
      <c r="F552" s="6"/>
      <c r="G552" s="6"/>
      <c r="H552" s="6"/>
      <c r="I552" s="6"/>
      <c r="J552" s="6"/>
      <c r="K552" s="6"/>
      <c r="L552" s="6"/>
      <c r="M552" s="6"/>
      <c r="N552" s="6"/>
      <c r="O552" s="6"/>
      <c r="P552" s="6"/>
      <c r="Q552" s="6"/>
      <c r="R552" s="6"/>
      <c r="S552" s="6"/>
      <c r="AV552" s="6"/>
      <c r="AW552" s="6"/>
      <c r="AX552" s="6"/>
      <c r="AY552" s="6"/>
      <c r="AZ552" s="6"/>
      <c r="BB552" s="6"/>
      <c r="BC552" s="6"/>
      <c r="BD552" s="6"/>
      <c r="BE552" s="6"/>
      <c r="BF552" s="6"/>
    </row>
    <row r="553" spans="1:58" s="2" customFormat="1" x14ac:dyDescent="0.2">
      <c r="A553" s="6"/>
      <c r="B553" s="6"/>
      <c r="C553" s="42"/>
      <c r="D553" s="6"/>
      <c r="E553" s="6"/>
      <c r="F553" s="6"/>
      <c r="G553" s="6"/>
      <c r="H553" s="6"/>
      <c r="I553" s="6"/>
      <c r="J553" s="6"/>
      <c r="K553" s="6"/>
      <c r="L553" s="6"/>
      <c r="M553" s="6"/>
      <c r="N553" s="6"/>
      <c r="O553" s="6"/>
      <c r="P553" s="6"/>
      <c r="Q553" s="6"/>
      <c r="R553" s="6"/>
      <c r="S553" s="6"/>
      <c r="AV553" s="6"/>
      <c r="AW553" s="6"/>
      <c r="AX553" s="6"/>
      <c r="AY553" s="6"/>
      <c r="AZ553" s="6"/>
      <c r="BB553" s="6"/>
      <c r="BC553" s="6"/>
      <c r="BD553" s="6"/>
      <c r="BE553" s="6"/>
      <c r="BF553" s="6"/>
    </row>
    <row r="554" spans="1:58" s="2" customFormat="1" x14ac:dyDescent="0.2">
      <c r="A554" s="6"/>
      <c r="B554" s="6"/>
      <c r="C554" s="42"/>
      <c r="D554" s="6"/>
      <c r="E554" s="6"/>
      <c r="F554" s="6"/>
      <c r="G554" s="6"/>
      <c r="H554" s="6"/>
      <c r="I554" s="6"/>
      <c r="J554" s="6"/>
      <c r="K554" s="6"/>
      <c r="L554" s="6"/>
      <c r="M554" s="6"/>
      <c r="N554" s="6"/>
      <c r="O554" s="6"/>
      <c r="P554" s="6"/>
      <c r="Q554" s="6"/>
      <c r="R554" s="6"/>
      <c r="S554" s="6"/>
      <c r="AV554" s="6"/>
      <c r="AW554" s="6"/>
      <c r="AX554" s="6"/>
      <c r="AY554" s="6"/>
      <c r="AZ554" s="6"/>
      <c r="BB554" s="6"/>
      <c r="BC554" s="6"/>
      <c r="BD554" s="6"/>
      <c r="BE554" s="6"/>
      <c r="BF554" s="6"/>
    </row>
    <row r="555" spans="1:58" s="2" customFormat="1" x14ac:dyDescent="0.2">
      <c r="A555" s="6"/>
      <c r="B555" s="6"/>
      <c r="C555" s="42"/>
      <c r="D555" s="6"/>
      <c r="E555" s="6"/>
      <c r="F555" s="6"/>
      <c r="G555" s="6"/>
      <c r="H555" s="6"/>
      <c r="I555" s="6"/>
      <c r="J555" s="6"/>
      <c r="K555" s="6"/>
      <c r="L555" s="6"/>
      <c r="M555" s="6"/>
      <c r="N555" s="6"/>
      <c r="O555" s="6"/>
      <c r="P555" s="6"/>
      <c r="Q555" s="6"/>
      <c r="R555" s="6"/>
      <c r="S555" s="6"/>
      <c r="AV555" s="6"/>
      <c r="AW555" s="6"/>
      <c r="AX555" s="6"/>
      <c r="AY555" s="6"/>
      <c r="AZ555" s="6"/>
      <c r="BB555" s="6"/>
      <c r="BC555" s="6"/>
      <c r="BD555" s="6"/>
      <c r="BE555" s="6"/>
      <c r="BF555" s="6"/>
    </row>
    <row r="556" spans="1:58" s="2" customFormat="1" x14ac:dyDescent="0.2">
      <c r="A556" s="6"/>
      <c r="B556" s="6"/>
      <c r="C556" s="42"/>
      <c r="D556" s="6"/>
      <c r="E556" s="6"/>
      <c r="F556" s="6"/>
      <c r="G556" s="6"/>
      <c r="H556" s="6"/>
      <c r="I556" s="6"/>
      <c r="J556" s="6"/>
      <c r="K556" s="6"/>
      <c r="L556" s="6"/>
      <c r="M556" s="6"/>
      <c r="N556" s="6"/>
      <c r="O556" s="6"/>
      <c r="P556" s="6"/>
      <c r="Q556" s="6"/>
      <c r="R556" s="6"/>
      <c r="S556" s="6"/>
      <c r="AV556" s="6"/>
      <c r="AW556" s="6"/>
      <c r="AX556" s="6"/>
      <c r="AY556" s="6"/>
      <c r="AZ556" s="6"/>
      <c r="BB556" s="6"/>
      <c r="BC556" s="6"/>
      <c r="BD556" s="6"/>
      <c r="BE556" s="6"/>
      <c r="BF556" s="6"/>
    </row>
    <row r="557" spans="1:58" s="2" customFormat="1" x14ac:dyDescent="0.2">
      <c r="A557" s="6"/>
      <c r="B557" s="6"/>
      <c r="C557" s="42"/>
      <c r="D557" s="6"/>
      <c r="E557" s="6"/>
      <c r="F557" s="6"/>
      <c r="G557" s="6"/>
      <c r="H557" s="6"/>
      <c r="I557" s="6"/>
      <c r="J557" s="6"/>
      <c r="K557" s="6"/>
      <c r="L557" s="6"/>
      <c r="M557" s="6"/>
      <c r="N557" s="6"/>
      <c r="O557" s="6"/>
      <c r="P557" s="6"/>
      <c r="Q557" s="6"/>
      <c r="R557" s="6"/>
      <c r="S557" s="6"/>
      <c r="AV557" s="6"/>
      <c r="AW557" s="6"/>
      <c r="AX557" s="6"/>
      <c r="AY557" s="6"/>
      <c r="AZ557" s="6"/>
      <c r="BB557" s="6"/>
      <c r="BC557" s="6"/>
      <c r="BD557" s="6"/>
      <c r="BE557" s="6"/>
      <c r="BF557" s="6"/>
    </row>
    <row r="558" spans="1:58" s="2" customFormat="1" x14ac:dyDescent="0.2">
      <c r="A558" s="6"/>
      <c r="B558" s="6"/>
      <c r="C558" s="42"/>
      <c r="D558" s="6"/>
      <c r="E558" s="6"/>
      <c r="F558" s="6"/>
      <c r="G558" s="6"/>
      <c r="H558" s="6"/>
      <c r="I558" s="6"/>
      <c r="J558" s="6"/>
      <c r="K558" s="6"/>
      <c r="L558" s="6"/>
      <c r="M558" s="6"/>
      <c r="N558" s="6"/>
      <c r="O558" s="6"/>
      <c r="P558" s="6"/>
      <c r="Q558" s="6"/>
      <c r="R558" s="6"/>
      <c r="S558" s="6"/>
      <c r="AV558" s="6"/>
      <c r="AW558" s="6"/>
      <c r="AX558" s="6"/>
      <c r="AY558" s="6"/>
      <c r="AZ558" s="6"/>
      <c r="BB558" s="6"/>
      <c r="BC558" s="6"/>
      <c r="BD558" s="6"/>
      <c r="BE558" s="6"/>
      <c r="BF558" s="6"/>
    </row>
    <row r="559" spans="1:58" s="2" customFormat="1" x14ac:dyDescent="0.2">
      <c r="A559" s="6"/>
      <c r="B559" s="6"/>
      <c r="C559" s="42"/>
      <c r="D559" s="6"/>
      <c r="E559" s="6"/>
      <c r="F559" s="6"/>
      <c r="G559" s="6"/>
      <c r="H559" s="6"/>
      <c r="I559" s="6"/>
      <c r="J559" s="6"/>
      <c r="K559" s="6"/>
      <c r="L559" s="6"/>
      <c r="M559" s="6"/>
      <c r="N559" s="6"/>
      <c r="O559" s="6"/>
      <c r="P559" s="6"/>
      <c r="Q559" s="6"/>
      <c r="R559" s="6"/>
      <c r="S559" s="6"/>
      <c r="AV559" s="6"/>
      <c r="AW559" s="6"/>
      <c r="AX559" s="6"/>
      <c r="AY559" s="6"/>
      <c r="AZ559" s="6"/>
      <c r="BB559" s="6"/>
      <c r="BC559" s="6"/>
      <c r="BD559" s="6"/>
      <c r="BE559" s="6"/>
      <c r="BF559" s="6"/>
    </row>
    <row r="560" spans="1:58" s="2" customFormat="1" x14ac:dyDescent="0.2">
      <c r="A560" s="6"/>
      <c r="B560" s="6"/>
      <c r="C560" s="42"/>
      <c r="D560" s="6"/>
      <c r="E560" s="6"/>
      <c r="F560" s="6"/>
      <c r="G560" s="6"/>
      <c r="H560" s="6"/>
      <c r="I560" s="6"/>
      <c r="J560" s="6"/>
      <c r="K560" s="6"/>
      <c r="L560" s="6"/>
      <c r="M560" s="6"/>
      <c r="N560" s="6"/>
      <c r="O560" s="6"/>
      <c r="P560" s="6"/>
      <c r="Q560" s="6"/>
      <c r="R560" s="6"/>
      <c r="S560" s="6"/>
      <c r="AV560" s="6"/>
      <c r="AW560" s="6"/>
      <c r="AX560" s="6"/>
      <c r="AY560" s="6"/>
      <c r="AZ560" s="6"/>
      <c r="BB560" s="6"/>
      <c r="BC560" s="6"/>
      <c r="BD560" s="6"/>
      <c r="BE560" s="6"/>
      <c r="BF560" s="6"/>
    </row>
    <row r="561" spans="1:58" s="2" customFormat="1" x14ac:dyDescent="0.2">
      <c r="A561" s="6"/>
      <c r="B561" s="6"/>
      <c r="C561" s="42"/>
      <c r="D561" s="6"/>
      <c r="E561" s="6"/>
      <c r="F561" s="6"/>
      <c r="G561" s="6"/>
      <c r="H561" s="6"/>
      <c r="I561" s="6"/>
      <c r="J561" s="6"/>
      <c r="K561" s="6"/>
      <c r="L561" s="6"/>
      <c r="M561" s="6"/>
      <c r="N561" s="6"/>
      <c r="O561" s="6"/>
      <c r="P561" s="6"/>
      <c r="Q561" s="6"/>
      <c r="R561" s="6"/>
      <c r="S561" s="6"/>
      <c r="AV561" s="6"/>
      <c r="AW561" s="6"/>
      <c r="AX561" s="6"/>
      <c r="AY561" s="6"/>
      <c r="AZ561" s="6"/>
      <c r="BB561" s="6"/>
      <c r="BC561" s="6"/>
      <c r="BD561" s="6"/>
      <c r="BE561" s="6"/>
      <c r="BF561" s="6"/>
    </row>
    <row r="562" spans="1:58" s="2" customFormat="1" x14ac:dyDescent="0.2">
      <c r="A562" s="6"/>
      <c r="B562" s="6"/>
      <c r="C562" s="42"/>
      <c r="D562" s="6"/>
      <c r="E562" s="6"/>
      <c r="F562" s="6"/>
      <c r="G562" s="6"/>
      <c r="H562" s="6"/>
      <c r="I562" s="6"/>
      <c r="J562" s="6"/>
      <c r="K562" s="6"/>
      <c r="L562" s="6"/>
      <c r="M562" s="6"/>
      <c r="N562" s="6"/>
      <c r="O562" s="6"/>
      <c r="P562" s="6"/>
      <c r="Q562" s="6"/>
      <c r="R562" s="6"/>
      <c r="S562" s="6"/>
      <c r="AV562" s="6"/>
      <c r="AW562" s="6"/>
      <c r="AX562" s="6"/>
      <c r="AY562" s="6"/>
      <c r="AZ562" s="6"/>
      <c r="BB562" s="6"/>
      <c r="BC562" s="6"/>
      <c r="BD562" s="6"/>
      <c r="BE562" s="6"/>
      <c r="BF562" s="6"/>
    </row>
    <row r="563" spans="1:58" s="2" customFormat="1" x14ac:dyDescent="0.2">
      <c r="A563" s="6"/>
      <c r="B563" s="6"/>
      <c r="C563" s="42"/>
      <c r="D563" s="6"/>
      <c r="E563" s="6"/>
      <c r="F563" s="6"/>
      <c r="G563" s="6"/>
      <c r="H563" s="6"/>
      <c r="I563" s="6"/>
      <c r="J563" s="6"/>
      <c r="K563" s="6"/>
      <c r="L563" s="6"/>
      <c r="M563" s="6"/>
      <c r="N563" s="6"/>
      <c r="O563" s="6"/>
      <c r="P563" s="6"/>
      <c r="Q563" s="6"/>
      <c r="R563" s="6"/>
      <c r="S563" s="6"/>
      <c r="AV563" s="6"/>
      <c r="AW563" s="6"/>
      <c r="AX563" s="6"/>
      <c r="AY563" s="6"/>
      <c r="AZ563" s="6"/>
      <c r="BB563" s="6"/>
      <c r="BC563" s="6"/>
      <c r="BD563" s="6"/>
      <c r="BE563" s="6"/>
      <c r="BF563" s="6"/>
    </row>
    <row r="564" spans="1:58" s="2" customFormat="1" x14ac:dyDescent="0.2">
      <c r="A564" s="6"/>
      <c r="B564" s="6"/>
      <c r="C564" s="42"/>
      <c r="D564" s="6"/>
      <c r="E564" s="6"/>
      <c r="F564" s="6"/>
      <c r="G564" s="6"/>
      <c r="H564" s="6"/>
      <c r="I564" s="6"/>
      <c r="J564" s="6"/>
      <c r="K564" s="6"/>
      <c r="L564" s="6"/>
      <c r="M564" s="6"/>
      <c r="N564" s="6"/>
      <c r="O564" s="6"/>
      <c r="P564" s="6"/>
      <c r="Q564" s="6"/>
      <c r="R564" s="6"/>
      <c r="S564" s="6"/>
      <c r="AV564" s="6"/>
      <c r="AW564" s="6"/>
      <c r="AX564" s="6"/>
      <c r="AY564" s="6"/>
      <c r="AZ564" s="6"/>
      <c r="BB564" s="6"/>
      <c r="BC564" s="6"/>
      <c r="BD564" s="6"/>
      <c r="BE564" s="6"/>
      <c r="BF564" s="6"/>
    </row>
    <row r="565" spans="1:58" s="2" customFormat="1" x14ac:dyDescent="0.2">
      <c r="A565" s="6"/>
      <c r="B565" s="6"/>
      <c r="C565" s="42"/>
      <c r="D565" s="6"/>
      <c r="E565" s="6"/>
      <c r="F565" s="6"/>
      <c r="G565" s="6"/>
      <c r="H565" s="6"/>
      <c r="I565" s="6"/>
      <c r="J565" s="6"/>
      <c r="K565" s="6"/>
      <c r="L565" s="6"/>
      <c r="M565" s="6"/>
      <c r="N565" s="6"/>
      <c r="O565" s="6"/>
      <c r="P565" s="6"/>
      <c r="Q565" s="6"/>
      <c r="R565" s="6"/>
      <c r="S565" s="6"/>
      <c r="AV565" s="6"/>
      <c r="AW565" s="6"/>
      <c r="AX565" s="6"/>
      <c r="AY565" s="6"/>
      <c r="AZ565" s="6"/>
      <c r="BB565" s="6"/>
      <c r="BC565" s="6"/>
      <c r="BD565" s="6"/>
      <c r="BE565" s="6"/>
      <c r="BF565" s="6"/>
    </row>
    <row r="566" spans="1:58" s="2" customFormat="1" x14ac:dyDescent="0.2">
      <c r="A566" s="6"/>
      <c r="B566" s="6"/>
      <c r="C566" s="42"/>
      <c r="D566" s="6"/>
      <c r="E566" s="6"/>
      <c r="F566" s="6"/>
      <c r="G566" s="6"/>
      <c r="H566" s="6"/>
      <c r="I566" s="6"/>
      <c r="J566" s="6"/>
      <c r="K566" s="6"/>
      <c r="L566" s="6"/>
      <c r="M566" s="6"/>
      <c r="N566" s="6"/>
      <c r="O566" s="6"/>
      <c r="P566" s="6"/>
      <c r="Q566" s="6"/>
      <c r="R566" s="6"/>
      <c r="S566" s="6"/>
      <c r="AV566" s="6"/>
      <c r="AW566" s="6"/>
      <c r="AX566" s="6"/>
      <c r="AY566" s="6"/>
      <c r="AZ566" s="6"/>
      <c r="BB566" s="6"/>
      <c r="BC566" s="6"/>
      <c r="BD566" s="6"/>
      <c r="BE566" s="6"/>
      <c r="BF566" s="6"/>
    </row>
    <row r="567" spans="1:58" s="2" customFormat="1" x14ac:dyDescent="0.2">
      <c r="A567" s="6"/>
      <c r="B567" s="6"/>
      <c r="C567" s="42"/>
      <c r="D567" s="6"/>
      <c r="E567" s="6"/>
      <c r="F567" s="6"/>
      <c r="G567" s="6"/>
      <c r="H567" s="6"/>
      <c r="I567" s="6"/>
      <c r="J567" s="6"/>
      <c r="K567" s="6"/>
      <c r="L567" s="6"/>
      <c r="M567" s="6"/>
      <c r="N567" s="6"/>
      <c r="O567" s="6"/>
      <c r="P567" s="6"/>
      <c r="Q567" s="6"/>
      <c r="R567" s="6"/>
      <c r="S567" s="6"/>
      <c r="AV567" s="6"/>
      <c r="AW567" s="6"/>
      <c r="AX567" s="6"/>
      <c r="AY567" s="6"/>
      <c r="AZ567" s="6"/>
      <c r="BB567" s="6"/>
      <c r="BC567" s="6"/>
      <c r="BD567" s="6"/>
      <c r="BE567" s="6"/>
      <c r="BF567" s="6"/>
    </row>
    <row r="568" spans="1:58" s="2" customFormat="1" x14ac:dyDescent="0.2">
      <c r="A568" s="6"/>
      <c r="B568" s="6"/>
      <c r="C568" s="42"/>
      <c r="D568" s="6"/>
      <c r="E568" s="6"/>
      <c r="F568" s="6"/>
      <c r="G568" s="6"/>
      <c r="H568" s="6"/>
      <c r="I568" s="6"/>
      <c r="J568" s="6"/>
      <c r="K568" s="6"/>
      <c r="L568" s="6"/>
      <c r="M568" s="6"/>
      <c r="N568" s="6"/>
      <c r="O568" s="6"/>
      <c r="P568" s="6"/>
      <c r="Q568" s="6"/>
      <c r="R568" s="6"/>
      <c r="S568" s="6"/>
      <c r="AV568" s="6"/>
      <c r="AW568" s="6"/>
      <c r="AX568" s="6"/>
      <c r="AY568" s="6"/>
      <c r="AZ568" s="6"/>
      <c r="BB568" s="6"/>
      <c r="BC568" s="6"/>
      <c r="BD568" s="6"/>
      <c r="BE568" s="6"/>
      <c r="BF568" s="6"/>
    </row>
    <row r="569" spans="1:58" s="2" customFormat="1" x14ac:dyDescent="0.2">
      <c r="A569" s="6"/>
      <c r="B569" s="6"/>
      <c r="C569" s="42"/>
      <c r="D569" s="6"/>
      <c r="E569" s="6"/>
      <c r="F569" s="6"/>
      <c r="G569" s="6"/>
      <c r="H569" s="6"/>
      <c r="I569" s="6"/>
      <c r="J569" s="6"/>
      <c r="K569" s="6"/>
      <c r="L569" s="6"/>
      <c r="M569" s="6"/>
      <c r="N569" s="6"/>
      <c r="O569" s="6"/>
      <c r="P569" s="6"/>
      <c r="Q569" s="6"/>
      <c r="R569" s="6"/>
      <c r="S569" s="6"/>
      <c r="AV569" s="6"/>
      <c r="AW569" s="6"/>
      <c r="AX569" s="6"/>
      <c r="AY569" s="6"/>
      <c r="AZ569" s="6"/>
      <c r="BB569" s="6"/>
      <c r="BC569" s="6"/>
      <c r="BD569" s="6"/>
      <c r="BE569" s="6"/>
      <c r="BF569" s="6"/>
    </row>
    <row r="570" spans="1:58" s="2" customFormat="1" x14ac:dyDescent="0.2">
      <c r="A570" s="6"/>
      <c r="B570" s="6"/>
      <c r="C570" s="42"/>
      <c r="D570" s="6"/>
      <c r="E570" s="6"/>
      <c r="F570" s="6"/>
      <c r="G570" s="6"/>
      <c r="H570" s="6"/>
      <c r="I570" s="6"/>
      <c r="J570" s="6"/>
      <c r="K570" s="6"/>
      <c r="L570" s="6"/>
      <c r="M570" s="6"/>
      <c r="N570" s="6"/>
      <c r="O570" s="6"/>
      <c r="P570" s="6"/>
      <c r="Q570" s="6"/>
      <c r="R570" s="6"/>
      <c r="S570" s="6"/>
      <c r="AV570" s="6"/>
      <c r="AW570" s="6"/>
      <c r="AX570" s="6"/>
      <c r="AY570" s="6"/>
      <c r="AZ570" s="6"/>
      <c r="BB570" s="6"/>
      <c r="BC570" s="6"/>
      <c r="BD570" s="6"/>
      <c r="BE570" s="6"/>
      <c r="BF570" s="6"/>
    </row>
    <row r="571" spans="1:58" s="2" customFormat="1" x14ac:dyDescent="0.2">
      <c r="A571" s="6"/>
      <c r="B571" s="6"/>
      <c r="C571" s="42"/>
      <c r="D571" s="6"/>
      <c r="E571" s="6"/>
      <c r="F571" s="6"/>
      <c r="G571" s="6"/>
      <c r="H571" s="6"/>
      <c r="I571" s="6"/>
      <c r="J571" s="6"/>
      <c r="K571" s="6"/>
      <c r="L571" s="6"/>
      <c r="M571" s="6"/>
      <c r="N571" s="6"/>
      <c r="O571" s="6"/>
      <c r="P571" s="6"/>
      <c r="Q571" s="6"/>
      <c r="R571" s="6"/>
      <c r="S571" s="6"/>
      <c r="AV571" s="6"/>
      <c r="AW571" s="6"/>
      <c r="AX571" s="6"/>
      <c r="AY571" s="6"/>
      <c r="AZ571" s="6"/>
      <c r="BB571" s="6"/>
      <c r="BC571" s="6"/>
      <c r="BD571" s="6"/>
      <c r="BE571" s="6"/>
      <c r="BF571" s="6"/>
    </row>
    <row r="572" spans="1:58" s="2" customFormat="1" x14ac:dyDescent="0.2">
      <c r="A572" s="6"/>
      <c r="B572" s="6"/>
      <c r="C572" s="42"/>
      <c r="D572" s="6"/>
      <c r="E572" s="6"/>
      <c r="F572" s="6"/>
      <c r="G572" s="6"/>
      <c r="H572" s="6"/>
      <c r="I572" s="6"/>
      <c r="J572" s="6"/>
      <c r="K572" s="6"/>
      <c r="L572" s="6"/>
      <c r="M572" s="6"/>
      <c r="N572" s="6"/>
      <c r="O572" s="6"/>
      <c r="P572" s="6"/>
      <c r="Q572" s="6"/>
      <c r="R572" s="6"/>
      <c r="S572" s="6"/>
      <c r="AV572" s="6"/>
      <c r="AW572" s="6"/>
      <c r="AX572" s="6"/>
      <c r="AY572" s="6"/>
      <c r="AZ572" s="6"/>
      <c r="BB572" s="6"/>
      <c r="BC572" s="6"/>
      <c r="BD572" s="6"/>
      <c r="BE572" s="6"/>
      <c r="BF572" s="6"/>
    </row>
    <row r="573" spans="1:58" s="2" customFormat="1" x14ac:dyDescent="0.2">
      <c r="A573" s="6"/>
      <c r="B573" s="6"/>
      <c r="C573" s="42"/>
      <c r="D573" s="6"/>
      <c r="E573" s="6"/>
      <c r="F573" s="6"/>
      <c r="G573" s="6"/>
      <c r="H573" s="6"/>
      <c r="I573" s="6"/>
      <c r="J573" s="6"/>
      <c r="K573" s="6"/>
      <c r="L573" s="6"/>
      <c r="M573" s="6"/>
      <c r="N573" s="6"/>
      <c r="O573" s="6"/>
      <c r="P573" s="6"/>
      <c r="Q573" s="6"/>
      <c r="R573" s="6"/>
      <c r="S573" s="6"/>
      <c r="AV573" s="6"/>
      <c r="AW573" s="6"/>
      <c r="AX573" s="6"/>
      <c r="AY573" s="6"/>
      <c r="AZ573" s="6"/>
      <c r="BB573" s="6"/>
      <c r="BC573" s="6"/>
      <c r="BD573" s="6"/>
      <c r="BE573" s="6"/>
      <c r="BF573" s="6"/>
    </row>
    <row r="574" spans="1:58" s="2" customFormat="1" x14ac:dyDescent="0.2">
      <c r="A574" s="6"/>
      <c r="B574" s="6"/>
      <c r="C574" s="42"/>
      <c r="D574" s="6"/>
      <c r="E574" s="6"/>
      <c r="F574" s="6"/>
      <c r="G574" s="6"/>
      <c r="H574" s="6"/>
      <c r="I574" s="6"/>
      <c r="J574" s="6"/>
      <c r="K574" s="6"/>
      <c r="L574" s="6"/>
      <c r="M574" s="6"/>
      <c r="N574" s="6"/>
      <c r="O574" s="6"/>
      <c r="P574" s="6"/>
      <c r="Q574" s="6"/>
      <c r="R574" s="6"/>
      <c r="S574" s="6"/>
      <c r="AV574" s="6"/>
      <c r="AW574" s="6"/>
      <c r="AX574" s="6"/>
      <c r="AY574" s="6"/>
      <c r="AZ574" s="6"/>
      <c r="BB574" s="6"/>
      <c r="BC574" s="6"/>
      <c r="BD574" s="6"/>
      <c r="BE574" s="6"/>
      <c r="BF574" s="6"/>
    </row>
    <row r="575" spans="1:58" s="2" customFormat="1" x14ac:dyDescent="0.2">
      <c r="A575" s="6"/>
      <c r="B575" s="6"/>
      <c r="C575" s="42"/>
      <c r="D575" s="6"/>
      <c r="E575" s="6"/>
      <c r="F575" s="6"/>
      <c r="G575" s="6"/>
      <c r="H575" s="6"/>
      <c r="I575" s="6"/>
      <c r="J575" s="6"/>
      <c r="K575" s="6"/>
      <c r="L575" s="6"/>
      <c r="M575" s="6"/>
      <c r="N575" s="6"/>
      <c r="O575" s="6"/>
      <c r="P575" s="6"/>
      <c r="Q575" s="6"/>
      <c r="R575" s="6"/>
      <c r="S575" s="6"/>
      <c r="AV575" s="6"/>
      <c r="AW575" s="6"/>
      <c r="AX575" s="6"/>
      <c r="AY575" s="6"/>
      <c r="AZ575" s="6"/>
      <c r="BB575" s="6"/>
      <c r="BC575" s="6"/>
      <c r="BD575" s="6"/>
      <c r="BE575" s="6"/>
      <c r="BF575" s="6"/>
    </row>
    <row r="576" spans="1:58" s="2" customFormat="1" x14ac:dyDescent="0.2">
      <c r="A576" s="6"/>
      <c r="B576" s="6"/>
      <c r="C576" s="42"/>
      <c r="D576" s="6"/>
      <c r="E576" s="6"/>
      <c r="F576" s="6"/>
      <c r="G576" s="6"/>
      <c r="H576" s="6"/>
      <c r="I576" s="6"/>
      <c r="J576" s="6"/>
      <c r="K576" s="6"/>
      <c r="L576" s="6"/>
      <c r="M576" s="6"/>
      <c r="N576" s="6"/>
      <c r="O576" s="6"/>
      <c r="P576" s="6"/>
      <c r="Q576" s="6"/>
      <c r="R576" s="6"/>
      <c r="S576" s="6"/>
      <c r="AV576" s="6"/>
      <c r="AW576" s="6"/>
      <c r="AX576" s="6"/>
      <c r="AY576" s="6"/>
      <c r="AZ576" s="6"/>
      <c r="BB576" s="6"/>
      <c r="BC576" s="6"/>
      <c r="BD576" s="6"/>
      <c r="BE576" s="6"/>
      <c r="BF576" s="6"/>
    </row>
    <row r="577" spans="1:58" s="2" customFormat="1" x14ac:dyDescent="0.2">
      <c r="A577" s="6"/>
      <c r="B577" s="6"/>
      <c r="C577" s="42"/>
      <c r="D577" s="6"/>
      <c r="E577" s="6"/>
      <c r="F577" s="6"/>
      <c r="G577" s="6"/>
      <c r="H577" s="6"/>
      <c r="I577" s="6"/>
      <c r="J577" s="6"/>
      <c r="K577" s="6"/>
      <c r="L577" s="6"/>
      <c r="M577" s="6"/>
      <c r="N577" s="6"/>
      <c r="O577" s="6"/>
      <c r="P577" s="6"/>
      <c r="Q577" s="6"/>
      <c r="R577" s="6"/>
      <c r="S577" s="6"/>
      <c r="AV577" s="6"/>
      <c r="AW577" s="6"/>
      <c r="AX577" s="6"/>
      <c r="AY577" s="6"/>
      <c r="AZ577" s="6"/>
      <c r="BB577" s="6"/>
      <c r="BC577" s="6"/>
      <c r="BD577" s="6"/>
      <c r="BE577" s="6"/>
      <c r="BF577" s="6"/>
    </row>
    <row r="578" spans="1:58" s="2" customFormat="1" x14ac:dyDescent="0.2">
      <c r="A578" s="6"/>
      <c r="B578" s="6"/>
      <c r="C578" s="42"/>
      <c r="D578" s="6"/>
      <c r="E578" s="6"/>
      <c r="F578" s="6"/>
      <c r="G578" s="6"/>
      <c r="H578" s="6"/>
      <c r="I578" s="6"/>
      <c r="J578" s="6"/>
      <c r="K578" s="6"/>
      <c r="L578" s="6"/>
      <c r="M578" s="6"/>
      <c r="N578" s="6"/>
      <c r="O578" s="6"/>
      <c r="P578" s="6"/>
      <c r="Q578" s="6"/>
      <c r="R578" s="6"/>
      <c r="S578" s="6"/>
      <c r="AV578" s="6"/>
      <c r="AW578" s="6"/>
      <c r="AX578" s="6"/>
      <c r="AY578" s="6"/>
      <c r="AZ578" s="6"/>
      <c r="BB578" s="6"/>
      <c r="BC578" s="6"/>
      <c r="BD578" s="6"/>
      <c r="BE578" s="6"/>
      <c r="BF578" s="6"/>
    </row>
    <row r="579" spans="1:58" s="2" customFormat="1" x14ac:dyDescent="0.2">
      <c r="A579" s="6"/>
      <c r="B579" s="6"/>
      <c r="C579" s="42"/>
      <c r="D579" s="6"/>
      <c r="E579" s="6"/>
      <c r="F579" s="6"/>
      <c r="G579" s="6"/>
      <c r="H579" s="6"/>
      <c r="I579" s="6"/>
      <c r="J579" s="6"/>
      <c r="K579" s="6"/>
      <c r="L579" s="6"/>
      <c r="M579" s="6"/>
      <c r="N579" s="6"/>
      <c r="O579" s="6"/>
      <c r="P579" s="6"/>
      <c r="Q579" s="6"/>
      <c r="R579" s="6"/>
      <c r="S579" s="6"/>
      <c r="AV579" s="6"/>
      <c r="AW579" s="6"/>
      <c r="AX579" s="6"/>
      <c r="AY579" s="6"/>
      <c r="AZ579" s="6"/>
      <c r="BB579" s="6"/>
      <c r="BC579" s="6"/>
      <c r="BD579" s="6"/>
      <c r="BE579" s="6"/>
      <c r="BF579" s="6"/>
    </row>
    <row r="580" spans="1:58" s="2" customFormat="1" x14ac:dyDescent="0.2">
      <c r="A580" s="6"/>
      <c r="B580" s="6"/>
      <c r="C580" s="42"/>
      <c r="D580" s="6"/>
      <c r="E580" s="6"/>
      <c r="F580" s="6"/>
      <c r="G580" s="6"/>
      <c r="H580" s="6"/>
      <c r="I580" s="6"/>
      <c r="J580" s="6"/>
      <c r="K580" s="6"/>
      <c r="L580" s="6"/>
      <c r="M580" s="6"/>
      <c r="N580" s="6"/>
      <c r="O580" s="6"/>
      <c r="P580" s="6"/>
      <c r="Q580" s="6"/>
      <c r="R580" s="6"/>
      <c r="S580" s="6"/>
      <c r="AV580" s="6"/>
      <c r="AW580" s="6"/>
      <c r="AX580" s="6"/>
      <c r="AY580" s="6"/>
      <c r="AZ580" s="6"/>
      <c r="BB580" s="6"/>
      <c r="BC580" s="6"/>
      <c r="BD580" s="6"/>
      <c r="BE580" s="6"/>
      <c r="BF580" s="6"/>
    </row>
    <row r="581" spans="1:58" s="2" customFormat="1" x14ac:dyDescent="0.2">
      <c r="A581" s="6"/>
      <c r="B581" s="6"/>
      <c r="C581" s="42"/>
      <c r="D581" s="6"/>
      <c r="E581" s="6"/>
      <c r="F581" s="6"/>
      <c r="G581" s="6"/>
      <c r="H581" s="6"/>
      <c r="I581" s="6"/>
      <c r="J581" s="6"/>
      <c r="K581" s="6"/>
      <c r="L581" s="6"/>
      <c r="M581" s="6"/>
      <c r="N581" s="6"/>
      <c r="O581" s="6"/>
      <c r="P581" s="6"/>
      <c r="Q581" s="6"/>
      <c r="R581" s="6"/>
      <c r="S581" s="6"/>
      <c r="AV581" s="6"/>
      <c r="AW581" s="6"/>
      <c r="AX581" s="6"/>
      <c r="AY581" s="6"/>
      <c r="AZ581" s="6"/>
      <c r="BB581" s="6"/>
      <c r="BC581" s="6"/>
      <c r="BD581" s="6"/>
      <c r="BE581" s="6"/>
      <c r="BF581" s="6"/>
    </row>
    <row r="582" spans="1:58" s="2" customFormat="1" x14ac:dyDescent="0.2">
      <c r="A582" s="6"/>
      <c r="B582" s="6"/>
      <c r="C582" s="42"/>
      <c r="D582" s="6"/>
      <c r="E582" s="6"/>
      <c r="F582" s="6"/>
      <c r="G582" s="6"/>
      <c r="H582" s="6"/>
      <c r="I582" s="6"/>
      <c r="J582" s="6"/>
      <c r="K582" s="6"/>
      <c r="L582" s="6"/>
      <c r="M582" s="6"/>
      <c r="N582" s="6"/>
      <c r="O582" s="6"/>
      <c r="P582" s="6"/>
      <c r="Q582" s="6"/>
      <c r="R582" s="6"/>
      <c r="S582" s="6"/>
      <c r="AV582" s="6"/>
      <c r="AW582" s="6"/>
      <c r="AX582" s="6"/>
      <c r="AY582" s="6"/>
      <c r="AZ582" s="6"/>
      <c r="BB582" s="6"/>
      <c r="BC582" s="6"/>
      <c r="BD582" s="6"/>
      <c r="BE582" s="6"/>
      <c r="BF582" s="6"/>
    </row>
    <row r="583" spans="1:58" s="2" customFormat="1" x14ac:dyDescent="0.2">
      <c r="A583" s="6"/>
      <c r="B583" s="6"/>
      <c r="C583" s="42"/>
      <c r="D583" s="6"/>
      <c r="E583" s="6"/>
      <c r="F583" s="6"/>
      <c r="G583" s="6"/>
      <c r="H583" s="6"/>
      <c r="I583" s="6"/>
      <c r="J583" s="6"/>
      <c r="K583" s="6"/>
      <c r="L583" s="6"/>
      <c r="M583" s="6"/>
      <c r="N583" s="6"/>
      <c r="O583" s="6"/>
      <c r="P583" s="6"/>
      <c r="Q583" s="6"/>
      <c r="R583" s="6"/>
      <c r="S583" s="6"/>
      <c r="AV583" s="6"/>
      <c r="AW583" s="6"/>
      <c r="AX583" s="6"/>
      <c r="AY583" s="6"/>
      <c r="AZ583" s="6"/>
      <c r="BB583" s="6"/>
      <c r="BC583" s="6"/>
      <c r="BD583" s="6"/>
      <c r="BE583" s="6"/>
      <c r="BF583" s="6"/>
    </row>
    <row r="584" spans="1:58" s="2" customFormat="1" x14ac:dyDescent="0.2">
      <c r="A584" s="6"/>
      <c r="B584" s="6"/>
      <c r="C584" s="42"/>
      <c r="D584" s="6"/>
      <c r="E584" s="6"/>
      <c r="F584" s="6"/>
      <c r="G584" s="6"/>
      <c r="H584" s="6"/>
      <c r="I584" s="6"/>
      <c r="J584" s="6"/>
      <c r="K584" s="6"/>
      <c r="L584" s="6"/>
      <c r="M584" s="6"/>
      <c r="N584" s="6"/>
      <c r="O584" s="6"/>
      <c r="P584" s="6"/>
      <c r="Q584" s="6"/>
      <c r="R584" s="6"/>
      <c r="S584" s="6"/>
      <c r="AV584" s="6"/>
      <c r="AW584" s="6"/>
      <c r="AX584" s="6"/>
      <c r="AY584" s="6"/>
      <c r="AZ584" s="6"/>
      <c r="BB584" s="6"/>
      <c r="BC584" s="6"/>
      <c r="BD584" s="6"/>
      <c r="BE584" s="6"/>
      <c r="BF584" s="6"/>
    </row>
    <row r="585" spans="1:58" s="2" customFormat="1" x14ac:dyDescent="0.2">
      <c r="A585" s="6"/>
      <c r="B585" s="6"/>
      <c r="C585" s="42"/>
      <c r="D585" s="6"/>
      <c r="E585" s="6"/>
      <c r="F585" s="6"/>
      <c r="G585" s="6"/>
      <c r="H585" s="6"/>
      <c r="I585" s="6"/>
      <c r="J585" s="6"/>
      <c r="K585" s="6"/>
      <c r="L585" s="6"/>
      <c r="M585" s="6"/>
      <c r="N585" s="6"/>
      <c r="O585" s="6"/>
      <c r="P585" s="6"/>
      <c r="Q585" s="6"/>
      <c r="R585" s="6"/>
      <c r="S585" s="6"/>
      <c r="AV585" s="6"/>
      <c r="AW585" s="6"/>
      <c r="AX585" s="6"/>
      <c r="AY585" s="6"/>
      <c r="AZ585" s="6"/>
      <c r="BB585" s="6"/>
      <c r="BC585" s="6"/>
      <c r="BD585" s="6"/>
      <c r="BE585" s="6"/>
      <c r="BF585" s="6"/>
    </row>
    <row r="586" spans="1:58" s="2" customFormat="1" x14ac:dyDescent="0.2">
      <c r="A586" s="6"/>
      <c r="B586" s="6"/>
      <c r="C586" s="42"/>
      <c r="D586" s="6"/>
      <c r="E586" s="6"/>
      <c r="F586" s="6"/>
      <c r="G586" s="6"/>
      <c r="H586" s="6"/>
      <c r="I586" s="6"/>
      <c r="J586" s="6"/>
      <c r="K586" s="6"/>
      <c r="L586" s="6"/>
      <c r="M586" s="6"/>
      <c r="N586" s="6"/>
      <c r="O586" s="6"/>
      <c r="P586" s="6"/>
      <c r="Q586" s="6"/>
      <c r="R586" s="6"/>
      <c r="S586" s="6"/>
      <c r="AV586" s="6"/>
      <c r="AW586" s="6"/>
      <c r="AX586" s="6"/>
      <c r="AY586" s="6"/>
      <c r="AZ586" s="6"/>
      <c r="BB586" s="6"/>
      <c r="BC586" s="6"/>
      <c r="BD586" s="6"/>
      <c r="BE586" s="6"/>
      <c r="BF586" s="6"/>
    </row>
    <row r="587" spans="1:58" s="2" customFormat="1" x14ac:dyDescent="0.2">
      <c r="A587" s="6"/>
      <c r="B587" s="6"/>
      <c r="C587" s="42"/>
      <c r="D587" s="6"/>
      <c r="E587" s="6"/>
      <c r="F587" s="6"/>
      <c r="G587" s="6"/>
      <c r="H587" s="6"/>
      <c r="I587" s="6"/>
      <c r="J587" s="6"/>
      <c r="K587" s="6"/>
      <c r="L587" s="6"/>
      <c r="M587" s="6"/>
      <c r="N587" s="6"/>
      <c r="O587" s="6"/>
      <c r="P587" s="6"/>
      <c r="Q587" s="6"/>
      <c r="R587" s="6"/>
      <c r="S587" s="6"/>
      <c r="AV587" s="6"/>
      <c r="AW587" s="6"/>
      <c r="AX587" s="6"/>
      <c r="AY587" s="6"/>
      <c r="AZ587" s="6"/>
      <c r="BB587" s="6"/>
      <c r="BC587" s="6"/>
      <c r="BD587" s="6"/>
      <c r="BE587" s="6"/>
      <c r="BF587" s="6"/>
    </row>
    <row r="588" spans="1:58" s="2" customFormat="1" x14ac:dyDescent="0.2">
      <c r="A588" s="6"/>
      <c r="B588" s="6"/>
      <c r="C588" s="42"/>
      <c r="D588" s="6"/>
      <c r="E588" s="6"/>
      <c r="F588" s="6"/>
      <c r="G588" s="6"/>
      <c r="H588" s="6"/>
      <c r="I588" s="6"/>
      <c r="J588" s="6"/>
      <c r="K588" s="6"/>
      <c r="L588" s="6"/>
      <c r="M588" s="6"/>
      <c r="N588" s="6"/>
      <c r="O588" s="6"/>
      <c r="P588" s="6"/>
      <c r="Q588" s="6"/>
      <c r="R588" s="6"/>
      <c r="S588" s="6"/>
      <c r="AV588" s="6"/>
      <c r="AW588" s="6"/>
      <c r="AX588" s="6"/>
      <c r="AY588" s="6"/>
      <c r="AZ588" s="6"/>
      <c r="BB588" s="6"/>
      <c r="BC588" s="6"/>
      <c r="BD588" s="6"/>
      <c r="BE588" s="6"/>
      <c r="BF588" s="6"/>
    </row>
    <row r="589" spans="1:58" s="2" customFormat="1" x14ac:dyDescent="0.2">
      <c r="A589" s="6"/>
      <c r="B589" s="6"/>
      <c r="C589" s="42"/>
      <c r="D589" s="6"/>
      <c r="E589" s="6"/>
      <c r="F589" s="6"/>
      <c r="G589" s="6"/>
      <c r="H589" s="6"/>
      <c r="I589" s="6"/>
      <c r="J589" s="6"/>
      <c r="K589" s="6"/>
      <c r="L589" s="6"/>
      <c r="M589" s="6"/>
      <c r="N589" s="6"/>
      <c r="O589" s="6"/>
      <c r="P589" s="6"/>
      <c r="Q589" s="6"/>
      <c r="R589" s="6"/>
      <c r="S589" s="6"/>
      <c r="AV589" s="6"/>
      <c r="AW589" s="6"/>
      <c r="AX589" s="6"/>
      <c r="AY589" s="6"/>
      <c r="AZ589" s="6"/>
      <c r="BB589" s="6"/>
      <c r="BC589" s="6"/>
      <c r="BD589" s="6"/>
      <c r="BE589" s="6"/>
      <c r="BF589" s="6"/>
    </row>
    <row r="590" spans="1:58" s="2" customFormat="1" x14ac:dyDescent="0.2">
      <c r="A590" s="6"/>
      <c r="B590" s="6"/>
      <c r="C590" s="42"/>
      <c r="D590" s="6"/>
      <c r="E590" s="6"/>
      <c r="F590" s="6"/>
      <c r="G590" s="6"/>
      <c r="H590" s="6"/>
      <c r="I590" s="6"/>
      <c r="J590" s="6"/>
      <c r="K590" s="6"/>
      <c r="L590" s="6"/>
      <c r="M590" s="6"/>
      <c r="N590" s="6"/>
      <c r="O590" s="6"/>
      <c r="P590" s="6"/>
      <c r="Q590" s="6"/>
      <c r="R590" s="6"/>
      <c r="S590" s="6"/>
      <c r="AV590" s="6"/>
      <c r="AW590" s="6"/>
      <c r="AX590" s="6"/>
      <c r="AY590" s="6"/>
      <c r="AZ590" s="6"/>
      <c r="BB590" s="6"/>
      <c r="BC590" s="6"/>
      <c r="BD590" s="6"/>
      <c r="BE590" s="6"/>
      <c r="BF590" s="6"/>
    </row>
    <row r="591" spans="1:58" s="2" customFormat="1" x14ac:dyDescent="0.2">
      <c r="A591" s="6"/>
      <c r="B591" s="6"/>
      <c r="C591" s="42"/>
      <c r="D591" s="6"/>
      <c r="E591" s="6"/>
      <c r="F591" s="6"/>
      <c r="G591" s="6"/>
      <c r="H591" s="6"/>
      <c r="I591" s="6"/>
      <c r="J591" s="6"/>
      <c r="K591" s="6"/>
      <c r="L591" s="6"/>
      <c r="M591" s="6"/>
      <c r="N591" s="6"/>
      <c r="O591" s="6"/>
      <c r="P591" s="6"/>
      <c r="Q591" s="6"/>
      <c r="R591" s="6"/>
      <c r="S591" s="6"/>
      <c r="AV591" s="6"/>
      <c r="AW591" s="6"/>
      <c r="AX591" s="6"/>
      <c r="AY591" s="6"/>
      <c r="AZ591" s="6"/>
      <c r="BB591" s="6"/>
      <c r="BC591" s="6"/>
      <c r="BD591" s="6"/>
      <c r="BE591" s="6"/>
      <c r="BF591" s="6"/>
    </row>
    <row r="592" spans="1:58" s="2" customFormat="1" x14ac:dyDescent="0.2">
      <c r="A592" s="6"/>
      <c r="B592" s="6"/>
      <c r="C592" s="42"/>
      <c r="D592" s="6"/>
      <c r="E592" s="6"/>
      <c r="F592" s="6"/>
      <c r="G592" s="6"/>
      <c r="H592" s="6"/>
      <c r="I592" s="6"/>
      <c r="J592" s="6"/>
      <c r="K592" s="6"/>
      <c r="L592" s="6"/>
      <c r="M592" s="6"/>
      <c r="N592" s="6"/>
      <c r="O592" s="6"/>
      <c r="P592" s="6"/>
      <c r="Q592" s="6"/>
      <c r="R592" s="6"/>
      <c r="S592" s="6"/>
      <c r="AV592" s="6"/>
      <c r="AW592" s="6"/>
      <c r="AX592" s="6"/>
      <c r="AY592" s="6"/>
      <c r="AZ592" s="6"/>
      <c r="BB592" s="6"/>
      <c r="BC592" s="6"/>
      <c r="BD592" s="6"/>
      <c r="BE592" s="6"/>
      <c r="BF592" s="6"/>
    </row>
    <row r="593" spans="1:58" s="2" customFormat="1" x14ac:dyDescent="0.2">
      <c r="A593" s="6"/>
      <c r="B593" s="6"/>
      <c r="C593" s="42"/>
      <c r="D593" s="6"/>
      <c r="E593" s="6"/>
      <c r="F593" s="6"/>
      <c r="G593" s="6"/>
      <c r="H593" s="6"/>
      <c r="I593" s="6"/>
      <c r="J593" s="6"/>
      <c r="K593" s="6"/>
      <c r="L593" s="6"/>
      <c r="M593" s="6"/>
      <c r="N593" s="6"/>
      <c r="O593" s="6"/>
      <c r="P593" s="6"/>
      <c r="Q593" s="6"/>
      <c r="R593" s="6"/>
      <c r="S593" s="6"/>
      <c r="AV593" s="6"/>
      <c r="AW593" s="6"/>
      <c r="AX593" s="6"/>
      <c r="AY593" s="6"/>
      <c r="AZ593" s="6"/>
      <c r="BB593" s="6"/>
      <c r="BC593" s="6"/>
      <c r="BD593" s="6"/>
      <c r="BE593" s="6"/>
      <c r="BF593" s="6"/>
    </row>
    <row r="594" spans="1:58" s="2" customFormat="1" x14ac:dyDescent="0.2">
      <c r="A594" s="6"/>
      <c r="B594" s="6"/>
      <c r="C594" s="42"/>
      <c r="D594" s="6"/>
      <c r="E594" s="6"/>
      <c r="F594" s="6"/>
      <c r="G594" s="6"/>
      <c r="H594" s="6"/>
      <c r="I594" s="6"/>
      <c r="J594" s="6"/>
      <c r="K594" s="6"/>
      <c r="L594" s="6"/>
      <c r="M594" s="6"/>
      <c r="N594" s="6"/>
      <c r="O594" s="6"/>
      <c r="P594" s="6"/>
      <c r="Q594" s="6"/>
      <c r="R594" s="6"/>
      <c r="S594" s="6"/>
      <c r="AV594" s="6"/>
      <c r="AW594" s="6"/>
      <c r="AX594" s="6"/>
      <c r="AY594" s="6"/>
      <c r="AZ594" s="6"/>
      <c r="BB594" s="6"/>
      <c r="BC594" s="6"/>
      <c r="BD594" s="6"/>
      <c r="BE594" s="6"/>
      <c r="BF594" s="6"/>
    </row>
    <row r="595" spans="1:58" s="2" customFormat="1" x14ac:dyDescent="0.2">
      <c r="A595" s="6"/>
      <c r="B595" s="6"/>
      <c r="C595" s="42"/>
      <c r="D595" s="6"/>
      <c r="E595" s="6"/>
      <c r="F595" s="6"/>
      <c r="G595" s="6"/>
      <c r="H595" s="6"/>
      <c r="I595" s="6"/>
      <c r="J595" s="6"/>
      <c r="K595" s="6"/>
      <c r="L595" s="6"/>
      <c r="M595" s="6"/>
      <c r="N595" s="6"/>
      <c r="O595" s="6"/>
      <c r="P595" s="6"/>
      <c r="Q595" s="6"/>
      <c r="R595" s="6"/>
      <c r="S595" s="6"/>
      <c r="AV595" s="6"/>
      <c r="AW595" s="6"/>
      <c r="AX595" s="6"/>
      <c r="AY595" s="6"/>
      <c r="AZ595" s="6"/>
      <c r="BB595" s="6"/>
      <c r="BC595" s="6"/>
      <c r="BD595" s="6"/>
      <c r="BE595" s="6"/>
      <c r="BF595" s="6"/>
    </row>
    <row r="596" spans="1:58" s="2" customFormat="1" x14ac:dyDescent="0.2">
      <c r="A596" s="6"/>
      <c r="B596" s="6"/>
      <c r="C596" s="42"/>
      <c r="D596" s="6"/>
      <c r="E596" s="6"/>
      <c r="F596" s="6"/>
      <c r="G596" s="6"/>
      <c r="H596" s="6"/>
      <c r="I596" s="6"/>
      <c r="J596" s="6"/>
      <c r="K596" s="6"/>
      <c r="L596" s="6"/>
      <c r="M596" s="6"/>
      <c r="N596" s="6"/>
      <c r="O596" s="6"/>
      <c r="P596" s="6"/>
      <c r="Q596" s="6"/>
      <c r="R596" s="6"/>
      <c r="S596" s="6"/>
      <c r="AV596" s="6"/>
      <c r="AW596" s="6"/>
      <c r="AX596" s="6"/>
      <c r="AY596" s="6"/>
      <c r="AZ596" s="6"/>
      <c r="BB596" s="6"/>
      <c r="BC596" s="6"/>
      <c r="BD596" s="6"/>
      <c r="BE596" s="6"/>
      <c r="BF596" s="6"/>
    </row>
    <row r="597" spans="1:58" s="2" customFormat="1" x14ac:dyDescent="0.2">
      <c r="A597" s="6"/>
      <c r="B597" s="6"/>
      <c r="C597" s="42"/>
      <c r="D597" s="6"/>
      <c r="E597" s="6"/>
      <c r="F597" s="6"/>
      <c r="G597" s="6"/>
      <c r="H597" s="6"/>
      <c r="I597" s="6"/>
      <c r="J597" s="6"/>
      <c r="K597" s="6"/>
      <c r="L597" s="6"/>
      <c r="M597" s="6"/>
      <c r="N597" s="6"/>
      <c r="O597" s="6"/>
      <c r="P597" s="6"/>
      <c r="Q597" s="6"/>
      <c r="R597" s="6"/>
      <c r="S597" s="6"/>
      <c r="AV597" s="6"/>
      <c r="AW597" s="6"/>
      <c r="AX597" s="6"/>
      <c r="AY597" s="6"/>
      <c r="AZ597" s="6"/>
      <c r="BB597" s="6"/>
      <c r="BC597" s="6"/>
      <c r="BD597" s="6"/>
      <c r="BE597" s="6"/>
      <c r="BF597" s="6"/>
    </row>
    <row r="598" spans="1:58" s="2" customFormat="1" x14ac:dyDescent="0.2">
      <c r="A598" s="6"/>
      <c r="B598" s="6"/>
      <c r="C598" s="42"/>
      <c r="D598" s="6"/>
      <c r="E598" s="6"/>
      <c r="F598" s="6"/>
      <c r="G598" s="6"/>
      <c r="H598" s="6"/>
      <c r="I598" s="6"/>
      <c r="J598" s="6"/>
      <c r="K598" s="6"/>
      <c r="L598" s="6"/>
      <c r="M598" s="6"/>
      <c r="N598" s="6"/>
      <c r="O598" s="6"/>
      <c r="P598" s="6"/>
      <c r="Q598" s="6"/>
      <c r="R598" s="6"/>
      <c r="S598" s="6"/>
      <c r="AV598" s="6"/>
      <c r="AW598" s="6"/>
      <c r="AX598" s="6"/>
      <c r="AY598" s="6"/>
      <c r="AZ598" s="6"/>
      <c r="BB598" s="6"/>
      <c r="BC598" s="6"/>
      <c r="BD598" s="6"/>
      <c r="BE598" s="6"/>
      <c r="BF598" s="6"/>
    </row>
    <row r="599" spans="1:58" s="2" customFormat="1" x14ac:dyDescent="0.2">
      <c r="A599" s="6"/>
      <c r="B599" s="6"/>
      <c r="C599" s="42"/>
      <c r="D599" s="6"/>
      <c r="E599" s="6"/>
      <c r="F599" s="6"/>
      <c r="G599" s="6"/>
      <c r="H599" s="6"/>
      <c r="I599" s="6"/>
      <c r="J599" s="6"/>
      <c r="K599" s="6"/>
      <c r="L599" s="6"/>
      <c r="M599" s="6"/>
      <c r="N599" s="6"/>
      <c r="O599" s="6"/>
      <c r="P599" s="6"/>
      <c r="Q599" s="6"/>
      <c r="R599" s="6"/>
      <c r="S599" s="6"/>
      <c r="AV599" s="6"/>
      <c r="AW599" s="6"/>
      <c r="AX599" s="6"/>
      <c r="AY599" s="6"/>
      <c r="AZ599" s="6"/>
      <c r="BB599" s="6"/>
      <c r="BC599" s="6"/>
      <c r="BD599" s="6"/>
      <c r="BE599" s="6"/>
      <c r="BF599" s="6"/>
    </row>
    <row r="600" spans="1:58" s="2" customFormat="1" x14ac:dyDescent="0.2">
      <c r="A600" s="6"/>
      <c r="B600" s="6"/>
      <c r="C600" s="42"/>
      <c r="D600" s="6"/>
      <c r="E600" s="6"/>
      <c r="F600" s="6"/>
      <c r="G600" s="6"/>
      <c r="H600" s="6"/>
      <c r="I600" s="6"/>
      <c r="J600" s="6"/>
      <c r="K600" s="6"/>
      <c r="L600" s="6"/>
      <c r="M600" s="6"/>
      <c r="N600" s="6"/>
      <c r="O600" s="6"/>
      <c r="P600" s="6"/>
      <c r="Q600" s="6"/>
      <c r="R600" s="6"/>
      <c r="S600" s="6"/>
      <c r="AV600" s="6"/>
      <c r="AW600" s="6"/>
      <c r="AX600" s="6"/>
      <c r="AY600" s="6"/>
      <c r="AZ600" s="6"/>
      <c r="BB600" s="6"/>
      <c r="BC600" s="6"/>
      <c r="BD600" s="6"/>
      <c r="BE600" s="6"/>
      <c r="BF600" s="6"/>
    </row>
    <row r="601" spans="1:58" s="2" customFormat="1" x14ac:dyDescent="0.2">
      <c r="A601" s="6"/>
      <c r="B601" s="6"/>
      <c r="C601" s="42"/>
      <c r="D601" s="6"/>
      <c r="E601" s="6"/>
      <c r="F601" s="6"/>
      <c r="G601" s="6"/>
      <c r="H601" s="6"/>
      <c r="I601" s="6"/>
      <c r="J601" s="6"/>
      <c r="K601" s="6"/>
      <c r="L601" s="6"/>
      <c r="M601" s="6"/>
      <c r="N601" s="6"/>
      <c r="O601" s="6"/>
      <c r="P601" s="6"/>
      <c r="Q601" s="6"/>
      <c r="R601" s="6"/>
      <c r="S601" s="6"/>
      <c r="AV601" s="6"/>
      <c r="AW601" s="6"/>
      <c r="AX601" s="6"/>
      <c r="AY601" s="6"/>
      <c r="AZ601" s="6"/>
      <c r="BB601" s="6"/>
      <c r="BC601" s="6"/>
      <c r="BD601" s="6"/>
      <c r="BE601" s="6"/>
      <c r="BF601" s="6"/>
    </row>
    <row r="602" spans="1:58" s="2" customFormat="1" x14ac:dyDescent="0.2">
      <c r="A602" s="6"/>
      <c r="B602" s="6"/>
      <c r="C602" s="42"/>
      <c r="D602" s="6"/>
      <c r="E602" s="6"/>
      <c r="F602" s="6"/>
      <c r="G602" s="6"/>
      <c r="H602" s="6"/>
      <c r="I602" s="6"/>
      <c r="J602" s="6"/>
      <c r="K602" s="6"/>
      <c r="L602" s="6"/>
      <c r="M602" s="6"/>
      <c r="N602" s="6"/>
      <c r="O602" s="6"/>
      <c r="P602" s="6"/>
      <c r="Q602" s="6"/>
      <c r="R602" s="6"/>
      <c r="S602" s="6"/>
      <c r="AV602" s="6"/>
      <c r="AW602" s="6"/>
      <c r="AX602" s="6"/>
      <c r="AY602" s="6"/>
      <c r="AZ602" s="6"/>
      <c r="BB602" s="6"/>
      <c r="BC602" s="6"/>
      <c r="BD602" s="6"/>
      <c r="BE602" s="6"/>
      <c r="BF602" s="6"/>
    </row>
    <row r="603" spans="1:58" s="2" customFormat="1" x14ac:dyDescent="0.2">
      <c r="A603" s="6"/>
      <c r="B603" s="6"/>
      <c r="C603" s="42"/>
      <c r="D603" s="6"/>
      <c r="E603" s="6"/>
      <c r="F603" s="6"/>
      <c r="G603" s="6"/>
      <c r="H603" s="6"/>
      <c r="I603" s="6"/>
      <c r="J603" s="6"/>
      <c r="K603" s="6"/>
      <c r="L603" s="6"/>
      <c r="M603" s="6"/>
      <c r="N603" s="6"/>
      <c r="O603" s="6"/>
      <c r="P603" s="6"/>
      <c r="Q603" s="6"/>
      <c r="R603" s="6"/>
      <c r="S603" s="6"/>
      <c r="AV603" s="6"/>
      <c r="AW603" s="6"/>
      <c r="AX603" s="6"/>
      <c r="AY603" s="6"/>
      <c r="AZ603" s="6"/>
      <c r="BB603" s="6"/>
      <c r="BC603" s="6"/>
      <c r="BD603" s="6"/>
      <c r="BE603" s="6"/>
      <c r="BF603" s="6"/>
    </row>
    <row r="604" spans="1:58" s="2" customFormat="1" x14ac:dyDescent="0.2">
      <c r="A604" s="6"/>
      <c r="B604" s="6"/>
      <c r="C604" s="42"/>
      <c r="D604" s="6"/>
      <c r="E604" s="6"/>
      <c r="F604" s="6"/>
      <c r="G604" s="6"/>
      <c r="H604" s="6"/>
      <c r="I604" s="6"/>
      <c r="J604" s="6"/>
      <c r="K604" s="6"/>
      <c r="L604" s="6"/>
      <c r="M604" s="6"/>
      <c r="N604" s="6"/>
      <c r="O604" s="6"/>
      <c r="P604" s="6"/>
      <c r="Q604" s="6"/>
      <c r="R604" s="6"/>
      <c r="S604" s="6"/>
      <c r="AV604" s="6"/>
      <c r="AW604" s="6"/>
      <c r="AX604" s="6"/>
      <c r="AY604" s="6"/>
      <c r="AZ604" s="6"/>
      <c r="BB604" s="6"/>
      <c r="BC604" s="6"/>
      <c r="BD604" s="6"/>
      <c r="BE604" s="6"/>
      <c r="BF604" s="6"/>
    </row>
    <row r="605" spans="1:58" s="2" customFormat="1" x14ac:dyDescent="0.2">
      <c r="A605" s="6"/>
      <c r="B605" s="6"/>
      <c r="C605" s="42"/>
      <c r="D605" s="6"/>
      <c r="E605" s="6"/>
      <c r="F605" s="6"/>
      <c r="G605" s="6"/>
      <c r="H605" s="6"/>
      <c r="I605" s="6"/>
      <c r="J605" s="6"/>
      <c r="K605" s="6"/>
      <c r="L605" s="6"/>
      <c r="M605" s="6"/>
      <c r="N605" s="6"/>
      <c r="O605" s="6"/>
      <c r="P605" s="6"/>
      <c r="Q605" s="6"/>
      <c r="R605" s="6"/>
      <c r="S605" s="6"/>
      <c r="AV605" s="6"/>
      <c r="AW605" s="6"/>
      <c r="AX605" s="6"/>
      <c r="AY605" s="6"/>
      <c r="AZ605" s="6"/>
      <c r="BB605" s="6"/>
      <c r="BC605" s="6"/>
      <c r="BD605" s="6"/>
      <c r="BE605" s="6"/>
      <c r="BF605" s="6"/>
    </row>
    <row r="606" spans="1:58" s="2" customFormat="1" x14ac:dyDescent="0.2">
      <c r="A606" s="6"/>
      <c r="B606" s="6"/>
      <c r="C606" s="42"/>
      <c r="D606" s="6"/>
      <c r="E606" s="6"/>
      <c r="F606" s="6"/>
      <c r="G606" s="6"/>
      <c r="H606" s="6"/>
      <c r="I606" s="6"/>
      <c r="J606" s="6"/>
      <c r="K606" s="6"/>
      <c r="L606" s="6"/>
      <c r="M606" s="6"/>
      <c r="N606" s="6"/>
      <c r="O606" s="6"/>
      <c r="P606" s="6"/>
      <c r="Q606" s="6"/>
      <c r="R606" s="6"/>
      <c r="S606" s="6"/>
      <c r="AV606" s="6"/>
      <c r="AW606" s="6"/>
      <c r="AX606" s="6"/>
      <c r="AY606" s="6"/>
      <c r="AZ606" s="6"/>
      <c r="BB606" s="6"/>
      <c r="BC606" s="6"/>
      <c r="BD606" s="6"/>
      <c r="BE606" s="6"/>
      <c r="BF606" s="6"/>
    </row>
    <row r="607" spans="1:58" s="2" customFormat="1" x14ac:dyDescent="0.2">
      <c r="A607" s="6"/>
      <c r="B607" s="6"/>
      <c r="C607" s="42"/>
      <c r="D607" s="6"/>
      <c r="E607" s="6"/>
      <c r="F607" s="6"/>
      <c r="G607" s="6"/>
      <c r="H607" s="6"/>
      <c r="I607" s="6"/>
      <c r="J607" s="6"/>
      <c r="K607" s="6"/>
      <c r="L607" s="6"/>
      <c r="M607" s="6"/>
      <c r="N607" s="6"/>
      <c r="O607" s="6"/>
      <c r="P607" s="6"/>
      <c r="Q607" s="6"/>
      <c r="R607" s="6"/>
      <c r="S607" s="6"/>
      <c r="AV607" s="6"/>
      <c r="AW607" s="6"/>
      <c r="AX607" s="6"/>
      <c r="AY607" s="6"/>
      <c r="AZ607" s="6"/>
      <c r="BB607" s="6"/>
      <c r="BC607" s="6"/>
      <c r="BD607" s="6"/>
      <c r="BE607" s="6"/>
      <c r="BF607" s="6"/>
    </row>
    <row r="608" spans="1:58" s="2" customFormat="1" x14ac:dyDescent="0.2">
      <c r="A608" s="6"/>
      <c r="B608" s="6"/>
      <c r="C608" s="42"/>
      <c r="D608" s="6"/>
      <c r="E608" s="6"/>
      <c r="F608" s="6"/>
      <c r="G608" s="6"/>
      <c r="H608" s="6"/>
      <c r="I608" s="6"/>
      <c r="J608" s="6"/>
      <c r="K608" s="6"/>
      <c r="L608" s="6"/>
      <c r="M608" s="6"/>
      <c r="N608" s="6"/>
      <c r="O608" s="6"/>
      <c r="P608" s="6"/>
      <c r="Q608" s="6"/>
      <c r="R608" s="6"/>
      <c r="S608" s="6"/>
      <c r="AV608" s="6"/>
      <c r="AW608" s="6"/>
      <c r="AX608" s="6"/>
      <c r="AY608" s="6"/>
      <c r="AZ608" s="6"/>
      <c r="BB608" s="6"/>
      <c r="BC608" s="6"/>
      <c r="BD608" s="6"/>
      <c r="BE608" s="6"/>
      <c r="BF608" s="6"/>
    </row>
    <row r="609" spans="1:58" s="2" customFormat="1" x14ac:dyDescent="0.2">
      <c r="A609" s="6"/>
      <c r="B609" s="6"/>
      <c r="C609" s="42"/>
      <c r="D609" s="6"/>
      <c r="E609" s="6"/>
      <c r="F609" s="6"/>
      <c r="G609" s="6"/>
      <c r="H609" s="6"/>
      <c r="I609" s="6"/>
      <c r="J609" s="6"/>
      <c r="K609" s="6"/>
      <c r="L609" s="6"/>
      <c r="M609" s="6"/>
      <c r="N609" s="6"/>
      <c r="O609" s="6"/>
      <c r="P609" s="6"/>
      <c r="Q609" s="6"/>
      <c r="R609" s="6"/>
      <c r="S609" s="6"/>
      <c r="AV609" s="6"/>
      <c r="AW609" s="6"/>
      <c r="AX609" s="6"/>
      <c r="AY609" s="6"/>
      <c r="AZ609" s="6"/>
      <c r="BB609" s="6"/>
      <c r="BC609" s="6"/>
      <c r="BD609" s="6"/>
      <c r="BE609" s="6"/>
      <c r="BF609" s="6"/>
    </row>
    <row r="610" spans="1:58" s="2" customFormat="1" x14ac:dyDescent="0.2">
      <c r="A610" s="6"/>
      <c r="B610" s="6"/>
      <c r="C610" s="42"/>
      <c r="D610" s="6"/>
      <c r="E610" s="6"/>
      <c r="F610" s="6"/>
      <c r="G610" s="6"/>
      <c r="H610" s="6"/>
      <c r="I610" s="6"/>
      <c r="J610" s="6"/>
      <c r="K610" s="6"/>
      <c r="L610" s="6"/>
      <c r="M610" s="6"/>
      <c r="N610" s="6"/>
      <c r="O610" s="6"/>
      <c r="P610" s="6"/>
      <c r="Q610" s="6"/>
      <c r="R610" s="6"/>
      <c r="S610" s="6"/>
      <c r="AV610" s="6"/>
      <c r="AW610" s="6"/>
      <c r="AX610" s="6"/>
      <c r="AY610" s="6"/>
      <c r="AZ610" s="6"/>
      <c r="BB610" s="6"/>
      <c r="BC610" s="6"/>
      <c r="BD610" s="6"/>
      <c r="BE610" s="6"/>
      <c r="BF610" s="6"/>
    </row>
    <row r="611" spans="1:58" s="2" customFormat="1" x14ac:dyDescent="0.2">
      <c r="A611" s="6"/>
      <c r="B611" s="6"/>
      <c r="C611" s="42"/>
      <c r="D611" s="6"/>
      <c r="E611" s="6"/>
      <c r="F611" s="6"/>
      <c r="G611" s="6"/>
      <c r="H611" s="6"/>
      <c r="I611" s="6"/>
      <c r="J611" s="6"/>
      <c r="K611" s="6"/>
      <c r="L611" s="6"/>
      <c r="M611" s="6"/>
      <c r="N611" s="6"/>
      <c r="O611" s="6"/>
      <c r="P611" s="6"/>
      <c r="Q611" s="6"/>
      <c r="R611" s="6"/>
      <c r="S611" s="6"/>
      <c r="AV611" s="6"/>
      <c r="AW611" s="6"/>
      <c r="AX611" s="6"/>
      <c r="AY611" s="6"/>
      <c r="AZ611" s="6"/>
      <c r="BB611" s="6"/>
      <c r="BC611" s="6"/>
      <c r="BD611" s="6"/>
      <c r="BE611" s="6"/>
      <c r="BF611" s="6"/>
    </row>
    <row r="612" spans="1:58" s="2" customFormat="1" x14ac:dyDescent="0.2">
      <c r="A612" s="6"/>
      <c r="B612" s="6"/>
      <c r="C612" s="42"/>
      <c r="D612" s="6"/>
      <c r="E612" s="6"/>
      <c r="F612" s="6"/>
      <c r="G612" s="6"/>
      <c r="H612" s="6"/>
      <c r="I612" s="6"/>
      <c r="J612" s="6"/>
      <c r="K612" s="6"/>
      <c r="L612" s="6"/>
      <c r="M612" s="6"/>
      <c r="N612" s="6"/>
      <c r="O612" s="6"/>
      <c r="P612" s="6"/>
      <c r="Q612" s="6"/>
      <c r="R612" s="6"/>
      <c r="S612" s="6"/>
      <c r="AV612" s="6"/>
      <c r="AW612" s="6"/>
      <c r="AX612" s="6"/>
      <c r="AY612" s="6"/>
      <c r="AZ612" s="6"/>
      <c r="BB612" s="6"/>
      <c r="BC612" s="6"/>
      <c r="BD612" s="6"/>
      <c r="BE612" s="6"/>
      <c r="BF612" s="6"/>
    </row>
    <row r="613" spans="1:58" s="2" customFormat="1" x14ac:dyDescent="0.2">
      <c r="A613" s="6"/>
      <c r="B613" s="6"/>
      <c r="C613" s="42"/>
      <c r="D613" s="6"/>
      <c r="E613" s="6"/>
      <c r="F613" s="6"/>
      <c r="G613" s="6"/>
      <c r="H613" s="6"/>
      <c r="I613" s="6"/>
      <c r="J613" s="6"/>
      <c r="K613" s="6"/>
      <c r="L613" s="6"/>
      <c r="M613" s="6"/>
      <c r="N613" s="6"/>
      <c r="O613" s="6"/>
      <c r="P613" s="6"/>
      <c r="Q613" s="6"/>
      <c r="R613" s="6"/>
      <c r="S613" s="6"/>
      <c r="AV613" s="6"/>
      <c r="AW613" s="6"/>
      <c r="AX613" s="6"/>
      <c r="AY613" s="6"/>
      <c r="AZ613" s="6"/>
      <c r="BB613" s="6"/>
      <c r="BC613" s="6"/>
      <c r="BD613" s="6"/>
      <c r="BE613" s="6"/>
      <c r="BF613" s="6"/>
    </row>
    <row r="614" spans="1:58" s="2" customFormat="1" x14ac:dyDescent="0.2">
      <c r="A614" s="6"/>
      <c r="B614" s="6"/>
      <c r="C614" s="42"/>
      <c r="D614" s="6"/>
      <c r="E614" s="6"/>
      <c r="F614" s="6"/>
      <c r="G614" s="6"/>
      <c r="H614" s="6"/>
      <c r="I614" s="6"/>
      <c r="J614" s="6"/>
      <c r="K614" s="6"/>
      <c r="L614" s="6"/>
      <c r="M614" s="6"/>
      <c r="N614" s="6"/>
      <c r="O614" s="6"/>
      <c r="P614" s="6"/>
      <c r="Q614" s="6"/>
      <c r="R614" s="6"/>
      <c r="S614" s="6"/>
      <c r="AV614" s="6"/>
      <c r="AW614" s="6"/>
      <c r="AX614" s="6"/>
      <c r="AY614" s="6"/>
      <c r="AZ614" s="6"/>
      <c r="BB614" s="6"/>
      <c r="BC614" s="6"/>
      <c r="BD614" s="6"/>
      <c r="BE614" s="6"/>
      <c r="BF614" s="6"/>
    </row>
    <row r="615" spans="1:58" s="2" customFormat="1" x14ac:dyDescent="0.2">
      <c r="A615" s="6"/>
      <c r="B615" s="6"/>
      <c r="C615" s="42"/>
      <c r="D615" s="6"/>
      <c r="E615" s="6"/>
      <c r="F615" s="6"/>
      <c r="G615" s="6"/>
      <c r="H615" s="6"/>
      <c r="I615" s="6"/>
      <c r="J615" s="6"/>
      <c r="K615" s="6"/>
      <c r="L615" s="6"/>
      <c r="M615" s="6"/>
      <c r="N615" s="6"/>
      <c r="O615" s="6"/>
      <c r="P615" s="6"/>
      <c r="Q615" s="6"/>
      <c r="R615" s="6"/>
      <c r="S615" s="6"/>
      <c r="AV615" s="6"/>
      <c r="AW615" s="6"/>
      <c r="AX615" s="6"/>
      <c r="AY615" s="6"/>
      <c r="AZ615" s="6"/>
      <c r="BB615" s="6"/>
      <c r="BC615" s="6"/>
      <c r="BD615" s="6"/>
      <c r="BE615" s="6"/>
      <c r="BF615" s="6"/>
    </row>
    <row r="616" spans="1:58" s="2" customFormat="1" x14ac:dyDescent="0.2">
      <c r="A616" s="6"/>
      <c r="B616" s="6"/>
      <c r="C616" s="42"/>
      <c r="D616" s="6"/>
      <c r="E616" s="6"/>
      <c r="F616" s="6"/>
      <c r="G616" s="6"/>
      <c r="H616" s="6"/>
      <c r="I616" s="6"/>
      <c r="J616" s="6"/>
      <c r="K616" s="6"/>
      <c r="L616" s="6"/>
      <c r="M616" s="6"/>
      <c r="N616" s="6"/>
      <c r="O616" s="6"/>
      <c r="P616" s="6"/>
      <c r="Q616" s="6"/>
      <c r="R616" s="6"/>
      <c r="S616" s="6"/>
      <c r="AV616" s="6"/>
      <c r="AW616" s="6"/>
      <c r="AX616" s="6"/>
      <c r="AY616" s="6"/>
      <c r="AZ616" s="6"/>
      <c r="BB616" s="6"/>
      <c r="BC616" s="6"/>
      <c r="BD616" s="6"/>
      <c r="BE616" s="6"/>
      <c r="BF616" s="6"/>
    </row>
    <row r="617" spans="1:58" s="2" customFormat="1" x14ac:dyDescent="0.2">
      <c r="A617" s="6"/>
      <c r="B617" s="6"/>
      <c r="C617" s="42"/>
      <c r="D617" s="6"/>
      <c r="E617" s="6"/>
      <c r="F617" s="6"/>
      <c r="G617" s="6"/>
      <c r="H617" s="6"/>
      <c r="I617" s="6"/>
      <c r="J617" s="6"/>
      <c r="K617" s="6"/>
      <c r="L617" s="6"/>
      <c r="M617" s="6"/>
      <c r="N617" s="6"/>
      <c r="O617" s="6"/>
      <c r="P617" s="6"/>
      <c r="Q617" s="6"/>
      <c r="R617" s="6"/>
      <c r="S617" s="6"/>
      <c r="AV617" s="6"/>
      <c r="AW617" s="6"/>
      <c r="AX617" s="6"/>
      <c r="AY617" s="6"/>
      <c r="AZ617" s="6"/>
      <c r="BB617" s="6"/>
      <c r="BC617" s="6"/>
      <c r="BD617" s="6"/>
      <c r="BE617" s="6"/>
      <c r="BF617" s="6"/>
    </row>
    <row r="618" spans="1:58" s="2" customFormat="1" x14ac:dyDescent="0.2">
      <c r="A618" s="6"/>
      <c r="B618" s="6"/>
      <c r="C618" s="42"/>
      <c r="D618" s="6"/>
      <c r="E618" s="6"/>
      <c r="F618" s="6"/>
      <c r="G618" s="6"/>
      <c r="H618" s="6"/>
      <c r="I618" s="6"/>
      <c r="J618" s="6"/>
      <c r="K618" s="6"/>
      <c r="L618" s="6"/>
      <c r="M618" s="6"/>
      <c r="N618" s="6"/>
      <c r="O618" s="6"/>
      <c r="P618" s="6"/>
      <c r="Q618" s="6"/>
      <c r="R618" s="6"/>
      <c r="S618" s="6"/>
      <c r="AV618" s="6"/>
      <c r="AW618" s="6"/>
      <c r="AX618" s="6"/>
      <c r="AY618" s="6"/>
      <c r="AZ618" s="6"/>
      <c r="BB618" s="6"/>
      <c r="BC618" s="6"/>
      <c r="BD618" s="6"/>
      <c r="BE618" s="6"/>
      <c r="BF618" s="6"/>
    </row>
    <row r="619" spans="1:58" s="2" customFormat="1" x14ac:dyDescent="0.2">
      <c r="A619" s="6"/>
      <c r="B619" s="6"/>
      <c r="C619" s="42"/>
      <c r="D619" s="6"/>
      <c r="E619" s="6"/>
      <c r="F619" s="6"/>
      <c r="G619" s="6"/>
      <c r="H619" s="6"/>
      <c r="I619" s="6"/>
      <c r="J619" s="6"/>
      <c r="K619" s="6"/>
      <c r="L619" s="6"/>
      <c r="M619" s="6"/>
      <c r="N619" s="6"/>
      <c r="O619" s="6"/>
      <c r="P619" s="6"/>
      <c r="Q619" s="6"/>
      <c r="R619" s="6"/>
      <c r="S619" s="6"/>
      <c r="AV619" s="6"/>
      <c r="AW619" s="6"/>
      <c r="AX619" s="6"/>
      <c r="AY619" s="6"/>
      <c r="AZ619" s="6"/>
      <c r="BB619" s="6"/>
      <c r="BC619" s="6"/>
      <c r="BD619" s="6"/>
      <c r="BE619" s="6"/>
      <c r="BF619" s="6"/>
    </row>
    <row r="620" spans="1:58" s="2" customFormat="1" x14ac:dyDescent="0.2">
      <c r="A620" s="6"/>
      <c r="B620" s="6"/>
      <c r="C620" s="42"/>
      <c r="D620" s="6"/>
      <c r="E620" s="6"/>
      <c r="F620" s="6"/>
      <c r="G620" s="6"/>
      <c r="H620" s="6"/>
      <c r="I620" s="6"/>
      <c r="J620" s="6"/>
      <c r="K620" s="6"/>
      <c r="L620" s="6"/>
      <c r="M620" s="6"/>
      <c r="N620" s="6"/>
      <c r="O620" s="6"/>
      <c r="P620" s="6"/>
      <c r="Q620" s="6"/>
      <c r="R620" s="6"/>
      <c r="S620" s="6"/>
      <c r="AV620" s="6"/>
      <c r="AW620" s="6"/>
      <c r="AX620" s="6"/>
      <c r="AY620" s="6"/>
      <c r="AZ620" s="6"/>
      <c r="BB620" s="6"/>
      <c r="BC620" s="6"/>
      <c r="BD620" s="6"/>
      <c r="BE620" s="6"/>
      <c r="BF620" s="6"/>
    </row>
    <row r="621" spans="1:58" s="2" customFormat="1" x14ac:dyDescent="0.2">
      <c r="A621" s="6"/>
      <c r="B621" s="6"/>
      <c r="C621" s="42"/>
      <c r="D621" s="6"/>
      <c r="E621" s="6"/>
      <c r="F621" s="6"/>
      <c r="G621" s="6"/>
      <c r="H621" s="6"/>
      <c r="I621" s="6"/>
      <c r="J621" s="6"/>
      <c r="K621" s="6"/>
      <c r="L621" s="6"/>
      <c r="M621" s="6"/>
      <c r="N621" s="6"/>
      <c r="O621" s="6"/>
      <c r="P621" s="6"/>
      <c r="Q621" s="6"/>
      <c r="R621" s="6"/>
      <c r="S621" s="6"/>
      <c r="AV621" s="6"/>
      <c r="AW621" s="6"/>
      <c r="AX621" s="6"/>
      <c r="AY621" s="6"/>
      <c r="AZ621" s="6"/>
      <c r="BB621" s="6"/>
      <c r="BC621" s="6"/>
      <c r="BD621" s="6"/>
      <c r="BE621" s="6"/>
      <c r="BF621" s="6"/>
    </row>
    <row r="622" spans="1:58" s="2" customFormat="1" x14ac:dyDescent="0.2">
      <c r="A622" s="6"/>
      <c r="B622" s="6"/>
      <c r="C622" s="42"/>
      <c r="D622" s="6"/>
      <c r="E622" s="6"/>
      <c r="F622" s="6"/>
      <c r="G622" s="6"/>
      <c r="H622" s="6"/>
      <c r="I622" s="6"/>
      <c r="J622" s="6"/>
      <c r="K622" s="6"/>
      <c r="L622" s="6"/>
      <c r="M622" s="6"/>
      <c r="N622" s="6"/>
      <c r="O622" s="6"/>
      <c r="P622" s="6"/>
      <c r="Q622" s="6"/>
      <c r="R622" s="6"/>
      <c r="S622" s="6"/>
      <c r="AV622" s="6"/>
      <c r="AW622" s="6"/>
      <c r="AX622" s="6"/>
      <c r="AY622" s="6"/>
      <c r="AZ622" s="6"/>
      <c r="BB622" s="6"/>
      <c r="BC622" s="6"/>
      <c r="BD622" s="6"/>
      <c r="BE622" s="6"/>
      <c r="BF622" s="6"/>
    </row>
    <row r="623" spans="1:58" s="2" customFormat="1" x14ac:dyDescent="0.2">
      <c r="A623" s="6"/>
      <c r="B623" s="6"/>
      <c r="C623" s="42"/>
      <c r="D623" s="6"/>
      <c r="E623" s="6"/>
      <c r="F623" s="6"/>
      <c r="G623" s="6"/>
      <c r="H623" s="6"/>
      <c r="I623" s="6"/>
      <c r="J623" s="6"/>
      <c r="K623" s="6"/>
      <c r="L623" s="6"/>
      <c r="M623" s="6"/>
      <c r="N623" s="6"/>
      <c r="O623" s="6"/>
      <c r="P623" s="6"/>
      <c r="Q623" s="6"/>
      <c r="R623" s="6"/>
      <c r="S623" s="6"/>
      <c r="AV623" s="6"/>
      <c r="AW623" s="6"/>
      <c r="AX623" s="6"/>
      <c r="AY623" s="6"/>
      <c r="AZ623" s="6"/>
      <c r="BB623" s="6"/>
      <c r="BC623" s="6"/>
      <c r="BD623" s="6"/>
      <c r="BE623" s="6"/>
      <c r="BF623" s="6"/>
    </row>
    <row r="624" spans="1:58" s="2" customFormat="1" x14ac:dyDescent="0.2">
      <c r="A624" s="6"/>
      <c r="B624" s="6"/>
      <c r="C624" s="42"/>
      <c r="D624" s="6"/>
      <c r="E624" s="6"/>
      <c r="F624" s="6"/>
      <c r="G624" s="6"/>
      <c r="H624" s="6"/>
      <c r="I624" s="6"/>
      <c r="J624" s="6"/>
      <c r="K624" s="6"/>
      <c r="L624" s="6"/>
      <c r="M624" s="6"/>
      <c r="N624" s="6"/>
      <c r="O624" s="6"/>
      <c r="P624" s="6"/>
      <c r="Q624" s="6"/>
      <c r="R624" s="6"/>
      <c r="S624" s="6"/>
      <c r="AV624" s="6"/>
      <c r="AW624" s="6"/>
      <c r="AX624" s="6"/>
      <c r="AY624" s="6"/>
      <c r="AZ624" s="6"/>
      <c r="BB624" s="6"/>
      <c r="BC624" s="6"/>
      <c r="BD624" s="6"/>
      <c r="BE624" s="6"/>
      <c r="BF624" s="6"/>
    </row>
    <row r="625" spans="1:58" s="2" customFormat="1" x14ac:dyDescent="0.2">
      <c r="A625" s="6"/>
      <c r="B625" s="6"/>
      <c r="C625" s="42"/>
      <c r="D625" s="6"/>
      <c r="E625" s="6"/>
      <c r="F625" s="6"/>
      <c r="G625" s="6"/>
      <c r="H625" s="6"/>
      <c r="I625" s="6"/>
      <c r="J625" s="6"/>
      <c r="K625" s="6"/>
      <c r="L625" s="6"/>
      <c r="M625" s="6"/>
      <c r="N625" s="6"/>
      <c r="O625" s="6"/>
      <c r="P625" s="6"/>
      <c r="Q625" s="6"/>
      <c r="R625" s="6"/>
      <c r="S625" s="6"/>
      <c r="AV625" s="6"/>
      <c r="AW625" s="6"/>
      <c r="AX625" s="6"/>
      <c r="AY625" s="6"/>
      <c r="AZ625" s="6"/>
      <c r="BB625" s="6"/>
      <c r="BC625" s="6"/>
      <c r="BD625" s="6"/>
      <c r="BE625" s="6"/>
      <c r="BF625" s="6"/>
    </row>
    <row r="626" spans="1:58" s="2" customFormat="1" x14ac:dyDescent="0.2">
      <c r="A626" s="6"/>
      <c r="B626" s="6"/>
      <c r="C626" s="42"/>
      <c r="D626" s="6"/>
      <c r="E626" s="6"/>
      <c r="F626" s="6"/>
      <c r="G626" s="6"/>
      <c r="H626" s="6"/>
      <c r="I626" s="6"/>
      <c r="J626" s="6"/>
      <c r="K626" s="6"/>
      <c r="L626" s="6"/>
      <c r="M626" s="6"/>
      <c r="N626" s="6"/>
      <c r="O626" s="6"/>
      <c r="P626" s="6"/>
      <c r="Q626" s="6"/>
      <c r="R626" s="6"/>
      <c r="S626" s="6"/>
      <c r="AV626" s="6"/>
      <c r="AW626" s="6"/>
      <c r="AX626" s="6"/>
      <c r="AY626" s="6"/>
      <c r="AZ626" s="6"/>
      <c r="BB626" s="6"/>
      <c r="BC626" s="6"/>
      <c r="BD626" s="6"/>
      <c r="BE626" s="6"/>
      <c r="BF626" s="6"/>
    </row>
    <row r="627" spans="1:58" s="2" customFormat="1" x14ac:dyDescent="0.2">
      <c r="A627" s="6"/>
      <c r="B627" s="6"/>
      <c r="C627" s="42"/>
      <c r="D627" s="6"/>
      <c r="E627" s="6"/>
      <c r="F627" s="6"/>
      <c r="G627" s="6"/>
      <c r="H627" s="6"/>
      <c r="I627" s="6"/>
      <c r="J627" s="6"/>
      <c r="K627" s="6"/>
      <c r="L627" s="6"/>
      <c r="M627" s="6"/>
      <c r="N627" s="6"/>
      <c r="O627" s="6"/>
      <c r="P627" s="6"/>
      <c r="Q627" s="6"/>
      <c r="R627" s="6"/>
      <c r="S627" s="6"/>
      <c r="AV627" s="6"/>
      <c r="AW627" s="6"/>
      <c r="AX627" s="6"/>
      <c r="AY627" s="6"/>
      <c r="AZ627" s="6"/>
      <c r="BB627" s="6"/>
      <c r="BC627" s="6"/>
      <c r="BD627" s="6"/>
      <c r="BE627" s="6"/>
      <c r="BF627" s="6"/>
    </row>
    <row r="628" spans="1:58" s="2" customFormat="1" x14ac:dyDescent="0.2">
      <c r="A628" s="6"/>
      <c r="B628" s="6"/>
      <c r="C628" s="42"/>
      <c r="D628" s="6"/>
      <c r="E628" s="6"/>
      <c r="F628" s="6"/>
      <c r="G628" s="6"/>
      <c r="H628" s="6"/>
      <c r="I628" s="6"/>
      <c r="J628" s="6"/>
      <c r="K628" s="6"/>
      <c r="L628" s="6"/>
      <c r="M628" s="6"/>
      <c r="N628" s="6"/>
      <c r="O628" s="6"/>
      <c r="P628" s="6"/>
      <c r="Q628" s="6"/>
      <c r="R628" s="6"/>
      <c r="S628" s="6"/>
      <c r="AV628" s="6"/>
      <c r="AW628" s="6"/>
      <c r="AX628" s="6"/>
      <c r="AY628" s="6"/>
      <c r="AZ628" s="6"/>
      <c r="BB628" s="6"/>
      <c r="BC628" s="6"/>
      <c r="BD628" s="6"/>
      <c r="BE628" s="6"/>
      <c r="BF628" s="6"/>
    </row>
    <row r="629" spans="1:58" s="2" customFormat="1" x14ac:dyDescent="0.2">
      <c r="A629" s="6"/>
      <c r="B629" s="6"/>
      <c r="C629" s="42"/>
      <c r="D629" s="6"/>
      <c r="E629" s="6"/>
      <c r="F629" s="6"/>
      <c r="G629" s="6"/>
      <c r="H629" s="6"/>
      <c r="I629" s="6"/>
      <c r="J629" s="6"/>
      <c r="K629" s="6"/>
      <c r="L629" s="6"/>
      <c r="M629" s="6"/>
      <c r="N629" s="6"/>
      <c r="O629" s="6"/>
      <c r="P629" s="6"/>
      <c r="Q629" s="6"/>
      <c r="R629" s="6"/>
      <c r="S629" s="6"/>
      <c r="AV629" s="6"/>
      <c r="AW629" s="6"/>
      <c r="AX629" s="6"/>
      <c r="AY629" s="6"/>
      <c r="AZ629" s="6"/>
      <c r="BB629" s="6"/>
      <c r="BC629" s="6"/>
      <c r="BD629" s="6"/>
      <c r="BE629" s="6"/>
      <c r="BF629" s="6"/>
    </row>
    <row r="630" spans="1:58" s="2" customFormat="1" x14ac:dyDescent="0.2">
      <c r="A630" s="6"/>
      <c r="B630" s="6"/>
      <c r="C630" s="42"/>
      <c r="D630" s="6"/>
      <c r="E630" s="6"/>
      <c r="F630" s="6"/>
      <c r="G630" s="6"/>
      <c r="H630" s="6"/>
      <c r="I630" s="6"/>
      <c r="J630" s="6"/>
      <c r="K630" s="6"/>
      <c r="L630" s="6"/>
      <c r="M630" s="6"/>
      <c r="N630" s="6"/>
      <c r="O630" s="6"/>
      <c r="P630" s="6"/>
      <c r="Q630" s="6"/>
      <c r="R630" s="6"/>
      <c r="S630" s="6"/>
      <c r="AV630" s="6"/>
      <c r="AW630" s="6"/>
      <c r="AX630" s="6"/>
      <c r="AY630" s="6"/>
      <c r="AZ630" s="6"/>
      <c r="BB630" s="6"/>
      <c r="BC630" s="6"/>
      <c r="BD630" s="6"/>
      <c r="BE630" s="6"/>
      <c r="BF630" s="6"/>
    </row>
    <row r="631" spans="1:58" s="2" customFormat="1" x14ac:dyDescent="0.2">
      <c r="A631" s="6"/>
      <c r="B631" s="6"/>
      <c r="C631" s="42"/>
      <c r="D631" s="6"/>
      <c r="E631" s="6"/>
      <c r="F631" s="6"/>
      <c r="G631" s="6"/>
      <c r="H631" s="6"/>
      <c r="I631" s="6"/>
      <c r="J631" s="6"/>
      <c r="K631" s="6"/>
      <c r="L631" s="6"/>
      <c r="M631" s="6"/>
      <c r="N631" s="6"/>
      <c r="O631" s="6"/>
      <c r="P631" s="6"/>
      <c r="Q631" s="6"/>
      <c r="R631" s="6"/>
      <c r="S631" s="6"/>
      <c r="AV631" s="6"/>
      <c r="AW631" s="6"/>
      <c r="AX631" s="6"/>
      <c r="AY631" s="6"/>
      <c r="AZ631" s="6"/>
      <c r="BB631" s="6"/>
      <c r="BC631" s="6"/>
      <c r="BD631" s="6"/>
      <c r="BE631" s="6"/>
      <c r="BF631" s="6"/>
    </row>
    <row r="632" spans="1:58" s="2" customFormat="1" x14ac:dyDescent="0.2">
      <c r="A632" s="6"/>
      <c r="B632" s="6"/>
      <c r="C632" s="42"/>
      <c r="D632" s="6"/>
      <c r="E632" s="6"/>
      <c r="F632" s="6"/>
      <c r="G632" s="6"/>
      <c r="H632" s="6"/>
      <c r="I632" s="6"/>
      <c r="J632" s="6"/>
      <c r="K632" s="6"/>
      <c r="L632" s="6"/>
      <c r="M632" s="6"/>
      <c r="N632" s="6"/>
      <c r="O632" s="6"/>
      <c r="P632" s="6"/>
      <c r="Q632" s="6"/>
      <c r="R632" s="6"/>
      <c r="S632" s="6"/>
      <c r="AV632" s="6"/>
      <c r="AW632" s="6"/>
      <c r="AX632" s="6"/>
      <c r="AY632" s="6"/>
      <c r="AZ632" s="6"/>
      <c r="BB632" s="6"/>
      <c r="BC632" s="6"/>
      <c r="BD632" s="6"/>
      <c r="BE632" s="6"/>
      <c r="BF632" s="6"/>
    </row>
    <row r="633" spans="1:58" s="2" customFormat="1" x14ac:dyDescent="0.2">
      <c r="A633" s="6"/>
      <c r="B633" s="6"/>
      <c r="C633" s="42"/>
      <c r="D633" s="6"/>
      <c r="E633" s="6"/>
      <c r="F633" s="6"/>
      <c r="G633" s="6"/>
      <c r="H633" s="6"/>
      <c r="I633" s="6"/>
      <c r="J633" s="6"/>
      <c r="K633" s="6"/>
      <c r="L633" s="6"/>
      <c r="M633" s="6"/>
      <c r="N633" s="6"/>
      <c r="O633" s="6"/>
      <c r="P633" s="6"/>
      <c r="Q633" s="6"/>
      <c r="R633" s="6"/>
      <c r="S633" s="6"/>
      <c r="AV633" s="6"/>
      <c r="AW633" s="6"/>
      <c r="AX633" s="6"/>
      <c r="AY633" s="6"/>
      <c r="AZ633" s="6"/>
      <c r="BB633" s="6"/>
      <c r="BC633" s="6"/>
      <c r="BD633" s="6"/>
      <c r="BE633" s="6"/>
      <c r="BF633" s="6"/>
    </row>
    <row r="634" spans="1:58" s="2" customFormat="1" x14ac:dyDescent="0.2">
      <c r="A634" s="6"/>
      <c r="B634" s="6"/>
      <c r="C634" s="42"/>
      <c r="D634" s="6"/>
      <c r="E634" s="6"/>
      <c r="F634" s="6"/>
      <c r="G634" s="6"/>
      <c r="H634" s="6"/>
      <c r="I634" s="6"/>
      <c r="J634" s="6"/>
      <c r="K634" s="6"/>
      <c r="L634" s="6"/>
      <c r="M634" s="6"/>
      <c r="N634" s="6"/>
      <c r="O634" s="6"/>
      <c r="P634" s="6"/>
      <c r="Q634" s="6"/>
      <c r="R634" s="6"/>
      <c r="S634" s="6"/>
      <c r="AV634" s="6"/>
      <c r="AW634" s="6"/>
      <c r="AX634" s="6"/>
      <c r="AY634" s="6"/>
      <c r="AZ634" s="6"/>
      <c r="BB634" s="6"/>
      <c r="BC634" s="6"/>
      <c r="BD634" s="6"/>
      <c r="BE634" s="6"/>
      <c r="BF634" s="6"/>
    </row>
    <row r="635" spans="1:58" s="2" customFormat="1" x14ac:dyDescent="0.2">
      <c r="A635" s="6"/>
      <c r="B635" s="6"/>
      <c r="C635" s="42"/>
      <c r="D635" s="6"/>
      <c r="E635" s="6"/>
      <c r="F635" s="6"/>
      <c r="G635" s="6"/>
      <c r="H635" s="6"/>
      <c r="I635" s="6"/>
      <c r="J635" s="6"/>
      <c r="K635" s="6"/>
      <c r="L635" s="6"/>
      <c r="M635" s="6"/>
      <c r="N635" s="6"/>
      <c r="O635" s="6"/>
      <c r="P635" s="6"/>
      <c r="Q635" s="6"/>
      <c r="R635" s="6"/>
      <c r="S635" s="6"/>
      <c r="AV635" s="6"/>
      <c r="AW635" s="6"/>
      <c r="AX635" s="6"/>
      <c r="AY635" s="6"/>
      <c r="AZ635" s="6"/>
      <c r="BB635" s="6"/>
      <c r="BC635" s="6"/>
      <c r="BD635" s="6"/>
      <c r="BE635" s="6"/>
      <c r="BF635" s="6"/>
    </row>
    <row r="636" spans="1:58" s="2" customFormat="1" x14ac:dyDescent="0.2">
      <c r="A636" s="6"/>
      <c r="B636" s="6"/>
      <c r="C636" s="42"/>
      <c r="D636" s="6"/>
      <c r="E636" s="6"/>
      <c r="F636" s="6"/>
      <c r="G636" s="6"/>
      <c r="H636" s="6"/>
      <c r="I636" s="6"/>
      <c r="J636" s="6"/>
      <c r="K636" s="6"/>
      <c r="L636" s="6"/>
      <c r="M636" s="6"/>
      <c r="N636" s="6"/>
      <c r="O636" s="6"/>
      <c r="P636" s="6"/>
      <c r="Q636" s="6"/>
      <c r="R636" s="6"/>
      <c r="S636" s="6"/>
      <c r="AV636" s="6"/>
      <c r="AW636" s="6"/>
      <c r="AX636" s="6"/>
      <c r="AY636" s="6"/>
      <c r="AZ636" s="6"/>
      <c r="BB636" s="6"/>
      <c r="BC636" s="6"/>
      <c r="BD636" s="6"/>
      <c r="BE636" s="6"/>
      <c r="BF636" s="6"/>
    </row>
    <row r="637" spans="1:58" s="2" customFormat="1" x14ac:dyDescent="0.2">
      <c r="A637" s="6"/>
      <c r="B637" s="6"/>
      <c r="C637" s="42"/>
      <c r="D637" s="6"/>
      <c r="E637" s="6"/>
      <c r="F637" s="6"/>
      <c r="G637" s="6"/>
      <c r="H637" s="6"/>
      <c r="I637" s="6"/>
      <c r="J637" s="6"/>
      <c r="K637" s="6"/>
      <c r="L637" s="6"/>
      <c r="M637" s="6"/>
      <c r="N637" s="6"/>
      <c r="O637" s="6"/>
      <c r="P637" s="6"/>
      <c r="Q637" s="6"/>
      <c r="R637" s="6"/>
      <c r="S637" s="6"/>
      <c r="AV637" s="6"/>
      <c r="AW637" s="6"/>
      <c r="AX637" s="6"/>
      <c r="AY637" s="6"/>
      <c r="AZ637" s="6"/>
      <c r="BB637" s="6"/>
      <c r="BC637" s="6"/>
      <c r="BD637" s="6"/>
      <c r="BE637" s="6"/>
      <c r="BF637" s="6"/>
    </row>
    <row r="638" spans="1:58" s="2" customFormat="1" x14ac:dyDescent="0.2">
      <c r="A638" s="6"/>
      <c r="B638" s="6"/>
      <c r="C638" s="42"/>
      <c r="D638" s="6"/>
      <c r="E638" s="6"/>
      <c r="F638" s="6"/>
      <c r="G638" s="6"/>
      <c r="H638" s="6"/>
      <c r="I638" s="6"/>
      <c r="J638" s="6"/>
      <c r="K638" s="6"/>
      <c r="L638" s="6"/>
      <c r="M638" s="6"/>
      <c r="N638" s="6"/>
      <c r="O638" s="6"/>
      <c r="P638" s="6"/>
      <c r="Q638" s="6"/>
      <c r="R638" s="6"/>
      <c r="S638" s="6"/>
      <c r="AV638" s="6"/>
      <c r="AW638" s="6"/>
      <c r="AX638" s="6"/>
      <c r="AY638" s="6"/>
      <c r="AZ638" s="6"/>
      <c r="BB638" s="6"/>
      <c r="BC638" s="6"/>
      <c r="BD638" s="6"/>
      <c r="BE638" s="6"/>
      <c r="BF638" s="6"/>
    </row>
    <row r="639" spans="1:58" s="2" customFormat="1" x14ac:dyDescent="0.2">
      <c r="A639" s="6"/>
      <c r="B639" s="6"/>
      <c r="C639" s="42"/>
      <c r="D639" s="6"/>
      <c r="E639" s="6"/>
      <c r="F639" s="6"/>
      <c r="G639" s="6"/>
      <c r="H639" s="6"/>
      <c r="I639" s="6"/>
      <c r="J639" s="6"/>
      <c r="K639" s="6"/>
      <c r="L639" s="6"/>
      <c r="M639" s="6"/>
      <c r="N639" s="6"/>
      <c r="O639" s="6"/>
      <c r="P639" s="6"/>
      <c r="Q639" s="6"/>
      <c r="R639" s="6"/>
      <c r="S639" s="6"/>
      <c r="AV639" s="6"/>
      <c r="AW639" s="6"/>
      <c r="AX639" s="6"/>
      <c r="AY639" s="6"/>
      <c r="AZ639" s="6"/>
      <c r="BB639" s="6"/>
      <c r="BC639" s="6"/>
      <c r="BD639" s="6"/>
      <c r="BE639" s="6"/>
      <c r="BF639" s="6"/>
    </row>
    <row r="640" spans="1:58" s="2" customFormat="1" x14ac:dyDescent="0.2">
      <c r="A640" s="6"/>
      <c r="B640" s="6"/>
      <c r="C640" s="42"/>
      <c r="D640" s="6"/>
      <c r="E640" s="6"/>
      <c r="F640" s="6"/>
      <c r="G640" s="6"/>
      <c r="H640" s="6"/>
      <c r="I640" s="6"/>
      <c r="J640" s="6"/>
      <c r="K640" s="6"/>
      <c r="L640" s="6"/>
      <c r="M640" s="6"/>
      <c r="N640" s="6"/>
      <c r="O640" s="6"/>
      <c r="P640" s="6"/>
      <c r="Q640" s="6"/>
      <c r="R640" s="6"/>
      <c r="S640" s="6"/>
      <c r="AV640" s="6"/>
      <c r="AW640" s="6"/>
      <c r="AX640" s="6"/>
      <c r="AY640" s="6"/>
      <c r="AZ640" s="6"/>
      <c r="BB640" s="6"/>
      <c r="BC640" s="6"/>
      <c r="BD640" s="6"/>
      <c r="BE640" s="6"/>
      <c r="BF640" s="6"/>
    </row>
    <row r="641" spans="1:58" s="2" customFormat="1" x14ac:dyDescent="0.2">
      <c r="A641" s="6"/>
      <c r="B641" s="6"/>
      <c r="C641" s="42"/>
      <c r="D641" s="6"/>
      <c r="E641" s="6"/>
      <c r="F641" s="6"/>
      <c r="G641" s="6"/>
      <c r="H641" s="6"/>
      <c r="I641" s="6"/>
      <c r="J641" s="6"/>
      <c r="K641" s="6"/>
      <c r="L641" s="6"/>
      <c r="M641" s="6"/>
      <c r="N641" s="6"/>
      <c r="O641" s="6"/>
      <c r="P641" s="6"/>
      <c r="Q641" s="6"/>
      <c r="R641" s="6"/>
      <c r="S641" s="6"/>
      <c r="AV641" s="6"/>
      <c r="AW641" s="6"/>
      <c r="AX641" s="6"/>
      <c r="AY641" s="6"/>
      <c r="AZ641" s="6"/>
      <c r="BB641" s="6"/>
      <c r="BC641" s="6"/>
      <c r="BD641" s="6"/>
      <c r="BE641" s="6"/>
      <c r="BF641" s="6"/>
    </row>
    <row r="642" spans="1:58" s="2" customFormat="1" x14ac:dyDescent="0.2">
      <c r="A642" s="6"/>
      <c r="B642" s="6"/>
      <c r="C642" s="42"/>
      <c r="D642" s="6"/>
      <c r="E642" s="6"/>
      <c r="F642" s="6"/>
      <c r="G642" s="6"/>
      <c r="H642" s="6"/>
      <c r="I642" s="6"/>
      <c r="J642" s="6"/>
      <c r="K642" s="6"/>
      <c r="L642" s="6"/>
      <c r="M642" s="6"/>
      <c r="N642" s="6"/>
      <c r="O642" s="6"/>
      <c r="P642" s="6"/>
      <c r="Q642" s="6"/>
      <c r="R642" s="6"/>
      <c r="S642" s="6"/>
      <c r="AV642" s="6"/>
      <c r="AW642" s="6"/>
      <c r="AX642" s="6"/>
      <c r="AY642" s="6"/>
      <c r="AZ642" s="6"/>
      <c r="BB642" s="6"/>
      <c r="BC642" s="6"/>
      <c r="BD642" s="6"/>
      <c r="BE642" s="6"/>
      <c r="BF642" s="6"/>
    </row>
    <row r="643" spans="1:58" s="2" customFormat="1" x14ac:dyDescent="0.2">
      <c r="A643" s="6"/>
      <c r="B643" s="6"/>
      <c r="C643" s="42"/>
      <c r="D643" s="6"/>
      <c r="E643" s="6"/>
      <c r="F643" s="6"/>
      <c r="G643" s="6"/>
      <c r="H643" s="6"/>
      <c r="I643" s="6"/>
      <c r="J643" s="6"/>
      <c r="K643" s="6"/>
      <c r="L643" s="6"/>
      <c r="M643" s="6"/>
      <c r="N643" s="6"/>
      <c r="O643" s="6"/>
      <c r="P643" s="6"/>
      <c r="Q643" s="6"/>
      <c r="R643" s="6"/>
      <c r="S643" s="6"/>
      <c r="AV643" s="6"/>
      <c r="AW643" s="6"/>
      <c r="AX643" s="6"/>
      <c r="AY643" s="6"/>
      <c r="AZ643" s="6"/>
      <c r="BB643" s="6"/>
      <c r="BC643" s="6"/>
      <c r="BD643" s="6"/>
      <c r="BE643" s="6"/>
      <c r="BF643" s="6"/>
    </row>
    <row r="644" spans="1:58" s="2" customFormat="1" x14ac:dyDescent="0.2">
      <c r="A644" s="6"/>
      <c r="B644" s="6"/>
      <c r="C644" s="42"/>
      <c r="D644" s="6"/>
      <c r="E644" s="6"/>
      <c r="F644" s="6"/>
      <c r="G644" s="6"/>
      <c r="H644" s="6"/>
      <c r="I644" s="6"/>
      <c r="J644" s="6"/>
      <c r="K644" s="6"/>
      <c r="L644" s="6"/>
      <c r="M644" s="6"/>
      <c r="N644" s="6"/>
      <c r="O644" s="6"/>
      <c r="P644" s="6"/>
      <c r="Q644" s="6"/>
      <c r="R644" s="6"/>
      <c r="S644" s="6"/>
      <c r="AV644" s="6"/>
      <c r="AW644" s="6"/>
      <c r="AX644" s="6"/>
      <c r="AY644" s="6"/>
      <c r="AZ644" s="6"/>
      <c r="BB644" s="6"/>
      <c r="BC644" s="6"/>
      <c r="BD644" s="6"/>
      <c r="BE644" s="6"/>
      <c r="BF644" s="6"/>
    </row>
    <row r="645" spans="1:58" s="2" customFormat="1" x14ac:dyDescent="0.2">
      <c r="A645" s="6"/>
      <c r="B645" s="6"/>
      <c r="C645" s="42"/>
      <c r="D645" s="6"/>
      <c r="E645" s="6"/>
      <c r="F645" s="6"/>
      <c r="G645" s="6"/>
      <c r="H645" s="6"/>
      <c r="I645" s="6"/>
      <c r="J645" s="6"/>
      <c r="K645" s="6"/>
      <c r="L645" s="6"/>
      <c r="M645" s="6"/>
      <c r="N645" s="6"/>
      <c r="O645" s="6"/>
      <c r="P645" s="6"/>
      <c r="Q645" s="6"/>
      <c r="R645" s="6"/>
      <c r="S645" s="6"/>
      <c r="AV645" s="6"/>
      <c r="AW645" s="6"/>
      <c r="AX645" s="6"/>
      <c r="AY645" s="6"/>
      <c r="AZ645" s="6"/>
      <c r="BB645" s="6"/>
      <c r="BC645" s="6"/>
      <c r="BD645" s="6"/>
      <c r="BE645" s="6"/>
      <c r="BF645" s="6"/>
    </row>
    <row r="646" spans="1:58" s="2" customFormat="1" x14ac:dyDescent="0.2">
      <c r="A646" s="6"/>
      <c r="B646" s="6"/>
      <c r="C646" s="42"/>
      <c r="D646" s="6"/>
      <c r="E646" s="6"/>
      <c r="F646" s="6"/>
      <c r="G646" s="6"/>
      <c r="H646" s="6"/>
      <c r="I646" s="6"/>
      <c r="J646" s="6"/>
      <c r="K646" s="6"/>
      <c r="L646" s="6"/>
      <c r="M646" s="6"/>
      <c r="N646" s="6"/>
      <c r="O646" s="6"/>
      <c r="P646" s="6"/>
      <c r="Q646" s="6"/>
      <c r="R646" s="6"/>
      <c r="S646" s="6"/>
      <c r="AV646" s="6"/>
      <c r="AW646" s="6"/>
      <c r="AX646" s="6"/>
      <c r="AY646" s="6"/>
      <c r="AZ646" s="6"/>
      <c r="BB646" s="6"/>
      <c r="BC646" s="6"/>
      <c r="BD646" s="6"/>
      <c r="BE646" s="6"/>
      <c r="BF646" s="6"/>
    </row>
    <row r="647" spans="1:58" s="2" customFormat="1" x14ac:dyDescent="0.2">
      <c r="A647" s="6"/>
      <c r="B647" s="6"/>
      <c r="C647" s="42"/>
      <c r="D647" s="6"/>
      <c r="E647" s="6"/>
      <c r="F647" s="6"/>
      <c r="G647" s="6"/>
      <c r="H647" s="6"/>
      <c r="I647" s="6"/>
      <c r="J647" s="6"/>
      <c r="K647" s="6"/>
      <c r="L647" s="6"/>
      <c r="M647" s="6"/>
      <c r="N647" s="6"/>
      <c r="O647" s="6"/>
      <c r="P647" s="6"/>
      <c r="Q647" s="6"/>
      <c r="R647" s="6"/>
      <c r="S647" s="6"/>
      <c r="AV647" s="6"/>
      <c r="AW647" s="6"/>
      <c r="AX647" s="6"/>
      <c r="AY647" s="6"/>
      <c r="AZ647" s="6"/>
      <c r="BB647" s="6"/>
      <c r="BC647" s="6"/>
      <c r="BD647" s="6"/>
      <c r="BE647" s="6"/>
      <c r="BF647" s="6"/>
    </row>
    <row r="648" spans="1:58" s="2" customFormat="1" x14ac:dyDescent="0.2">
      <c r="A648" s="6"/>
      <c r="B648" s="6"/>
      <c r="C648" s="42"/>
      <c r="D648" s="6"/>
      <c r="E648" s="6"/>
      <c r="F648" s="6"/>
      <c r="G648" s="6"/>
      <c r="H648" s="6"/>
      <c r="I648" s="6"/>
      <c r="J648" s="6"/>
      <c r="K648" s="6"/>
      <c r="L648" s="6"/>
      <c r="M648" s="6"/>
      <c r="N648" s="6"/>
      <c r="O648" s="6"/>
      <c r="P648" s="6"/>
      <c r="Q648" s="6"/>
      <c r="R648" s="6"/>
      <c r="S648" s="6"/>
      <c r="AV648" s="6"/>
      <c r="AW648" s="6"/>
      <c r="AX648" s="6"/>
      <c r="AY648" s="6"/>
      <c r="AZ648" s="6"/>
      <c r="BB648" s="6"/>
      <c r="BC648" s="6"/>
      <c r="BD648" s="6"/>
      <c r="BE648" s="6"/>
      <c r="BF648" s="6"/>
    </row>
    <row r="649" spans="1:58" s="2" customFormat="1" x14ac:dyDescent="0.2">
      <c r="A649" s="6"/>
      <c r="B649" s="6"/>
      <c r="C649" s="42"/>
      <c r="D649" s="6"/>
      <c r="E649" s="6"/>
      <c r="F649" s="6"/>
      <c r="G649" s="6"/>
      <c r="H649" s="6"/>
      <c r="I649" s="6"/>
      <c r="J649" s="6"/>
      <c r="K649" s="6"/>
      <c r="L649" s="6"/>
      <c r="M649" s="6"/>
      <c r="N649" s="6"/>
      <c r="O649" s="6"/>
      <c r="P649" s="6"/>
      <c r="Q649" s="6"/>
      <c r="R649" s="6"/>
      <c r="S649" s="6"/>
      <c r="AV649" s="6"/>
      <c r="AW649" s="6"/>
      <c r="AX649" s="6"/>
      <c r="AY649" s="6"/>
      <c r="AZ649" s="6"/>
      <c r="BB649" s="6"/>
      <c r="BC649" s="6"/>
      <c r="BD649" s="6"/>
      <c r="BE649" s="6"/>
      <c r="BF649" s="6"/>
    </row>
    <row r="650" spans="1:58" s="2" customFormat="1" x14ac:dyDescent="0.2">
      <c r="A650" s="6"/>
      <c r="B650" s="6"/>
      <c r="C650" s="42"/>
      <c r="D650" s="6"/>
      <c r="E650" s="6"/>
      <c r="F650" s="6"/>
      <c r="G650" s="6"/>
      <c r="H650" s="6"/>
      <c r="I650" s="6"/>
      <c r="J650" s="6"/>
      <c r="K650" s="6"/>
      <c r="L650" s="6"/>
      <c r="M650" s="6"/>
      <c r="N650" s="6"/>
      <c r="O650" s="6"/>
      <c r="P650" s="6"/>
      <c r="Q650" s="6"/>
      <c r="R650" s="6"/>
      <c r="S650" s="6"/>
      <c r="AV650" s="6"/>
      <c r="AW650" s="6"/>
      <c r="AX650" s="6"/>
      <c r="AY650" s="6"/>
      <c r="AZ650" s="6"/>
      <c r="BB650" s="6"/>
      <c r="BC650" s="6"/>
      <c r="BD650" s="6"/>
      <c r="BE650" s="6"/>
      <c r="BF650" s="6"/>
    </row>
    <row r="651" spans="1:58" s="2" customFormat="1" x14ac:dyDescent="0.2">
      <c r="A651" s="6"/>
      <c r="B651" s="6"/>
      <c r="C651" s="42"/>
      <c r="D651" s="6"/>
      <c r="E651" s="6"/>
      <c r="F651" s="6"/>
      <c r="G651" s="6"/>
      <c r="H651" s="6"/>
      <c r="I651" s="6"/>
      <c r="J651" s="6"/>
      <c r="K651" s="6"/>
      <c r="L651" s="6"/>
      <c r="M651" s="6"/>
      <c r="N651" s="6"/>
      <c r="O651" s="6"/>
      <c r="P651" s="6"/>
      <c r="Q651" s="6"/>
      <c r="R651" s="6"/>
      <c r="S651" s="6"/>
      <c r="AV651" s="6"/>
      <c r="AW651" s="6"/>
      <c r="AX651" s="6"/>
      <c r="AY651" s="6"/>
      <c r="AZ651" s="6"/>
      <c r="BB651" s="6"/>
      <c r="BC651" s="6"/>
      <c r="BD651" s="6"/>
      <c r="BE651" s="6"/>
      <c r="BF651" s="6"/>
    </row>
    <row r="652" spans="1:58" s="2" customFormat="1" x14ac:dyDescent="0.2">
      <c r="A652" s="6"/>
      <c r="B652" s="6"/>
      <c r="C652" s="42"/>
      <c r="D652" s="6"/>
      <c r="E652" s="6"/>
      <c r="F652" s="6"/>
      <c r="G652" s="6"/>
      <c r="H652" s="6"/>
      <c r="I652" s="6"/>
      <c r="J652" s="6"/>
      <c r="K652" s="6"/>
      <c r="L652" s="6"/>
      <c r="M652" s="6"/>
      <c r="N652" s="6"/>
      <c r="O652" s="6"/>
      <c r="P652" s="6"/>
      <c r="Q652" s="6"/>
      <c r="R652" s="6"/>
      <c r="S652" s="6"/>
      <c r="AV652" s="6"/>
      <c r="AW652" s="6"/>
      <c r="AX652" s="6"/>
      <c r="AY652" s="6"/>
      <c r="AZ652" s="6"/>
      <c r="BB652" s="6"/>
      <c r="BC652" s="6"/>
      <c r="BD652" s="6"/>
      <c r="BE652" s="6"/>
      <c r="BF652" s="6"/>
    </row>
    <row r="653" spans="1:58" s="2" customFormat="1" x14ac:dyDescent="0.2">
      <c r="A653" s="6"/>
      <c r="B653" s="6"/>
      <c r="C653" s="42"/>
      <c r="D653" s="6"/>
      <c r="E653" s="6"/>
      <c r="F653" s="6"/>
      <c r="G653" s="6"/>
      <c r="H653" s="6"/>
      <c r="I653" s="6"/>
      <c r="J653" s="6"/>
      <c r="K653" s="6"/>
      <c r="L653" s="6"/>
      <c r="M653" s="6"/>
      <c r="N653" s="6"/>
      <c r="O653" s="6"/>
      <c r="P653" s="6"/>
      <c r="Q653" s="6"/>
      <c r="R653" s="6"/>
      <c r="S653" s="6"/>
      <c r="AV653" s="6"/>
      <c r="AW653" s="6"/>
      <c r="AX653" s="6"/>
      <c r="AY653" s="6"/>
      <c r="AZ653" s="6"/>
      <c r="BB653" s="6"/>
      <c r="BC653" s="6"/>
      <c r="BD653" s="6"/>
      <c r="BE653" s="6"/>
      <c r="BF653" s="6"/>
    </row>
    <row r="654" spans="1:58" s="2" customFormat="1" x14ac:dyDescent="0.2">
      <c r="A654" s="6"/>
      <c r="B654" s="6"/>
      <c r="C654" s="42"/>
      <c r="D654" s="6"/>
      <c r="E654" s="6"/>
      <c r="F654" s="6"/>
      <c r="G654" s="6"/>
      <c r="H654" s="6"/>
      <c r="I654" s="6"/>
      <c r="J654" s="6"/>
      <c r="K654" s="6"/>
      <c r="L654" s="6"/>
      <c r="M654" s="6"/>
      <c r="N654" s="6"/>
      <c r="O654" s="6"/>
      <c r="P654" s="6"/>
      <c r="Q654" s="6"/>
      <c r="R654" s="6"/>
      <c r="S654" s="6"/>
      <c r="AV654" s="6"/>
      <c r="AW654" s="6"/>
      <c r="AX654" s="6"/>
      <c r="AY654" s="6"/>
      <c r="AZ654" s="6"/>
      <c r="BB654" s="6"/>
      <c r="BC654" s="6"/>
      <c r="BD654" s="6"/>
      <c r="BE654" s="6"/>
      <c r="BF654" s="6"/>
    </row>
    <row r="655" spans="1:58" s="2" customFormat="1" x14ac:dyDescent="0.2">
      <c r="A655" s="6"/>
      <c r="B655" s="6"/>
      <c r="C655" s="42"/>
      <c r="D655" s="6"/>
      <c r="E655" s="6"/>
      <c r="F655" s="6"/>
      <c r="G655" s="6"/>
      <c r="H655" s="6"/>
      <c r="I655" s="6"/>
      <c r="J655" s="6"/>
      <c r="K655" s="6"/>
      <c r="L655" s="6"/>
      <c r="M655" s="6"/>
      <c r="N655" s="6"/>
      <c r="O655" s="6"/>
      <c r="P655" s="6"/>
      <c r="Q655" s="6"/>
      <c r="R655" s="6"/>
      <c r="S655" s="6"/>
      <c r="AV655" s="6"/>
      <c r="AW655" s="6"/>
      <c r="AX655" s="6"/>
      <c r="AY655" s="6"/>
      <c r="AZ655" s="6"/>
      <c r="BB655" s="6"/>
      <c r="BC655" s="6"/>
      <c r="BD655" s="6"/>
      <c r="BE655" s="6"/>
      <c r="BF655" s="6"/>
    </row>
    <row r="656" spans="1:58" s="2" customFormat="1" x14ac:dyDescent="0.2">
      <c r="A656" s="6"/>
      <c r="B656" s="6"/>
      <c r="C656" s="42"/>
      <c r="D656" s="6"/>
      <c r="E656" s="6"/>
      <c r="F656" s="6"/>
      <c r="G656" s="6"/>
      <c r="H656" s="6"/>
      <c r="I656" s="6"/>
      <c r="J656" s="6"/>
      <c r="K656" s="6"/>
      <c r="L656" s="6"/>
      <c r="M656" s="6"/>
      <c r="N656" s="6"/>
      <c r="O656" s="6"/>
      <c r="P656" s="6"/>
      <c r="Q656" s="6"/>
      <c r="R656" s="6"/>
      <c r="S656" s="6"/>
      <c r="AV656" s="6"/>
      <c r="AW656" s="6"/>
      <c r="AX656" s="6"/>
      <c r="AY656" s="6"/>
      <c r="AZ656" s="6"/>
      <c r="BB656" s="6"/>
      <c r="BC656" s="6"/>
      <c r="BD656" s="6"/>
      <c r="BE656" s="6"/>
      <c r="BF656" s="6"/>
    </row>
    <row r="657" spans="1:58" s="2" customFormat="1" x14ac:dyDescent="0.2">
      <c r="A657" s="6"/>
      <c r="B657" s="6"/>
      <c r="C657" s="42"/>
      <c r="D657" s="6"/>
      <c r="E657" s="6"/>
      <c r="F657" s="6"/>
      <c r="G657" s="6"/>
      <c r="H657" s="6"/>
      <c r="I657" s="6"/>
      <c r="J657" s="6"/>
      <c r="K657" s="6"/>
      <c r="L657" s="6"/>
      <c r="M657" s="6"/>
      <c r="N657" s="6"/>
      <c r="O657" s="6"/>
      <c r="P657" s="6"/>
      <c r="Q657" s="6"/>
      <c r="R657" s="6"/>
      <c r="S657" s="6"/>
      <c r="AV657" s="6"/>
      <c r="AW657" s="6"/>
      <c r="AX657" s="6"/>
      <c r="AY657" s="6"/>
      <c r="AZ657" s="6"/>
      <c r="BB657" s="6"/>
      <c r="BC657" s="6"/>
      <c r="BD657" s="6"/>
      <c r="BE657" s="6"/>
      <c r="BF657" s="6"/>
    </row>
    <row r="658" spans="1:58" s="2" customFormat="1" x14ac:dyDescent="0.2">
      <c r="A658" s="6"/>
      <c r="B658" s="6"/>
      <c r="C658" s="42"/>
      <c r="D658" s="6"/>
      <c r="E658" s="6"/>
      <c r="F658" s="6"/>
      <c r="G658" s="6"/>
      <c r="H658" s="6"/>
      <c r="I658" s="6"/>
      <c r="J658" s="6"/>
      <c r="K658" s="6"/>
      <c r="L658" s="6"/>
      <c r="M658" s="6"/>
      <c r="N658" s="6"/>
      <c r="O658" s="6"/>
      <c r="P658" s="6"/>
      <c r="Q658" s="6"/>
      <c r="R658" s="6"/>
      <c r="S658" s="6"/>
      <c r="AV658" s="6"/>
      <c r="AW658" s="6"/>
      <c r="AX658" s="6"/>
      <c r="AY658" s="6"/>
      <c r="AZ658" s="6"/>
      <c r="BB658" s="6"/>
      <c r="BC658" s="6"/>
      <c r="BD658" s="6"/>
      <c r="BE658" s="6"/>
      <c r="BF658" s="6"/>
    </row>
    <row r="659" spans="1:58" s="2" customFormat="1" x14ac:dyDescent="0.2">
      <c r="A659" s="6"/>
      <c r="B659" s="6"/>
      <c r="C659" s="42"/>
      <c r="D659" s="6"/>
      <c r="E659" s="6"/>
      <c r="F659" s="6"/>
      <c r="G659" s="6"/>
      <c r="H659" s="6"/>
      <c r="I659" s="6"/>
      <c r="J659" s="6"/>
      <c r="K659" s="6"/>
      <c r="L659" s="6"/>
      <c r="M659" s="6"/>
      <c r="N659" s="6"/>
      <c r="O659" s="6"/>
      <c r="P659" s="6"/>
      <c r="Q659" s="6"/>
      <c r="R659" s="6"/>
      <c r="S659" s="6"/>
      <c r="AV659" s="6"/>
      <c r="AW659" s="6"/>
      <c r="AX659" s="6"/>
      <c r="AY659" s="6"/>
      <c r="AZ659" s="6"/>
      <c r="BB659" s="6"/>
      <c r="BC659" s="6"/>
      <c r="BD659" s="6"/>
      <c r="BE659" s="6"/>
      <c r="BF659" s="6"/>
    </row>
    <row r="660" spans="1:58" s="2" customFormat="1" x14ac:dyDescent="0.2">
      <c r="A660" s="6"/>
      <c r="B660" s="6"/>
      <c r="C660" s="42"/>
      <c r="D660" s="6"/>
      <c r="E660" s="6"/>
      <c r="F660" s="6"/>
      <c r="G660" s="6"/>
      <c r="H660" s="6"/>
      <c r="I660" s="6"/>
      <c r="J660" s="6"/>
      <c r="K660" s="6"/>
      <c r="L660" s="6"/>
      <c r="M660" s="6"/>
      <c r="N660" s="6"/>
      <c r="O660" s="6"/>
      <c r="P660" s="6"/>
      <c r="Q660" s="6"/>
      <c r="R660" s="6"/>
      <c r="S660" s="6"/>
      <c r="AV660" s="6"/>
      <c r="AW660" s="6"/>
      <c r="AX660" s="6"/>
      <c r="AY660" s="6"/>
      <c r="AZ660" s="6"/>
      <c r="BB660" s="6"/>
      <c r="BC660" s="6"/>
      <c r="BD660" s="6"/>
      <c r="BE660" s="6"/>
      <c r="BF660" s="6"/>
    </row>
    <row r="661" spans="1:58" s="2" customFormat="1" x14ac:dyDescent="0.2">
      <c r="A661" s="6"/>
      <c r="B661" s="6"/>
      <c r="C661" s="42"/>
      <c r="D661" s="6"/>
      <c r="E661" s="6"/>
      <c r="F661" s="6"/>
      <c r="G661" s="6"/>
      <c r="H661" s="6"/>
      <c r="I661" s="6"/>
      <c r="J661" s="6"/>
      <c r="K661" s="6"/>
      <c r="L661" s="6"/>
      <c r="M661" s="6"/>
      <c r="N661" s="6"/>
      <c r="O661" s="6"/>
      <c r="P661" s="6"/>
      <c r="Q661" s="6"/>
      <c r="R661" s="6"/>
      <c r="S661" s="6"/>
      <c r="AV661" s="6"/>
      <c r="AW661" s="6"/>
      <c r="AX661" s="6"/>
      <c r="AY661" s="6"/>
      <c r="AZ661" s="6"/>
      <c r="BB661" s="6"/>
      <c r="BC661" s="6"/>
      <c r="BD661" s="6"/>
      <c r="BE661" s="6"/>
      <c r="BF661" s="6"/>
    </row>
    <row r="662" spans="1:58" s="2" customFormat="1" x14ac:dyDescent="0.2">
      <c r="A662" s="6"/>
      <c r="B662" s="6"/>
      <c r="C662" s="42"/>
      <c r="D662" s="6"/>
      <c r="E662" s="6"/>
      <c r="F662" s="6"/>
      <c r="G662" s="6"/>
      <c r="H662" s="6"/>
      <c r="I662" s="6"/>
      <c r="J662" s="6"/>
      <c r="K662" s="6"/>
      <c r="L662" s="6"/>
      <c r="M662" s="6"/>
      <c r="N662" s="6"/>
      <c r="O662" s="6"/>
      <c r="P662" s="6"/>
      <c r="Q662" s="6"/>
      <c r="R662" s="6"/>
      <c r="S662" s="6"/>
      <c r="AV662" s="6"/>
      <c r="AW662" s="6"/>
      <c r="AX662" s="6"/>
      <c r="AY662" s="6"/>
      <c r="AZ662" s="6"/>
      <c r="BB662" s="6"/>
      <c r="BC662" s="6"/>
      <c r="BD662" s="6"/>
      <c r="BE662" s="6"/>
      <c r="BF662" s="6"/>
    </row>
    <row r="663" spans="1:58" s="2" customFormat="1" x14ac:dyDescent="0.2">
      <c r="A663" s="6"/>
      <c r="B663" s="6"/>
      <c r="C663" s="42"/>
      <c r="D663" s="6"/>
      <c r="E663" s="6"/>
      <c r="F663" s="6"/>
      <c r="G663" s="6"/>
      <c r="H663" s="6"/>
      <c r="I663" s="6"/>
      <c r="J663" s="6"/>
      <c r="K663" s="6"/>
      <c r="L663" s="6"/>
      <c r="M663" s="6"/>
      <c r="N663" s="6"/>
      <c r="O663" s="6"/>
      <c r="P663" s="6"/>
      <c r="Q663" s="6"/>
      <c r="R663" s="6"/>
      <c r="S663" s="6"/>
      <c r="AV663" s="6"/>
      <c r="AW663" s="6"/>
      <c r="AX663" s="6"/>
      <c r="AY663" s="6"/>
      <c r="AZ663" s="6"/>
      <c r="BB663" s="6"/>
      <c r="BC663" s="6"/>
      <c r="BD663" s="6"/>
      <c r="BE663" s="6"/>
      <c r="BF663" s="6"/>
    </row>
    <row r="664" spans="1:58" s="2" customFormat="1" x14ac:dyDescent="0.2">
      <c r="A664" s="6"/>
      <c r="B664" s="6"/>
      <c r="C664" s="42"/>
      <c r="D664" s="6"/>
      <c r="E664" s="6"/>
      <c r="F664" s="6"/>
      <c r="G664" s="6"/>
      <c r="H664" s="6"/>
      <c r="I664" s="6"/>
      <c r="J664" s="6"/>
      <c r="K664" s="6"/>
      <c r="L664" s="6"/>
      <c r="M664" s="6"/>
      <c r="N664" s="6"/>
      <c r="O664" s="6"/>
      <c r="P664" s="6"/>
      <c r="Q664" s="6"/>
      <c r="R664" s="6"/>
      <c r="S664" s="6"/>
      <c r="AV664" s="6"/>
      <c r="AW664" s="6"/>
      <c r="AX664" s="6"/>
      <c r="AY664" s="6"/>
      <c r="AZ664" s="6"/>
      <c r="BB664" s="6"/>
      <c r="BC664" s="6"/>
      <c r="BD664" s="6"/>
      <c r="BE664" s="6"/>
      <c r="BF664" s="6"/>
    </row>
    <row r="665" spans="1:58" s="2" customFormat="1" x14ac:dyDescent="0.2">
      <c r="A665" s="6"/>
      <c r="B665" s="6"/>
      <c r="C665" s="42"/>
      <c r="D665" s="6"/>
      <c r="E665" s="6"/>
      <c r="F665" s="6"/>
      <c r="G665" s="6"/>
      <c r="H665" s="6"/>
      <c r="I665" s="6"/>
      <c r="J665" s="6"/>
      <c r="K665" s="6"/>
      <c r="L665" s="6"/>
      <c r="M665" s="6"/>
      <c r="N665" s="6"/>
      <c r="O665" s="6"/>
      <c r="P665" s="6"/>
      <c r="Q665" s="6"/>
      <c r="R665" s="6"/>
      <c r="S665" s="6"/>
      <c r="AV665" s="6"/>
      <c r="AW665" s="6"/>
      <c r="AX665" s="6"/>
      <c r="AY665" s="6"/>
      <c r="AZ665" s="6"/>
      <c r="BB665" s="6"/>
      <c r="BC665" s="6"/>
      <c r="BD665" s="6"/>
      <c r="BE665" s="6"/>
      <c r="BF665" s="6"/>
    </row>
    <row r="666" spans="1:58" s="2" customFormat="1" x14ac:dyDescent="0.2">
      <c r="A666" s="6"/>
      <c r="B666" s="6"/>
      <c r="C666" s="42"/>
      <c r="D666" s="6"/>
      <c r="E666" s="6"/>
      <c r="F666" s="6"/>
      <c r="G666" s="6"/>
      <c r="H666" s="6"/>
      <c r="I666" s="6"/>
      <c r="J666" s="6"/>
      <c r="K666" s="6"/>
      <c r="L666" s="6"/>
      <c r="M666" s="6"/>
      <c r="N666" s="6"/>
      <c r="O666" s="6"/>
      <c r="P666" s="6"/>
      <c r="Q666" s="6"/>
      <c r="R666" s="6"/>
      <c r="S666" s="6"/>
      <c r="AV666" s="6"/>
      <c r="AW666" s="6"/>
      <c r="AX666" s="6"/>
      <c r="AY666" s="6"/>
      <c r="AZ666" s="6"/>
      <c r="BB666" s="6"/>
      <c r="BC666" s="6"/>
      <c r="BD666" s="6"/>
      <c r="BE666" s="6"/>
      <c r="BF666" s="6"/>
    </row>
    <row r="667" spans="1:58" s="2" customFormat="1" x14ac:dyDescent="0.2">
      <c r="A667" s="6"/>
      <c r="B667" s="6"/>
      <c r="C667" s="42"/>
      <c r="D667" s="6"/>
      <c r="E667" s="6"/>
      <c r="F667" s="6"/>
      <c r="G667" s="6"/>
      <c r="H667" s="6"/>
      <c r="I667" s="6"/>
      <c r="J667" s="6"/>
      <c r="K667" s="6"/>
      <c r="L667" s="6"/>
      <c r="M667" s="6"/>
      <c r="N667" s="6"/>
      <c r="O667" s="6"/>
      <c r="P667" s="6"/>
      <c r="Q667" s="6"/>
      <c r="R667" s="6"/>
      <c r="S667" s="6"/>
      <c r="AV667" s="6"/>
      <c r="AW667" s="6"/>
      <c r="AX667" s="6"/>
      <c r="AY667" s="6"/>
      <c r="AZ667" s="6"/>
      <c r="BB667" s="6"/>
      <c r="BC667" s="6"/>
      <c r="BD667" s="6"/>
      <c r="BE667" s="6"/>
      <c r="BF667" s="6"/>
    </row>
    <row r="668" spans="1:58" s="2" customFormat="1" x14ac:dyDescent="0.2">
      <c r="A668" s="6"/>
      <c r="B668" s="6"/>
      <c r="C668" s="42"/>
      <c r="D668" s="6"/>
      <c r="E668" s="6"/>
      <c r="F668" s="6"/>
      <c r="G668" s="6"/>
      <c r="H668" s="6"/>
      <c r="I668" s="6"/>
      <c r="J668" s="6"/>
      <c r="K668" s="6"/>
      <c r="L668" s="6"/>
      <c r="M668" s="6"/>
      <c r="N668" s="6"/>
      <c r="O668" s="6"/>
      <c r="P668" s="6"/>
      <c r="Q668" s="6"/>
      <c r="R668" s="6"/>
      <c r="S668" s="6"/>
      <c r="AV668" s="6"/>
      <c r="AW668" s="6"/>
      <c r="AX668" s="6"/>
      <c r="AY668" s="6"/>
      <c r="AZ668" s="6"/>
      <c r="BB668" s="6"/>
      <c r="BC668" s="6"/>
      <c r="BD668" s="6"/>
      <c r="BE668" s="6"/>
      <c r="BF668" s="6"/>
    </row>
    <row r="669" spans="1:58" s="2" customFormat="1" x14ac:dyDescent="0.2">
      <c r="A669" s="6"/>
      <c r="B669" s="6"/>
      <c r="C669" s="42"/>
      <c r="D669" s="6"/>
      <c r="E669" s="6"/>
      <c r="F669" s="6"/>
      <c r="G669" s="6"/>
      <c r="H669" s="6"/>
      <c r="I669" s="6"/>
      <c r="J669" s="6"/>
      <c r="K669" s="6"/>
      <c r="L669" s="6"/>
      <c r="M669" s="6"/>
      <c r="N669" s="6"/>
      <c r="O669" s="6"/>
      <c r="P669" s="6"/>
      <c r="Q669" s="6"/>
      <c r="R669" s="6"/>
      <c r="S669" s="6"/>
      <c r="AV669" s="6"/>
      <c r="AW669" s="6"/>
      <c r="AX669" s="6"/>
      <c r="AY669" s="6"/>
      <c r="AZ669" s="6"/>
      <c r="BB669" s="6"/>
      <c r="BC669" s="6"/>
      <c r="BD669" s="6"/>
      <c r="BE669" s="6"/>
      <c r="BF669" s="6"/>
    </row>
    <row r="670" spans="1:58" s="2" customFormat="1" x14ac:dyDescent="0.2">
      <c r="A670" s="6"/>
      <c r="B670" s="6"/>
      <c r="C670" s="42"/>
      <c r="D670" s="6"/>
      <c r="E670" s="6"/>
      <c r="F670" s="6"/>
      <c r="G670" s="6"/>
      <c r="H670" s="6"/>
      <c r="I670" s="6"/>
      <c r="J670" s="6"/>
      <c r="K670" s="6"/>
      <c r="L670" s="6"/>
      <c r="M670" s="6"/>
      <c r="N670" s="6"/>
      <c r="O670" s="6"/>
      <c r="P670" s="6"/>
      <c r="Q670" s="6"/>
      <c r="R670" s="6"/>
      <c r="S670" s="6"/>
      <c r="AV670" s="6"/>
      <c r="AW670" s="6"/>
      <c r="AX670" s="6"/>
      <c r="AY670" s="6"/>
      <c r="AZ670" s="6"/>
      <c r="BB670" s="6"/>
      <c r="BC670" s="6"/>
      <c r="BD670" s="6"/>
      <c r="BE670" s="6"/>
      <c r="BF670" s="6"/>
    </row>
    <row r="671" spans="1:58" s="2" customFormat="1" x14ac:dyDescent="0.2">
      <c r="A671" s="6"/>
      <c r="B671" s="6"/>
      <c r="C671" s="42"/>
      <c r="D671" s="6"/>
      <c r="E671" s="6"/>
      <c r="F671" s="6"/>
      <c r="G671" s="6"/>
      <c r="H671" s="6"/>
      <c r="I671" s="6"/>
      <c r="J671" s="6"/>
      <c r="K671" s="6"/>
      <c r="L671" s="6"/>
      <c r="M671" s="6"/>
      <c r="N671" s="6"/>
      <c r="O671" s="6"/>
      <c r="P671" s="6"/>
      <c r="Q671" s="6"/>
      <c r="R671" s="6"/>
      <c r="S671" s="6"/>
      <c r="AV671" s="6"/>
      <c r="AW671" s="6"/>
      <c r="AX671" s="6"/>
      <c r="AY671" s="6"/>
      <c r="AZ671" s="6"/>
      <c r="BB671" s="6"/>
      <c r="BC671" s="6"/>
      <c r="BD671" s="6"/>
      <c r="BE671" s="6"/>
      <c r="BF671" s="6"/>
    </row>
    <row r="672" spans="1:58" s="2" customFormat="1" x14ac:dyDescent="0.2">
      <c r="A672" s="6"/>
      <c r="B672" s="6"/>
      <c r="C672" s="42"/>
      <c r="D672" s="6"/>
      <c r="E672" s="6"/>
      <c r="F672" s="6"/>
      <c r="G672" s="6"/>
      <c r="H672" s="6"/>
      <c r="I672" s="6"/>
      <c r="J672" s="6"/>
      <c r="K672" s="6"/>
      <c r="L672" s="6"/>
      <c r="M672" s="6"/>
      <c r="N672" s="6"/>
      <c r="O672" s="6"/>
      <c r="P672" s="6"/>
      <c r="Q672" s="6"/>
      <c r="R672" s="6"/>
      <c r="S672" s="6"/>
      <c r="AV672" s="6"/>
      <c r="AW672" s="6"/>
      <c r="AX672" s="6"/>
      <c r="AY672" s="6"/>
      <c r="AZ672" s="6"/>
      <c r="BB672" s="6"/>
      <c r="BC672" s="6"/>
      <c r="BD672" s="6"/>
      <c r="BE672" s="6"/>
      <c r="BF672" s="6"/>
    </row>
    <row r="673" spans="1:58" s="2" customFormat="1" x14ac:dyDescent="0.2">
      <c r="A673" s="6"/>
      <c r="B673" s="6"/>
      <c r="C673" s="42"/>
      <c r="D673" s="6"/>
      <c r="E673" s="6"/>
      <c r="F673" s="6"/>
      <c r="G673" s="6"/>
      <c r="H673" s="6"/>
      <c r="I673" s="6"/>
      <c r="J673" s="6"/>
      <c r="K673" s="6"/>
      <c r="L673" s="6"/>
      <c r="M673" s="6"/>
      <c r="N673" s="6"/>
      <c r="O673" s="6"/>
      <c r="P673" s="6"/>
      <c r="Q673" s="6"/>
      <c r="R673" s="6"/>
      <c r="S673" s="6"/>
      <c r="AV673" s="6"/>
      <c r="AW673" s="6"/>
      <c r="AX673" s="6"/>
      <c r="AY673" s="6"/>
      <c r="AZ673" s="6"/>
      <c r="BB673" s="6"/>
      <c r="BC673" s="6"/>
      <c r="BD673" s="6"/>
      <c r="BE673" s="6"/>
      <c r="BF673" s="6"/>
    </row>
    <row r="674" spans="1:58" s="2" customFormat="1" x14ac:dyDescent="0.2">
      <c r="A674" s="6"/>
      <c r="B674" s="6"/>
      <c r="C674" s="42"/>
      <c r="D674" s="6"/>
      <c r="E674" s="6"/>
      <c r="F674" s="6"/>
      <c r="G674" s="6"/>
      <c r="H674" s="6"/>
      <c r="I674" s="6"/>
      <c r="J674" s="6"/>
      <c r="K674" s="6"/>
      <c r="L674" s="6"/>
      <c r="M674" s="6"/>
      <c r="N674" s="6"/>
      <c r="O674" s="6"/>
      <c r="P674" s="6"/>
      <c r="Q674" s="6"/>
      <c r="R674" s="6"/>
      <c r="S674" s="6"/>
      <c r="AV674" s="6"/>
      <c r="AW674" s="6"/>
      <c r="AX674" s="6"/>
      <c r="AY674" s="6"/>
      <c r="AZ674" s="6"/>
      <c r="BB674" s="6"/>
      <c r="BC674" s="6"/>
      <c r="BD674" s="6"/>
      <c r="BE674" s="6"/>
      <c r="BF674" s="6"/>
    </row>
    <row r="675" spans="1:58" s="2" customFormat="1" x14ac:dyDescent="0.2">
      <c r="A675" s="6"/>
      <c r="B675" s="6"/>
      <c r="C675" s="42"/>
      <c r="D675" s="6"/>
      <c r="E675" s="6"/>
      <c r="F675" s="6"/>
      <c r="G675" s="6"/>
      <c r="H675" s="6"/>
      <c r="I675" s="6"/>
      <c r="J675" s="6"/>
      <c r="K675" s="6"/>
      <c r="L675" s="6"/>
      <c r="M675" s="6"/>
      <c r="N675" s="6"/>
      <c r="O675" s="6"/>
      <c r="P675" s="6"/>
      <c r="Q675" s="6"/>
      <c r="R675" s="6"/>
      <c r="S675" s="6"/>
      <c r="AV675" s="6"/>
      <c r="AW675" s="6"/>
      <c r="AX675" s="6"/>
      <c r="AY675" s="6"/>
      <c r="AZ675" s="6"/>
      <c r="BB675" s="6"/>
      <c r="BC675" s="6"/>
      <c r="BD675" s="6"/>
      <c r="BE675" s="6"/>
      <c r="BF675" s="6"/>
    </row>
    <row r="676" spans="1:58" s="2" customFormat="1" x14ac:dyDescent="0.2">
      <c r="A676" s="6"/>
      <c r="B676" s="6"/>
      <c r="C676" s="42"/>
      <c r="D676" s="6"/>
      <c r="E676" s="6"/>
      <c r="F676" s="6"/>
      <c r="G676" s="6"/>
      <c r="H676" s="6"/>
      <c r="I676" s="6"/>
      <c r="J676" s="6"/>
      <c r="K676" s="6"/>
      <c r="L676" s="6"/>
      <c r="M676" s="6"/>
      <c r="N676" s="6"/>
      <c r="O676" s="6"/>
      <c r="P676" s="6"/>
      <c r="Q676" s="6"/>
      <c r="R676" s="6"/>
      <c r="S676" s="6"/>
      <c r="AV676" s="6"/>
      <c r="AW676" s="6"/>
      <c r="AX676" s="6"/>
      <c r="AY676" s="6"/>
      <c r="AZ676" s="6"/>
      <c r="BB676" s="6"/>
      <c r="BC676" s="6"/>
      <c r="BD676" s="6"/>
      <c r="BE676" s="6"/>
      <c r="BF676" s="6"/>
    </row>
    <row r="677" spans="1:58" s="2" customFormat="1" x14ac:dyDescent="0.2">
      <c r="A677" s="6"/>
      <c r="B677" s="6"/>
      <c r="C677" s="42"/>
      <c r="D677" s="6"/>
      <c r="E677" s="6"/>
      <c r="F677" s="6"/>
      <c r="G677" s="6"/>
      <c r="H677" s="6"/>
      <c r="I677" s="6"/>
      <c r="J677" s="6"/>
      <c r="K677" s="6"/>
      <c r="L677" s="6"/>
      <c r="M677" s="6"/>
      <c r="N677" s="6"/>
      <c r="O677" s="6"/>
      <c r="P677" s="6"/>
      <c r="Q677" s="6"/>
      <c r="R677" s="6"/>
      <c r="S677" s="6"/>
      <c r="AV677" s="6"/>
      <c r="AW677" s="6"/>
      <c r="AX677" s="6"/>
      <c r="AY677" s="6"/>
      <c r="AZ677" s="6"/>
      <c r="BB677" s="6"/>
      <c r="BC677" s="6"/>
      <c r="BD677" s="6"/>
      <c r="BE677" s="6"/>
      <c r="BF677" s="6"/>
    </row>
    <row r="678" spans="1:58" s="2" customFormat="1" x14ac:dyDescent="0.2">
      <c r="A678" s="6"/>
      <c r="B678" s="6"/>
      <c r="C678" s="42"/>
      <c r="D678" s="6"/>
      <c r="E678" s="6"/>
      <c r="F678" s="6"/>
      <c r="G678" s="6"/>
      <c r="H678" s="6"/>
      <c r="I678" s="6"/>
      <c r="J678" s="6"/>
      <c r="K678" s="6"/>
      <c r="L678" s="6"/>
      <c r="M678" s="6"/>
      <c r="N678" s="6"/>
      <c r="O678" s="6"/>
      <c r="P678" s="6"/>
      <c r="Q678" s="6"/>
      <c r="R678" s="6"/>
      <c r="S678" s="6"/>
      <c r="AV678" s="6"/>
      <c r="AW678" s="6"/>
      <c r="AX678" s="6"/>
      <c r="AY678" s="6"/>
      <c r="AZ678" s="6"/>
      <c r="BB678" s="6"/>
      <c r="BC678" s="6"/>
      <c r="BD678" s="6"/>
      <c r="BE678" s="6"/>
      <c r="BF678" s="6"/>
    </row>
    <row r="679" spans="1:58" s="2" customFormat="1" x14ac:dyDescent="0.2">
      <c r="A679" s="6"/>
      <c r="B679" s="6"/>
      <c r="C679" s="42"/>
      <c r="D679" s="6"/>
      <c r="E679" s="6"/>
      <c r="F679" s="6"/>
      <c r="G679" s="6"/>
      <c r="H679" s="6"/>
      <c r="I679" s="6"/>
      <c r="J679" s="6"/>
      <c r="K679" s="6"/>
      <c r="L679" s="6"/>
      <c r="M679" s="6"/>
      <c r="N679" s="6"/>
      <c r="O679" s="6"/>
      <c r="P679" s="6"/>
      <c r="Q679" s="6"/>
      <c r="R679" s="6"/>
      <c r="S679" s="6"/>
      <c r="AV679" s="6"/>
      <c r="AW679" s="6"/>
      <c r="AX679" s="6"/>
      <c r="AY679" s="6"/>
      <c r="AZ679" s="6"/>
      <c r="BB679" s="6"/>
      <c r="BC679" s="6"/>
      <c r="BD679" s="6"/>
      <c r="BE679" s="6"/>
      <c r="BF679" s="6"/>
    </row>
    <row r="680" spans="1:58" s="2" customFormat="1" x14ac:dyDescent="0.2">
      <c r="A680" s="6"/>
      <c r="B680" s="6"/>
      <c r="C680" s="42"/>
      <c r="D680" s="6"/>
      <c r="E680" s="6"/>
      <c r="F680" s="6"/>
      <c r="G680" s="6"/>
      <c r="H680" s="6"/>
      <c r="I680" s="6"/>
      <c r="J680" s="6"/>
      <c r="K680" s="6"/>
      <c r="L680" s="6"/>
      <c r="M680" s="6"/>
      <c r="N680" s="6"/>
      <c r="O680" s="6"/>
      <c r="P680" s="6"/>
      <c r="Q680" s="6"/>
      <c r="R680" s="6"/>
      <c r="S680" s="6"/>
      <c r="AV680" s="6"/>
      <c r="AW680" s="6"/>
      <c r="AX680" s="6"/>
      <c r="AY680" s="6"/>
      <c r="AZ680" s="6"/>
      <c r="BB680" s="6"/>
      <c r="BC680" s="6"/>
      <c r="BD680" s="6"/>
      <c r="BE680" s="6"/>
      <c r="BF680" s="6"/>
    </row>
    <row r="681" spans="1:58" s="2" customFormat="1" x14ac:dyDescent="0.2">
      <c r="A681" s="6"/>
      <c r="B681" s="6"/>
      <c r="C681" s="42"/>
      <c r="D681" s="6"/>
      <c r="E681" s="6"/>
      <c r="F681" s="6"/>
      <c r="G681" s="6"/>
      <c r="H681" s="6"/>
      <c r="I681" s="6"/>
      <c r="J681" s="6"/>
      <c r="K681" s="6"/>
      <c r="L681" s="6"/>
      <c r="M681" s="6"/>
      <c r="N681" s="6"/>
      <c r="O681" s="6"/>
      <c r="P681" s="6"/>
      <c r="Q681" s="6"/>
      <c r="R681" s="6"/>
      <c r="S681" s="6"/>
      <c r="AV681" s="6"/>
      <c r="AW681" s="6"/>
      <c r="AX681" s="6"/>
      <c r="AY681" s="6"/>
      <c r="AZ681" s="6"/>
      <c r="BB681" s="6"/>
      <c r="BC681" s="6"/>
      <c r="BD681" s="6"/>
      <c r="BE681" s="6"/>
      <c r="BF681" s="6"/>
    </row>
    <row r="682" spans="1:58" s="2" customFormat="1" x14ac:dyDescent="0.2">
      <c r="A682" s="6"/>
      <c r="B682" s="6"/>
      <c r="C682" s="42"/>
      <c r="D682" s="6"/>
      <c r="E682" s="6"/>
      <c r="F682" s="6"/>
      <c r="G682" s="6"/>
      <c r="H682" s="6"/>
      <c r="I682" s="6"/>
      <c r="J682" s="6"/>
      <c r="K682" s="6"/>
      <c r="L682" s="6"/>
      <c r="M682" s="6"/>
      <c r="N682" s="6"/>
      <c r="O682" s="6"/>
      <c r="P682" s="6"/>
      <c r="Q682" s="6"/>
      <c r="R682" s="6"/>
      <c r="S682" s="6"/>
      <c r="AV682" s="6"/>
      <c r="AW682" s="6"/>
      <c r="AX682" s="6"/>
      <c r="AY682" s="6"/>
      <c r="AZ682" s="6"/>
      <c r="BB682" s="6"/>
      <c r="BC682" s="6"/>
      <c r="BD682" s="6"/>
      <c r="BE682" s="6"/>
      <c r="BF682" s="6"/>
    </row>
    <row r="683" spans="1:58" s="2" customFormat="1" x14ac:dyDescent="0.2">
      <c r="A683" s="6"/>
      <c r="B683" s="6"/>
      <c r="C683" s="42"/>
      <c r="D683" s="6"/>
      <c r="E683" s="6"/>
      <c r="F683" s="6"/>
      <c r="G683" s="6"/>
      <c r="H683" s="6"/>
      <c r="I683" s="6"/>
      <c r="J683" s="6"/>
      <c r="K683" s="6"/>
      <c r="L683" s="6"/>
      <c r="M683" s="6"/>
      <c r="N683" s="6"/>
      <c r="O683" s="6"/>
      <c r="P683" s="6"/>
      <c r="Q683" s="6"/>
      <c r="R683" s="6"/>
      <c r="S683" s="6"/>
      <c r="AV683" s="6"/>
      <c r="AW683" s="6"/>
      <c r="AX683" s="6"/>
      <c r="AY683" s="6"/>
      <c r="AZ683" s="6"/>
      <c r="BB683" s="6"/>
      <c r="BC683" s="6"/>
      <c r="BD683" s="6"/>
      <c r="BE683" s="6"/>
      <c r="BF683" s="6"/>
    </row>
    <row r="684" spans="1:58" s="2" customFormat="1" x14ac:dyDescent="0.2">
      <c r="A684" s="6"/>
      <c r="B684" s="6"/>
      <c r="C684" s="42"/>
      <c r="D684" s="6"/>
      <c r="E684" s="6"/>
      <c r="F684" s="6"/>
      <c r="G684" s="6"/>
      <c r="H684" s="6"/>
      <c r="I684" s="6"/>
      <c r="J684" s="6"/>
      <c r="K684" s="6"/>
      <c r="L684" s="6"/>
      <c r="M684" s="6"/>
      <c r="N684" s="6"/>
      <c r="O684" s="6"/>
      <c r="P684" s="6"/>
      <c r="Q684" s="6"/>
      <c r="R684" s="6"/>
      <c r="S684" s="6"/>
      <c r="AV684" s="6"/>
      <c r="AW684" s="6"/>
      <c r="AX684" s="6"/>
      <c r="AY684" s="6"/>
      <c r="AZ684" s="6"/>
      <c r="BB684" s="6"/>
      <c r="BC684" s="6"/>
      <c r="BD684" s="6"/>
      <c r="BE684" s="6"/>
      <c r="BF684" s="6"/>
    </row>
    <row r="685" spans="1:58" s="2" customFormat="1" x14ac:dyDescent="0.2">
      <c r="A685" s="6"/>
      <c r="B685" s="6"/>
      <c r="C685" s="42"/>
      <c r="D685" s="6"/>
      <c r="E685" s="6"/>
      <c r="F685" s="6"/>
      <c r="G685" s="6"/>
      <c r="H685" s="6"/>
      <c r="I685" s="6"/>
      <c r="J685" s="6"/>
      <c r="K685" s="6"/>
      <c r="L685" s="6"/>
      <c r="M685" s="6"/>
      <c r="N685" s="6"/>
      <c r="O685" s="6"/>
      <c r="P685" s="6"/>
      <c r="Q685" s="6"/>
      <c r="R685" s="6"/>
      <c r="S685" s="6"/>
      <c r="AV685" s="6"/>
      <c r="AW685" s="6"/>
      <c r="AX685" s="6"/>
      <c r="AY685" s="6"/>
      <c r="AZ685" s="6"/>
      <c r="BB685" s="6"/>
      <c r="BC685" s="6"/>
      <c r="BD685" s="6"/>
      <c r="BE685" s="6"/>
      <c r="BF685" s="6"/>
    </row>
    <row r="686" spans="1:58" s="2" customFormat="1" x14ac:dyDescent="0.2">
      <c r="A686" s="6"/>
      <c r="B686" s="6"/>
      <c r="C686" s="42"/>
      <c r="D686" s="6"/>
      <c r="E686" s="6"/>
      <c r="F686" s="6"/>
      <c r="G686" s="6"/>
      <c r="H686" s="6"/>
      <c r="I686" s="6"/>
      <c r="J686" s="6"/>
      <c r="K686" s="6"/>
      <c r="L686" s="6"/>
      <c r="M686" s="6"/>
      <c r="N686" s="6"/>
      <c r="O686" s="6"/>
      <c r="P686" s="6"/>
      <c r="Q686" s="6"/>
      <c r="R686" s="6"/>
      <c r="S686" s="6"/>
      <c r="AV686" s="6"/>
      <c r="AW686" s="6"/>
      <c r="AX686" s="6"/>
      <c r="AY686" s="6"/>
      <c r="AZ686" s="6"/>
      <c r="BB686" s="6"/>
      <c r="BC686" s="6"/>
      <c r="BD686" s="6"/>
      <c r="BE686" s="6"/>
      <c r="BF686" s="6"/>
    </row>
    <row r="687" spans="1:58" s="2" customFormat="1" x14ac:dyDescent="0.2">
      <c r="A687" s="6"/>
      <c r="B687" s="6"/>
      <c r="C687" s="42"/>
      <c r="D687" s="6"/>
      <c r="E687" s="6"/>
      <c r="F687" s="6"/>
      <c r="G687" s="6"/>
      <c r="H687" s="6"/>
      <c r="I687" s="6"/>
      <c r="J687" s="6"/>
      <c r="K687" s="6"/>
      <c r="L687" s="6"/>
      <c r="M687" s="6"/>
      <c r="N687" s="6"/>
      <c r="O687" s="6"/>
      <c r="P687" s="6"/>
      <c r="Q687" s="6"/>
      <c r="R687" s="6"/>
      <c r="S687" s="6"/>
      <c r="AV687" s="6"/>
      <c r="AW687" s="6"/>
      <c r="AX687" s="6"/>
      <c r="AY687" s="6"/>
      <c r="AZ687" s="6"/>
      <c r="BB687" s="6"/>
      <c r="BC687" s="6"/>
      <c r="BD687" s="6"/>
      <c r="BE687" s="6"/>
      <c r="BF687" s="6"/>
    </row>
    <row r="688" spans="1:58" s="2" customFormat="1" x14ac:dyDescent="0.2">
      <c r="A688" s="6"/>
      <c r="B688" s="6"/>
      <c r="C688" s="42"/>
      <c r="D688" s="6"/>
      <c r="E688" s="6"/>
      <c r="F688" s="6"/>
      <c r="G688" s="6"/>
      <c r="H688" s="6"/>
      <c r="I688" s="6"/>
      <c r="J688" s="6"/>
      <c r="K688" s="6"/>
      <c r="L688" s="6"/>
      <c r="M688" s="6"/>
      <c r="N688" s="6"/>
      <c r="O688" s="6"/>
      <c r="P688" s="6"/>
      <c r="Q688" s="6"/>
      <c r="R688" s="6"/>
      <c r="S688" s="6"/>
      <c r="AV688" s="6"/>
      <c r="AW688" s="6"/>
      <c r="AX688" s="6"/>
      <c r="AY688" s="6"/>
      <c r="AZ688" s="6"/>
      <c r="BB688" s="6"/>
      <c r="BC688" s="6"/>
      <c r="BD688" s="6"/>
      <c r="BE688" s="6"/>
      <c r="BF688" s="6"/>
    </row>
    <row r="689" spans="1:58" s="2" customFormat="1" x14ac:dyDescent="0.2">
      <c r="A689" s="6"/>
      <c r="B689" s="6"/>
      <c r="C689" s="42"/>
      <c r="D689" s="6"/>
      <c r="E689" s="6"/>
      <c r="F689" s="6"/>
      <c r="G689" s="6"/>
      <c r="H689" s="6"/>
      <c r="I689" s="6"/>
      <c r="J689" s="6"/>
      <c r="K689" s="6"/>
      <c r="L689" s="6"/>
      <c r="M689" s="6"/>
      <c r="N689" s="6"/>
      <c r="O689" s="6"/>
      <c r="P689" s="6"/>
      <c r="Q689" s="6"/>
      <c r="R689" s="6"/>
      <c r="S689" s="6"/>
      <c r="AV689" s="6"/>
      <c r="AW689" s="6"/>
      <c r="AX689" s="6"/>
      <c r="AY689" s="6"/>
      <c r="AZ689" s="6"/>
      <c r="BB689" s="6"/>
      <c r="BC689" s="6"/>
      <c r="BD689" s="6"/>
      <c r="BE689" s="6"/>
      <c r="BF689" s="6"/>
    </row>
    <row r="690" spans="1:58" s="2" customFormat="1" x14ac:dyDescent="0.2">
      <c r="A690" s="6"/>
      <c r="B690" s="6"/>
      <c r="C690" s="42"/>
      <c r="D690" s="6"/>
      <c r="E690" s="6"/>
      <c r="F690" s="6"/>
      <c r="G690" s="6"/>
      <c r="H690" s="6"/>
      <c r="I690" s="6"/>
      <c r="J690" s="6"/>
      <c r="K690" s="6"/>
      <c r="L690" s="6"/>
      <c r="M690" s="6"/>
      <c r="N690" s="6"/>
      <c r="O690" s="6"/>
      <c r="P690" s="6"/>
      <c r="Q690" s="6"/>
      <c r="R690" s="6"/>
      <c r="S690" s="6"/>
      <c r="AV690" s="6"/>
      <c r="AW690" s="6"/>
      <c r="AX690" s="6"/>
      <c r="AY690" s="6"/>
      <c r="AZ690" s="6"/>
      <c r="BB690" s="6"/>
      <c r="BC690" s="6"/>
      <c r="BD690" s="6"/>
      <c r="BE690" s="6"/>
      <c r="BF690" s="6"/>
    </row>
    <row r="691" spans="1:58" s="2" customFormat="1" x14ac:dyDescent="0.2">
      <c r="A691" s="6"/>
      <c r="B691" s="6"/>
      <c r="C691" s="42"/>
      <c r="D691" s="6"/>
      <c r="E691" s="6"/>
      <c r="F691" s="6"/>
      <c r="G691" s="6"/>
      <c r="H691" s="6"/>
      <c r="I691" s="6"/>
      <c r="J691" s="6"/>
      <c r="K691" s="6"/>
      <c r="L691" s="6"/>
      <c r="M691" s="6"/>
      <c r="N691" s="6"/>
      <c r="O691" s="6"/>
      <c r="P691" s="6"/>
      <c r="Q691" s="6"/>
      <c r="R691" s="6"/>
      <c r="S691" s="6"/>
      <c r="AV691" s="6"/>
      <c r="AW691" s="6"/>
      <c r="AX691" s="6"/>
      <c r="AY691" s="6"/>
      <c r="AZ691" s="6"/>
      <c r="BB691" s="6"/>
      <c r="BC691" s="6"/>
      <c r="BD691" s="6"/>
      <c r="BE691" s="6"/>
      <c r="BF691" s="6"/>
    </row>
    <row r="692" spans="1:58" s="2" customFormat="1" x14ac:dyDescent="0.2">
      <c r="A692" s="6"/>
      <c r="B692" s="6"/>
      <c r="C692" s="42"/>
      <c r="D692" s="6"/>
      <c r="E692" s="6"/>
      <c r="F692" s="6"/>
      <c r="G692" s="6"/>
      <c r="H692" s="6"/>
      <c r="I692" s="6"/>
      <c r="J692" s="6"/>
      <c r="K692" s="6"/>
      <c r="L692" s="6"/>
      <c r="M692" s="6"/>
      <c r="N692" s="6"/>
      <c r="O692" s="6"/>
      <c r="P692" s="6"/>
      <c r="Q692" s="6"/>
      <c r="R692" s="6"/>
      <c r="S692" s="6"/>
      <c r="AV692" s="6"/>
      <c r="AW692" s="6"/>
      <c r="AX692" s="6"/>
      <c r="AY692" s="6"/>
      <c r="AZ692" s="6"/>
      <c r="BB692" s="6"/>
      <c r="BC692" s="6"/>
      <c r="BD692" s="6"/>
      <c r="BE692" s="6"/>
      <c r="BF692" s="6"/>
    </row>
    <row r="693" spans="1:58" s="2" customFormat="1" x14ac:dyDescent="0.2">
      <c r="A693" s="6"/>
      <c r="B693" s="6"/>
      <c r="C693" s="42"/>
      <c r="D693" s="6"/>
      <c r="E693" s="6"/>
      <c r="F693" s="6"/>
      <c r="G693" s="6"/>
      <c r="H693" s="6"/>
      <c r="I693" s="6"/>
      <c r="J693" s="6"/>
      <c r="K693" s="6"/>
      <c r="L693" s="6"/>
      <c r="M693" s="6"/>
      <c r="N693" s="6"/>
      <c r="O693" s="6"/>
      <c r="P693" s="6"/>
      <c r="Q693" s="6"/>
      <c r="R693" s="6"/>
      <c r="S693" s="6"/>
      <c r="AV693" s="6"/>
      <c r="AW693" s="6"/>
      <c r="AX693" s="6"/>
      <c r="AY693" s="6"/>
      <c r="AZ693" s="6"/>
      <c r="BB693" s="6"/>
      <c r="BC693" s="6"/>
      <c r="BD693" s="6"/>
      <c r="BE693" s="6"/>
      <c r="BF693" s="6"/>
    </row>
    <row r="694" spans="1:58" s="2" customFormat="1" x14ac:dyDescent="0.2">
      <c r="A694" s="6"/>
      <c r="B694" s="6"/>
      <c r="C694" s="42"/>
      <c r="D694" s="6"/>
      <c r="E694" s="6"/>
      <c r="F694" s="6"/>
      <c r="G694" s="6"/>
      <c r="H694" s="6"/>
      <c r="I694" s="6"/>
      <c r="J694" s="6"/>
      <c r="K694" s="6"/>
      <c r="L694" s="6"/>
      <c r="M694" s="6"/>
      <c r="N694" s="6"/>
      <c r="O694" s="6"/>
      <c r="P694" s="6"/>
      <c r="Q694" s="6"/>
      <c r="R694" s="6"/>
      <c r="S694" s="6"/>
      <c r="AV694" s="6"/>
      <c r="AW694" s="6"/>
      <c r="AX694" s="6"/>
      <c r="AY694" s="6"/>
      <c r="AZ694" s="6"/>
      <c r="BB694" s="6"/>
      <c r="BC694" s="6"/>
      <c r="BD694" s="6"/>
      <c r="BE694" s="6"/>
      <c r="BF694" s="6"/>
    </row>
    <row r="695" spans="1:58" s="2" customFormat="1" x14ac:dyDescent="0.2">
      <c r="A695" s="6"/>
      <c r="B695" s="6"/>
      <c r="C695" s="42"/>
      <c r="D695" s="6"/>
      <c r="E695" s="6"/>
      <c r="F695" s="6"/>
      <c r="G695" s="6"/>
      <c r="H695" s="6"/>
      <c r="I695" s="6"/>
      <c r="J695" s="6"/>
      <c r="K695" s="6"/>
      <c r="L695" s="6"/>
      <c r="M695" s="6"/>
      <c r="N695" s="6"/>
      <c r="O695" s="6"/>
      <c r="P695" s="6"/>
      <c r="Q695" s="6"/>
      <c r="R695" s="6"/>
      <c r="S695" s="6"/>
      <c r="AV695" s="6"/>
      <c r="AW695" s="6"/>
      <c r="AX695" s="6"/>
      <c r="AY695" s="6"/>
      <c r="AZ695" s="6"/>
      <c r="BB695" s="6"/>
      <c r="BC695" s="6"/>
      <c r="BD695" s="6"/>
      <c r="BE695" s="6"/>
      <c r="BF695" s="6"/>
    </row>
    <row r="696" spans="1:58" s="2" customFormat="1" x14ac:dyDescent="0.2">
      <c r="A696" s="6"/>
      <c r="B696" s="6"/>
      <c r="C696" s="42"/>
      <c r="D696" s="6"/>
      <c r="E696" s="6"/>
      <c r="F696" s="6"/>
      <c r="G696" s="6"/>
      <c r="H696" s="6"/>
      <c r="I696" s="6"/>
      <c r="J696" s="6"/>
      <c r="K696" s="6"/>
      <c r="L696" s="6"/>
      <c r="M696" s="6"/>
      <c r="N696" s="6"/>
      <c r="O696" s="6"/>
      <c r="P696" s="6"/>
      <c r="Q696" s="6"/>
      <c r="R696" s="6"/>
      <c r="S696" s="6"/>
      <c r="AV696" s="6"/>
      <c r="AW696" s="6"/>
      <c r="AX696" s="6"/>
      <c r="AY696" s="6"/>
      <c r="AZ696" s="6"/>
      <c r="BB696" s="6"/>
      <c r="BC696" s="6"/>
      <c r="BD696" s="6"/>
      <c r="BE696" s="6"/>
      <c r="BF696" s="6"/>
    </row>
    <row r="697" spans="1:58" s="2" customFormat="1" x14ac:dyDescent="0.2">
      <c r="A697" s="6"/>
      <c r="B697" s="6"/>
      <c r="C697" s="42"/>
      <c r="D697" s="6"/>
      <c r="E697" s="6"/>
      <c r="F697" s="6"/>
      <c r="G697" s="6"/>
      <c r="H697" s="6"/>
      <c r="I697" s="6"/>
      <c r="J697" s="6"/>
      <c r="K697" s="6"/>
      <c r="L697" s="6"/>
      <c r="M697" s="6"/>
      <c r="N697" s="6"/>
      <c r="O697" s="6"/>
      <c r="P697" s="6"/>
      <c r="Q697" s="6"/>
      <c r="R697" s="6"/>
      <c r="S697" s="6"/>
      <c r="AV697" s="6"/>
      <c r="AW697" s="6"/>
      <c r="AX697" s="6"/>
      <c r="AY697" s="6"/>
      <c r="AZ697" s="6"/>
      <c r="BB697" s="6"/>
      <c r="BC697" s="6"/>
      <c r="BD697" s="6"/>
      <c r="BE697" s="6"/>
      <c r="BF697" s="6"/>
    </row>
    <row r="698" spans="1:58" s="2" customFormat="1" x14ac:dyDescent="0.2">
      <c r="A698" s="6"/>
      <c r="B698" s="6"/>
      <c r="C698" s="42"/>
      <c r="D698" s="6"/>
      <c r="E698" s="6"/>
      <c r="F698" s="6"/>
      <c r="G698" s="6"/>
      <c r="H698" s="6"/>
      <c r="I698" s="6"/>
      <c r="J698" s="6"/>
      <c r="K698" s="6"/>
      <c r="L698" s="6"/>
      <c r="M698" s="6"/>
      <c r="N698" s="6"/>
      <c r="O698" s="6"/>
      <c r="P698" s="6"/>
      <c r="Q698" s="6"/>
      <c r="R698" s="6"/>
      <c r="S698" s="6"/>
      <c r="AV698" s="6"/>
      <c r="AW698" s="6"/>
      <c r="AX698" s="6"/>
      <c r="AY698" s="6"/>
      <c r="AZ698" s="6"/>
      <c r="BB698" s="6"/>
      <c r="BC698" s="6"/>
      <c r="BD698" s="6"/>
      <c r="BE698" s="6"/>
      <c r="BF698" s="6"/>
    </row>
    <row r="699" spans="1:58" s="2" customFormat="1" x14ac:dyDescent="0.2">
      <c r="A699" s="6"/>
      <c r="B699" s="6"/>
      <c r="C699" s="42"/>
      <c r="D699" s="6"/>
      <c r="E699" s="6"/>
      <c r="F699" s="6"/>
      <c r="G699" s="6"/>
      <c r="H699" s="6"/>
      <c r="I699" s="6"/>
      <c r="J699" s="6"/>
      <c r="K699" s="6"/>
      <c r="L699" s="6"/>
      <c r="M699" s="6"/>
      <c r="N699" s="6"/>
      <c r="O699" s="6"/>
      <c r="P699" s="6"/>
      <c r="Q699" s="6"/>
      <c r="R699" s="6"/>
      <c r="S699" s="6"/>
      <c r="AV699" s="6"/>
      <c r="AW699" s="6"/>
      <c r="AX699" s="6"/>
      <c r="AY699" s="6"/>
      <c r="AZ699" s="6"/>
      <c r="BB699" s="6"/>
      <c r="BC699" s="6"/>
      <c r="BD699" s="6"/>
      <c r="BE699" s="6"/>
      <c r="BF699" s="6"/>
    </row>
    <row r="700" spans="1:58" s="2" customFormat="1" x14ac:dyDescent="0.2">
      <c r="A700" s="6"/>
      <c r="B700" s="6"/>
      <c r="C700" s="42"/>
      <c r="D700" s="6"/>
      <c r="E700" s="6"/>
      <c r="F700" s="6"/>
      <c r="G700" s="6"/>
      <c r="H700" s="6"/>
      <c r="I700" s="6"/>
      <c r="J700" s="6"/>
      <c r="K700" s="6"/>
      <c r="L700" s="6"/>
      <c r="M700" s="6"/>
      <c r="N700" s="6"/>
      <c r="O700" s="6"/>
      <c r="P700" s="6"/>
      <c r="Q700" s="6"/>
      <c r="R700" s="6"/>
      <c r="S700" s="6"/>
      <c r="AV700" s="6"/>
      <c r="AW700" s="6"/>
      <c r="AX700" s="6"/>
      <c r="AY700" s="6"/>
      <c r="AZ700" s="6"/>
      <c r="BB700" s="6"/>
      <c r="BC700" s="6"/>
      <c r="BD700" s="6"/>
      <c r="BE700" s="6"/>
      <c r="BF700" s="6"/>
    </row>
    <row r="701" spans="1:58" s="2" customFormat="1" x14ac:dyDescent="0.2">
      <c r="A701" s="6"/>
      <c r="B701" s="6"/>
      <c r="C701" s="42"/>
      <c r="D701" s="6"/>
      <c r="E701" s="6"/>
      <c r="F701" s="6"/>
      <c r="G701" s="6"/>
      <c r="H701" s="6"/>
      <c r="I701" s="6"/>
      <c r="J701" s="6"/>
      <c r="K701" s="6"/>
      <c r="L701" s="6"/>
      <c r="M701" s="6"/>
      <c r="N701" s="6"/>
      <c r="O701" s="6"/>
      <c r="P701" s="6"/>
      <c r="Q701" s="6"/>
      <c r="R701" s="6"/>
      <c r="S701" s="6"/>
      <c r="AV701" s="6"/>
      <c r="AW701" s="6"/>
      <c r="AX701" s="6"/>
      <c r="AY701" s="6"/>
      <c r="AZ701" s="6"/>
      <c r="BB701" s="6"/>
      <c r="BC701" s="6"/>
      <c r="BD701" s="6"/>
      <c r="BE701" s="6"/>
      <c r="BF701" s="6"/>
    </row>
    <row r="702" spans="1:58" s="2" customFormat="1" x14ac:dyDescent="0.2">
      <c r="A702" s="6"/>
      <c r="B702" s="6"/>
      <c r="C702" s="42"/>
      <c r="D702" s="6"/>
      <c r="E702" s="6"/>
      <c r="F702" s="6"/>
      <c r="G702" s="6"/>
      <c r="H702" s="6"/>
      <c r="I702" s="6"/>
      <c r="J702" s="6"/>
      <c r="K702" s="6"/>
      <c r="L702" s="6"/>
      <c r="M702" s="6"/>
      <c r="N702" s="6"/>
      <c r="O702" s="6"/>
      <c r="P702" s="6"/>
      <c r="Q702" s="6"/>
      <c r="R702" s="6"/>
      <c r="S702" s="6"/>
      <c r="AV702" s="6"/>
      <c r="AW702" s="6"/>
      <c r="AX702" s="6"/>
      <c r="AY702" s="6"/>
      <c r="AZ702" s="6"/>
      <c r="BB702" s="6"/>
      <c r="BC702" s="6"/>
      <c r="BD702" s="6"/>
      <c r="BE702" s="6"/>
      <c r="BF702" s="6"/>
    </row>
    <row r="703" spans="1:58" s="2" customFormat="1" x14ac:dyDescent="0.2">
      <c r="A703" s="6"/>
      <c r="B703" s="6"/>
      <c r="C703" s="42"/>
      <c r="D703" s="6"/>
      <c r="E703" s="6"/>
      <c r="F703" s="6"/>
      <c r="G703" s="6"/>
      <c r="H703" s="6"/>
      <c r="I703" s="6"/>
      <c r="J703" s="6"/>
      <c r="K703" s="6"/>
      <c r="L703" s="6"/>
      <c r="M703" s="6"/>
      <c r="N703" s="6"/>
      <c r="O703" s="6"/>
      <c r="P703" s="6"/>
      <c r="Q703" s="6"/>
      <c r="R703" s="6"/>
      <c r="S703" s="6"/>
      <c r="AV703" s="6"/>
      <c r="AW703" s="6"/>
      <c r="AX703" s="6"/>
      <c r="AY703" s="6"/>
      <c r="AZ703" s="6"/>
      <c r="BB703" s="6"/>
      <c r="BC703" s="6"/>
      <c r="BD703" s="6"/>
      <c r="BE703" s="6"/>
      <c r="BF703" s="6"/>
    </row>
    <row r="704" spans="1:58" s="2" customFormat="1" x14ac:dyDescent="0.2">
      <c r="A704" s="6"/>
      <c r="B704" s="6"/>
      <c r="C704" s="42"/>
      <c r="D704" s="6"/>
      <c r="E704" s="6"/>
      <c r="F704" s="6"/>
      <c r="G704" s="6"/>
      <c r="H704" s="6"/>
      <c r="I704" s="6"/>
      <c r="J704" s="6"/>
      <c r="K704" s="6"/>
      <c r="L704" s="6"/>
      <c r="M704" s="6"/>
      <c r="N704" s="6"/>
      <c r="O704" s="6"/>
      <c r="P704" s="6"/>
      <c r="Q704" s="6"/>
      <c r="R704" s="6"/>
      <c r="S704" s="6"/>
      <c r="AV704" s="6"/>
      <c r="AW704" s="6"/>
      <c r="AX704" s="6"/>
      <c r="AY704" s="6"/>
      <c r="AZ704" s="6"/>
      <c r="BB704" s="6"/>
      <c r="BC704" s="6"/>
      <c r="BD704" s="6"/>
      <c r="BE704" s="6"/>
      <c r="BF704" s="6"/>
    </row>
    <row r="705" spans="1:58" s="2" customFormat="1" x14ac:dyDescent="0.2">
      <c r="A705" s="6"/>
      <c r="B705" s="6"/>
      <c r="C705" s="42"/>
      <c r="D705" s="6"/>
      <c r="E705" s="6"/>
      <c r="F705" s="6"/>
      <c r="G705" s="6"/>
      <c r="H705" s="6"/>
      <c r="I705" s="6"/>
      <c r="J705" s="6"/>
      <c r="K705" s="6"/>
      <c r="L705" s="6"/>
      <c r="M705" s="6"/>
      <c r="N705" s="6"/>
      <c r="O705" s="6"/>
      <c r="P705" s="6"/>
      <c r="Q705" s="6"/>
      <c r="R705" s="6"/>
      <c r="S705" s="6"/>
      <c r="AV705" s="6"/>
      <c r="AW705" s="6"/>
      <c r="AX705" s="6"/>
      <c r="AY705" s="6"/>
      <c r="AZ705" s="6"/>
      <c r="BB705" s="6"/>
      <c r="BC705" s="6"/>
      <c r="BD705" s="6"/>
      <c r="BE705" s="6"/>
      <c r="BF705" s="6"/>
    </row>
    <row r="706" spans="1:58" s="2" customFormat="1" x14ac:dyDescent="0.2">
      <c r="A706" s="6"/>
      <c r="B706" s="6"/>
      <c r="C706" s="42"/>
      <c r="D706" s="6"/>
      <c r="E706" s="6"/>
      <c r="F706" s="6"/>
      <c r="G706" s="6"/>
      <c r="H706" s="6"/>
      <c r="I706" s="6"/>
      <c r="J706" s="6"/>
      <c r="K706" s="6"/>
      <c r="L706" s="6"/>
      <c r="M706" s="6"/>
      <c r="N706" s="6"/>
      <c r="O706" s="6"/>
      <c r="P706" s="6"/>
      <c r="Q706" s="6"/>
      <c r="R706" s="6"/>
      <c r="S706" s="6"/>
      <c r="AV706" s="6"/>
      <c r="AW706" s="6"/>
      <c r="AX706" s="6"/>
      <c r="AY706" s="6"/>
      <c r="AZ706" s="6"/>
      <c r="BB706" s="6"/>
      <c r="BC706" s="6"/>
      <c r="BD706" s="6"/>
      <c r="BE706" s="6"/>
      <c r="BF706" s="6"/>
    </row>
    <row r="707" spans="1:58" s="2" customFormat="1" x14ac:dyDescent="0.2">
      <c r="A707" s="6"/>
      <c r="B707" s="6"/>
      <c r="C707" s="42"/>
      <c r="D707" s="6"/>
      <c r="E707" s="6"/>
      <c r="F707" s="6"/>
      <c r="G707" s="6"/>
      <c r="H707" s="6"/>
      <c r="I707" s="6"/>
      <c r="J707" s="6"/>
      <c r="K707" s="6"/>
      <c r="L707" s="6"/>
      <c r="M707" s="6"/>
      <c r="N707" s="6"/>
      <c r="O707" s="6"/>
      <c r="P707" s="6"/>
      <c r="Q707" s="6"/>
      <c r="R707" s="6"/>
      <c r="S707" s="6"/>
      <c r="AV707" s="6"/>
      <c r="AW707" s="6"/>
      <c r="AX707" s="6"/>
      <c r="AY707" s="6"/>
      <c r="AZ707" s="6"/>
      <c r="BB707" s="6"/>
      <c r="BC707" s="6"/>
      <c r="BD707" s="6"/>
      <c r="BE707" s="6"/>
      <c r="BF707" s="6"/>
    </row>
    <row r="708" spans="1:58" s="2" customFormat="1" x14ac:dyDescent="0.2">
      <c r="A708" s="6"/>
      <c r="B708" s="6"/>
      <c r="C708" s="42"/>
      <c r="D708" s="6"/>
      <c r="E708" s="6"/>
      <c r="F708" s="6"/>
      <c r="G708" s="6"/>
      <c r="H708" s="6"/>
      <c r="I708" s="6"/>
      <c r="J708" s="6"/>
      <c r="K708" s="6"/>
      <c r="L708" s="6"/>
      <c r="M708" s="6"/>
      <c r="N708" s="6"/>
      <c r="O708" s="6"/>
      <c r="P708" s="6"/>
      <c r="Q708" s="6"/>
      <c r="R708" s="6"/>
      <c r="S708" s="6"/>
      <c r="AV708" s="6"/>
      <c r="AW708" s="6"/>
      <c r="AX708" s="6"/>
      <c r="AY708" s="6"/>
      <c r="AZ708" s="6"/>
      <c r="BB708" s="6"/>
      <c r="BC708" s="6"/>
      <c r="BD708" s="6"/>
      <c r="BE708" s="6"/>
      <c r="BF708" s="6"/>
    </row>
    <row r="709" spans="1:58" s="2" customFormat="1" x14ac:dyDescent="0.2">
      <c r="A709" s="6"/>
      <c r="B709" s="6"/>
      <c r="C709" s="42"/>
      <c r="D709" s="6"/>
      <c r="E709" s="6"/>
      <c r="F709" s="6"/>
      <c r="G709" s="6"/>
      <c r="H709" s="6"/>
      <c r="I709" s="6"/>
      <c r="J709" s="6"/>
      <c r="K709" s="6"/>
      <c r="L709" s="6"/>
      <c r="M709" s="6"/>
      <c r="N709" s="6"/>
      <c r="O709" s="6"/>
      <c r="P709" s="6"/>
      <c r="Q709" s="6"/>
      <c r="R709" s="6"/>
      <c r="S709" s="6"/>
      <c r="AV709" s="6"/>
      <c r="AW709" s="6"/>
      <c r="AX709" s="6"/>
      <c r="AY709" s="6"/>
      <c r="AZ709" s="6"/>
      <c r="BB709" s="6"/>
      <c r="BC709" s="6"/>
      <c r="BD709" s="6"/>
      <c r="BE709" s="6"/>
      <c r="BF709" s="6"/>
    </row>
    <row r="710" spans="1:58" s="2" customFormat="1" x14ac:dyDescent="0.2">
      <c r="A710" s="6"/>
      <c r="B710" s="6"/>
      <c r="C710" s="42"/>
      <c r="D710" s="6"/>
      <c r="E710" s="6"/>
      <c r="F710" s="6"/>
      <c r="G710" s="6"/>
      <c r="H710" s="6"/>
      <c r="I710" s="6"/>
      <c r="J710" s="6"/>
      <c r="K710" s="6"/>
      <c r="L710" s="6"/>
      <c r="M710" s="6"/>
      <c r="N710" s="6"/>
      <c r="O710" s="6"/>
      <c r="P710" s="6"/>
      <c r="Q710" s="6"/>
      <c r="R710" s="6"/>
      <c r="S710" s="6"/>
      <c r="AV710" s="6"/>
      <c r="AW710" s="6"/>
      <c r="AX710" s="6"/>
      <c r="AY710" s="6"/>
      <c r="AZ710" s="6"/>
      <c r="BB710" s="6"/>
      <c r="BC710" s="6"/>
      <c r="BD710" s="6"/>
      <c r="BE710" s="6"/>
      <c r="BF710" s="6"/>
    </row>
    <row r="711" spans="1:58" s="2" customFormat="1" x14ac:dyDescent="0.2">
      <c r="A711" s="6"/>
      <c r="B711" s="6"/>
      <c r="C711" s="42"/>
      <c r="D711" s="6"/>
      <c r="E711" s="6"/>
      <c r="F711" s="6"/>
      <c r="G711" s="6"/>
      <c r="H711" s="6"/>
      <c r="I711" s="6"/>
      <c r="J711" s="6"/>
      <c r="K711" s="6"/>
      <c r="L711" s="6"/>
      <c r="M711" s="6"/>
      <c r="N711" s="6"/>
      <c r="O711" s="6"/>
      <c r="P711" s="6"/>
      <c r="Q711" s="6"/>
      <c r="R711" s="6"/>
      <c r="S711" s="6"/>
      <c r="AV711" s="6"/>
      <c r="AW711" s="6"/>
      <c r="AX711" s="6"/>
      <c r="AY711" s="6"/>
      <c r="AZ711" s="6"/>
      <c r="BB711" s="6"/>
      <c r="BC711" s="6"/>
      <c r="BD711" s="6"/>
      <c r="BE711" s="6"/>
      <c r="BF711" s="6"/>
    </row>
    <row r="712" spans="1:58" s="2" customFormat="1" x14ac:dyDescent="0.2">
      <c r="A712" s="6"/>
      <c r="B712" s="6"/>
      <c r="C712" s="42"/>
      <c r="D712" s="6"/>
      <c r="E712" s="6"/>
      <c r="F712" s="6"/>
      <c r="G712" s="6"/>
      <c r="H712" s="6"/>
      <c r="I712" s="6"/>
      <c r="J712" s="6"/>
      <c r="K712" s="6"/>
      <c r="L712" s="6"/>
      <c r="M712" s="6"/>
      <c r="N712" s="6"/>
      <c r="O712" s="6"/>
      <c r="P712" s="6"/>
      <c r="Q712" s="6"/>
      <c r="R712" s="6"/>
      <c r="S712" s="6"/>
      <c r="AV712" s="6"/>
      <c r="AW712" s="6"/>
      <c r="AX712" s="6"/>
      <c r="AY712" s="6"/>
      <c r="AZ712" s="6"/>
      <c r="BB712" s="6"/>
      <c r="BC712" s="6"/>
      <c r="BD712" s="6"/>
      <c r="BE712" s="6"/>
      <c r="BF712" s="6"/>
    </row>
    <row r="713" spans="1:58" s="2" customFormat="1" x14ac:dyDescent="0.2">
      <c r="A713" s="6"/>
      <c r="B713" s="6"/>
      <c r="C713" s="42"/>
      <c r="D713" s="6"/>
      <c r="E713" s="6"/>
      <c r="F713" s="6"/>
      <c r="G713" s="6"/>
      <c r="H713" s="6"/>
      <c r="I713" s="6"/>
      <c r="J713" s="6"/>
      <c r="K713" s="6"/>
      <c r="L713" s="6"/>
      <c r="M713" s="6"/>
      <c r="N713" s="6"/>
      <c r="O713" s="6"/>
      <c r="P713" s="6"/>
      <c r="Q713" s="6"/>
      <c r="R713" s="6"/>
      <c r="S713" s="6"/>
      <c r="AV713" s="6"/>
      <c r="AW713" s="6"/>
      <c r="AX713" s="6"/>
      <c r="AY713" s="6"/>
      <c r="AZ713" s="6"/>
      <c r="BB713" s="6"/>
      <c r="BC713" s="6"/>
      <c r="BD713" s="6"/>
      <c r="BE713" s="6"/>
      <c r="BF713" s="6"/>
    </row>
    <row r="714" spans="1:58" s="2" customFormat="1" x14ac:dyDescent="0.2">
      <c r="A714" s="6"/>
      <c r="B714" s="6"/>
      <c r="C714" s="42"/>
      <c r="D714" s="6"/>
      <c r="E714" s="6"/>
      <c r="F714" s="6"/>
      <c r="G714" s="6"/>
      <c r="H714" s="6"/>
      <c r="I714" s="6"/>
      <c r="J714" s="6"/>
      <c r="K714" s="6"/>
      <c r="L714" s="6"/>
      <c r="M714" s="6"/>
      <c r="N714" s="6"/>
      <c r="O714" s="6"/>
      <c r="P714" s="6"/>
      <c r="Q714" s="6"/>
      <c r="R714" s="6"/>
      <c r="S714" s="6"/>
      <c r="AV714" s="6"/>
      <c r="AW714" s="6"/>
      <c r="AX714" s="6"/>
      <c r="AY714" s="6"/>
      <c r="AZ714" s="6"/>
      <c r="BB714" s="6"/>
      <c r="BC714" s="6"/>
      <c r="BD714" s="6"/>
      <c r="BE714" s="6"/>
      <c r="BF714" s="6"/>
    </row>
    <row r="715" spans="1:58" s="2" customFormat="1" x14ac:dyDescent="0.2">
      <c r="A715" s="6"/>
      <c r="B715" s="6"/>
      <c r="C715" s="42"/>
      <c r="D715" s="6"/>
      <c r="E715" s="6"/>
      <c r="F715" s="6"/>
      <c r="G715" s="6"/>
      <c r="H715" s="6"/>
      <c r="I715" s="6"/>
      <c r="J715" s="6"/>
      <c r="K715" s="6"/>
      <c r="L715" s="6"/>
      <c r="M715" s="6"/>
      <c r="N715" s="6"/>
      <c r="O715" s="6"/>
      <c r="P715" s="6"/>
      <c r="Q715" s="6"/>
      <c r="R715" s="6"/>
      <c r="S715" s="6"/>
      <c r="AV715" s="6"/>
      <c r="AW715" s="6"/>
      <c r="AX715" s="6"/>
      <c r="AY715" s="6"/>
      <c r="AZ715" s="6"/>
      <c r="BB715" s="6"/>
      <c r="BC715" s="6"/>
      <c r="BD715" s="6"/>
      <c r="BE715" s="6"/>
      <c r="BF715" s="6"/>
    </row>
    <row r="716" spans="1:58" s="2" customFormat="1" x14ac:dyDescent="0.2">
      <c r="A716" s="6"/>
      <c r="B716" s="6"/>
      <c r="C716" s="42"/>
      <c r="D716" s="6"/>
      <c r="E716" s="6"/>
      <c r="F716" s="6"/>
      <c r="G716" s="6"/>
      <c r="H716" s="6"/>
      <c r="I716" s="6"/>
      <c r="J716" s="6"/>
      <c r="K716" s="6"/>
      <c r="L716" s="6"/>
      <c r="M716" s="6"/>
      <c r="N716" s="6"/>
      <c r="O716" s="6"/>
      <c r="P716" s="6"/>
      <c r="Q716" s="6"/>
      <c r="R716" s="6"/>
      <c r="S716" s="6"/>
      <c r="AV716" s="6"/>
      <c r="AW716" s="6"/>
      <c r="AX716" s="6"/>
      <c r="AY716" s="6"/>
      <c r="AZ716" s="6"/>
      <c r="BB716" s="6"/>
      <c r="BC716" s="6"/>
      <c r="BD716" s="6"/>
      <c r="BE716" s="6"/>
      <c r="BF716" s="6"/>
    </row>
    <row r="717" spans="1:58" s="2" customFormat="1" x14ac:dyDescent="0.2">
      <c r="A717" s="6"/>
      <c r="B717" s="6"/>
      <c r="C717" s="42"/>
      <c r="D717" s="6"/>
      <c r="E717" s="6"/>
      <c r="F717" s="6"/>
      <c r="G717" s="6"/>
      <c r="H717" s="6"/>
      <c r="I717" s="6"/>
      <c r="J717" s="6"/>
      <c r="K717" s="6"/>
      <c r="L717" s="6"/>
      <c r="M717" s="6"/>
      <c r="N717" s="6"/>
      <c r="O717" s="6"/>
      <c r="P717" s="6"/>
      <c r="Q717" s="6"/>
      <c r="R717" s="6"/>
      <c r="S717" s="6"/>
      <c r="AV717" s="6"/>
      <c r="AW717" s="6"/>
      <c r="AX717" s="6"/>
      <c r="AY717" s="6"/>
      <c r="AZ717" s="6"/>
      <c r="BB717" s="6"/>
      <c r="BC717" s="6"/>
      <c r="BD717" s="6"/>
      <c r="BE717" s="6"/>
      <c r="BF717" s="6"/>
    </row>
    <row r="718" spans="1:58" s="2" customFormat="1" x14ac:dyDescent="0.2">
      <c r="A718" s="6"/>
      <c r="B718" s="6"/>
      <c r="C718" s="42"/>
      <c r="D718" s="6"/>
      <c r="E718" s="6"/>
      <c r="F718" s="6"/>
      <c r="G718" s="6"/>
      <c r="H718" s="6"/>
      <c r="I718" s="6"/>
      <c r="J718" s="6"/>
      <c r="K718" s="6"/>
      <c r="L718" s="6"/>
      <c r="M718" s="6"/>
      <c r="N718" s="6"/>
      <c r="O718" s="6"/>
      <c r="P718" s="6"/>
      <c r="Q718" s="6"/>
      <c r="R718" s="6"/>
      <c r="S718" s="6"/>
      <c r="AV718" s="6"/>
      <c r="AW718" s="6"/>
      <c r="AX718" s="6"/>
      <c r="AY718" s="6"/>
      <c r="AZ718" s="6"/>
      <c r="BB718" s="6"/>
      <c r="BC718" s="6"/>
      <c r="BD718" s="6"/>
      <c r="BE718" s="6"/>
      <c r="BF718" s="6"/>
    </row>
    <row r="719" spans="1:58" s="2" customFormat="1" x14ac:dyDescent="0.2">
      <c r="A719" s="6"/>
      <c r="B719" s="6"/>
      <c r="C719" s="42"/>
      <c r="D719" s="6"/>
      <c r="E719" s="6"/>
      <c r="F719" s="6"/>
      <c r="G719" s="6"/>
      <c r="H719" s="6"/>
      <c r="I719" s="6"/>
      <c r="J719" s="6"/>
      <c r="K719" s="6"/>
      <c r="L719" s="6"/>
      <c r="M719" s="6"/>
      <c r="N719" s="6"/>
      <c r="O719" s="6"/>
      <c r="P719" s="6"/>
      <c r="Q719" s="6"/>
      <c r="R719" s="6"/>
      <c r="S719" s="6"/>
      <c r="AV719" s="6"/>
      <c r="AW719" s="6"/>
      <c r="AX719" s="6"/>
      <c r="AY719" s="6"/>
      <c r="AZ719" s="6"/>
      <c r="BB719" s="6"/>
      <c r="BC719" s="6"/>
      <c r="BD719" s="6"/>
      <c r="BE719" s="6"/>
      <c r="BF719" s="6"/>
    </row>
    <row r="720" spans="1:58" s="2" customFormat="1" x14ac:dyDescent="0.2">
      <c r="A720" s="6"/>
      <c r="B720" s="6"/>
      <c r="C720" s="42"/>
      <c r="D720" s="6"/>
      <c r="E720" s="6"/>
      <c r="F720" s="6"/>
      <c r="G720" s="6"/>
      <c r="H720" s="6"/>
      <c r="I720" s="6"/>
      <c r="J720" s="6"/>
      <c r="K720" s="6"/>
      <c r="L720" s="6"/>
      <c r="M720" s="6"/>
      <c r="N720" s="6"/>
      <c r="O720" s="6"/>
      <c r="P720" s="6"/>
      <c r="Q720" s="6"/>
      <c r="R720" s="6"/>
      <c r="S720" s="6"/>
      <c r="AV720" s="6"/>
      <c r="AW720" s="6"/>
      <c r="AX720" s="6"/>
      <c r="AY720" s="6"/>
      <c r="AZ720" s="6"/>
      <c r="BB720" s="6"/>
      <c r="BC720" s="6"/>
      <c r="BD720" s="6"/>
      <c r="BE720" s="6"/>
      <c r="BF720" s="6"/>
    </row>
    <row r="721" spans="1:58" s="2" customFormat="1" x14ac:dyDescent="0.2">
      <c r="A721" s="6"/>
      <c r="B721" s="6"/>
      <c r="C721" s="42"/>
      <c r="D721" s="6"/>
      <c r="E721" s="6"/>
      <c r="F721" s="6"/>
      <c r="G721" s="6"/>
      <c r="H721" s="6"/>
      <c r="I721" s="6"/>
      <c r="J721" s="6"/>
      <c r="K721" s="6"/>
      <c r="L721" s="6"/>
      <c r="M721" s="6"/>
      <c r="N721" s="6"/>
      <c r="O721" s="6"/>
      <c r="P721" s="6"/>
      <c r="Q721" s="6"/>
      <c r="R721" s="6"/>
      <c r="S721" s="6"/>
      <c r="AV721" s="6"/>
      <c r="AW721" s="6"/>
      <c r="AX721" s="6"/>
      <c r="AY721" s="6"/>
      <c r="AZ721" s="6"/>
      <c r="BB721" s="6"/>
      <c r="BC721" s="6"/>
      <c r="BD721" s="6"/>
      <c r="BE721" s="6"/>
      <c r="BF721" s="6"/>
    </row>
    <row r="722" spans="1:58" s="2" customFormat="1" x14ac:dyDescent="0.2">
      <c r="A722" s="6"/>
      <c r="B722" s="6"/>
      <c r="C722" s="42"/>
      <c r="D722" s="6"/>
      <c r="E722" s="6"/>
      <c r="F722" s="6"/>
      <c r="G722" s="6"/>
      <c r="H722" s="6"/>
      <c r="I722" s="6"/>
      <c r="J722" s="6"/>
      <c r="K722" s="6"/>
      <c r="L722" s="6"/>
      <c r="M722" s="6"/>
      <c r="N722" s="6"/>
      <c r="O722" s="6"/>
      <c r="P722" s="6"/>
      <c r="Q722" s="6"/>
      <c r="R722" s="6"/>
      <c r="S722" s="6"/>
      <c r="AV722" s="6"/>
      <c r="AW722" s="6"/>
      <c r="AX722" s="6"/>
      <c r="AY722" s="6"/>
      <c r="AZ722" s="6"/>
      <c r="BB722" s="6"/>
      <c r="BC722" s="6"/>
      <c r="BD722" s="6"/>
      <c r="BE722" s="6"/>
      <c r="BF722" s="6"/>
    </row>
    <row r="723" spans="1:58" s="2" customFormat="1" x14ac:dyDescent="0.2">
      <c r="A723" s="6"/>
      <c r="B723" s="6"/>
      <c r="C723" s="42"/>
      <c r="D723" s="6"/>
      <c r="E723" s="6"/>
      <c r="F723" s="6"/>
      <c r="G723" s="6"/>
      <c r="H723" s="6"/>
      <c r="I723" s="6"/>
      <c r="J723" s="6"/>
      <c r="K723" s="6"/>
      <c r="L723" s="6"/>
      <c r="M723" s="6"/>
      <c r="N723" s="6"/>
      <c r="O723" s="6"/>
      <c r="P723" s="6"/>
      <c r="Q723" s="6"/>
      <c r="R723" s="6"/>
      <c r="S723" s="6"/>
      <c r="AV723" s="6"/>
      <c r="AW723" s="6"/>
      <c r="AX723" s="6"/>
      <c r="AY723" s="6"/>
      <c r="AZ723" s="6"/>
      <c r="BB723" s="6"/>
      <c r="BC723" s="6"/>
      <c r="BD723" s="6"/>
      <c r="BE723" s="6"/>
      <c r="BF723" s="6"/>
    </row>
    <row r="724" spans="1:58" s="2" customFormat="1" x14ac:dyDescent="0.2">
      <c r="A724" s="6"/>
      <c r="B724" s="6"/>
      <c r="C724" s="42"/>
      <c r="D724" s="6"/>
      <c r="E724" s="6"/>
      <c r="F724" s="6"/>
      <c r="G724" s="6"/>
      <c r="H724" s="6"/>
      <c r="I724" s="6"/>
      <c r="J724" s="6"/>
      <c r="K724" s="6"/>
      <c r="L724" s="6"/>
      <c r="M724" s="6"/>
      <c r="N724" s="6"/>
      <c r="O724" s="6"/>
      <c r="P724" s="6"/>
      <c r="Q724" s="6"/>
      <c r="R724" s="6"/>
      <c r="S724" s="6"/>
      <c r="AV724" s="6"/>
      <c r="AW724" s="6"/>
      <c r="AX724" s="6"/>
      <c r="AY724" s="6"/>
      <c r="AZ724" s="6"/>
      <c r="BB724" s="6"/>
      <c r="BC724" s="6"/>
      <c r="BD724" s="6"/>
      <c r="BE724" s="6"/>
      <c r="BF724" s="6"/>
    </row>
    <row r="725" spans="1:58" s="2" customFormat="1" x14ac:dyDescent="0.2">
      <c r="A725" s="6"/>
      <c r="B725" s="6"/>
      <c r="C725" s="42"/>
      <c r="D725" s="6"/>
      <c r="E725" s="6"/>
      <c r="F725" s="6"/>
      <c r="G725" s="6"/>
      <c r="H725" s="6"/>
      <c r="I725" s="6"/>
      <c r="J725" s="6"/>
      <c r="K725" s="6"/>
      <c r="L725" s="6"/>
      <c r="M725" s="6"/>
      <c r="N725" s="6"/>
      <c r="O725" s="6"/>
      <c r="P725" s="6"/>
      <c r="Q725" s="6"/>
      <c r="R725" s="6"/>
      <c r="S725" s="6"/>
      <c r="AV725" s="6"/>
      <c r="AW725" s="6"/>
      <c r="AX725" s="6"/>
      <c r="AY725" s="6"/>
      <c r="AZ725" s="6"/>
      <c r="BB725" s="6"/>
      <c r="BC725" s="6"/>
      <c r="BD725" s="6"/>
      <c r="BE725" s="6"/>
      <c r="BF725" s="6"/>
    </row>
    <row r="726" spans="1:58" s="2" customFormat="1" x14ac:dyDescent="0.2">
      <c r="A726" s="6"/>
      <c r="B726" s="6"/>
      <c r="C726" s="42"/>
      <c r="D726" s="6"/>
      <c r="E726" s="6"/>
      <c r="F726" s="6"/>
      <c r="G726" s="6"/>
      <c r="H726" s="6"/>
      <c r="I726" s="6"/>
      <c r="J726" s="6"/>
      <c r="K726" s="6"/>
      <c r="L726" s="6"/>
      <c r="M726" s="6"/>
      <c r="N726" s="6"/>
      <c r="O726" s="6"/>
      <c r="P726" s="6"/>
      <c r="Q726" s="6"/>
      <c r="R726" s="6"/>
      <c r="S726" s="6"/>
      <c r="AV726" s="6"/>
      <c r="AW726" s="6"/>
      <c r="AX726" s="6"/>
      <c r="AY726" s="6"/>
      <c r="AZ726" s="6"/>
      <c r="BB726" s="6"/>
      <c r="BC726" s="6"/>
      <c r="BD726" s="6"/>
      <c r="BE726" s="6"/>
      <c r="BF726" s="6"/>
    </row>
    <row r="727" spans="1:58" s="2" customFormat="1" x14ac:dyDescent="0.2">
      <c r="A727" s="6"/>
      <c r="B727" s="6"/>
      <c r="C727" s="42"/>
      <c r="D727" s="6"/>
      <c r="E727" s="6"/>
      <c r="F727" s="6"/>
      <c r="G727" s="6"/>
      <c r="H727" s="6"/>
      <c r="I727" s="6"/>
      <c r="J727" s="6"/>
      <c r="K727" s="6"/>
      <c r="L727" s="6"/>
      <c r="M727" s="6"/>
      <c r="N727" s="6"/>
      <c r="O727" s="6"/>
      <c r="P727" s="6"/>
      <c r="Q727" s="6"/>
      <c r="R727" s="6"/>
      <c r="S727" s="6"/>
      <c r="AV727" s="6"/>
      <c r="AW727" s="6"/>
      <c r="AX727" s="6"/>
      <c r="AY727" s="6"/>
      <c r="AZ727" s="6"/>
      <c r="BB727" s="6"/>
      <c r="BC727" s="6"/>
      <c r="BD727" s="6"/>
      <c r="BE727" s="6"/>
      <c r="BF727" s="6"/>
    </row>
    <row r="728" spans="1:58" s="2" customFormat="1" x14ac:dyDescent="0.2">
      <c r="A728" s="6"/>
      <c r="B728" s="6"/>
      <c r="C728" s="42"/>
      <c r="D728" s="6"/>
      <c r="E728" s="6"/>
      <c r="F728" s="6"/>
      <c r="G728" s="6"/>
      <c r="H728" s="6"/>
      <c r="I728" s="6"/>
      <c r="J728" s="6"/>
      <c r="K728" s="6"/>
      <c r="L728" s="6"/>
      <c r="M728" s="6"/>
      <c r="N728" s="6"/>
      <c r="O728" s="6"/>
      <c r="P728" s="6"/>
      <c r="Q728" s="6"/>
      <c r="R728" s="6"/>
      <c r="S728" s="6"/>
      <c r="AV728" s="6"/>
      <c r="AW728" s="6"/>
      <c r="AX728" s="6"/>
      <c r="AY728" s="6"/>
      <c r="AZ728" s="6"/>
      <c r="BB728" s="6"/>
      <c r="BC728" s="6"/>
      <c r="BD728" s="6"/>
      <c r="BE728" s="6"/>
      <c r="BF728" s="6"/>
    </row>
    <row r="729" spans="1:58" s="2" customFormat="1" x14ac:dyDescent="0.2">
      <c r="A729" s="6"/>
      <c r="B729" s="6"/>
      <c r="C729" s="42"/>
      <c r="D729" s="6"/>
      <c r="E729" s="6"/>
      <c r="F729" s="6"/>
      <c r="G729" s="6"/>
      <c r="H729" s="6"/>
      <c r="I729" s="6"/>
      <c r="J729" s="6"/>
      <c r="K729" s="6"/>
      <c r="L729" s="6"/>
      <c r="M729" s="6"/>
      <c r="N729" s="6"/>
      <c r="O729" s="6"/>
      <c r="P729" s="6"/>
      <c r="Q729" s="6"/>
      <c r="R729" s="6"/>
      <c r="S729" s="6"/>
      <c r="AV729" s="6"/>
      <c r="AW729" s="6"/>
      <c r="AX729" s="6"/>
      <c r="AY729" s="6"/>
      <c r="AZ729" s="6"/>
      <c r="BB729" s="6"/>
      <c r="BC729" s="6"/>
      <c r="BD729" s="6"/>
      <c r="BE729" s="6"/>
      <c r="BF729" s="6"/>
    </row>
    <row r="730" spans="1:58" s="2" customFormat="1" x14ac:dyDescent="0.2">
      <c r="A730" s="6"/>
      <c r="B730" s="6"/>
      <c r="C730" s="42"/>
      <c r="D730" s="6"/>
      <c r="E730" s="6"/>
      <c r="F730" s="6"/>
      <c r="G730" s="6"/>
      <c r="H730" s="6"/>
      <c r="I730" s="6"/>
      <c r="J730" s="6"/>
      <c r="K730" s="6"/>
      <c r="L730" s="6"/>
      <c r="M730" s="6"/>
      <c r="N730" s="6"/>
      <c r="O730" s="6"/>
      <c r="P730" s="6"/>
      <c r="Q730" s="6"/>
      <c r="R730" s="6"/>
      <c r="S730" s="6"/>
      <c r="AV730" s="6"/>
      <c r="AW730" s="6"/>
      <c r="AX730" s="6"/>
      <c r="AY730" s="6"/>
      <c r="AZ730" s="6"/>
      <c r="BB730" s="6"/>
      <c r="BC730" s="6"/>
      <c r="BD730" s="6"/>
      <c r="BE730" s="6"/>
      <c r="BF730" s="6"/>
    </row>
    <row r="731" spans="1:58" s="2" customFormat="1" x14ac:dyDescent="0.2">
      <c r="A731" s="6"/>
      <c r="B731" s="6"/>
      <c r="C731" s="42"/>
      <c r="D731" s="6"/>
      <c r="E731" s="6"/>
      <c r="F731" s="6"/>
      <c r="G731" s="6"/>
      <c r="H731" s="6"/>
      <c r="I731" s="6"/>
      <c r="J731" s="6"/>
      <c r="K731" s="6"/>
      <c r="L731" s="6"/>
      <c r="M731" s="6"/>
      <c r="N731" s="6"/>
      <c r="O731" s="6"/>
      <c r="P731" s="6"/>
      <c r="Q731" s="6"/>
      <c r="R731" s="6"/>
      <c r="S731" s="6"/>
      <c r="AV731" s="6"/>
      <c r="AW731" s="6"/>
      <c r="AX731" s="6"/>
      <c r="AY731" s="6"/>
      <c r="AZ731" s="6"/>
      <c r="BB731" s="6"/>
      <c r="BC731" s="6"/>
      <c r="BD731" s="6"/>
      <c r="BE731" s="6"/>
      <c r="BF731" s="6"/>
    </row>
    <row r="732" spans="1:58" s="2" customFormat="1" x14ac:dyDescent="0.2">
      <c r="A732" s="6"/>
      <c r="B732" s="6"/>
      <c r="C732" s="42"/>
      <c r="D732" s="6"/>
      <c r="E732" s="6"/>
      <c r="F732" s="6"/>
      <c r="G732" s="6"/>
      <c r="H732" s="6"/>
      <c r="I732" s="6"/>
      <c r="J732" s="6"/>
      <c r="K732" s="6"/>
      <c r="L732" s="6"/>
      <c r="M732" s="6"/>
      <c r="N732" s="6"/>
      <c r="O732" s="6"/>
      <c r="P732" s="6"/>
      <c r="Q732" s="6"/>
      <c r="R732" s="6"/>
      <c r="S732" s="6"/>
      <c r="AV732" s="6"/>
      <c r="AW732" s="6"/>
      <c r="AX732" s="6"/>
      <c r="AY732" s="6"/>
      <c r="AZ732" s="6"/>
      <c r="BB732" s="6"/>
      <c r="BC732" s="6"/>
      <c r="BD732" s="6"/>
      <c r="BE732" s="6"/>
      <c r="BF732" s="6"/>
    </row>
    <row r="733" spans="1:58" s="2" customFormat="1" x14ac:dyDescent="0.2">
      <c r="A733" s="6"/>
      <c r="B733" s="6"/>
      <c r="C733" s="42"/>
      <c r="D733" s="6"/>
      <c r="E733" s="6"/>
      <c r="F733" s="6"/>
      <c r="G733" s="6"/>
      <c r="H733" s="6"/>
      <c r="I733" s="6"/>
      <c r="J733" s="6"/>
      <c r="K733" s="6"/>
      <c r="L733" s="6"/>
      <c r="M733" s="6"/>
      <c r="N733" s="6"/>
      <c r="O733" s="6"/>
      <c r="P733" s="6"/>
      <c r="Q733" s="6"/>
      <c r="R733" s="6"/>
      <c r="S733" s="6"/>
      <c r="AV733" s="6"/>
      <c r="AW733" s="6"/>
      <c r="AX733" s="6"/>
      <c r="AY733" s="6"/>
      <c r="AZ733" s="6"/>
      <c r="BB733" s="6"/>
      <c r="BC733" s="6"/>
      <c r="BD733" s="6"/>
      <c r="BE733" s="6"/>
      <c r="BF733" s="6"/>
    </row>
    <row r="734" spans="1:58" s="2" customFormat="1" x14ac:dyDescent="0.2">
      <c r="A734" s="6"/>
      <c r="B734" s="6"/>
      <c r="C734" s="42"/>
      <c r="D734" s="6"/>
      <c r="E734" s="6"/>
      <c r="F734" s="6"/>
      <c r="G734" s="6"/>
      <c r="H734" s="6"/>
      <c r="I734" s="6"/>
      <c r="J734" s="6"/>
      <c r="K734" s="6"/>
      <c r="L734" s="6"/>
      <c r="M734" s="6"/>
      <c r="N734" s="6"/>
      <c r="O734" s="6"/>
      <c r="P734" s="6"/>
      <c r="Q734" s="6"/>
      <c r="R734" s="6"/>
      <c r="S734" s="6"/>
      <c r="AV734" s="6"/>
      <c r="AW734" s="6"/>
      <c r="AX734" s="6"/>
      <c r="AY734" s="6"/>
      <c r="AZ734" s="6"/>
      <c r="BB734" s="6"/>
      <c r="BC734" s="6"/>
      <c r="BD734" s="6"/>
      <c r="BE734" s="6"/>
      <c r="BF734" s="6"/>
    </row>
    <row r="735" spans="1:58" s="2" customFormat="1" x14ac:dyDescent="0.2">
      <c r="A735" s="6"/>
      <c r="B735" s="6"/>
      <c r="C735" s="42"/>
      <c r="D735" s="6"/>
      <c r="E735" s="6"/>
      <c r="F735" s="6"/>
      <c r="G735" s="6"/>
      <c r="H735" s="6"/>
      <c r="I735" s="6"/>
      <c r="J735" s="6"/>
      <c r="K735" s="6"/>
      <c r="L735" s="6"/>
      <c r="M735" s="6"/>
      <c r="N735" s="6"/>
      <c r="O735" s="6"/>
      <c r="P735" s="6"/>
      <c r="Q735" s="6"/>
      <c r="R735" s="6"/>
      <c r="S735" s="6"/>
      <c r="AV735" s="6"/>
      <c r="AW735" s="6"/>
      <c r="AX735" s="6"/>
      <c r="AY735" s="6"/>
      <c r="AZ735" s="6"/>
      <c r="BB735" s="6"/>
      <c r="BC735" s="6"/>
      <c r="BD735" s="6"/>
      <c r="BE735" s="6"/>
      <c r="BF735" s="6"/>
    </row>
    <row r="736" spans="1:58" s="2" customFormat="1" x14ac:dyDescent="0.2">
      <c r="A736" s="6"/>
      <c r="B736" s="6"/>
      <c r="C736" s="42"/>
      <c r="D736" s="6"/>
      <c r="E736" s="6"/>
      <c r="F736" s="6"/>
      <c r="G736" s="6"/>
      <c r="H736" s="6"/>
      <c r="I736" s="6"/>
      <c r="J736" s="6"/>
      <c r="K736" s="6"/>
      <c r="L736" s="6"/>
      <c r="M736" s="6"/>
      <c r="N736" s="6"/>
      <c r="O736" s="6"/>
      <c r="P736" s="6"/>
      <c r="Q736" s="6"/>
      <c r="R736" s="6"/>
      <c r="S736" s="6"/>
      <c r="AV736" s="6"/>
      <c r="AW736" s="6"/>
      <c r="AX736" s="6"/>
      <c r="AY736" s="6"/>
      <c r="AZ736" s="6"/>
      <c r="BB736" s="6"/>
      <c r="BC736" s="6"/>
      <c r="BD736" s="6"/>
      <c r="BE736" s="6"/>
      <c r="BF736" s="6"/>
    </row>
    <row r="737" spans="1:58" s="2" customFormat="1" x14ac:dyDescent="0.2">
      <c r="A737" s="6"/>
      <c r="B737" s="6"/>
      <c r="C737" s="42"/>
      <c r="D737" s="6"/>
      <c r="E737" s="6"/>
      <c r="F737" s="6"/>
      <c r="G737" s="6"/>
      <c r="H737" s="6"/>
      <c r="I737" s="6"/>
      <c r="J737" s="6"/>
      <c r="K737" s="6"/>
      <c r="L737" s="6"/>
      <c r="M737" s="6"/>
      <c r="N737" s="6"/>
      <c r="O737" s="6"/>
      <c r="P737" s="6"/>
      <c r="Q737" s="6"/>
      <c r="R737" s="6"/>
      <c r="S737" s="6"/>
      <c r="AV737" s="6"/>
      <c r="AW737" s="6"/>
      <c r="AX737" s="6"/>
      <c r="AY737" s="6"/>
      <c r="AZ737" s="6"/>
      <c r="BB737" s="6"/>
      <c r="BC737" s="6"/>
      <c r="BD737" s="6"/>
      <c r="BE737" s="6"/>
      <c r="BF737" s="6"/>
    </row>
    <row r="738" spans="1:58" s="2" customFormat="1" x14ac:dyDescent="0.2">
      <c r="A738" s="6"/>
      <c r="B738" s="6"/>
      <c r="C738" s="42"/>
      <c r="D738" s="6"/>
      <c r="E738" s="6"/>
      <c r="F738" s="6"/>
      <c r="G738" s="6"/>
      <c r="H738" s="6"/>
      <c r="I738" s="6"/>
      <c r="J738" s="6"/>
      <c r="K738" s="6"/>
      <c r="L738" s="6"/>
      <c r="M738" s="6"/>
      <c r="N738" s="6"/>
      <c r="O738" s="6"/>
      <c r="P738" s="6"/>
      <c r="Q738" s="6"/>
      <c r="R738" s="6"/>
      <c r="S738" s="6"/>
      <c r="AV738" s="6"/>
      <c r="AW738" s="6"/>
      <c r="AX738" s="6"/>
      <c r="AY738" s="6"/>
      <c r="AZ738" s="6"/>
      <c r="BB738" s="6"/>
      <c r="BC738" s="6"/>
      <c r="BD738" s="6"/>
      <c r="BE738" s="6"/>
      <c r="BF738" s="6"/>
    </row>
    <row r="739" spans="1:58" s="2" customFormat="1" x14ac:dyDescent="0.2">
      <c r="A739" s="6"/>
      <c r="B739" s="6"/>
      <c r="C739" s="42"/>
      <c r="D739" s="6"/>
      <c r="E739" s="6"/>
      <c r="F739" s="6"/>
      <c r="G739" s="6"/>
      <c r="H739" s="6"/>
      <c r="I739" s="6"/>
      <c r="J739" s="6"/>
      <c r="K739" s="6"/>
      <c r="L739" s="6"/>
      <c r="M739" s="6"/>
      <c r="N739" s="6"/>
      <c r="O739" s="6"/>
      <c r="P739" s="6"/>
      <c r="Q739" s="6"/>
      <c r="R739" s="6"/>
      <c r="S739" s="6"/>
      <c r="AV739" s="6"/>
      <c r="AW739" s="6"/>
      <c r="AX739" s="6"/>
      <c r="AY739" s="6"/>
      <c r="AZ739" s="6"/>
      <c r="BB739" s="6"/>
      <c r="BC739" s="6"/>
      <c r="BD739" s="6"/>
      <c r="BE739" s="6"/>
      <c r="BF739" s="6"/>
    </row>
    <row r="740" spans="1:58" s="2" customFormat="1" x14ac:dyDescent="0.2">
      <c r="A740" s="6"/>
      <c r="B740" s="6"/>
      <c r="C740" s="42"/>
      <c r="D740" s="6"/>
      <c r="E740" s="6"/>
      <c r="F740" s="6"/>
      <c r="G740" s="6"/>
      <c r="H740" s="6"/>
      <c r="I740" s="6"/>
      <c r="J740" s="6"/>
      <c r="K740" s="6"/>
      <c r="L740" s="6"/>
      <c r="M740" s="6"/>
      <c r="N740" s="6"/>
      <c r="O740" s="6"/>
      <c r="P740" s="6"/>
      <c r="Q740" s="6"/>
      <c r="R740" s="6"/>
      <c r="S740" s="6"/>
      <c r="AV740" s="6"/>
      <c r="AW740" s="6"/>
      <c r="AX740" s="6"/>
      <c r="AY740" s="6"/>
      <c r="AZ740" s="6"/>
      <c r="BB740" s="6"/>
      <c r="BC740" s="6"/>
      <c r="BD740" s="6"/>
      <c r="BE740" s="6"/>
      <c r="BF740" s="6"/>
    </row>
    <row r="741" spans="1:58" s="2" customFormat="1" x14ac:dyDescent="0.2">
      <c r="A741" s="6"/>
      <c r="B741" s="6"/>
      <c r="C741" s="42"/>
      <c r="D741" s="6"/>
      <c r="E741" s="6"/>
      <c r="F741" s="6"/>
      <c r="G741" s="6"/>
      <c r="H741" s="6"/>
      <c r="I741" s="6"/>
      <c r="J741" s="6"/>
      <c r="K741" s="6"/>
      <c r="L741" s="6"/>
      <c r="M741" s="6"/>
      <c r="N741" s="6"/>
      <c r="O741" s="6"/>
      <c r="P741" s="6"/>
      <c r="Q741" s="6"/>
      <c r="R741" s="6"/>
      <c r="S741" s="6"/>
      <c r="AV741" s="6"/>
      <c r="AW741" s="6"/>
      <c r="AX741" s="6"/>
      <c r="AY741" s="6"/>
      <c r="AZ741" s="6"/>
      <c r="BB741" s="6"/>
      <c r="BC741" s="6"/>
      <c r="BD741" s="6"/>
      <c r="BE741" s="6"/>
      <c r="BF741" s="6"/>
    </row>
    <row r="742" spans="1:58" s="2" customFormat="1" x14ac:dyDescent="0.2">
      <c r="A742" s="6"/>
      <c r="B742" s="6"/>
      <c r="C742" s="42"/>
      <c r="D742" s="6"/>
      <c r="E742" s="6"/>
      <c r="F742" s="6"/>
      <c r="G742" s="6"/>
      <c r="H742" s="6"/>
      <c r="I742" s="6"/>
      <c r="J742" s="6"/>
      <c r="K742" s="6"/>
      <c r="L742" s="6"/>
      <c r="M742" s="6"/>
      <c r="N742" s="6"/>
      <c r="O742" s="6"/>
      <c r="P742" s="6"/>
      <c r="Q742" s="6"/>
      <c r="R742" s="6"/>
      <c r="S742" s="6"/>
      <c r="AV742" s="6"/>
      <c r="AW742" s="6"/>
      <c r="AX742" s="6"/>
      <c r="AY742" s="6"/>
      <c r="AZ742" s="6"/>
      <c r="BB742" s="6"/>
      <c r="BC742" s="6"/>
      <c r="BD742" s="6"/>
      <c r="BE742" s="6"/>
      <c r="BF742" s="6"/>
    </row>
    <row r="743" spans="1:58" s="2" customFormat="1" x14ac:dyDescent="0.2">
      <c r="A743" s="6"/>
      <c r="B743" s="6"/>
      <c r="C743" s="42"/>
      <c r="D743" s="6"/>
      <c r="E743" s="6"/>
      <c r="F743" s="6"/>
      <c r="G743" s="6"/>
      <c r="H743" s="6"/>
      <c r="I743" s="6"/>
      <c r="J743" s="6"/>
      <c r="K743" s="6"/>
      <c r="L743" s="6"/>
      <c r="M743" s="6"/>
      <c r="N743" s="6"/>
      <c r="O743" s="6"/>
      <c r="P743" s="6"/>
      <c r="Q743" s="6"/>
      <c r="R743" s="6"/>
      <c r="S743" s="6"/>
      <c r="AV743" s="6"/>
      <c r="AW743" s="6"/>
      <c r="AX743" s="6"/>
      <c r="AY743" s="6"/>
      <c r="AZ743" s="6"/>
      <c r="BB743" s="6"/>
      <c r="BC743" s="6"/>
      <c r="BD743" s="6"/>
      <c r="BE743" s="6"/>
      <c r="BF743" s="6"/>
    </row>
    <row r="744" spans="1:58" s="2" customFormat="1" x14ac:dyDescent="0.2">
      <c r="A744" s="6"/>
      <c r="B744" s="6"/>
      <c r="C744" s="42"/>
      <c r="D744" s="6"/>
      <c r="E744" s="6"/>
      <c r="F744" s="6"/>
      <c r="G744" s="6"/>
      <c r="H744" s="6"/>
      <c r="I744" s="6"/>
      <c r="J744" s="6"/>
      <c r="K744" s="6"/>
      <c r="L744" s="6"/>
      <c r="M744" s="6"/>
      <c r="N744" s="6"/>
      <c r="O744" s="6"/>
      <c r="P744" s="6"/>
      <c r="Q744" s="6"/>
      <c r="R744" s="6"/>
      <c r="S744" s="6"/>
      <c r="AV744" s="6"/>
      <c r="AW744" s="6"/>
      <c r="AX744" s="6"/>
      <c r="AY744" s="6"/>
      <c r="AZ744" s="6"/>
      <c r="BB744" s="6"/>
      <c r="BC744" s="6"/>
      <c r="BD744" s="6"/>
      <c r="BE744" s="6"/>
      <c r="BF744" s="6"/>
    </row>
    <row r="745" spans="1:58" s="2" customFormat="1" x14ac:dyDescent="0.2">
      <c r="A745" s="6"/>
      <c r="B745" s="6"/>
      <c r="C745" s="42"/>
      <c r="D745" s="6"/>
      <c r="E745" s="6"/>
      <c r="F745" s="6"/>
      <c r="G745" s="6"/>
      <c r="H745" s="6"/>
      <c r="I745" s="6"/>
      <c r="J745" s="6"/>
      <c r="K745" s="6"/>
      <c r="L745" s="6"/>
      <c r="M745" s="6"/>
      <c r="N745" s="6"/>
      <c r="O745" s="6"/>
      <c r="P745" s="6"/>
      <c r="Q745" s="6"/>
      <c r="R745" s="6"/>
      <c r="S745" s="6"/>
      <c r="AV745" s="6"/>
      <c r="AW745" s="6"/>
      <c r="AX745" s="6"/>
      <c r="AY745" s="6"/>
      <c r="AZ745" s="6"/>
      <c r="BB745" s="6"/>
      <c r="BC745" s="6"/>
      <c r="BD745" s="6"/>
      <c r="BE745" s="6"/>
      <c r="BF745" s="6"/>
    </row>
    <row r="746" spans="1:58" s="2" customFormat="1" x14ac:dyDescent="0.2">
      <c r="A746" s="6"/>
      <c r="B746" s="6"/>
      <c r="C746" s="42"/>
      <c r="D746" s="6"/>
      <c r="E746" s="6"/>
      <c r="F746" s="6"/>
      <c r="G746" s="6"/>
      <c r="H746" s="6"/>
      <c r="I746" s="6"/>
      <c r="J746" s="6"/>
      <c r="K746" s="6"/>
      <c r="L746" s="6"/>
      <c r="M746" s="6"/>
      <c r="N746" s="6"/>
      <c r="O746" s="6"/>
      <c r="P746" s="6"/>
      <c r="Q746" s="6"/>
      <c r="R746" s="6"/>
      <c r="S746" s="6"/>
      <c r="AV746" s="6"/>
      <c r="AW746" s="6"/>
      <c r="AX746" s="6"/>
      <c r="AY746" s="6"/>
      <c r="AZ746" s="6"/>
      <c r="BB746" s="6"/>
      <c r="BC746" s="6"/>
      <c r="BD746" s="6"/>
      <c r="BE746" s="6"/>
      <c r="BF746" s="6"/>
    </row>
    <row r="747" spans="1:58" s="2" customFormat="1" x14ac:dyDescent="0.2">
      <c r="A747" s="6"/>
      <c r="B747" s="6"/>
      <c r="C747" s="42"/>
      <c r="D747" s="6"/>
      <c r="E747" s="6"/>
      <c r="F747" s="6"/>
      <c r="G747" s="6"/>
      <c r="H747" s="6"/>
      <c r="I747" s="6"/>
      <c r="J747" s="6"/>
      <c r="K747" s="6"/>
      <c r="L747" s="6"/>
      <c r="M747" s="6"/>
      <c r="N747" s="6"/>
      <c r="O747" s="6"/>
      <c r="P747" s="6"/>
      <c r="Q747" s="6"/>
      <c r="R747" s="6"/>
      <c r="S747" s="6"/>
      <c r="AV747" s="6"/>
      <c r="AW747" s="6"/>
      <c r="AX747" s="6"/>
      <c r="AY747" s="6"/>
      <c r="AZ747" s="6"/>
      <c r="BB747" s="6"/>
      <c r="BC747" s="6"/>
      <c r="BD747" s="6"/>
      <c r="BE747" s="6"/>
      <c r="BF747" s="6"/>
    </row>
    <row r="748" spans="1:58" s="2" customFormat="1" x14ac:dyDescent="0.2">
      <c r="A748" s="6"/>
      <c r="B748" s="6"/>
      <c r="C748" s="42"/>
      <c r="D748" s="6"/>
      <c r="E748" s="6"/>
      <c r="F748" s="6"/>
      <c r="G748" s="6"/>
      <c r="H748" s="6"/>
      <c r="I748" s="6"/>
      <c r="J748" s="6"/>
      <c r="K748" s="6"/>
      <c r="L748" s="6"/>
      <c r="M748" s="6"/>
      <c r="N748" s="6"/>
      <c r="O748" s="6"/>
      <c r="P748" s="6"/>
      <c r="Q748" s="6"/>
      <c r="R748" s="6"/>
      <c r="S748" s="6"/>
      <c r="AV748" s="6"/>
      <c r="AW748" s="6"/>
      <c r="AX748" s="6"/>
      <c r="AY748" s="6"/>
      <c r="AZ748" s="6"/>
      <c r="BB748" s="6"/>
      <c r="BC748" s="6"/>
      <c r="BD748" s="6"/>
      <c r="BE748" s="6"/>
      <c r="BF748" s="6"/>
    </row>
    <row r="749" spans="1:58" s="2" customFormat="1" x14ac:dyDescent="0.2">
      <c r="A749" s="6"/>
      <c r="B749" s="6"/>
      <c r="C749" s="42"/>
      <c r="D749" s="6"/>
      <c r="E749" s="6"/>
      <c r="F749" s="6"/>
      <c r="G749" s="6"/>
      <c r="H749" s="6"/>
      <c r="I749" s="6"/>
      <c r="J749" s="6"/>
      <c r="K749" s="6"/>
      <c r="L749" s="6"/>
      <c r="M749" s="6"/>
      <c r="N749" s="6"/>
      <c r="O749" s="6"/>
      <c r="P749" s="6"/>
      <c r="Q749" s="6"/>
      <c r="R749" s="6"/>
      <c r="S749" s="6"/>
      <c r="AV749" s="6"/>
      <c r="AW749" s="6"/>
      <c r="AX749" s="6"/>
      <c r="AY749" s="6"/>
      <c r="AZ749" s="6"/>
      <c r="BB749" s="6"/>
      <c r="BC749" s="6"/>
      <c r="BD749" s="6"/>
      <c r="BE749" s="6"/>
      <c r="BF749" s="6"/>
    </row>
    <row r="750" spans="1:58" s="2" customFormat="1" x14ac:dyDescent="0.2">
      <c r="A750" s="6"/>
      <c r="B750" s="6"/>
      <c r="C750" s="42"/>
      <c r="D750" s="6"/>
      <c r="E750" s="6"/>
      <c r="F750" s="6"/>
      <c r="G750" s="6"/>
      <c r="H750" s="6"/>
      <c r="I750" s="6"/>
      <c r="J750" s="6"/>
      <c r="K750" s="6"/>
      <c r="L750" s="6"/>
      <c r="M750" s="6"/>
      <c r="N750" s="6"/>
      <c r="O750" s="6"/>
      <c r="P750" s="6"/>
      <c r="Q750" s="6"/>
      <c r="R750" s="6"/>
      <c r="S750" s="6"/>
      <c r="AV750" s="6"/>
      <c r="AW750" s="6"/>
      <c r="AX750" s="6"/>
      <c r="AY750" s="6"/>
      <c r="AZ750" s="6"/>
      <c r="BB750" s="6"/>
      <c r="BC750" s="6"/>
      <c r="BD750" s="6"/>
      <c r="BE750" s="6"/>
      <c r="BF750" s="6"/>
    </row>
    <row r="751" spans="1:58" s="2" customFormat="1" x14ac:dyDescent="0.2">
      <c r="A751" s="6"/>
      <c r="B751" s="6"/>
      <c r="C751" s="42"/>
      <c r="D751" s="6"/>
      <c r="E751" s="6"/>
      <c r="F751" s="6"/>
      <c r="G751" s="6"/>
      <c r="H751" s="6"/>
      <c r="I751" s="6"/>
      <c r="J751" s="6"/>
      <c r="K751" s="6"/>
      <c r="L751" s="6"/>
      <c r="M751" s="6"/>
      <c r="N751" s="6"/>
      <c r="O751" s="6"/>
      <c r="P751" s="6"/>
      <c r="Q751" s="6"/>
      <c r="R751" s="6"/>
      <c r="S751" s="6"/>
      <c r="AV751" s="6"/>
      <c r="AW751" s="6"/>
      <c r="AX751" s="6"/>
      <c r="AY751" s="6"/>
      <c r="AZ751" s="6"/>
      <c r="BB751" s="6"/>
      <c r="BC751" s="6"/>
      <c r="BD751" s="6"/>
      <c r="BE751" s="6"/>
      <c r="BF751" s="6"/>
    </row>
    <row r="752" spans="1:58" s="2" customFormat="1" x14ac:dyDescent="0.2">
      <c r="A752" s="6"/>
      <c r="B752" s="6"/>
      <c r="C752" s="42"/>
      <c r="D752" s="6"/>
      <c r="E752" s="6"/>
      <c r="F752" s="6"/>
      <c r="G752" s="6"/>
      <c r="H752" s="6"/>
      <c r="I752" s="6"/>
      <c r="J752" s="6"/>
      <c r="K752" s="6"/>
      <c r="L752" s="6"/>
      <c r="M752" s="6"/>
      <c r="N752" s="6"/>
      <c r="O752" s="6"/>
      <c r="P752" s="6"/>
      <c r="Q752" s="6"/>
      <c r="R752" s="6"/>
      <c r="S752" s="6"/>
      <c r="AV752" s="6"/>
      <c r="AW752" s="6"/>
      <c r="AX752" s="6"/>
      <c r="AY752" s="6"/>
      <c r="AZ752" s="6"/>
      <c r="BB752" s="6"/>
      <c r="BC752" s="6"/>
      <c r="BD752" s="6"/>
      <c r="BE752" s="6"/>
      <c r="BF752" s="6"/>
    </row>
    <row r="753" spans="1:58" s="2" customFormat="1" x14ac:dyDescent="0.2">
      <c r="A753" s="6"/>
      <c r="B753" s="6"/>
      <c r="C753" s="42"/>
      <c r="D753" s="6"/>
      <c r="E753" s="6"/>
      <c r="F753" s="6"/>
      <c r="G753" s="6"/>
      <c r="H753" s="6"/>
      <c r="I753" s="6"/>
      <c r="J753" s="6"/>
      <c r="K753" s="6"/>
      <c r="L753" s="6"/>
      <c r="M753" s="6"/>
      <c r="N753" s="6"/>
      <c r="O753" s="6"/>
      <c r="P753" s="6"/>
      <c r="Q753" s="6"/>
      <c r="R753" s="6"/>
      <c r="S753" s="6"/>
      <c r="AV753" s="6"/>
      <c r="AW753" s="6"/>
      <c r="AX753" s="6"/>
      <c r="AY753" s="6"/>
      <c r="AZ753" s="6"/>
      <c r="BB753" s="6"/>
      <c r="BC753" s="6"/>
      <c r="BD753" s="6"/>
      <c r="BE753" s="6"/>
      <c r="BF753" s="6"/>
    </row>
    <row r="754" spans="1:58" s="2" customFormat="1" x14ac:dyDescent="0.2">
      <c r="A754" s="6"/>
      <c r="B754" s="6"/>
      <c r="C754" s="42"/>
      <c r="D754" s="6"/>
      <c r="E754" s="6"/>
      <c r="F754" s="6"/>
      <c r="G754" s="6"/>
      <c r="H754" s="6"/>
      <c r="I754" s="6"/>
      <c r="J754" s="6"/>
      <c r="K754" s="6"/>
      <c r="L754" s="6"/>
      <c r="M754" s="6"/>
      <c r="N754" s="6"/>
      <c r="O754" s="6"/>
      <c r="P754" s="6"/>
      <c r="Q754" s="6"/>
      <c r="R754" s="6"/>
      <c r="S754" s="6"/>
      <c r="AV754" s="6"/>
      <c r="AW754" s="6"/>
      <c r="AX754" s="6"/>
      <c r="AY754" s="6"/>
      <c r="AZ754" s="6"/>
      <c r="BB754" s="6"/>
      <c r="BC754" s="6"/>
      <c r="BD754" s="6"/>
      <c r="BE754" s="6"/>
      <c r="BF754" s="6"/>
    </row>
    <row r="755" spans="1:58" s="2" customFormat="1" x14ac:dyDescent="0.2">
      <c r="A755" s="6"/>
      <c r="B755" s="6"/>
      <c r="C755" s="42"/>
      <c r="D755" s="6"/>
      <c r="E755" s="6"/>
      <c r="F755" s="6"/>
      <c r="G755" s="6"/>
      <c r="H755" s="6"/>
      <c r="I755" s="6"/>
      <c r="J755" s="6"/>
      <c r="K755" s="6"/>
      <c r="L755" s="6"/>
      <c r="M755" s="6"/>
      <c r="N755" s="6"/>
      <c r="O755" s="6"/>
      <c r="P755" s="6"/>
      <c r="Q755" s="6"/>
      <c r="R755" s="6"/>
      <c r="S755" s="6"/>
      <c r="AV755" s="6"/>
      <c r="AW755" s="6"/>
      <c r="AX755" s="6"/>
      <c r="AY755" s="6"/>
      <c r="AZ755" s="6"/>
      <c r="BB755" s="6"/>
      <c r="BC755" s="6"/>
      <c r="BD755" s="6"/>
      <c r="BE755" s="6"/>
      <c r="BF755" s="6"/>
    </row>
    <row r="756" spans="1:58" s="2" customFormat="1" x14ac:dyDescent="0.2">
      <c r="A756" s="6"/>
      <c r="B756" s="6"/>
      <c r="C756" s="42"/>
      <c r="D756" s="6"/>
      <c r="E756" s="6"/>
      <c r="F756" s="6"/>
      <c r="G756" s="6"/>
      <c r="H756" s="6"/>
      <c r="I756" s="6"/>
      <c r="J756" s="6"/>
      <c r="K756" s="6"/>
      <c r="L756" s="6"/>
      <c r="M756" s="6"/>
      <c r="N756" s="6"/>
      <c r="O756" s="6"/>
      <c r="P756" s="6"/>
      <c r="Q756" s="6"/>
      <c r="R756" s="6"/>
      <c r="S756" s="6"/>
      <c r="AV756" s="6"/>
      <c r="AW756" s="6"/>
      <c r="AX756" s="6"/>
      <c r="AY756" s="6"/>
      <c r="AZ756" s="6"/>
      <c r="BB756" s="6"/>
      <c r="BC756" s="6"/>
      <c r="BD756" s="6"/>
      <c r="BE756" s="6"/>
      <c r="BF756" s="6"/>
    </row>
    <row r="757" spans="1:58" s="2" customFormat="1" x14ac:dyDescent="0.2">
      <c r="A757" s="6"/>
      <c r="B757" s="6"/>
      <c r="C757" s="42"/>
      <c r="D757" s="6"/>
      <c r="E757" s="6"/>
      <c r="F757" s="6"/>
      <c r="G757" s="6"/>
      <c r="H757" s="6"/>
      <c r="I757" s="6"/>
      <c r="J757" s="6"/>
      <c r="K757" s="6"/>
      <c r="L757" s="6"/>
      <c r="M757" s="6"/>
      <c r="N757" s="6"/>
      <c r="O757" s="6"/>
      <c r="P757" s="6"/>
      <c r="Q757" s="6"/>
      <c r="R757" s="6"/>
      <c r="S757" s="6"/>
      <c r="AV757" s="6"/>
      <c r="AW757" s="6"/>
      <c r="AX757" s="6"/>
      <c r="AY757" s="6"/>
      <c r="AZ757" s="6"/>
      <c r="BB757" s="6"/>
      <c r="BC757" s="6"/>
      <c r="BD757" s="6"/>
      <c r="BE757" s="6"/>
      <c r="BF757" s="6"/>
    </row>
    <row r="758" spans="1:58" s="2" customFormat="1" x14ac:dyDescent="0.2">
      <c r="A758" s="6"/>
      <c r="B758" s="6"/>
      <c r="C758" s="42"/>
      <c r="D758" s="6"/>
      <c r="E758" s="6"/>
      <c r="F758" s="6"/>
      <c r="G758" s="6"/>
      <c r="H758" s="6"/>
      <c r="I758" s="6"/>
      <c r="J758" s="6"/>
      <c r="K758" s="6"/>
      <c r="L758" s="6"/>
      <c r="M758" s="6"/>
      <c r="N758" s="6"/>
      <c r="O758" s="6"/>
      <c r="P758" s="6"/>
      <c r="Q758" s="6"/>
      <c r="R758" s="6"/>
      <c r="S758" s="6"/>
      <c r="AV758" s="6"/>
      <c r="AW758" s="6"/>
      <c r="AX758" s="6"/>
      <c r="AY758" s="6"/>
      <c r="AZ758" s="6"/>
      <c r="BB758" s="6"/>
      <c r="BC758" s="6"/>
      <c r="BD758" s="6"/>
      <c r="BE758" s="6"/>
      <c r="BF758" s="6"/>
    </row>
    <row r="759" spans="1:58" s="2" customFormat="1" x14ac:dyDescent="0.2">
      <c r="A759" s="6"/>
      <c r="B759" s="6"/>
      <c r="C759" s="42"/>
      <c r="D759" s="6"/>
      <c r="E759" s="6"/>
      <c r="F759" s="6"/>
      <c r="G759" s="6"/>
      <c r="H759" s="6"/>
      <c r="I759" s="6"/>
      <c r="J759" s="6"/>
      <c r="K759" s="6"/>
      <c r="L759" s="6"/>
      <c r="M759" s="6"/>
      <c r="N759" s="6"/>
      <c r="O759" s="6"/>
      <c r="P759" s="6"/>
      <c r="Q759" s="6"/>
      <c r="R759" s="6"/>
      <c r="S759" s="6"/>
      <c r="AV759" s="6"/>
      <c r="AW759" s="6"/>
      <c r="AX759" s="6"/>
      <c r="AY759" s="6"/>
      <c r="AZ759" s="6"/>
      <c r="BB759" s="6"/>
      <c r="BC759" s="6"/>
      <c r="BD759" s="6"/>
      <c r="BE759" s="6"/>
      <c r="BF759" s="6"/>
    </row>
    <row r="760" spans="1:58" s="2" customFormat="1" x14ac:dyDescent="0.2">
      <c r="A760" s="6"/>
      <c r="B760" s="6"/>
      <c r="C760" s="42"/>
      <c r="D760" s="6"/>
      <c r="E760" s="6"/>
      <c r="F760" s="6"/>
      <c r="G760" s="6"/>
      <c r="H760" s="6"/>
      <c r="I760" s="6"/>
      <c r="J760" s="6"/>
      <c r="K760" s="6"/>
      <c r="L760" s="6"/>
      <c r="M760" s="6"/>
      <c r="N760" s="6"/>
      <c r="O760" s="6"/>
      <c r="P760" s="6"/>
      <c r="Q760" s="6"/>
      <c r="R760" s="6"/>
      <c r="S760" s="6"/>
      <c r="AV760" s="6"/>
      <c r="AW760" s="6"/>
      <c r="AX760" s="6"/>
      <c r="AY760" s="6"/>
      <c r="AZ760" s="6"/>
      <c r="BB760" s="6"/>
      <c r="BC760" s="6"/>
      <c r="BD760" s="6"/>
      <c r="BE760" s="6"/>
      <c r="BF760" s="6"/>
    </row>
    <row r="761" spans="1:58" s="2" customFormat="1" x14ac:dyDescent="0.2">
      <c r="A761" s="6"/>
      <c r="B761" s="6"/>
      <c r="C761" s="42"/>
      <c r="D761" s="6"/>
      <c r="E761" s="6"/>
      <c r="F761" s="6"/>
      <c r="G761" s="6"/>
      <c r="H761" s="6"/>
      <c r="I761" s="6"/>
      <c r="J761" s="6"/>
      <c r="K761" s="6"/>
      <c r="L761" s="6"/>
      <c r="M761" s="6"/>
      <c r="N761" s="6"/>
      <c r="O761" s="6"/>
      <c r="P761" s="6"/>
      <c r="Q761" s="6"/>
      <c r="R761" s="6"/>
      <c r="S761" s="6"/>
      <c r="AV761" s="6"/>
      <c r="AW761" s="6"/>
      <c r="AX761" s="6"/>
      <c r="AY761" s="6"/>
      <c r="AZ761" s="6"/>
      <c r="BB761" s="6"/>
      <c r="BC761" s="6"/>
      <c r="BD761" s="6"/>
      <c r="BE761" s="6"/>
      <c r="BF761" s="6"/>
    </row>
    <row r="762" spans="1:58" s="2" customFormat="1" x14ac:dyDescent="0.2">
      <c r="A762" s="6"/>
      <c r="B762" s="6"/>
      <c r="C762" s="42"/>
      <c r="D762" s="6"/>
      <c r="E762" s="6"/>
      <c r="F762" s="6"/>
      <c r="G762" s="6"/>
      <c r="H762" s="6"/>
      <c r="I762" s="6"/>
      <c r="J762" s="6"/>
      <c r="K762" s="6"/>
      <c r="L762" s="6"/>
      <c r="M762" s="6"/>
      <c r="N762" s="6"/>
      <c r="O762" s="6"/>
      <c r="P762" s="6"/>
      <c r="Q762" s="6"/>
      <c r="R762" s="6"/>
      <c r="S762" s="6"/>
      <c r="AV762" s="6"/>
      <c r="AW762" s="6"/>
      <c r="AX762" s="6"/>
      <c r="AY762" s="6"/>
      <c r="AZ762" s="6"/>
      <c r="BB762" s="6"/>
      <c r="BC762" s="6"/>
      <c r="BD762" s="6"/>
      <c r="BE762" s="6"/>
      <c r="BF762" s="6"/>
    </row>
    <row r="763" spans="1:58" s="2" customFormat="1" x14ac:dyDescent="0.2">
      <c r="A763" s="6"/>
      <c r="B763" s="6"/>
      <c r="C763" s="42"/>
      <c r="D763" s="6"/>
      <c r="E763" s="6"/>
      <c r="F763" s="6"/>
      <c r="G763" s="6"/>
      <c r="H763" s="6"/>
      <c r="I763" s="6"/>
      <c r="J763" s="6"/>
      <c r="K763" s="6"/>
      <c r="L763" s="6"/>
      <c r="M763" s="6"/>
      <c r="N763" s="6"/>
      <c r="O763" s="6"/>
      <c r="P763" s="6"/>
      <c r="Q763" s="6"/>
      <c r="R763" s="6"/>
      <c r="S763" s="6"/>
      <c r="AV763" s="6"/>
      <c r="AW763" s="6"/>
      <c r="AX763" s="6"/>
      <c r="AY763" s="6"/>
      <c r="AZ763" s="6"/>
      <c r="BB763" s="6"/>
      <c r="BC763" s="6"/>
      <c r="BD763" s="6"/>
      <c r="BE763" s="6"/>
      <c r="BF763" s="6"/>
    </row>
    <row r="764" spans="1:58" s="2" customFormat="1" x14ac:dyDescent="0.2">
      <c r="A764" s="6"/>
      <c r="B764" s="6"/>
      <c r="C764" s="42"/>
      <c r="D764" s="6"/>
      <c r="E764" s="6"/>
      <c r="F764" s="6"/>
      <c r="G764" s="6"/>
      <c r="H764" s="6"/>
      <c r="I764" s="6"/>
      <c r="J764" s="6"/>
      <c r="K764" s="6"/>
      <c r="L764" s="6"/>
      <c r="M764" s="6"/>
      <c r="N764" s="6"/>
      <c r="O764" s="6"/>
      <c r="P764" s="6"/>
      <c r="Q764" s="6"/>
      <c r="R764" s="6"/>
      <c r="S764" s="6"/>
      <c r="AV764" s="6"/>
      <c r="AW764" s="6"/>
      <c r="AX764" s="6"/>
      <c r="AY764" s="6"/>
      <c r="AZ764" s="6"/>
      <c r="BB764" s="6"/>
      <c r="BC764" s="6"/>
      <c r="BD764" s="6"/>
      <c r="BE764" s="6"/>
      <c r="BF764" s="6"/>
    </row>
    <row r="765" spans="1:58" s="2" customFormat="1" x14ac:dyDescent="0.2">
      <c r="A765" s="6"/>
      <c r="B765" s="6"/>
      <c r="C765" s="42"/>
      <c r="D765" s="6"/>
      <c r="E765" s="6"/>
      <c r="F765" s="6"/>
      <c r="G765" s="6"/>
      <c r="H765" s="6"/>
      <c r="I765" s="6"/>
      <c r="J765" s="6"/>
      <c r="K765" s="6"/>
      <c r="L765" s="6"/>
      <c r="M765" s="6"/>
      <c r="N765" s="6"/>
      <c r="O765" s="6"/>
      <c r="P765" s="6"/>
      <c r="Q765" s="6"/>
      <c r="R765" s="6"/>
      <c r="S765" s="6"/>
      <c r="AV765" s="6"/>
      <c r="AW765" s="6"/>
      <c r="AX765" s="6"/>
      <c r="AY765" s="6"/>
      <c r="AZ765" s="6"/>
      <c r="BB765" s="6"/>
      <c r="BC765" s="6"/>
      <c r="BD765" s="6"/>
      <c r="BE765" s="6"/>
      <c r="BF765" s="6"/>
    </row>
    <row r="766" spans="1:58" s="2" customFormat="1" x14ac:dyDescent="0.2">
      <c r="A766" s="6"/>
      <c r="B766" s="6"/>
      <c r="C766" s="42"/>
      <c r="D766" s="6"/>
      <c r="E766" s="6"/>
      <c r="F766" s="6"/>
      <c r="G766" s="6"/>
      <c r="H766" s="6"/>
      <c r="I766" s="6"/>
      <c r="J766" s="6"/>
      <c r="K766" s="6"/>
      <c r="L766" s="6"/>
      <c r="M766" s="6"/>
      <c r="N766" s="6"/>
      <c r="O766" s="6"/>
      <c r="P766" s="6"/>
      <c r="Q766" s="6"/>
      <c r="R766" s="6"/>
      <c r="S766" s="6"/>
      <c r="AV766" s="6"/>
      <c r="AW766" s="6"/>
      <c r="AX766" s="6"/>
      <c r="AY766" s="6"/>
      <c r="AZ766" s="6"/>
      <c r="BB766" s="6"/>
      <c r="BC766" s="6"/>
      <c r="BD766" s="6"/>
      <c r="BE766" s="6"/>
      <c r="BF766" s="6"/>
    </row>
    <row r="767" spans="1:58" s="2" customFormat="1" x14ac:dyDescent="0.2">
      <c r="A767" s="6"/>
      <c r="B767" s="6"/>
      <c r="C767" s="42"/>
      <c r="D767" s="6"/>
      <c r="E767" s="6"/>
      <c r="F767" s="6"/>
      <c r="G767" s="6"/>
      <c r="H767" s="6"/>
      <c r="I767" s="6"/>
      <c r="J767" s="6"/>
      <c r="K767" s="6"/>
      <c r="L767" s="6"/>
      <c r="M767" s="6"/>
      <c r="N767" s="6"/>
      <c r="O767" s="6"/>
      <c r="P767" s="6"/>
      <c r="Q767" s="6"/>
      <c r="R767" s="6"/>
      <c r="S767" s="6"/>
      <c r="AV767" s="6"/>
      <c r="AW767" s="6"/>
      <c r="AX767" s="6"/>
      <c r="AY767" s="6"/>
      <c r="AZ767" s="6"/>
      <c r="BB767" s="6"/>
      <c r="BC767" s="6"/>
      <c r="BD767" s="6"/>
      <c r="BE767" s="6"/>
      <c r="BF767" s="6"/>
    </row>
    <row r="768" spans="1:58" s="2" customFormat="1" x14ac:dyDescent="0.2">
      <c r="A768" s="6"/>
      <c r="B768" s="6"/>
      <c r="C768" s="42"/>
      <c r="D768" s="6"/>
      <c r="E768" s="6"/>
      <c r="F768" s="6"/>
      <c r="G768" s="6"/>
      <c r="H768" s="6"/>
      <c r="I768" s="6"/>
      <c r="J768" s="6"/>
      <c r="K768" s="6"/>
      <c r="L768" s="6"/>
      <c r="M768" s="6"/>
      <c r="N768" s="6"/>
      <c r="O768" s="6"/>
      <c r="P768" s="6"/>
      <c r="Q768" s="6"/>
      <c r="R768" s="6"/>
      <c r="S768" s="6"/>
      <c r="AV768" s="6"/>
      <c r="AW768" s="6"/>
      <c r="AX768" s="6"/>
      <c r="AY768" s="6"/>
      <c r="AZ768" s="6"/>
      <c r="BB768" s="6"/>
      <c r="BC768" s="6"/>
      <c r="BD768" s="6"/>
      <c r="BE768" s="6"/>
      <c r="BF768" s="6"/>
    </row>
    <row r="769" spans="1:58" s="2" customFormat="1" x14ac:dyDescent="0.2">
      <c r="A769" s="6"/>
      <c r="B769" s="6"/>
      <c r="C769" s="42"/>
      <c r="D769" s="6"/>
      <c r="E769" s="6"/>
      <c r="F769" s="6"/>
      <c r="G769" s="6"/>
      <c r="H769" s="6"/>
      <c r="I769" s="6"/>
      <c r="J769" s="6"/>
      <c r="K769" s="6"/>
      <c r="L769" s="6"/>
      <c r="M769" s="6"/>
      <c r="N769" s="6"/>
      <c r="O769" s="6"/>
      <c r="P769" s="6"/>
      <c r="Q769" s="6"/>
      <c r="R769" s="6"/>
      <c r="S769" s="6"/>
      <c r="AV769" s="6"/>
      <c r="AW769" s="6"/>
      <c r="AX769" s="6"/>
      <c r="AY769" s="6"/>
      <c r="AZ769" s="6"/>
      <c r="BB769" s="6"/>
      <c r="BC769" s="6"/>
      <c r="BD769" s="6"/>
      <c r="BE769" s="6"/>
      <c r="BF769" s="6"/>
    </row>
    <row r="770" spans="1:58" s="2" customFormat="1" x14ac:dyDescent="0.2">
      <c r="A770" s="6"/>
      <c r="B770" s="6"/>
      <c r="C770" s="42"/>
      <c r="D770" s="6"/>
      <c r="E770" s="6"/>
      <c r="F770" s="6"/>
      <c r="G770" s="6"/>
      <c r="H770" s="6"/>
      <c r="I770" s="6"/>
      <c r="J770" s="6"/>
      <c r="K770" s="6"/>
      <c r="L770" s="6"/>
      <c r="M770" s="6"/>
      <c r="N770" s="6"/>
      <c r="O770" s="6"/>
      <c r="P770" s="6"/>
      <c r="Q770" s="6"/>
      <c r="R770" s="6"/>
      <c r="S770" s="6"/>
      <c r="AV770" s="6"/>
      <c r="AW770" s="6"/>
      <c r="AX770" s="6"/>
      <c r="AY770" s="6"/>
      <c r="AZ770" s="6"/>
      <c r="BB770" s="6"/>
      <c r="BC770" s="6"/>
      <c r="BD770" s="6"/>
      <c r="BE770" s="6"/>
      <c r="BF770" s="6"/>
    </row>
    <row r="771" spans="1:58" s="2" customFormat="1" x14ac:dyDescent="0.2">
      <c r="A771" s="6"/>
      <c r="B771" s="6"/>
      <c r="C771" s="42"/>
      <c r="D771" s="6"/>
      <c r="E771" s="6"/>
      <c r="F771" s="6"/>
      <c r="G771" s="6"/>
      <c r="H771" s="6"/>
      <c r="I771" s="6"/>
      <c r="J771" s="6"/>
      <c r="K771" s="6"/>
      <c r="L771" s="6"/>
      <c r="M771" s="6"/>
      <c r="N771" s="6"/>
      <c r="O771" s="6"/>
      <c r="P771" s="6"/>
      <c r="Q771" s="6"/>
      <c r="R771" s="6"/>
      <c r="S771" s="6"/>
      <c r="AV771" s="6"/>
      <c r="AW771" s="6"/>
      <c r="AX771" s="6"/>
      <c r="AY771" s="6"/>
      <c r="AZ771" s="6"/>
      <c r="BB771" s="6"/>
      <c r="BC771" s="6"/>
      <c r="BD771" s="6"/>
      <c r="BE771" s="6"/>
      <c r="BF771" s="6"/>
    </row>
    <row r="772" spans="1:58" s="2" customFormat="1" x14ac:dyDescent="0.2">
      <c r="A772" s="6"/>
      <c r="B772" s="6"/>
      <c r="C772" s="42"/>
      <c r="D772" s="6"/>
      <c r="E772" s="6"/>
      <c r="F772" s="6"/>
      <c r="G772" s="6"/>
      <c r="H772" s="6"/>
      <c r="I772" s="6"/>
      <c r="J772" s="6"/>
      <c r="K772" s="6"/>
      <c r="L772" s="6"/>
      <c r="M772" s="6"/>
      <c r="N772" s="6"/>
      <c r="O772" s="6"/>
      <c r="P772" s="6"/>
      <c r="Q772" s="6"/>
      <c r="R772" s="6"/>
      <c r="S772" s="6"/>
      <c r="AV772" s="6"/>
      <c r="AW772" s="6"/>
      <c r="AX772" s="6"/>
      <c r="AY772" s="6"/>
      <c r="AZ772" s="6"/>
      <c r="BB772" s="6"/>
      <c r="BC772" s="6"/>
      <c r="BD772" s="6"/>
      <c r="BE772" s="6"/>
      <c r="BF772" s="6"/>
    </row>
    <row r="773" spans="1:58" s="2" customFormat="1" x14ac:dyDescent="0.2">
      <c r="A773" s="6"/>
      <c r="B773" s="6"/>
      <c r="C773" s="42"/>
      <c r="D773" s="6"/>
      <c r="E773" s="6"/>
      <c r="F773" s="6"/>
      <c r="G773" s="6"/>
      <c r="H773" s="6"/>
      <c r="I773" s="6"/>
      <c r="J773" s="6"/>
      <c r="K773" s="6"/>
      <c r="L773" s="6"/>
      <c r="M773" s="6"/>
      <c r="N773" s="6"/>
      <c r="O773" s="6"/>
      <c r="P773" s="6"/>
      <c r="Q773" s="6"/>
      <c r="R773" s="6"/>
      <c r="S773" s="6"/>
      <c r="AV773" s="6"/>
      <c r="AW773" s="6"/>
      <c r="AX773" s="6"/>
      <c r="AY773" s="6"/>
      <c r="AZ773" s="6"/>
      <c r="BB773" s="6"/>
      <c r="BC773" s="6"/>
      <c r="BD773" s="6"/>
      <c r="BE773" s="6"/>
      <c r="BF773" s="6"/>
    </row>
    <row r="774" spans="1:58" s="2" customFormat="1" x14ac:dyDescent="0.2">
      <c r="A774" s="6"/>
      <c r="B774" s="6"/>
      <c r="C774" s="42"/>
      <c r="D774" s="6"/>
      <c r="E774" s="6"/>
      <c r="F774" s="6"/>
      <c r="G774" s="6"/>
      <c r="H774" s="6"/>
      <c r="I774" s="6"/>
      <c r="J774" s="6"/>
      <c r="K774" s="6"/>
      <c r="L774" s="6"/>
      <c r="M774" s="6"/>
      <c r="N774" s="6"/>
      <c r="O774" s="6"/>
      <c r="P774" s="6"/>
      <c r="Q774" s="6"/>
      <c r="R774" s="6"/>
      <c r="S774" s="6"/>
      <c r="AV774" s="6"/>
      <c r="AW774" s="6"/>
      <c r="AX774" s="6"/>
      <c r="AY774" s="6"/>
      <c r="AZ774" s="6"/>
      <c r="BB774" s="6"/>
      <c r="BC774" s="6"/>
      <c r="BD774" s="6"/>
      <c r="BE774" s="6"/>
      <c r="BF774" s="6"/>
    </row>
    <row r="775" spans="1:58" s="2" customFormat="1" x14ac:dyDescent="0.2">
      <c r="A775" s="6"/>
      <c r="B775" s="6"/>
      <c r="C775" s="42"/>
      <c r="D775" s="6"/>
      <c r="E775" s="6"/>
      <c r="F775" s="6"/>
      <c r="G775" s="6"/>
      <c r="H775" s="6"/>
      <c r="I775" s="6"/>
      <c r="J775" s="6"/>
      <c r="K775" s="6"/>
      <c r="L775" s="6"/>
      <c r="M775" s="6"/>
      <c r="N775" s="6"/>
      <c r="O775" s="6"/>
      <c r="P775" s="6"/>
      <c r="Q775" s="6"/>
      <c r="R775" s="6"/>
      <c r="S775" s="6"/>
      <c r="AV775" s="6"/>
      <c r="AW775" s="6"/>
      <c r="AX775" s="6"/>
      <c r="AY775" s="6"/>
      <c r="AZ775" s="6"/>
      <c r="BB775" s="6"/>
      <c r="BC775" s="6"/>
      <c r="BD775" s="6"/>
      <c r="BE775" s="6"/>
      <c r="BF775" s="6"/>
    </row>
    <row r="776" spans="1:58" s="2" customFormat="1" x14ac:dyDescent="0.2">
      <c r="A776" s="6"/>
      <c r="B776" s="6"/>
      <c r="C776" s="42"/>
      <c r="D776" s="6"/>
      <c r="E776" s="6"/>
      <c r="F776" s="6"/>
      <c r="G776" s="6"/>
      <c r="H776" s="6"/>
      <c r="I776" s="6"/>
      <c r="J776" s="6"/>
      <c r="K776" s="6"/>
      <c r="L776" s="6"/>
      <c r="M776" s="6"/>
      <c r="N776" s="6"/>
      <c r="O776" s="6"/>
      <c r="P776" s="6"/>
      <c r="Q776" s="6"/>
      <c r="R776" s="6"/>
      <c r="S776" s="6"/>
      <c r="AV776" s="6"/>
      <c r="AW776" s="6"/>
      <c r="AX776" s="6"/>
      <c r="AY776" s="6"/>
      <c r="AZ776" s="6"/>
      <c r="BB776" s="6"/>
      <c r="BC776" s="6"/>
      <c r="BD776" s="6"/>
      <c r="BE776" s="6"/>
      <c r="BF776" s="6"/>
    </row>
    <row r="777" spans="1:58" s="2" customFormat="1" x14ac:dyDescent="0.2">
      <c r="A777" s="6"/>
      <c r="B777" s="6"/>
      <c r="C777" s="42"/>
      <c r="D777" s="6"/>
      <c r="E777" s="6"/>
      <c r="F777" s="6"/>
      <c r="G777" s="6"/>
      <c r="H777" s="6"/>
      <c r="I777" s="6"/>
      <c r="J777" s="6"/>
      <c r="K777" s="6"/>
      <c r="L777" s="6"/>
      <c r="M777" s="6"/>
      <c r="N777" s="6"/>
      <c r="O777" s="6"/>
      <c r="P777" s="6"/>
      <c r="Q777" s="6"/>
      <c r="R777" s="6"/>
      <c r="S777" s="6"/>
      <c r="AV777" s="6"/>
      <c r="AW777" s="6"/>
      <c r="AX777" s="6"/>
      <c r="AY777" s="6"/>
      <c r="AZ777" s="6"/>
      <c r="BB777" s="6"/>
      <c r="BC777" s="6"/>
      <c r="BD777" s="6"/>
      <c r="BE777" s="6"/>
      <c r="BF777" s="6"/>
    </row>
    <row r="778" spans="1:58" s="2" customFormat="1" x14ac:dyDescent="0.2">
      <c r="A778" s="6"/>
      <c r="B778" s="6"/>
      <c r="C778" s="42"/>
      <c r="D778" s="6"/>
      <c r="E778" s="6"/>
      <c r="F778" s="6"/>
      <c r="G778" s="6"/>
      <c r="H778" s="6"/>
      <c r="I778" s="6"/>
      <c r="J778" s="6"/>
      <c r="K778" s="6"/>
      <c r="L778" s="6"/>
      <c r="M778" s="6"/>
      <c r="N778" s="6"/>
      <c r="O778" s="6"/>
      <c r="P778" s="6"/>
      <c r="Q778" s="6"/>
      <c r="R778" s="6"/>
      <c r="S778" s="6"/>
      <c r="AV778" s="6"/>
      <c r="AW778" s="6"/>
      <c r="AX778" s="6"/>
      <c r="AY778" s="6"/>
      <c r="AZ778" s="6"/>
      <c r="BB778" s="6"/>
      <c r="BC778" s="6"/>
      <c r="BD778" s="6"/>
      <c r="BE778" s="6"/>
      <c r="BF778" s="6"/>
    </row>
    <row r="779" spans="1:58" s="2" customFormat="1" x14ac:dyDescent="0.2">
      <c r="A779" s="6"/>
      <c r="B779" s="6"/>
      <c r="C779" s="42"/>
      <c r="D779" s="6"/>
      <c r="E779" s="6"/>
      <c r="F779" s="6"/>
      <c r="G779" s="6"/>
      <c r="H779" s="6"/>
      <c r="I779" s="6"/>
      <c r="J779" s="6"/>
      <c r="K779" s="6"/>
      <c r="L779" s="6"/>
      <c r="M779" s="6"/>
      <c r="N779" s="6"/>
      <c r="O779" s="6"/>
      <c r="P779" s="6"/>
      <c r="Q779" s="6"/>
      <c r="R779" s="6"/>
      <c r="S779" s="6"/>
      <c r="AV779" s="6"/>
      <c r="AW779" s="6"/>
      <c r="AX779" s="6"/>
      <c r="AY779" s="6"/>
      <c r="AZ779" s="6"/>
      <c r="BB779" s="6"/>
      <c r="BC779" s="6"/>
      <c r="BD779" s="6"/>
      <c r="BE779" s="6"/>
      <c r="BF779" s="6"/>
    </row>
    <row r="780" spans="1:58" s="2" customFormat="1" x14ac:dyDescent="0.2">
      <c r="A780" s="6"/>
      <c r="B780" s="6"/>
      <c r="C780" s="42"/>
      <c r="D780" s="6"/>
      <c r="E780" s="6"/>
      <c r="F780" s="6"/>
      <c r="G780" s="6"/>
      <c r="H780" s="6"/>
      <c r="I780" s="6"/>
      <c r="J780" s="6"/>
      <c r="K780" s="6"/>
      <c r="L780" s="6"/>
      <c r="M780" s="6"/>
      <c r="N780" s="6"/>
      <c r="O780" s="6"/>
      <c r="P780" s="6"/>
      <c r="Q780" s="6"/>
      <c r="R780" s="6"/>
      <c r="S780" s="6"/>
      <c r="AV780" s="6"/>
      <c r="AW780" s="6"/>
      <c r="AX780" s="6"/>
      <c r="AY780" s="6"/>
      <c r="AZ780" s="6"/>
      <c r="BB780" s="6"/>
      <c r="BC780" s="6"/>
      <c r="BD780" s="6"/>
      <c r="BE780" s="6"/>
      <c r="BF780" s="6"/>
    </row>
    <row r="781" spans="1:58" s="2" customFormat="1" x14ac:dyDescent="0.2">
      <c r="A781" s="6"/>
      <c r="B781" s="6"/>
      <c r="C781" s="42"/>
      <c r="D781" s="6"/>
      <c r="E781" s="6"/>
      <c r="F781" s="6"/>
      <c r="G781" s="6"/>
      <c r="H781" s="6"/>
      <c r="I781" s="6"/>
      <c r="J781" s="6"/>
      <c r="K781" s="6"/>
      <c r="L781" s="6"/>
      <c r="M781" s="6"/>
      <c r="N781" s="6"/>
      <c r="O781" s="6"/>
      <c r="P781" s="6"/>
      <c r="Q781" s="6"/>
      <c r="R781" s="6"/>
      <c r="S781" s="6"/>
      <c r="AV781" s="6"/>
      <c r="AW781" s="6"/>
      <c r="AX781" s="6"/>
      <c r="AY781" s="6"/>
      <c r="AZ781" s="6"/>
      <c r="BB781" s="6"/>
      <c r="BC781" s="6"/>
      <c r="BD781" s="6"/>
      <c r="BE781" s="6"/>
      <c r="BF781" s="6"/>
    </row>
    <row r="782" spans="1:58" s="2" customFormat="1" x14ac:dyDescent="0.2">
      <c r="A782" s="6"/>
      <c r="B782" s="6"/>
      <c r="C782" s="42"/>
      <c r="D782" s="6"/>
      <c r="E782" s="6"/>
      <c r="F782" s="6"/>
      <c r="G782" s="6"/>
      <c r="H782" s="6"/>
      <c r="I782" s="6"/>
      <c r="J782" s="6"/>
      <c r="K782" s="6"/>
      <c r="L782" s="6"/>
      <c r="M782" s="6"/>
      <c r="N782" s="6"/>
      <c r="O782" s="6"/>
      <c r="P782" s="6"/>
      <c r="Q782" s="6"/>
      <c r="R782" s="6"/>
      <c r="S782" s="6"/>
      <c r="AV782" s="6"/>
      <c r="AW782" s="6"/>
      <c r="AX782" s="6"/>
      <c r="AY782" s="6"/>
      <c r="AZ782" s="6"/>
      <c r="BB782" s="6"/>
      <c r="BC782" s="6"/>
      <c r="BD782" s="6"/>
      <c r="BE782" s="6"/>
      <c r="BF782" s="6"/>
    </row>
    <row r="783" spans="1:58" s="2" customFormat="1" x14ac:dyDescent="0.2">
      <c r="A783" s="6"/>
      <c r="B783" s="6"/>
      <c r="C783" s="42"/>
      <c r="D783" s="6"/>
      <c r="E783" s="6"/>
      <c r="F783" s="6"/>
      <c r="G783" s="6"/>
      <c r="H783" s="6"/>
      <c r="I783" s="6"/>
      <c r="J783" s="6"/>
      <c r="K783" s="6"/>
      <c r="L783" s="6"/>
      <c r="M783" s="6"/>
      <c r="N783" s="6"/>
      <c r="O783" s="6"/>
      <c r="P783" s="6"/>
      <c r="Q783" s="6"/>
      <c r="R783" s="6"/>
      <c r="S783" s="6"/>
      <c r="AV783" s="6"/>
      <c r="AW783" s="6"/>
      <c r="AX783" s="6"/>
      <c r="AY783" s="6"/>
      <c r="AZ783" s="6"/>
      <c r="BB783" s="6"/>
      <c r="BC783" s="6"/>
      <c r="BD783" s="6"/>
      <c r="BE783" s="6"/>
      <c r="BF783" s="6"/>
    </row>
    <row r="784" spans="1:58" s="2" customFormat="1" x14ac:dyDescent="0.2">
      <c r="A784" s="6"/>
      <c r="B784" s="6"/>
      <c r="C784" s="42"/>
      <c r="D784" s="6"/>
      <c r="E784" s="6"/>
      <c r="F784" s="6"/>
      <c r="G784" s="6"/>
      <c r="H784" s="6"/>
      <c r="I784" s="6"/>
      <c r="J784" s="6"/>
      <c r="K784" s="6"/>
      <c r="L784" s="6"/>
      <c r="M784" s="6"/>
      <c r="N784" s="6"/>
      <c r="O784" s="6"/>
      <c r="P784" s="6"/>
      <c r="Q784" s="6"/>
      <c r="R784" s="6"/>
      <c r="S784" s="6"/>
      <c r="AV784" s="6"/>
      <c r="AW784" s="6"/>
      <c r="AX784" s="6"/>
      <c r="AY784" s="6"/>
      <c r="AZ784" s="6"/>
      <c r="BB784" s="6"/>
      <c r="BC784" s="6"/>
      <c r="BD784" s="6"/>
      <c r="BE784" s="6"/>
      <c r="BF784" s="6"/>
    </row>
    <row r="785" spans="1:58" s="2" customFormat="1" x14ac:dyDescent="0.2">
      <c r="A785" s="6"/>
      <c r="B785" s="6"/>
      <c r="C785" s="42"/>
      <c r="D785" s="6"/>
      <c r="E785" s="6"/>
      <c r="F785" s="6"/>
      <c r="G785" s="6"/>
      <c r="H785" s="6"/>
      <c r="I785" s="6"/>
      <c r="J785" s="6"/>
      <c r="K785" s="6"/>
      <c r="L785" s="6"/>
      <c r="M785" s="6"/>
      <c r="N785" s="6"/>
      <c r="O785" s="6"/>
      <c r="P785" s="6"/>
      <c r="Q785" s="6"/>
      <c r="R785" s="6"/>
      <c r="S785" s="6"/>
      <c r="AV785" s="6"/>
      <c r="AW785" s="6"/>
      <c r="AX785" s="6"/>
      <c r="AY785" s="6"/>
      <c r="AZ785" s="6"/>
      <c r="BB785" s="6"/>
      <c r="BC785" s="6"/>
      <c r="BD785" s="6"/>
      <c r="BE785" s="6"/>
      <c r="BF785" s="6"/>
    </row>
    <row r="786" spans="1:58" s="2" customFormat="1" x14ac:dyDescent="0.2">
      <c r="A786" s="6"/>
      <c r="B786" s="6"/>
      <c r="C786" s="42"/>
      <c r="D786" s="6"/>
      <c r="E786" s="6"/>
      <c r="F786" s="6"/>
      <c r="G786" s="6"/>
      <c r="H786" s="6"/>
      <c r="I786" s="6"/>
      <c r="J786" s="6"/>
      <c r="K786" s="6"/>
      <c r="L786" s="6"/>
      <c r="M786" s="6"/>
      <c r="N786" s="6"/>
      <c r="O786" s="6"/>
      <c r="P786" s="6"/>
      <c r="Q786" s="6"/>
      <c r="R786" s="6"/>
      <c r="S786" s="6"/>
      <c r="AV786" s="6"/>
      <c r="AW786" s="6"/>
      <c r="AX786" s="6"/>
      <c r="AY786" s="6"/>
      <c r="AZ786" s="6"/>
      <c r="BB786" s="6"/>
      <c r="BC786" s="6"/>
      <c r="BD786" s="6"/>
      <c r="BE786" s="6"/>
      <c r="BF786" s="6"/>
    </row>
    <row r="787" spans="1:58" s="2" customFormat="1" x14ac:dyDescent="0.2">
      <c r="A787" s="6"/>
      <c r="B787" s="6"/>
      <c r="C787" s="42"/>
      <c r="D787" s="6"/>
      <c r="E787" s="6"/>
      <c r="F787" s="6"/>
      <c r="G787" s="6"/>
      <c r="H787" s="6"/>
      <c r="I787" s="6"/>
      <c r="J787" s="6"/>
      <c r="K787" s="6"/>
      <c r="L787" s="6"/>
      <c r="M787" s="6"/>
      <c r="N787" s="6"/>
      <c r="O787" s="6"/>
      <c r="P787" s="6"/>
      <c r="Q787" s="6"/>
      <c r="R787" s="6"/>
      <c r="S787" s="6"/>
      <c r="AV787" s="6"/>
      <c r="AW787" s="6"/>
      <c r="AX787" s="6"/>
      <c r="AY787" s="6"/>
      <c r="AZ787" s="6"/>
      <c r="BB787" s="6"/>
      <c r="BC787" s="6"/>
      <c r="BD787" s="6"/>
      <c r="BE787" s="6"/>
      <c r="BF787" s="6"/>
    </row>
    <row r="788" spans="1:58" s="2" customFormat="1" x14ac:dyDescent="0.2">
      <c r="A788" s="6"/>
      <c r="B788" s="6"/>
      <c r="C788" s="42"/>
      <c r="D788" s="6"/>
      <c r="E788" s="6"/>
      <c r="F788" s="6"/>
      <c r="G788" s="6"/>
      <c r="H788" s="6"/>
      <c r="I788" s="6"/>
      <c r="J788" s="6"/>
      <c r="K788" s="6"/>
      <c r="L788" s="6"/>
      <c r="M788" s="6"/>
      <c r="N788" s="6"/>
      <c r="O788" s="6"/>
      <c r="P788" s="6"/>
      <c r="Q788" s="6"/>
      <c r="R788" s="6"/>
      <c r="S788" s="6"/>
      <c r="AV788" s="6"/>
      <c r="AW788" s="6"/>
      <c r="AX788" s="6"/>
      <c r="AY788" s="6"/>
      <c r="AZ788" s="6"/>
      <c r="BB788" s="6"/>
      <c r="BC788" s="6"/>
      <c r="BD788" s="6"/>
      <c r="BE788" s="6"/>
      <c r="BF788" s="6"/>
    </row>
    <row r="789" spans="1:58" s="2" customFormat="1" x14ac:dyDescent="0.2">
      <c r="A789" s="6"/>
      <c r="B789" s="6"/>
      <c r="C789" s="42"/>
      <c r="D789" s="6"/>
      <c r="E789" s="6"/>
      <c r="F789" s="6"/>
      <c r="G789" s="6"/>
      <c r="H789" s="6"/>
      <c r="I789" s="6"/>
      <c r="J789" s="6"/>
      <c r="K789" s="6"/>
      <c r="L789" s="6"/>
      <c r="M789" s="6"/>
      <c r="N789" s="6"/>
      <c r="O789" s="6"/>
      <c r="P789" s="6"/>
      <c r="Q789" s="6"/>
      <c r="R789" s="6"/>
      <c r="S789" s="6"/>
      <c r="AV789" s="6"/>
      <c r="AW789" s="6"/>
      <c r="AX789" s="6"/>
      <c r="AY789" s="6"/>
      <c r="AZ789" s="6"/>
      <c r="BB789" s="6"/>
      <c r="BC789" s="6"/>
      <c r="BD789" s="6"/>
      <c r="BE789" s="6"/>
      <c r="BF789" s="6"/>
    </row>
    <row r="790" spans="1:58" s="2" customFormat="1" x14ac:dyDescent="0.2">
      <c r="A790" s="6"/>
      <c r="B790" s="6"/>
      <c r="C790" s="42"/>
      <c r="D790" s="6"/>
      <c r="E790" s="6"/>
      <c r="F790" s="6"/>
      <c r="G790" s="6"/>
      <c r="H790" s="6"/>
      <c r="I790" s="6"/>
      <c r="J790" s="6"/>
      <c r="K790" s="6"/>
      <c r="L790" s="6"/>
      <c r="M790" s="6"/>
      <c r="N790" s="6"/>
      <c r="O790" s="6"/>
      <c r="P790" s="6"/>
      <c r="Q790" s="6"/>
      <c r="R790" s="6"/>
      <c r="S790" s="6"/>
      <c r="AV790" s="6"/>
      <c r="AW790" s="6"/>
      <c r="AX790" s="6"/>
      <c r="AY790" s="6"/>
      <c r="AZ790" s="6"/>
      <c r="BB790" s="6"/>
      <c r="BC790" s="6"/>
      <c r="BD790" s="6"/>
      <c r="BE790" s="6"/>
      <c r="BF790" s="6"/>
    </row>
    <row r="791" spans="1:58" s="2" customFormat="1" x14ac:dyDescent="0.2">
      <c r="A791" s="6"/>
      <c r="B791" s="6"/>
      <c r="C791" s="42"/>
      <c r="D791" s="6"/>
      <c r="E791" s="6"/>
      <c r="F791" s="6"/>
      <c r="G791" s="6"/>
      <c r="H791" s="6"/>
      <c r="I791" s="6"/>
      <c r="J791" s="6"/>
      <c r="K791" s="6"/>
      <c r="L791" s="6"/>
      <c r="M791" s="6"/>
      <c r="N791" s="6"/>
      <c r="O791" s="6"/>
      <c r="P791" s="6"/>
      <c r="Q791" s="6"/>
      <c r="R791" s="6"/>
      <c r="S791" s="6"/>
      <c r="AV791" s="6"/>
      <c r="AW791" s="6"/>
      <c r="AX791" s="6"/>
      <c r="AY791" s="6"/>
      <c r="AZ791" s="6"/>
      <c r="BB791" s="6"/>
      <c r="BC791" s="6"/>
      <c r="BD791" s="6"/>
      <c r="BE791" s="6"/>
      <c r="BF791" s="6"/>
    </row>
    <row r="792" spans="1:58" s="2" customFormat="1" x14ac:dyDescent="0.2">
      <c r="A792" s="6"/>
      <c r="B792" s="6"/>
      <c r="C792" s="42"/>
      <c r="D792" s="6"/>
      <c r="E792" s="6"/>
      <c r="F792" s="6"/>
      <c r="G792" s="6"/>
      <c r="H792" s="6"/>
      <c r="I792" s="6"/>
      <c r="J792" s="6"/>
      <c r="K792" s="6"/>
      <c r="L792" s="6"/>
      <c r="M792" s="6"/>
      <c r="N792" s="6"/>
      <c r="O792" s="6"/>
      <c r="P792" s="6"/>
      <c r="Q792" s="6"/>
      <c r="R792" s="6"/>
      <c r="S792" s="6"/>
      <c r="AV792" s="6"/>
      <c r="AW792" s="6"/>
      <c r="AX792" s="6"/>
      <c r="AY792" s="6"/>
      <c r="AZ792" s="6"/>
      <c r="BB792" s="6"/>
      <c r="BC792" s="6"/>
      <c r="BD792" s="6"/>
      <c r="BE792" s="6"/>
      <c r="BF792" s="6"/>
    </row>
    <row r="793" spans="1:58" s="2" customFormat="1" x14ac:dyDescent="0.2">
      <c r="A793" s="6"/>
      <c r="B793" s="6"/>
      <c r="C793" s="42"/>
      <c r="D793" s="6"/>
      <c r="E793" s="6"/>
      <c r="F793" s="6"/>
      <c r="G793" s="6"/>
      <c r="H793" s="6"/>
      <c r="I793" s="6"/>
      <c r="J793" s="6"/>
      <c r="K793" s="6"/>
      <c r="L793" s="6"/>
      <c r="M793" s="6"/>
      <c r="N793" s="6"/>
      <c r="O793" s="6"/>
      <c r="P793" s="6"/>
      <c r="Q793" s="6"/>
      <c r="R793" s="6"/>
      <c r="S793" s="6"/>
      <c r="AV793" s="6"/>
      <c r="AW793" s="6"/>
      <c r="AX793" s="6"/>
      <c r="AY793" s="6"/>
      <c r="AZ793" s="6"/>
      <c r="BB793" s="6"/>
      <c r="BC793" s="6"/>
      <c r="BD793" s="6"/>
      <c r="BE793" s="6"/>
      <c r="BF793" s="6"/>
    </row>
    <row r="794" spans="1:58" s="2" customFormat="1" x14ac:dyDescent="0.2">
      <c r="A794" s="6"/>
      <c r="B794" s="6"/>
      <c r="C794" s="42"/>
      <c r="D794" s="6"/>
      <c r="E794" s="6"/>
      <c r="F794" s="6"/>
      <c r="G794" s="6"/>
      <c r="H794" s="6"/>
      <c r="I794" s="6"/>
      <c r="J794" s="6"/>
      <c r="K794" s="6"/>
      <c r="L794" s="6"/>
      <c r="M794" s="6"/>
      <c r="N794" s="6"/>
      <c r="O794" s="6"/>
      <c r="P794" s="6"/>
      <c r="Q794" s="6"/>
      <c r="R794" s="6"/>
      <c r="S794" s="6"/>
      <c r="AV794" s="6"/>
      <c r="AW794" s="6"/>
      <c r="AX794" s="6"/>
      <c r="AY794" s="6"/>
      <c r="AZ794" s="6"/>
      <c r="BB794" s="6"/>
      <c r="BC794" s="6"/>
      <c r="BD794" s="6"/>
      <c r="BE794" s="6"/>
      <c r="BF794" s="6"/>
    </row>
    <row r="795" spans="1:58" s="2" customFormat="1" x14ac:dyDescent="0.2">
      <c r="A795" s="6"/>
      <c r="B795" s="6"/>
      <c r="C795" s="42"/>
      <c r="D795" s="6"/>
      <c r="E795" s="6"/>
      <c r="F795" s="6"/>
      <c r="G795" s="6"/>
      <c r="H795" s="6"/>
      <c r="I795" s="6"/>
      <c r="J795" s="6"/>
      <c r="K795" s="6"/>
      <c r="L795" s="6"/>
      <c r="M795" s="6"/>
      <c r="N795" s="6"/>
      <c r="O795" s="6"/>
      <c r="P795" s="6"/>
      <c r="Q795" s="6"/>
      <c r="R795" s="6"/>
      <c r="S795" s="6"/>
      <c r="AV795" s="6"/>
      <c r="AW795" s="6"/>
      <c r="AX795" s="6"/>
      <c r="AY795" s="6"/>
      <c r="AZ795" s="6"/>
      <c r="BB795" s="6"/>
      <c r="BC795" s="6"/>
      <c r="BD795" s="6"/>
      <c r="BE795" s="6"/>
      <c r="BF795" s="6"/>
    </row>
    <row r="796" spans="1:58" s="2" customFormat="1" x14ac:dyDescent="0.2">
      <c r="A796" s="6"/>
      <c r="B796" s="6"/>
      <c r="C796" s="42"/>
      <c r="D796" s="6"/>
      <c r="E796" s="6"/>
      <c r="F796" s="6"/>
      <c r="G796" s="6"/>
      <c r="H796" s="6"/>
      <c r="I796" s="6"/>
      <c r="J796" s="6"/>
      <c r="K796" s="6"/>
      <c r="L796" s="6"/>
      <c r="M796" s="6"/>
      <c r="N796" s="6"/>
      <c r="O796" s="6"/>
      <c r="P796" s="6"/>
      <c r="Q796" s="6"/>
      <c r="R796" s="6"/>
      <c r="S796" s="6"/>
      <c r="AV796" s="6"/>
      <c r="AW796" s="6"/>
      <c r="AX796" s="6"/>
      <c r="AY796" s="6"/>
      <c r="AZ796" s="6"/>
      <c r="BB796" s="6"/>
      <c r="BC796" s="6"/>
      <c r="BD796" s="6"/>
      <c r="BE796" s="6"/>
      <c r="BF796" s="6"/>
    </row>
    <row r="797" spans="1:58" s="2" customFormat="1" x14ac:dyDescent="0.2">
      <c r="A797" s="6"/>
      <c r="B797" s="6"/>
      <c r="C797" s="42"/>
      <c r="D797" s="6"/>
      <c r="E797" s="6"/>
      <c r="F797" s="6"/>
      <c r="G797" s="6"/>
      <c r="H797" s="6"/>
      <c r="I797" s="6"/>
      <c r="J797" s="6"/>
      <c r="K797" s="6"/>
      <c r="L797" s="6"/>
      <c r="M797" s="6"/>
      <c r="N797" s="6"/>
      <c r="O797" s="6"/>
      <c r="P797" s="6"/>
      <c r="Q797" s="6"/>
      <c r="R797" s="6"/>
      <c r="S797" s="6"/>
      <c r="AV797" s="6"/>
      <c r="AW797" s="6"/>
      <c r="AX797" s="6"/>
      <c r="AY797" s="6"/>
      <c r="AZ797" s="6"/>
      <c r="BB797" s="6"/>
      <c r="BC797" s="6"/>
      <c r="BD797" s="6"/>
      <c r="BE797" s="6"/>
      <c r="BF797" s="6"/>
    </row>
    <row r="798" spans="1:58" s="2" customFormat="1" x14ac:dyDescent="0.2">
      <c r="A798" s="6"/>
      <c r="B798" s="6"/>
      <c r="C798" s="42"/>
      <c r="D798" s="6"/>
      <c r="E798" s="6"/>
      <c r="F798" s="6"/>
      <c r="G798" s="6"/>
      <c r="H798" s="6"/>
      <c r="I798" s="6"/>
      <c r="J798" s="6"/>
      <c r="K798" s="6"/>
      <c r="L798" s="6"/>
      <c r="M798" s="6"/>
      <c r="N798" s="6"/>
      <c r="O798" s="6"/>
      <c r="P798" s="6"/>
      <c r="Q798" s="6"/>
      <c r="R798" s="6"/>
      <c r="S798" s="6"/>
      <c r="AV798" s="6"/>
      <c r="AW798" s="6"/>
      <c r="AX798" s="6"/>
      <c r="AY798" s="6"/>
      <c r="AZ798" s="6"/>
      <c r="BB798" s="6"/>
      <c r="BC798" s="6"/>
      <c r="BD798" s="6"/>
      <c r="BE798" s="6"/>
      <c r="BF798" s="6"/>
    </row>
    <row r="799" spans="1:58" s="2" customFormat="1" x14ac:dyDescent="0.2">
      <c r="A799" s="6"/>
      <c r="B799" s="6"/>
      <c r="C799" s="42"/>
      <c r="D799" s="6"/>
      <c r="E799" s="6"/>
      <c r="F799" s="6"/>
      <c r="G799" s="6"/>
      <c r="H799" s="6"/>
      <c r="I799" s="6"/>
      <c r="J799" s="6"/>
      <c r="K799" s="6"/>
      <c r="L799" s="6"/>
      <c r="M799" s="6"/>
      <c r="N799" s="6"/>
      <c r="O799" s="6"/>
      <c r="P799" s="6"/>
      <c r="Q799" s="6"/>
      <c r="R799" s="6"/>
      <c r="S799" s="6"/>
      <c r="AV799" s="6"/>
      <c r="AW799" s="6"/>
      <c r="AX799" s="6"/>
      <c r="AY799" s="6"/>
      <c r="AZ799" s="6"/>
      <c r="BB799" s="6"/>
      <c r="BC799" s="6"/>
      <c r="BD799" s="6"/>
      <c r="BE799" s="6"/>
      <c r="BF799" s="6"/>
    </row>
    <row r="800" spans="1:58" s="2" customFormat="1" x14ac:dyDescent="0.2">
      <c r="A800" s="6"/>
      <c r="B800" s="6"/>
      <c r="C800" s="42"/>
      <c r="D800" s="6"/>
      <c r="E800" s="6"/>
      <c r="F800" s="6"/>
      <c r="G800" s="6"/>
      <c r="H800" s="6"/>
      <c r="I800" s="6"/>
      <c r="J800" s="6"/>
      <c r="K800" s="6"/>
      <c r="L800" s="6"/>
      <c r="M800" s="6"/>
      <c r="N800" s="6"/>
      <c r="O800" s="6"/>
      <c r="P800" s="6"/>
      <c r="Q800" s="6"/>
      <c r="R800" s="6"/>
      <c r="S800" s="6"/>
      <c r="AV800" s="6"/>
      <c r="AW800" s="6"/>
      <c r="AX800" s="6"/>
      <c r="AY800" s="6"/>
      <c r="AZ800" s="6"/>
      <c r="BB800" s="6"/>
      <c r="BC800" s="6"/>
      <c r="BD800" s="6"/>
      <c r="BE800" s="6"/>
      <c r="BF800" s="6"/>
    </row>
    <row r="801" spans="1:58" s="2" customFormat="1" x14ac:dyDescent="0.2">
      <c r="A801" s="6"/>
      <c r="B801" s="6"/>
      <c r="C801" s="42"/>
      <c r="D801" s="6"/>
      <c r="E801" s="6"/>
      <c r="F801" s="6"/>
      <c r="G801" s="6"/>
      <c r="H801" s="6"/>
      <c r="I801" s="6"/>
      <c r="J801" s="6"/>
      <c r="K801" s="6"/>
      <c r="L801" s="6"/>
      <c r="M801" s="6"/>
      <c r="N801" s="6"/>
      <c r="O801" s="6"/>
      <c r="P801" s="6"/>
      <c r="Q801" s="6"/>
      <c r="R801" s="6"/>
      <c r="S801" s="6"/>
      <c r="AV801" s="6"/>
      <c r="AW801" s="6"/>
      <c r="AX801" s="6"/>
      <c r="AY801" s="6"/>
      <c r="AZ801" s="6"/>
      <c r="BB801" s="6"/>
      <c r="BC801" s="6"/>
      <c r="BD801" s="6"/>
      <c r="BE801" s="6"/>
      <c r="BF801" s="6"/>
    </row>
    <row r="802" spans="1:58" s="2" customFormat="1" x14ac:dyDescent="0.2">
      <c r="A802" s="6"/>
      <c r="B802" s="6"/>
      <c r="C802" s="42"/>
      <c r="D802" s="6"/>
      <c r="E802" s="6"/>
      <c r="F802" s="6"/>
      <c r="G802" s="6"/>
      <c r="H802" s="6"/>
      <c r="I802" s="6"/>
      <c r="J802" s="6"/>
      <c r="K802" s="6"/>
      <c r="L802" s="6"/>
      <c r="M802" s="6"/>
      <c r="N802" s="6"/>
      <c r="O802" s="6"/>
      <c r="P802" s="6"/>
      <c r="Q802" s="6"/>
      <c r="R802" s="6"/>
      <c r="S802" s="6"/>
      <c r="AV802" s="6"/>
      <c r="AW802" s="6"/>
      <c r="AX802" s="6"/>
      <c r="AY802" s="6"/>
      <c r="AZ802" s="6"/>
      <c r="BB802" s="6"/>
      <c r="BC802" s="6"/>
      <c r="BD802" s="6"/>
      <c r="BE802" s="6"/>
      <c r="BF802" s="6"/>
    </row>
    <row r="803" spans="1:58" s="2" customFormat="1" x14ac:dyDescent="0.2">
      <c r="A803" s="6"/>
      <c r="B803" s="6"/>
      <c r="C803" s="42"/>
      <c r="D803" s="6"/>
      <c r="E803" s="6"/>
      <c r="F803" s="6"/>
      <c r="G803" s="6"/>
      <c r="H803" s="6"/>
      <c r="I803" s="6"/>
      <c r="J803" s="6"/>
      <c r="K803" s="6"/>
      <c r="L803" s="6"/>
      <c r="M803" s="6"/>
      <c r="N803" s="6"/>
      <c r="O803" s="6"/>
      <c r="P803" s="6"/>
      <c r="Q803" s="6"/>
      <c r="R803" s="6"/>
      <c r="S803" s="6"/>
      <c r="AV803" s="6"/>
      <c r="AW803" s="6"/>
      <c r="AX803" s="6"/>
      <c r="AY803" s="6"/>
      <c r="AZ803" s="6"/>
      <c r="BB803" s="6"/>
      <c r="BC803" s="6"/>
      <c r="BD803" s="6"/>
      <c r="BE803" s="6"/>
      <c r="BF803" s="6"/>
    </row>
    <row r="804" spans="1:58" s="2" customFormat="1" x14ac:dyDescent="0.2">
      <c r="A804" s="6"/>
      <c r="B804" s="6"/>
      <c r="C804" s="42"/>
      <c r="D804" s="6"/>
      <c r="E804" s="6"/>
      <c r="F804" s="6"/>
      <c r="G804" s="6"/>
      <c r="H804" s="6"/>
      <c r="I804" s="6"/>
      <c r="J804" s="6"/>
      <c r="K804" s="6"/>
      <c r="L804" s="6"/>
      <c r="M804" s="6"/>
      <c r="N804" s="6"/>
      <c r="O804" s="6"/>
      <c r="P804" s="6"/>
      <c r="Q804" s="6"/>
      <c r="R804" s="6"/>
      <c r="S804" s="6"/>
      <c r="AV804" s="6"/>
      <c r="AW804" s="6"/>
      <c r="AX804" s="6"/>
      <c r="AY804" s="6"/>
      <c r="AZ804" s="6"/>
      <c r="BB804" s="6"/>
      <c r="BC804" s="6"/>
      <c r="BD804" s="6"/>
      <c r="BE804" s="6"/>
      <c r="BF804" s="6"/>
    </row>
    <row r="805" spans="1:58" s="2" customFormat="1" x14ac:dyDescent="0.2">
      <c r="A805" s="6"/>
      <c r="B805" s="6"/>
      <c r="C805" s="42"/>
      <c r="D805" s="6"/>
      <c r="E805" s="6"/>
      <c r="F805" s="6"/>
      <c r="G805" s="6"/>
      <c r="H805" s="6"/>
      <c r="I805" s="6"/>
      <c r="J805" s="6"/>
      <c r="K805" s="6"/>
      <c r="L805" s="6"/>
      <c r="M805" s="6"/>
      <c r="N805" s="6"/>
      <c r="O805" s="6"/>
      <c r="P805" s="6"/>
      <c r="Q805" s="6"/>
      <c r="R805" s="6"/>
      <c r="S805" s="6"/>
      <c r="AV805" s="6"/>
      <c r="AW805" s="6"/>
      <c r="AX805" s="6"/>
      <c r="AY805" s="6"/>
      <c r="AZ805" s="6"/>
      <c r="BB805" s="6"/>
      <c r="BC805" s="6"/>
      <c r="BD805" s="6"/>
      <c r="BE805" s="6"/>
      <c r="BF805" s="6"/>
    </row>
    <row r="806" spans="1:58" s="2" customFormat="1" x14ac:dyDescent="0.2">
      <c r="A806" s="6"/>
      <c r="B806" s="6"/>
      <c r="C806" s="42"/>
      <c r="D806" s="6"/>
      <c r="E806" s="6"/>
      <c r="F806" s="6"/>
      <c r="G806" s="6"/>
      <c r="H806" s="6"/>
      <c r="I806" s="6"/>
      <c r="J806" s="6"/>
      <c r="K806" s="6"/>
      <c r="L806" s="6"/>
      <c r="M806" s="6"/>
      <c r="N806" s="6"/>
      <c r="O806" s="6"/>
      <c r="P806" s="6"/>
      <c r="Q806" s="6"/>
      <c r="R806" s="6"/>
      <c r="S806" s="6"/>
      <c r="AV806" s="6"/>
      <c r="AW806" s="6"/>
      <c r="AX806" s="6"/>
      <c r="AY806" s="6"/>
      <c r="AZ806" s="6"/>
      <c r="BB806" s="6"/>
      <c r="BC806" s="6"/>
      <c r="BD806" s="6"/>
      <c r="BE806" s="6"/>
      <c r="BF806" s="6"/>
    </row>
    <row r="807" spans="1:58" s="2" customFormat="1" x14ac:dyDescent="0.2">
      <c r="A807" s="6"/>
      <c r="B807" s="6"/>
      <c r="C807" s="42"/>
      <c r="D807" s="6"/>
      <c r="E807" s="6"/>
      <c r="F807" s="6"/>
      <c r="G807" s="6"/>
      <c r="H807" s="6"/>
      <c r="I807" s="6"/>
      <c r="J807" s="6"/>
      <c r="K807" s="6"/>
      <c r="L807" s="6"/>
      <c r="M807" s="6"/>
      <c r="N807" s="6"/>
      <c r="O807" s="6"/>
      <c r="P807" s="6"/>
      <c r="Q807" s="6"/>
      <c r="R807" s="6"/>
      <c r="S807" s="6"/>
      <c r="AV807" s="6"/>
      <c r="AW807" s="6"/>
      <c r="AX807" s="6"/>
      <c r="AY807" s="6"/>
      <c r="AZ807" s="6"/>
      <c r="BB807" s="6"/>
      <c r="BC807" s="6"/>
      <c r="BD807" s="6"/>
      <c r="BE807" s="6"/>
      <c r="BF807" s="6"/>
    </row>
    <row r="808" spans="1:58" s="2" customFormat="1" x14ac:dyDescent="0.2">
      <c r="A808" s="6"/>
      <c r="B808" s="6"/>
      <c r="C808" s="42"/>
      <c r="D808" s="6"/>
      <c r="E808" s="6"/>
      <c r="F808" s="6"/>
      <c r="G808" s="6"/>
      <c r="H808" s="6"/>
      <c r="I808" s="6"/>
      <c r="J808" s="6"/>
      <c r="K808" s="6"/>
      <c r="L808" s="6"/>
      <c r="M808" s="6"/>
      <c r="N808" s="6"/>
      <c r="O808" s="6"/>
      <c r="P808" s="6"/>
      <c r="Q808" s="6"/>
      <c r="R808" s="6"/>
      <c r="S808" s="6"/>
      <c r="AV808" s="6"/>
      <c r="AW808" s="6"/>
      <c r="AX808" s="6"/>
      <c r="AY808" s="6"/>
      <c r="AZ808" s="6"/>
      <c r="BB808" s="6"/>
      <c r="BC808" s="6"/>
      <c r="BD808" s="6"/>
      <c r="BE808" s="6"/>
      <c r="BF808" s="6"/>
    </row>
    <row r="809" spans="1:58" s="2" customFormat="1" x14ac:dyDescent="0.2">
      <c r="A809" s="6"/>
      <c r="B809" s="6"/>
      <c r="C809" s="42"/>
      <c r="D809" s="6"/>
      <c r="E809" s="6"/>
      <c r="F809" s="6"/>
      <c r="G809" s="6"/>
      <c r="H809" s="6"/>
      <c r="I809" s="6"/>
      <c r="J809" s="6"/>
      <c r="K809" s="6"/>
      <c r="L809" s="6"/>
      <c r="M809" s="6"/>
      <c r="N809" s="6"/>
      <c r="O809" s="6"/>
      <c r="P809" s="6"/>
      <c r="Q809" s="6"/>
      <c r="R809" s="6"/>
      <c r="S809" s="6"/>
      <c r="AV809" s="6"/>
      <c r="AW809" s="6"/>
      <c r="AX809" s="6"/>
      <c r="AY809" s="6"/>
      <c r="AZ809" s="6"/>
      <c r="BB809" s="6"/>
      <c r="BC809" s="6"/>
      <c r="BD809" s="6"/>
      <c r="BE809" s="6"/>
      <c r="BF809" s="6"/>
    </row>
    <row r="810" spans="1:58" s="2" customFormat="1" x14ac:dyDescent="0.2">
      <c r="A810" s="6"/>
      <c r="B810" s="6"/>
      <c r="C810" s="42"/>
      <c r="D810" s="6"/>
      <c r="E810" s="6"/>
      <c r="F810" s="6"/>
      <c r="G810" s="6"/>
      <c r="H810" s="6"/>
      <c r="I810" s="6"/>
      <c r="J810" s="6"/>
      <c r="K810" s="6"/>
      <c r="L810" s="6"/>
      <c r="M810" s="6"/>
      <c r="N810" s="6"/>
      <c r="O810" s="6"/>
      <c r="P810" s="6"/>
      <c r="Q810" s="6"/>
      <c r="R810" s="6"/>
      <c r="S810" s="6"/>
      <c r="AV810" s="6"/>
      <c r="AW810" s="6"/>
      <c r="AX810" s="6"/>
      <c r="AY810" s="6"/>
      <c r="AZ810" s="6"/>
      <c r="BB810" s="6"/>
      <c r="BC810" s="6"/>
      <c r="BD810" s="6"/>
      <c r="BE810" s="6"/>
      <c r="BF810" s="6"/>
    </row>
    <row r="811" spans="1:58" s="2" customFormat="1" x14ac:dyDescent="0.2">
      <c r="A811" s="6"/>
      <c r="B811" s="6"/>
      <c r="C811" s="42"/>
      <c r="D811" s="6"/>
      <c r="E811" s="6"/>
      <c r="F811" s="6"/>
      <c r="G811" s="6"/>
      <c r="H811" s="6"/>
      <c r="I811" s="6"/>
      <c r="J811" s="6"/>
      <c r="K811" s="6"/>
      <c r="L811" s="6"/>
      <c r="M811" s="6"/>
      <c r="N811" s="6"/>
      <c r="O811" s="6"/>
      <c r="P811" s="6"/>
      <c r="Q811" s="6"/>
      <c r="R811" s="6"/>
      <c r="S811" s="6"/>
      <c r="AV811" s="6"/>
      <c r="AW811" s="6"/>
      <c r="AX811" s="6"/>
      <c r="AY811" s="6"/>
      <c r="AZ811" s="6"/>
      <c r="BB811" s="6"/>
      <c r="BC811" s="6"/>
      <c r="BD811" s="6"/>
      <c r="BE811" s="6"/>
      <c r="BF811" s="6"/>
    </row>
    <row r="812" spans="1:58" s="2" customFormat="1" x14ac:dyDescent="0.2">
      <c r="A812" s="6"/>
      <c r="B812" s="6"/>
      <c r="C812" s="42"/>
      <c r="D812" s="6"/>
      <c r="E812" s="6"/>
      <c r="F812" s="6"/>
      <c r="G812" s="6"/>
      <c r="H812" s="6"/>
      <c r="I812" s="6"/>
      <c r="J812" s="6"/>
      <c r="K812" s="6"/>
      <c r="L812" s="6"/>
      <c r="M812" s="6"/>
      <c r="N812" s="6"/>
      <c r="O812" s="6"/>
      <c r="P812" s="6"/>
      <c r="Q812" s="6"/>
      <c r="R812" s="6"/>
      <c r="S812" s="6"/>
      <c r="AV812" s="6"/>
      <c r="AW812" s="6"/>
      <c r="AX812" s="6"/>
      <c r="AY812" s="6"/>
      <c r="AZ812" s="6"/>
      <c r="BB812" s="6"/>
      <c r="BC812" s="6"/>
      <c r="BD812" s="6"/>
      <c r="BE812" s="6"/>
      <c r="BF812" s="6"/>
    </row>
    <row r="813" spans="1:58" s="2" customFormat="1" x14ac:dyDescent="0.2">
      <c r="A813" s="6"/>
      <c r="B813" s="6"/>
      <c r="C813" s="42"/>
      <c r="D813" s="6"/>
      <c r="E813" s="6"/>
      <c r="F813" s="6"/>
      <c r="G813" s="6"/>
      <c r="H813" s="6"/>
      <c r="I813" s="6"/>
      <c r="J813" s="6"/>
      <c r="K813" s="6"/>
      <c r="L813" s="6"/>
      <c r="M813" s="6"/>
      <c r="N813" s="6"/>
      <c r="O813" s="6"/>
      <c r="P813" s="6"/>
      <c r="Q813" s="6"/>
      <c r="R813" s="6"/>
      <c r="S813" s="6"/>
      <c r="AV813" s="6"/>
      <c r="AW813" s="6"/>
      <c r="AX813" s="6"/>
      <c r="AY813" s="6"/>
      <c r="AZ813" s="6"/>
      <c r="BB813" s="6"/>
      <c r="BC813" s="6"/>
      <c r="BD813" s="6"/>
      <c r="BE813" s="6"/>
      <c r="BF813" s="6"/>
    </row>
    <row r="814" spans="1:58" s="2" customFormat="1" x14ac:dyDescent="0.2">
      <c r="A814" s="6"/>
      <c r="B814" s="6"/>
      <c r="C814" s="42"/>
      <c r="D814" s="6"/>
      <c r="E814" s="6"/>
      <c r="F814" s="6"/>
      <c r="G814" s="6"/>
      <c r="H814" s="6"/>
      <c r="I814" s="6"/>
      <c r="J814" s="6"/>
      <c r="K814" s="6"/>
      <c r="L814" s="6"/>
      <c r="M814" s="6"/>
      <c r="N814" s="6"/>
      <c r="O814" s="6"/>
      <c r="P814" s="6"/>
      <c r="Q814" s="6"/>
      <c r="R814" s="6"/>
      <c r="S814" s="6"/>
      <c r="AV814" s="6"/>
      <c r="AW814" s="6"/>
      <c r="AX814" s="6"/>
      <c r="AY814" s="6"/>
      <c r="AZ814" s="6"/>
      <c r="BB814" s="6"/>
      <c r="BC814" s="6"/>
      <c r="BD814" s="6"/>
      <c r="BE814" s="6"/>
      <c r="BF814" s="6"/>
    </row>
    <row r="815" spans="1:58" s="2" customFormat="1" x14ac:dyDescent="0.2">
      <c r="A815" s="6"/>
      <c r="B815" s="6"/>
      <c r="C815" s="42"/>
      <c r="D815" s="6"/>
      <c r="E815" s="6"/>
      <c r="F815" s="6"/>
      <c r="G815" s="6"/>
      <c r="H815" s="6"/>
      <c r="I815" s="6"/>
      <c r="J815" s="6"/>
      <c r="K815" s="6"/>
      <c r="L815" s="6"/>
      <c r="M815" s="6"/>
      <c r="N815" s="6"/>
      <c r="O815" s="6"/>
      <c r="P815" s="6"/>
      <c r="Q815" s="6"/>
      <c r="R815" s="6"/>
      <c r="S815" s="6"/>
      <c r="AV815" s="6"/>
      <c r="AW815" s="6"/>
      <c r="AX815" s="6"/>
      <c r="AY815" s="6"/>
      <c r="AZ815" s="6"/>
      <c r="BB815" s="6"/>
      <c r="BC815" s="6"/>
      <c r="BD815" s="6"/>
      <c r="BE815" s="6"/>
      <c r="BF815" s="6"/>
    </row>
    <row r="816" spans="1:58" s="2" customFormat="1" x14ac:dyDescent="0.2">
      <c r="A816" s="6"/>
      <c r="B816" s="6"/>
      <c r="C816" s="42"/>
      <c r="D816" s="6"/>
      <c r="E816" s="6"/>
      <c r="F816" s="6"/>
      <c r="G816" s="6"/>
      <c r="H816" s="6"/>
      <c r="I816" s="6"/>
      <c r="J816" s="6"/>
      <c r="K816" s="6"/>
      <c r="L816" s="6"/>
      <c r="M816" s="6"/>
      <c r="N816" s="6"/>
      <c r="O816" s="6"/>
      <c r="P816" s="6"/>
      <c r="Q816" s="6"/>
      <c r="R816" s="6"/>
      <c r="S816" s="6"/>
      <c r="AV816" s="6"/>
      <c r="AW816" s="6"/>
      <c r="AX816" s="6"/>
      <c r="AY816" s="6"/>
      <c r="AZ816" s="6"/>
      <c r="BB816" s="6"/>
      <c r="BC816" s="6"/>
      <c r="BD816" s="6"/>
      <c r="BE816" s="6"/>
      <c r="BF816" s="6"/>
    </row>
    <row r="817" spans="1:58" s="2" customFormat="1" x14ac:dyDescent="0.2">
      <c r="A817" s="6"/>
      <c r="B817" s="6"/>
      <c r="C817" s="42"/>
      <c r="D817" s="6"/>
      <c r="E817" s="6"/>
      <c r="F817" s="6"/>
      <c r="G817" s="6"/>
      <c r="H817" s="6"/>
      <c r="I817" s="6"/>
      <c r="J817" s="6"/>
      <c r="K817" s="6"/>
      <c r="L817" s="6"/>
      <c r="M817" s="6"/>
      <c r="N817" s="6"/>
      <c r="O817" s="6"/>
      <c r="P817" s="6"/>
      <c r="Q817" s="6"/>
      <c r="R817" s="6"/>
      <c r="S817" s="6"/>
      <c r="AV817" s="6"/>
      <c r="AW817" s="6"/>
      <c r="AX817" s="6"/>
      <c r="AY817" s="6"/>
      <c r="AZ817" s="6"/>
      <c r="BB817" s="6"/>
      <c r="BC817" s="6"/>
      <c r="BD817" s="6"/>
      <c r="BE817" s="6"/>
      <c r="BF817" s="6"/>
    </row>
    <row r="818" spans="1:58" s="2" customFormat="1" x14ac:dyDescent="0.2">
      <c r="A818" s="6"/>
      <c r="B818" s="6"/>
      <c r="C818" s="42"/>
      <c r="D818" s="6"/>
      <c r="E818" s="6"/>
      <c r="F818" s="6"/>
      <c r="G818" s="6"/>
      <c r="H818" s="6"/>
      <c r="I818" s="6"/>
      <c r="J818" s="6"/>
      <c r="K818" s="6"/>
      <c r="L818" s="6"/>
      <c r="M818" s="6"/>
      <c r="N818" s="6"/>
      <c r="O818" s="6"/>
      <c r="P818" s="6"/>
      <c r="Q818" s="6"/>
      <c r="R818" s="6"/>
      <c r="S818" s="6"/>
      <c r="AV818" s="6"/>
      <c r="AW818" s="6"/>
      <c r="AX818" s="6"/>
      <c r="AY818" s="6"/>
      <c r="AZ818" s="6"/>
      <c r="BB818" s="6"/>
      <c r="BC818" s="6"/>
      <c r="BD818" s="6"/>
      <c r="BE818" s="6"/>
      <c r="BF818" s="6"/>
    </row>
    <row r="819" spans="1:58" s="2" customFormat="1" x14ac:dyDescent="0.2">
      <c r="A819" s="6"/>
      <c r="B819" s="6"/>
      <c r="C819" s="42"/>
      <c r="D819" s="6"/>
      <c r="E819" s="6"/>
      <c r="F819" s="6"/>
      <c r="G819" s="6"/>
      <c r="H819" s="6"/>
      <c r="I819" s="6"/>
      <c r="J819" s="6"/>
      <c r="K819" s="6"/>
      <c r="L819" s="6"/>
      <c r="M819" s="6"/>
      <c r="N819" s="6"/>
      <c r="O819" s="6"/>
      <c r="P819" s="6"/>
      <c r="Q819" s="6"/>
      <c r="R819" s="6"/>
      <c r="S819" s="6"/>
      <c r="AV819" s="6"/>
      <c r="AW819" s="6"/>
      <c r="AX819" s="6"/>
      <c r="AY819" s="6"/>
      <c r="AZ819" s="6"/>
      <c r="BB819" s="6"/>
      <c r="BC819" s="6"/>
      <c r="BD819" s="6"/>
      <c r="BE819" s="6"/>
      <c r="BF819" s="6"/>
    </row>
    <row r="820" spans="1:58" s="2" customFormat="1" x14ac:dyDescent="0.2">
      <c r="A820" s="6"/>
      <c r="B820" s="6"/>
      <c r="C820" s="42"/>
      <c r="D820" s="6"/>
      <c r="E820" s="6"/>
      <c r="F820" s="6"/>
      <c r="G820" s="6"/>
      <c r="H820" s="6"/>
      <c r="I820" s="6"/>
      <c r="J820" s="6"/>
      <c r="K820" s="6"/>
      <c r="L820" s="6"/>
      <c r="M820" s="6"/>
      <c r="N820" s="6"/>
      <c r="O820" s="6"/>
      <c r="P820" s="6"/>
      <c r="Q820" s="6"/>
      <c r="R820" s="6"/>
      <c r="S820" s="6"/>
      <c r="AV820" s="6"/>
      <c r="AW820" s="6"/>
      <c r="AX820" s="6"/>
      <c r="AY820" s="6"/>
      <c r="AZ820" s="6"/>
      <c r="BB820" s="6"/>
      <c r="BC820" s="6"/>
      <c r="BD820" s="6"/>
      <c r="BE820" s="6"/>
      <c r="BF820" s="6"/>
    </row>
    <row r="821" spans="1:58" s="2" customFormat="1" x14ac:dyDescent="0.2">
      <c r="A821" s="6"/>
      <c r="B821" s="6"/>
      <c r="C821" s="42"/>
      <c r="D821" s="6"/>
      <c r="E821" s="6"/>
      <c r="F821" s="6"/>
      <c r="G821" s="6"/>
      <c r="H821" s="6"/>
      <c r="I821" s="6"/>
      <c r="J821" s="6"/>
      <c r="K821" s="6"/>
      <c r="L821" s="6"/>
      <c r="M821" s="6"/>
      <c r="N821" s="6"/>
      <c r="O821" s="6"/>
      <c r="P821" s="6"/>
      <c r="Q821" s="6"/>
      <c r="R821" s="6"/>
      <c r="S821" s="6"/>
      <c r="AV821" s="6"/>
      <c r="AW821" s="6"/>
      <c r="AX821" s="6"/>
      <c r="AY821" s="6"/>
      <c r="AZ821" s="6"/>
      <c r="BB821" s="6"/>
      <c r="BC821" s="6"/>
      <c r="BD821" s="6"/>
      <c r="BE821" s="6"/>
      <c r="BF821" s="6"/>
    </row>
    <row r="822" spans="1:58" s="2" customFormat="1" x14ac:dyDescent="0.2">
      <c r="A822" s="6"/>
      <c r="B822" s="6"/>
      <c r="C822" s="42"/>
      <c r="D822" s="6"/>
      <c r="E822" s="6"/>
      <c r="F822" s="6"/>
      <c r="G822" s="6"/>
      <c r="H822" s="6"/>
      <c r="I822" s="6"/>
      <c r="J822" s="6"/>
      <c r="K822" s="6"/>
      <c r="L822" s="6"/>
      <c r="M822" s="6"/>
      <c r="N822" s="6"/>
      <c r="O822" s="6"/>
      <c r="P822" s="6"/>
      <c r="Q822" s="6"/>
      <c r="R822" s="6"/>
      <c r="S822" s="6"/>
      <c r="AV822" s="6"/>
      <c r="AW822" s="6"/>
      <c r="AX822" s="6"/>
      <c r="AY822" s="6"/>
      <c r="AZ822" s="6"/>
      <c r="BB822" s="6"/>
      <c r="BC822" s="6"/>
      <c r="BD822" s="6"/>
      <c r="BE822" s="6"/>
      <c r="BF822" s="6"/>
    </row>
    <row r="823" spans="1:58" s="2" customFormat="1" x14ac:dyDescent="0.2">
      <c r="A823" s="6"/>
      <c r="B823" s="6"/>
      <c r="C823" s="42"/>
      <c r="D823" s="6"/>
      <c r="E823" s="6"/>
      <c r="F823" s="6"/>
      <c r="G823" s="6"/>
      <c r="H823" s="6"/>
      <c r="I823" s="6"/>
      <c r="J823" s="6"/>
      <c r="K823" s="6"/>
      <c r="L823" s="6"/>
      <c r="M823" s="6"/>
      <c r="N823" s="6"/>
      <c r="O823" s="6"/>
      <c r="P823" s="6"/>
      <c r="Q823" s="6"/>
      <c r="R823" s="6"/>
      <c r="S823" s="6"/>
      <c r="AV823" s="6"/>
      <c r="AW823" s="6"/>
      <c r="AX823" s="6"/>
      <c r="AY823" s="6"/>
      <c r="AZ823" s="6"/>
      <c r="BB823" s="6"/>
      <c r="BC823" s="6"/>
      <c r="BD823" s="6"/>
      <c r="BE823" s="6"/>
      <c r="BF823" s="6"/>
    </row>
    <row r="824" spans="1:58" s="2" customFormat="1" x14ac:dyDescent="0.2">
      <c r="A824" s="6"/>
      <c r="B824" s="6"/>
      <c r="C824" s="42"/>
      <c r="D824" s="6"/>
      <c r="E824" s="6"/>
      <c r="F824" s="6"/>
      <c r="G824" s="6"/>
      <c r="H824" s="6"/>
      <c r="I824" s="6"/>
      <c r="J824" s="6"/>
      <c r="K824" s="6"/>
      <c r="L824" s="6"/>
      <c r="M824" s="6"/>
      <c r="N824" s="6"/>
      <c r="O824" s="6"/>
      <c r="P824" s="6"/>
      <c r="Q824" s="6"/>
      <c r="R824" s="6"/>
      <c r="S824" s="6"/>
      <c r="AV824" s="6"/>
      <c r="AW824" s="6"/>
      <c r="AX824" s="6"/>
      <c r="AY824" s="6"/>
      <c r="AZ824" s="6"/>
      <c r="BB824" s="6"/>
      <c r="BC824" s="6"/>
      <c r="BD824" s="6"/>
      <c r="BE824" s="6"/>
      <c r="BF824" s="6"/>
    </row>
    <row r="825" spans="1:58" s="2" customFormat="1" x14ac:dyDescent="0.2">
      <c r="A825" s="6"/>
      <c r="B825" s="6"/>
      <c r="C825" s="42"/>
      <c r="D825" s="6"/>
      <c r="E825" s="6"/>
      <c r="F825" s="6"/>
      <c r="G825" s="6"/>
      <c r="H825" s="6"/>
      <c r="I825" s="6"/>
      <c r="J825" s="6"/>
      <c r="K825" s="6"/>
      <c r="L825" s="6"/>
      <c r="M825" s="6"/>
      <c r="N825" s="6"/>
      <c r="O825" s="6"/>
      <c r="P825" s="6"/>
      <c r="Q825" s="6"/>
      <c r="R825" s="6"/>
      <c r="S825" s="6"/>
      <c r="AV825" s="6"/>
      <c r="AW825" s="6"/>
      <c r="AX825" s="6"/>
      <c r="AY825" s="6"/>
      <c r="AZ825" s="6"/>
      <c r="BB825" s="6"/>
      <c r="BC825" s="6"/>
      <c r="BD825" s="6"/>
      <c r="BE825" s="6"/>
      <c r="BF825" s="6"/>
    </row>
    <row r="826" spans="1:58" s="2" customFormat="1" x14ac:dyDescent="0.2">
      <c r="A826" s="6"/>
      <c r="B826" s="6"/>
      <c r="C826" s="42"/>
      <c r="D826" s="6"/>
      <c r="E826" s="6"/>
      <c r="F826" s="6"/>
      <c r="G826" s="6"/>
      <c r="H826" s="6"/>
      <c r="I826" s="6"/>
      <c r="J826" s="6"/>
      <c r="K826" s="6"/>
      <c r="L826" s="6"/>
      <c r="M826" s="6"/>
      <c r="N826" s="6"/>
      <c r="O826" s="6"/>
      <c r="P826" s="6"/>
      <c r="Q826" s="6"/>
      <c r="R826" s="6"/>
      <c r="S826" s="6"/>
      <c r="AV826" s="6"/>
      <c r="AW826" s="6"/>
      <c r="AX826" s="6"/>
      <c r="AY826" s="6"/>
      <c r="AZ826" s="6"/>
      <c r="BB826" s="6"/>
      <c r="BC826" s="6"/>
      <c r="BD826" s="6"/>
      <c r="BE826" s="6"/>
      <c r="BF826" s="6"/>
    </row>
    <row r="827" spans="1:58" s="2" customFormat="1" x14ac:dyDescent="0.2">
      <c r="A827" s="6"/>
      <c r="B827" s="6"/>
      <c r="C827" s="42"/>
      <c r="D827" s="6"/>
      <c r="E827" s="6"/>
      <c r="F827" s="6"/>
      <c r="G827" s="6"/>
      <c r="H827" s="6"/>
      <c r="I827" s="6"/>
      <c r="J827" s="6"/>
      <c r="K827" s="6"/>
      <c r="L827" s="6"/>
      <c r="M827" s="6"/>
      <c r="N827" s="6"/>
      <c r="O827" s="6"/>
      <c r="P827" s="6"/>
      <c r="Q827" s="6"/>
      <c r="R827" s="6"/>
      <c r="S827" s="6"/>
      <c r="AV827" s="6"/>
      <c r="AW827" s="6"/>
      <c r="AX827" s="6"/>
      <c r="AY827" s="6"/>
      <c r="AZ827" s="6"/>
      <c r="BB827" s="6"/>
      <c r="BC827" s="6"/>
      <c r="BD827" s="6"/>
      <c r="BE827" s="6"/>
      <c r="BF827" s="6"/>
    </row>
    <row r="828" spans="1:58" s="2" customFormat="1" x14ac:dyDescent="0.2">
      <c r="A828" s="6"/>
      <c r="B828" s="6"/>
      <c r="C828" s="42"/>
      <c r="D828" s="6"/>
      <c r="E828" s="6"/>
      <c r="F828" s="6"/>
      <c r="G828" s="6"/>
      <c r="H828" s="6"/>
      <c r="I828" s="6"/>
      <c r="J828" s="6"/>
      <c r="K828" s="6"/>
      <c r="L828" s="6"/>
      <c r="M828" s="6"/>
      <c r="N828" s="6"/>
      <c r="O828" s="6"/>
      <c r="P828" s="6"/>
      <c r="Q828" s="6"/>
      <c r="R828" s="6"/>
      <c r="S828" s="6"/>
      <c r="AV828" s="6"/>
      <c r="AW828" s="6"/>
      <c r="AX828" s="6"/>
      <c r="AY828" s="6"/>
      <c r="AZ828" s="6"/>
      <c r="BB828" s="6"/>
      <c r="BC828" s="6"/>
      <c r="BD828" s="6"/>
      <c r="BE828" s="6"/>
      <c r="BF828" s="6"/>
    </row>
    <row r="829" spans="1:58" s="2" customFormat="1" x14ac:dyDescent="0.2">
      <c r="A829" s="6"/>
      <c r="B829" s="6"/>
      <c r="C829" s="42"/>
      <c r="D829" s="6"/>
      <c r="E829" s="6"/>
      <c r="F829" s="6"/>
      <c r="G829" s="6"/>
      <c r="H829" s="6"/>
      <c r="I829" s="6"/>
      <c r="J829" s="6"/>
      <c r="K829" s="6"/>
      <c r="L829" s="6"/>
      <c r="M829" s="6"/>
      <c r="N829" s="6"/>
      <c r="O829" s="6"/>
      <c r="P829" s="6"/>
      <c r="Q829" s="6"/>
      <c r="R829" s="6"/>
      <c r="S829" s="6"/>
      <c r="AV829" s="6"/>
      <c r="AW829" s="6"/>
      <c r="AX829" s="6"/>
      <c r="AY829" s="6"/>
      <c r="AZ829" s="6"/>
      <c r="BB829" s="6"/>
      <c r="BC829" s="6"/>
      <c r="BD829" s="6"/>
      <c r="BE829" s="6"/>
      <c r="BF829" s="6"/>
    </row>
    <row r="830" spans="1:58" s="2" customFormat="1" x14ac:dyDescent="0.2">
      <c r="A830" s="6"/>
      <c r="B830" s="6"/>
      <c r="C830" s="42"/>
      <c r="D830" s="6"/>
      <c r="E830" s="6"/>
      <c r="F830" s="6"/>
      <c r="G830" s="6"/>
      <c r="H830" s="6"/>
      <c r="I830" s="6"/>
      <c r="J830" s="6"/>
      <c r="K830" s="6"/>
      <c r="L830" s="6"/>
      <c r="M830" s="6"/>
      <c r="N830" s="6"/>
      <c r="O830" s="6"/>
      <c r="P830" s="6"/>
      <c r="Q830" s="6"/>
      <c r="R830" s="6"/>
      <c r="S830" s="6"/>
      <c r="AV830" s="6"/>
      <c r="AW830" s="6"/>
      <c r="AX830" s="6"/>
      <c r="AY830" s="6"/>
      <c r="AZ830" s="6"/>
      <c r="BB830" s="6"/>
      <c r="BC830" s="6"/>
      <c r="BD830" s="6"/>
      <c r="BE830" s="6"/>
      <c r="BF830" s="6"/>
    </row>
    <row r="831" spans="1:58" s="2" customFormat="1" x14ac:dyDescent="0.2">
      <c r="A831" s="6"/>
      <c r="B831" s="6"/>
      <c r="C831" s="42"/>
      <c r="D831" s="6"/>
      <c r="E831" s="6"/>
      <c r="F831" s="6"/>
      <c r="G831" s="6"/>
      <c r="H831" s="6"/>
      <c r="I831" s="6"/>
      <c r="J831" s="6"/>
      <c r="K831" s="6"/>
      <c r="L831" s="6"/>
      <c r="M831" s="6"/>
      <c r="N831" s="6"/>
      <c r="O831" s="6"/>
      <c r="P831" s="6"/>
      <c r="Q831" s="6"/>
      <c r="R831" s="6"/>
      <c r="S831" s="6"/>
      <c r="AV831" s="6"/>
      <c r="AW831" s="6"/>
      <c r="AX831" s="6"/>
      <c r="AY831" s="6"/>
      <c r="AZ831" s="6"/>
      <c r="BB831" s="6"/>
      <c r="BC831" s="6"/>
      <c r="BD831" s="6"/>
      <c r="BE831" s="6"/>
      <c r="BF831" s="6"/>
    </row>
    <row r="832" spans="1:58" s="2" customFormat="1" x14ac:dyDescent="0.2">
      <c r="A832" s="6"/>
      <c r="B832" s="6"/>
      <c r="C832" s="42"/>
      <c r="D832" s="6"/>
      <c r="E832" s="6"/>
      <c r="F832" s="6"/>
      <c r="G832" s="6"/>
      <c r="H832" s="6"/>
      <c r="I832" s="6"/>
      <c r="J832" s="6"/>
      <c r="K832" s="6"/>
      <c r="L832" s="6"/>
      <c r="M832" s="6"/>
      <c r="N832" s="6"/>
      <c r="O832" s="6"/>
      <c r="P832" s="6"/>
      <c r="Q832" s="6"/>
      <c r="R832" s="6"/>
      <c r="S832" s="6"/>
      <c r="AV832" s="6"/>
      <c r="AW832" s="6"/>
      <c r="AX832" s="6"/>
      <c r="AY832" s="6"/>
      <c r="AZ832" s="6"/>
      <c r="BB832" s="6"/>
      <c r="BC832" s="6"/>
      <c r="BD832" s="6"/>
      <c r="BE832" s="6"/>
      <c r="BF832" s="6"/>
    </row>
    <row r="833" spans="1:58" s="2" customFormat="1" x14ac:dyDescent="0.2">
      <c r="A833" s="6"/>
      <c r="B833" s="6"/>
      <c r="C833" s="42"/>
      <c r="D833" s="6"/>
      <c r="E833" s="6"/>
      <c r="F833" s="6"/>
      <c r="G833" s="6"/>
      <c r="H833" s="6"/>
      <c r="I833" s="6"/>
      <c r="J833" s="6"/>
      <c r="K833" s="6"/>
      <c r="L833" s="6"/>
      <c r="M833" s="6"/>
      <c r="N833" s="6"/>
      <c r="O833" s="6"/>
      <c r="P833" s="6"/>
      <c r="Q833" s="6"/>
      <c r="R833" s="6"/>
      <c r="S833" s="6"/>
      <c r="AV833" s="6"/>
      <c r="AW833" s="6"/>
      <c r="AX833" s="6"/>
      <c r="AY833" s="6"/>
      <c r="AZ833" s="6"/>
      <c r="BB833" s="6"/>
      <c r="BC833" s="6"/>
      <c r="BD833" s="6"/>
      <c r="BE833" s="6"/>
      <c r="BF833" s="6"/>
    </row>
    <row r="834" spans="1:58" s="2" customFormat="1" x14ac:dyDescent="0.2">
      <c r="A834" s="6"/>
      <c r="B834" s="6"/>
      <c r="C834" s="42"/>
      <c r="D834" s="6"/>
      <c r="E834" s="6"/>
      <c r="F834" s="6"/>
      <c r="G834" s="6"/>
      <c r="H834" s="6"/>
      <c r="I834" s="6"/>
      <c r="J834" s="6"/>
      <c r="K834" s="6"/>
      <c r="L834" s="6"/>
      <c r="M834" s="6"/>
      <c r="N834" s="6"/>
      <c r="O834" s="6"/>
      <c r="P834" s="6"/>
      <c r="Q834" s="6"/>
      <c r="R834" s="6"/>
      <c r="S834" s="6"/>
      <c r="AV834" s="6"/>
      <c r="AW834" s="6"/>
      <c r="AX834" s="6"/>
      <c r="AY834" s="6"/>
      <c r="AZ834" s="6"/>
      <c r="BB834" s="6"/>
      <c r="BC834" s="6"/>
      <c r="BD834" s="6"/>
      <c r="BE834" s="6"/>
      <c r="BF834" s="6"/>
    </row>
    <row r="835" spans="1:58" s="2" customFormat="1" x14ac:dyDescent="0.2">
      <c r="A835" s="6"/>
      <c r="B835" s="6"/>
      <c r="C835" s="42"/>
      <c r="D835" s="6"/>
      <c r="E835" s="6"/>
      <c r="F835" s="6"/>
      <c r="G835" s="6"/>
      <c r="H835" s="6"/>
      <c r="I835" s="6"/>
      <c r="J835" s="6"/>
      <c r="K835" s="6"/>
      <c r="L835" s="6"/>
      <c r="M835" s="6"/>
      <c r="N835" s="6"/>
      <c r="O835" s="6"/>
      <c r="P835" s="6"/>
      <c r="Q835" s="6"/>
      <c r="R835" s="6"/>
      <c r="S835" s="6"/>
      <c r="AV835" s="6"/>
      <c r="AW835" s="6"/>
      <c r="AX835" s="6"/>
      <c r="AY835" s="6"/>
      <c r="AZ835" s="6"/>
      <c r="BB835" s="6"/>
      <c r="BC835" s="6"/>
      <c r="BD835" s="6"/>
      <c r="BE835" s="6"/>
      <c r="BF835" s="6"/>
    </row>
    <row r="836" spans="1:58" s="2" customFormat="1" x14ac:dyDescent="0.2">
      <c r="A836" s="6"/>
      <c r="B836" s="6"/>
      <c r="C836" s="42"/>
      <c r="D836" s="6"/>
      <c r="E836" s="6"/>
      <c r="F836" s="6"/>
      <c r="G836" s="6"/>
      <c r="H836" s="6"/>
      <c r="I836" s="6"/>
      <c r="J836" s="6"/>
      <c r="K836" s="6"/>
      <c r="L836" s="6"/>
      <c r="M836" s="6"/>
      <c r="N836" s="6"/>
      <c r="O836" s="6"/>
      <c r="P836" s="6"/>
      <c r="Q836" s="6"/>
      <c r="R836" s="6"/>
      <c r="S836" s="6"/>
      <c r="AV836" s="6"/>
      <c r="AW836" s="6"/>
      <c r="AX836" s="6"/>
      <c r="AY836" s="6"/>
      <c r="AZ836" s="6"/>
      <c r="BB836" s="6"/>
      <c r="BC836" s="6"/>
      <c r="BD836" s="6"/>
      <c r="BE836" s="6"/>
      <c r="BF836" s="6"/>
    </row>
    <row r="837" spans="1:58" s="2" customFormat="1" x14ac:dyDescent="0.2">
      <c r="A837" s="6"/>
      <c r="B837" s="6"/>
      <c r="C837" s="42"/>
      <c r="D837" s="6"/>
      <c r="E837" s="6"/>
      <c r="F837" s="6"/>
      <c r="G837" s="6"/>
      <c r="H837" s="6"/>
      <c r="I837" s="6"/>
      <c r="J837" s="6"/>
      <c r="K837" s="6"/>
      <c r="L837" s="6"/>
      <c r="M837" s="6"/>
      <c r="N837" s="6"/>
      <c r="O837" s="6"/>
      <c r="P837" s="6"/>
      <c r="Q837" s="6"/>
      <c r="R837" s="6"/>
      <c r="S837" s="6"/>
      <c r="AV837" s="6"/>
      <c r="AW837" s="6"/>
      <c r="AX837" s="6"/>
      <c r="AY837" s="6"/>
      <c r="AZ837" s="6"/>
      <c r="BB837" s="6"/>
      <c r="BC837" s="6"/>
      <c r="BD837" s="6"/>
      <c r="BE837" s="6"/>
      <c r="BF837" s="6"/>
    </row>
    <row r="838" spans="1:58" s="2" customFormat="1" x14ac:dyDescent="0.2">
      <c r="A838" s="6"/>
      <c r="B838" s="6"/>
      <c r="C838" s="42"/>
      <c r="D838" s="6"/>
      <c r="E838" s="6"/>
      <c r="F838" s="6"/>
      <c r="G838" s="6"/>
      <c r="H838" s="6"/>
      <c r="I838" s="6"/>
      <c r="J838" s="6"/>
      <c r="K838" s="6"/>
      <c r="L838" s="6"/>
      <c r="M838" s="6"/>
      <c r="N838" s="6"/>
      <c r="O838" s="6"/>
      <c r="P838" s="6"/>
      <c r="Q838" s="6"/>
      <c r="R838" s="6"/>
      <c r="S838" s="6"/>
      <c r="AV838" s="6"/>
      <c r="AW838" s="6"/>
      <c r="AX838" s="6"/>
      <c r="AY838" s="6"/>
      <c r="AZ838" s="6"/>
      <c r="BB838" s="6"/>
      <c r="BC838" s="6"/>
      <c r="BD838" s="6"/>
      <c r="BE838" s="6"/>
      <c r="BF838" s="6"/>
    </row>
    <row r="839" spans="1:58" s="2" customFormat="1" x14ac:dyDescent="0.2">
      <c r="A839" s="6"/>
      <c r="B839" s="6"/>
      <c r="C839" s="42"/>
      <c r="D839" s="6"/>
      <c r="E839" s="6"/>
      <c r="F839" s="6"/>
      <c r="G839" s="6"/>
      <c r="H839" s="6"/>
      <c r="I839" s="6"/>
      <c r="J839" s="6"/>
      <c r="K839" s="6"/>
      <c r="L839" s="6"/>
      <c r="M839" s="6"/>
      <c r="N839" s="6"/>
      <c r="O839" s="6"/>
      <c r="P839" s="6"/>
      <c r="Q839" s="6"/>
      <c r="R839" s="6"/>
      <c r="S839" s="6"/>
      <c r="AV839" s="6"/>
      <c r="AW839" s="6"/>
      <c r="AX839" s="6"/>
      <c r="AY839" s="6"/>
      <c r="AZ839" s="6"/>
      <c r="BB839" s="6"/>
      <c r="BC839" s="6"/>
      <c r="BD839" s="6"/>
      <c r="BE839" s="6"/>
      <c r="BF839" s="6"/>
    </row>
    <row r="840" spans="1:58" s="2" customFormat="1" x14ac:dyDescent="0.2">
      <c r="A840" s="6"/>
      <c r="B840" s="6"/>
      <c r="C840" s="42"/>
      <c r="D840" s="6"/>
      <c r="E840" s="6"/>
      <c r="F840" s="6"/>
      <c r="G840" s="6"/>
      <c r="H840" s="6"/>
      <c r="I840" s="6"/>
      <c r="J840" s="6"/>
      <c r="K840" s="6"/>
      <c r="L840" s="6"/>
      <c r="M840" s="6"/>
      <c r="N840" s="6"/>
      <c r="O840" s="6"/>
      <c r="P840" s="6"/>
      <c r="Q840" s="6"/>
      <c r="R840" s="6"/>
      <c r="S840" s="6"/>
      <c r="AV840" s="6"/>
      <c r="AW840" s="6"/>
      <c r="AX840" s="6"/>
      <c r="AY840" s="6"/>
      <c r="AZ840" s="6"/>
      <c r="BB840" s="6"/>
      <c r="BC840" s="6"/>
      <c r="BD840" s="6"/>
      <c r="BE840" s="6"/>
      <c r="BF840" s="6"/>
    </row>
    <row r="841" spans="1:58" s="2" customFormat="1" x14ac:dyDescent="0.2">
      <c r="A841" s="6"/>
      <c r="B841" s="6"/>
      <c r="C841" s="42"/>
      <c r="D841" s="6"/>
      <c r="E841" s="6"/>
      <c r="F841" s="6"/>
      <c r="G841" s="6"/>
      <c r="H841" s="6"/>
      <c r="I841" s="6"/>
      <c r="J841" s="6"/>
      <c r="K841" s="6"/>
      <c r="L841" s="6"/>
      <c r="M841" s="6"/>
      <c r="N841" s="6"/>
      <c r="O841" s="6"/>
      <c r="P841" s="6"/>
      <c r="Q841" s="6"/>
      <c r="R841" s="6"/>
      <c r="S841" s="6"/>
      <c r="AV841" s="6"/>
      <c r="AW841" s="6"/>
      <c r="AX841" s="6"/>
      <c r="AY841" s="6"/>
      <c r="AZ841" s="6"/>
      <c r="BB841" s="6"/>
      <c r="BC841" s="6"/>
      <c r="BD841" s="6"/>
      <c r="BE841" s="6"/>
      <c r="BF841" s="6"/>
    </row>
    <row r="842" spans="1:58" s="2" customFormat="1" x14ac:dyDescent="0.2">
      <c r="A842" s="6"/>
      <c r="B842" s="6"/>
      <c r="C842" s="42"/>
      <c r="D842" s="6"/>
      <c r="E842" s="6"/>
      <c r="F842" s="6"/>
      <c r="G842" s="6"/>
      <c r="H842" s="6"/>
      <c r="I842" s="6"/>
      <c r="J842" s="6"/>
      <c r="K842" s="6"/>
      <c r="L842" s="6"/>
      <c r="M842" s="6"/>
      <c r="N842" s="6"/>
      <c r="O842" s="6"/>
      <c r="P842" s="6"/>
      <c r="Q842" s="6"/>
      <c r="R842" s="6"/>
      <c r="S842" s="6"/>
      <c r="AV842" s="6"/>
      <c r="AW842" s="6"/>
      <c r="AX842" s="6"/>
      <c r="AY842" s="6"/>
      <c r="AZ842" s="6"/>
      <c r="BB842" s="6"/>
      <c r="BC842" s="6"/>
      <c r="BD842" s="6"/>
      <c r="BE842" s="6"/>
      <c r="BF842" s="6"/>
    </row>
    <row r="843" spans="1:58" s="2" customFormat="1" x14ac:dyDescent="0.2">
      <c r="A843" s="6"/>
      <c r="B843" s="6"/>
      <c r="C843" s="42"/>
      <c r="D843" s="6"/>
      <c r="E843" s="6"/>
      <c r="F843" s="6"/>
      <c r="G843" s="6"/>
      <c r="H843" s="6"/>
      <c r="I843" s="6"/>
      <c r="J843" s="6"/>
      <c r="K843" s="6"/>
      <c r="L843" s="6"/>
      <c r="M843" s="6"/>
      <c r="N843" s="6"/>
      <c r="O843" s="6"/>
      <c r="P843" s="6"/>
      <c r="Q843" s="6"/>
      <c r="R843" s="6"/>
      <c r="S843" s="6"/>
      <c r="AV843" s="6"/>
      <c r="AW843" s="6"/>
      <c r="AX843" s="6"/>
      <c r="AY843" s="6"/>
      <c r="AZ843" s="6"/>
      <c r="BB843" s="6"/>
      <c r="BC843" s="6"/>
      <c r="BD843" s="6"/>
      <c r="BE843" s="6"/>
      <c r="BF843" s="6"/>
    </row>
    <row r="844" spans="1:58" s="2" customFormat="1" x14ac:dyDescent="0.2">
      <c r="A844" s="6"/>
      <c r="B844" s="6"/>
      <c r="C844" s="42"/>
      <c r="D844" s="6"/>
      <c r="E844" s="6"/>
      <c r="F844" s="6"/>
      <c r="G844" s="6"/>
      <c r="H844" s="6"/>
      <c r="I844" s="6"/>
      <c r="J844" s="6"/>
      <c r="K844" s="6"/>
      <c r="L844" s="6"/>
      <c r="M844" s="6"/>
      <c r="N844" s="6"/>
      <c r="O844" s="6"/>
      <c r="P844" s="6"/>
      <c r="Q844" s="6"/>
      <c r="R844" s="6"/>
      <c r="S844" s="6"/>
      <c r="AV844" s="6"/>
      <c r="AW844" s="6"/>
      <c r="AX844" s="6"/>
      <c r="AY844" s="6"/>
      <c r="AZ844" s="6"/>
      <c r="BB844" s="6"/>
      <c r="BC844" s="6"/>
      <c r="BD844" s="6"/>
      <c r="BE844" s="6"/>
      <c r="BF844" s="6"/>
    </row>
    <row r="845" spans="1:58" s="2" customFormat="1" x14ac:dyDescent="0.2">
      <c r="A845" s="6"/>
      <c r="B845" s="6"/>
      <c r="C845" s="42"/>
      <c r="D845" s="6"/>
      <c r="E845" s="6"/>
      <c r="F845" s="6"/>
      <c r="G845" s="6"/>
      <c r="H845" s="6"/>
      <c r="I845" s="6"/>
      <c r="J845" s="6"/>
      <c r="K845" s="6"/>
      <c r="L845" s="6"/>
      <c r="M845" s="6"/>
      <c r="N845" s="6"/>
      <c r="O845" s="6"/>
      <c r="P845" s="6"/>
      <c r="Q845" s="6"/>
      <c r="R845" s="6"/>
      <c r="S845" s="6"/>
      <c r="AV845" s="6"/>
      <c r="AW845" s="6"/>
      <c r="AX845" s="6"/>
      <c r="AY845" s="6"/>
      <c r="AZ845" s="6"/>
      <c r="BB845" s="6"/>
      <c r="BC845" s="6"/>
      <c r="BD845" s="6"/>
      <c r="BE845" s="6"/>
      <c r="BF845" s="6"/>
    </row>
    <row r="846" spans="1:58" s="2" customFormat="1" x14ac:dyDescent="0.2">
      <c r="A846" s="6"/>
      <c r="B846" s="6"/>
      <c r="C846" s="42"/>
      <c r="D846" s="6"/>
      <c r="E846" s="6"/>
      <c r="F846" s="6"/>
      <c r="G846" s="6"/>
      <c r="H846" s="6"/>
      <c r="I846" s="6"/>
      <c r="J846" s="6"/>
      <c r="K846" s="6"/>
      <c r="L846" s="6"/>
      <c r="M846" s="6"/>
      <c r="N846" s="6"/>
      <c r="O846" s="6"/>
      <c r="P846" s="6"/>
      <c r="Q846" s="6"/>
      <c r="R846" s="6"/>
      <c r="S846" s="6"/>
      <c r="AV846" s="6"/>
      <c r="AW846" s="6"/>
      <c r="AX846" s="6"/>
      <c r="AY846" s="6"/>
      <c r="AZ846" s="6"/>
      <c r="BB846" s="6"/>
      <c r="BC846" s="6"/>
      <c r="BD846" s="6"/>
      <c r="BE846" s="6"/>
      <c r="BF846" s="6"/>
    </row>
    <row r="847" spans="1:58" s="2" customFormat="1" x14ac:dyDescent="0.2">
      <c r="A847" s="6"/>
      <c r="B847" s="6"/>
      <c r="C847" s="42"/>
      <c r="D847" s="6"/>
      <c r="E847" s="6"/>
      <c r="F847" s="6"/>
      <c r="G847" s="6"/>
      <c r="H847" s="6"/>
      <c r="I847" s="6"/>
      <c r="J847" s="6"/>
      <c r="K847" s="6"/>
      <c r="L847" s="6"/>
      <c r="M847" s="6"/>
      <c r="N847" s="6"/>
      <c r="O847" s="6"/>
      <c r="P847" s="6"/>
      <c r="Q847" s="6"/>
      <c r="R847" s="6"/>
      <c r="S847" s="6"/>
      <c r="AV847" s="6"/>
      <c r="AW847" s="6"/>
      <c r="AX847" s="6"/>
      <c r="AY847" s="6"/>
      <c r="AZ847" s="6"/>
      <c r="BB847" s="6"/>
      <c r="BC847" s="6"/>
      <c r="BD847" s="6"/>
      <c r="BE847" s="6"/>
      <c r="BF847" s="6"/>
    </row>
    <row r="848" spans="1:58" s="2" customFormat="1" x14ac:dyDescent="0.2">
      <c r="A848" s="6"/>
      <c r="B848" s="6"/>
      <c r="C848" s="42"/>
      <c r="D848" s="6"/>
      <c r="E848" s="6"/>
      <c r="F848" s="6"/>
      <c r="G848" s="6"/>
      <c r="H848" s="6"/>
      <c r="I848" s="6"/>
      <c r="J848" s="6"/>
      <c r="K848" s="6"/>
      <c r="L848" s="6"/>
      <c r="M848" s="6"/>
      <c r="N848" s="6"/>
      <c r="O848" s="6"/>
      <c r="P848" s="6"/>
      <c r="Q848" s="6"/>
      <c r="R848" s="6"/>
      <c r="S848" s="6"/>
      <c r="AV848" s="6"/>
      <c r="AW848" s="6"/>
      <c r="AX848" s="6"/>
      <c r="AY848" s="6"/>
      <c r="AZ848" s="6"/>
      <c r="BB848" s="6"/>
      <c r="BC848" s="6"/>
      <c r="BD848" s="6"/>
      <c r="BE848" s="6"/>
      <c r="BF848" s="6"/>
    </row>
    <row r="849" spans="1:58" s="2" customFormat="1" x14ac:dyDescent="0.2">
      <c r="A849" s="6"/>
      <c r="B849" s="6"/>
      <c r="C849" s="42"/>
      <c r="D849" s="6"/>
      <c r="E849" s="6"/>
      <c r="F849" s="6"/>
      <c r="G849" s="6"/>
      <c r="H849" s="6"/>
      <c r="I849" s="6"/>
      <c r="J849" s="6"/>
      <c r="K849" s="6"/>
      <c r="L849" s="6"/>
      <c r="M849" s="6"/>
      <c r="N849" s="6"/>
      <c r="O849" s="6"/>
      <c r="P849" s="6"/>
      <c r="Q849" s="6"/>
      <c r="R849" s="6"/>
      <c r="S849" s="6"/>
      <c r="AV849" s="6"/>
      <c r="AW849" s="6"/>
      <c r="AX849" s="6"/>
      <c r="AY849" s="6"/>
      <c r="AZ849" s="6"/>
      <c r="BB849" s="6"/>
      <c r="BC849" s="6"/>
      <c r="BD849" s="6"/>
      <c r="BE849" s="6"/>
      <c r="BF849" s="6"/>
    </row>
    <row r="850" spans="1:58" s="2" customFormat="1" x14ac:dyDescent="0.2">
      <c r="A850" s="6"/>
      <c r="B850" s="6"/>
      <c r="C850" s="42"/>
      <c r="D850" s="6"/>
      <c r="E850" s="6"/>
      <c r="F850" s="6"/>
      <c r="G850" s="6"/>
      <c r="H850" s="6"/>
      <c r="I850" s="6"/>
      <c r="J850" s="6"/>
      <c r="K850" s="6"/>
      <c r="L850" s="6"/>
      <c r="M850" s="6"/>
      <c r="N850" s="6"/>
      <c r="O850" s="6"/>
      <c r="P850" s="6"/>
      <c r="Q850" s="6"/>
      <c r="R850" s="6"/>
      <c r="S850" s="6"/>
      <c r="AV850" s="6"/>
      <c r="AW850" s="6"/>
      <c r="AX850" s="6"/>
      <c r="AY850" s="6"/>
      <c r="AZ850" s="6"/>
      <c r="BB850" s="6"/>
      <c r="BC850" s="6"/>
      <c r="BD850" s="6"/>
      <c r="BE850" s="6"/>
      <c r="BF850" s="6"/>
    </row>
    <row r="851" spans="1:58" s="2" customFormat="1" x14ac:dyDescent="0.2">
      <c r="A851" s="6"/>
      <c r="B851" s="6"/>
      <c r="C851" s="42"/>
      <c r="D851" s="6"/>
      <c r="E851" s="6"/>
      <c r="F851" s="6"/>
      <c r="G851" s="6"/>
      <c r="H851" s="6"/>
      <c r="I851" s="6"/>
      <c r="J851" s="6"/>
      <c r="K851" s="6"/>
      <c r="L851" s="6"/>
      <c r="M851" s="6"/>
      <c r="N851" s="6"/>
      <c r="O851" s="6"/>
      <c r="P851" s="6"/>
      <c r="Q851" s="6"/>
      <c r="R851" s="6"/>
      <c r="S851" s="6"/>
      <c r="AV851" s="6"/>
      <c r="AW851" s="6"/>
      <c r="AX851" s="6"/>
      <c r="AY851" s="6"/>
      <c r="AZ851" s="6"/>
      <c r="BB851" s="6"/>
      <c r="BC851" s="6"/>
      <c r="BD851" s="6"/>
      <c r="BE851" s="6"/>
      <c r="BF851" s="6"/>
    </row>
    <row r="852" spans="1:58" s="2" customFormat="1" x14ac:dyDescent="0.2">
      <c r="A852" s="6"/>
      <c r="B852" s="6"/>
      <c r="C852" s="42"/>
      <c r="D852" s="6"/>
      <c r="E852" s="6"/>
      <c r="F852" s="6"/>
      <c r="G852" s="6"/>
      <c r="H852" s="6"/>
      <c r="I852" s="6"/>
      <c r="J852" s="6"/>
      <c r="K852" s="6"/>
      <c r="L852" s="6"/>
      <c r="M852" s="6"/>
      <c r="N852" s="6"/>
      <c r="O852" s="6"/>
      <c r="P852" s="6"/>
      <c r="Q852" s="6"/>
      <c r="R852" s="6"/>
      <c r="S852" s="6"/>
      <c r="AV852" s="6"/>
      <c r="AW852" s="6"/>
      <c r="AX852" s="6"/>
      <c r="AY852" s="6"/>
      <c r="AZ852" s="6"/>
      <c r="BB852" s="6"/>
      <c r="BC852" s="6"/>
      <c r="BD852" s="6"/>
      <c r="BE852" s="6"/>
      <c r="BF852" s="6"/>
    </row>
    <row r="853" spans="1:58" s="2" customFormat="1" x14ac:dyDescent="0.2">
      <c r="A853" s="6"/>
      <c r="B853" s="6"/>
      <c r="C853" s="42"/>
      <c r="D853" s="6"/>
      <c r="E853" s="6"/>
      <c r="F853" s="6"/>
      <c r="G853" s="6"/>
      <c r="H853" s="6"/>
      <c r="I853" s="6"/>
      <c r="J853" s="6"/>
      <c r="K853" s="6"/>
      <c r="L853" s="6"/>
      <c r="M853" s="6"/>
      <c r="N853" s="6"/>
      <c r="O853" s="6"/>
      <c r="P853" s="6"/>
      <c r="Q853" s="6"/>
      <c r="R853" s="6"/>
      <c r="S853" s="6"/>
      <c r="AV853" s="6"/>
      <c r="AW853" s="6"/>
      <c r="AX853" s="6"/>
      <c r="AY853" s="6"/>
      <c r="AZ853" s="6"/>
      <c r="BB853" s="6"/>
      <c r="BC853" s="6"/>
      <c r="BD853" s="6"/>
      <c r="BE853" s="6"/>
      <c r="BF853" s="6"/>
    </row>
    <row r="854" spans="1:58" s="2" customFormat="1" x14ac:dyDescent="0.2">
      <c r="A854" s="6"/>
      <c r="B854" s="6"/>
      <c r="C854" s="42"/>
      <c r="D854" s="6"/>
      <c r="E854" s="6"/>
      <c r="F854" s="6"/>
      <c r="G854" s="6"/>
      <c r="H854" s="6"/>
      <c r="I854" s="6"/>
      <c r="J854" s="6"/>
      <c r="K854" s="6"/>
      <c r="L854" s="6"/>
      <c r="M854" s="6"/>
      <c r="N854" s="6"/>
      <c r="O854" s="6"/>
      <c r="P854" s="6"/>
      <c r="Q854" s="6"/>
      <c r="R854" s="6"/>
      <c r="S854" s="6"/>
      <c r="AV854" s="6"/>
      <c r="AW854" s="6"/>
      <c r="AX854" s="6"/>
      <c r="AY854" s="6"/>
      <c r="AZ854" s="6"/>
      <c r="BB854" s="6"/>
      <c r="BC854" s="6"/>
      <c r="BD854" s="6"/>
      <c r="BE854" s="6"/>
      <c r="BF854" s="6"/>
    </row>
    <row r="855" spans="1:58" s="2" customFormat="1" x14ac:dyDescent="0.2">
      <c r="A855" s="6"/>
      <c r="B855" s="6"/>
      <c r="C855" s="42"/>
      <c r="D855" s="6"/>
      <c r="E855" s="6"/>
      <c r="F855" s="6"/>
      <c r="G855" s="6"/>
      <c r="H855" s="6"/>
      <c r="I855" s="6"/>
      <c r="J855" s="6"/>
      <c r="K855" s="6"/>
      <c r="L855" s="6"/>
      <c r="M855" s="6"/>
      <c r="N855" s="6"/>
      <c r="O855" s="6"/>
      <c r="P855" s="6"/>
      <c r="Q855" s="6"/>
      <c r="R855" s="6"/>
      <c r="S855" s="6"/>
      <c r="AV855" s="6"/>
      <c r="AW855" s="6"/>
      <c r="AX855" s="6"/>
      <c r="AY855" s="6"/>
      <c r="AZ855" s="6"/>
      <c r="BB855" s="6"/>
      <c r="BC855" s="6"/>
      <c r="BD855" s="6"/>
      <c r="BE855" s="6"/>
      <c r="BF855" s="6"/>
    </row>
    <row r="856" spans="1:58" s="2" customFormat="1" x14ac:dyDescent="0.2">
      <c r="A856" s="6"/>
      <c r="B856" s="6"/>
      <c r="C856" s="42"/>
      <c r="D856" s="6"/>
      <c r="E856" s="6"/>
      <c r="F856" s="6"/>
      <c r="G856" s="6"/>
      <c r="H856" s="6"/>
      <c r="I856" s="6"/>
      <c r="J856" s="6"/>
      <c r="K856" s="6"/>
      <c r="L856" s="6"/>
      <c r="M856" s="6"/>
      <c r="N856" s="6"/>
      <c r="O856" s="6"/>
      <c r="P856" s="6"/>
      <c r="Q856" s="6"/>
      <c r="R856" s="6"/>
      <c r="S856" s="6"/>
      <c r="AV856" s="6"/>
      <c r="AW856" s="6"/>
      <c r="AX856" s="6"/>
      <c r="AY856" s="6"/>
      <c r="AZ856" s="6"/>
      <c r="BB856" s="6"/>
      <c r="BC856" s="6"/>
      <c r="BD856" s="6"/>
      <c r="BE856" s="6"/>
      <c r="BF856" s="6"/>
    </row>
    <row r="857" spans="1:58" s="2" customFormat="1" x14ac:dyDescent="0.2">
      <c r="A857" s="6"/>
      <c r="B857" s="6"/>
      <c r="C857" s="42"/>
      <c r="D857" s="6"/>
      <c r="E857" s="6"/>
      <c r="F857" s="6"/>
      <c r="G857" s="6"/>
      <c r="H857" s="6"/>
      <c r="I857" s="6"/>
      <c r="J857" s="6"/>
      <c r="K857" s="6"/>
      <c r="L857" s="6"/>
      <c r="M857" s="6"/>
      <c r="N857" s="6"/>
      <c r="O857" s="6"/>
      <c r="P857" s="6"/>
      <c r="Q857" s="6"/>
      <c r="R857" s="6"/>
      <c r="S857" s="6"/>
      <c r="AV857" s="6"/>
      <c r="AW857" s="6"/>
      <c r="AX857" s="6"/>
      <c r="AY857" s="6"/>
      <c r="AZ857" s="6"/>
      <c r="BB857" s="6"/>
      <c r="BC857" s="6"/>
      <c r="BD857" s="6"/>
      <c r="BE857" s="6"/>
      <c r="BF857" s="6"/>
    </row>
    <row r="858" spans="1:58" s="2" customFormat="1" x14ac:dyDescent="0.2">
      <c r="A858" s="6"/>
      <c r="B858" s="6"/>
      <c r="C858" s="42"/>
      <c r="D858" s="6"/>
      <c r="E858" s="6"/>
      <c r="F858" s="6"/>
      <c r="G858" s="6"/>
      <c r="H858" s="6"/>
      <c r="I858" s="6"/>
      <c r="J858" s="6"/>
      <c r="K858" s="6"/>
      <c r="L858" s="6"/>
      <c r="M858" s="6"/>
      <c r="N858" s="6"/>
      <c r="O858" s="6"/>
      <c r="P858" s="6"/>
      <c r="Q858" s="6"/>
      <c r="R858" s="6"/>
      <c r="S858" s="6"/>
      <c r="AV858" s="6"/>
      <c r="AW858" s="6"/>
      <c r="AX858" s="6"/>
      <c r="AY858" s="6"/>
      <c r="AZ858" s="6"/>
      <c r="BB858" s="6"/>
      <c r="BC858" s="6"/>
      <c r="BD858" s="6"/>
      <c r="BE858" s="6"/>
      <c r="BF858" s="6"/>
    </row>
    <row r="859" spans="1:58" s="2" customFormat="1" x14ac:dyDescent="0.2">
      <c r="A859" s="6"/>
      <c r="B859" s="6"/>
      <c r="C859" s="42"/>
      <c r="D859" s="6"/>
      <c r="E859" s="6"/>
      <c r="F859" s="6"/>
      <c r="G859" s="6"/>
      <c r="H859" s="6"/>
      <c r="I859" s="6"/>
      <c r="J859" s="6"/>
      <c r="K859" s="6"/>
      <c r="L859" s="6"/>
      <c r="M859" s="6"/>
      <c r="N859" s="6"/>
      <c r="O859" s="6"/>
      <c r="P859" s="6"/>
      <c r="Q859" s="6"/>
      <c r="R859" s="6"/>
      <c r="S859" s="6"/>
      <c r="AV859" s="6"/>
      <c r="AW859" s="6"/>
      <c r="AX859" s="6"/>
      <c r="AY859" s="6"/>
      <c r="AZ859" s="6"/>
      <c r="BB859" s="6"/>
      <c r="BC859" s="6"/>
      <c r="BD859" s="6"/>
      <c r="BE859" s="6"/>
      <c r="BF859" s="6"/>
    </row>
    <row r="860" spans="1:58" s="2" customFormat="1" x14ac:dyDescent="0.2">
      <c r="A860" s="6"/>
      <c r="B860" s="6"/>
      <c r="C860" s="42"/>
      <c r="D860" s="6"/>
      <c r="E860" s="6"/>
      <c r="F860" s="6"/>
      <c r="G860" s="6"/>
      <c r="H860" s="6"/>
      <c r="I860" s="6"/>
      <c r="J860" s="6"/>
      <c r="K860" s="6"/>
      <c r="L860" s="6"/>
      <c r="M860" s="6"/>
      <c r="N860" s="6"/>
      <c r="O860" s="6"/>
      <c r="P860" s="6"/>
      <c r="Q860" s="6"/>
      <c r="R860" s="6"/>
      <c r="S860" s="6"/>
      <c r="AV860" s="6"/>
      <c r="AW860" s="6"/>
      <c r="AX860" s="6"/>
      <c r="AY860" s="6"/>
      <c r="AZ860" s="6"/>
      <c r="BB860" s="6"/>
      <c r="BC860" s="6"/>
      <c r="BD860" s="6"/>
      <c r="BE860" s="6"/>
      <c r="BF860" s="6"/>
    </row>
    <row r="861" spans="1:58" s="2" customFormat="1" x14ac:dyDescent="0.2">
      <c r="A861" s="6"/>
      <c r="B861" s="6"/>
      <c r="C861" s="42"/>
      <c r="D861" s="6"/>
      <c r="E861" s="6"/>
      <c r="F861" s="6"/>
      <c r="G861" s="6"/>
      <c r="H861" s="6"/>
      <c r="I861" s="6"/>
      <c r="J861" s="6"/>
      <c r="K861" s="6"/>
      <c r="L861" s="6"/>
      <c r="M861" s="6"/>
      <c r="N861" s="6"/>
      <c r="O861" s="6"/>
      <c r="P861" s="6"/>
      <c r="Q861" s="6"/>
      <c r="R861" s="6"/>
      <c r="S861" s="6"/>
      <c r="AV861" s="6"/>
      <c r="AW861" s="6"/>
      <c r="AX861" s="6"/>
      <c r="AY861" s="6"/>
      <c r="AZ861" s="6"/>
      <c r="BB861" s="6"/>
      <c r="BC861" s="6"/>
      <c r="BD861" s="6"/>
      <c r="BE861" s="6"/>
      <c r="BF861" s="6"/>
    </row>
    <row r="862" spans="1:58" s="2" customFormat="1" x14ac:dyDescent="0.2">
      <c r="A862" s="6"/>
      <c r="B862" s="6"/>
      <c r="C862" s="42"/>
      <c r="D862" s="6"/>
      <c r="E862" s="6"/>
      <c r="F862" s="6"/>
      <c r="G862" s="6"/>
      <c r="H862" s="6"/>
      <c r="I862" s="6"/>
      <c r="J862" s="6"/>
      <c r="K862" s="6"/>
      <c r="L862" s="6"/>
      <c r="M862" s="6"/>
      <c r="N862" s="6"/>
      <c r="O862" s="6"/>
      <c r="P862" s="6"/>
      <c r="Q862" s="6"/>
      <c r="R862" s="6"/>
      <c r="S862" s="6"/>
      <c r="AV862" s="6"/>
      <c r="AW862" s="6"/>
      <c r="AX862" s="6"/>
      <c r="AY862" s="6"/>
      <c r="AZ862" s="6"/>
      <c r="BB862" s="6"/>
      <c r="BC862" s="6"/>
      <c r="BD862" s="6"/>
      <c r="BE862" s="6"/>
      <c r="BF862" s="6"/>
    </row>
    <row r="863" spans="1:58" s="2" customFormat="1" x14ac:dyDescent="0.2">
      <c r="A863" s="6"/>
      <c r="B863" s="6"/>
      <c r="C863" s="42"/>
      <c r="D863" s="6"/>
      <c r="E863" s="6"/>
      <c r="F863" s="6"/>
      <c r="G863" s="6"/>
      <c r="H863" s="6"/>
      <c r="I863" s="6"/>
      <c r="J863" s="6"/>
      <c r="K863" s="6"/>
      <c r="L863" s="6"/>
      <c r="M863" s="6"/>
      <c r="N863" s="6"/>
      <c r="O863" s="6"/>
      <c r="P863" s="6"/>
      <c r="Q863" s="6"/>
      <c r="R863" s="6"/>
      <c r="S863" s="6"/>
      <c r="AV863" s="6"/>
      <c r="AW863" s="6"/>
      <c r="AX863" s="6"/>
      <c r="AY863" s="6"/>
      <c r="AZ863" s="6"/>
      <c r="BB863" s="6"/>
      <c r="BC863" s="6"/>
      <c r="BD863" s="6"/>
      <c r="BE863" s="6"/>
      <c r="BF863" s="6"/>
    </row>
    <row r="864" spans="1:58" s="2" customFormat="1" x14ac:dyDescent="0.2">
      <c r="A864" s="6"/>
      <c r="B864" s="6"/>
      <c r="C864" s="42"/>
      <c r="D864" s="6"/>
      <c r="E864" s="6"/>
      <c r="F864" s="6"/>
      <c r="G864" s="6"/>
      <c r="H864" s="6"/>
      <c r="I864" s="6"/>
      <c r="J864" s="6"/>
      <c r="K864" s="6"/>
      <c r="L864" s="6"/>
      <c r="M864" s="6"/>
      <c r="N864" s="6"/>
      <c r="O864" s="6"/>
      <c r="P864" s="6"/>
      <c r="Q864" s="6"/>
      <c r="R864" s="6"/>
      <c r="S864" s="6"/>
      <c r="AV864" s="6"/>
      <c r="AW864" s="6"/>
      <c r="AX864" s="6"/>
      <c r="AY864" s="6"/>
      <c r="AZ864" s="6"/>
      <c r="BB864" s="6"/>
      <c r="BC864" s="6"/>
      <c r="BD864" s="6"/>
      <c r="BE864" s="6"/>
      <c r="BF864" s="6"/>
    </row>
    <row r="865" spans="1:58" s="2" customFormat="1" x14ac:dyDescent="0.2">
      <c r="A865" s="6"/>
      <c r="B865" s="6"/>
      <c r="C865" s="42"/>
      <c r="D865" s="6"/>
      <c r="E865" s="6"/>
      <c r="F865" s="6"/>
      <c r="G865" s="6"/>
      <c r="H865" s="6"/>
      <c r="I865" s="6"/>
      <c r="J865" s="6"/>
      <c r="K865" s="6"/>
      <c r="L865" s="6"/>
      <c r="M865" s="6"/>
      <c r="N865" s="6"/>
      <c r="O865" s="6"/>
      <c r="P865" s="6"/>
      <c r="Q865" s="6"/>
      <c r="R865" s="6"/>
      <c r="S865" s="6"/>
      <c r="AV865" s="6"/>
      <c r="AW865" s="6"/>
      <c r="AX865" s="6"/>
      <c r="AY865" s="6"/>
      <c r="AZ865" s="6"/>
      <c r="BB865" s="6"/>
      <c r="BC865" s="6"/>
      <c r="BD865" s="6"/>
      <c r="BE865" s="6"/>
      <c r="BF865" s="6"/>
    </row>
    <row r="866" spans="1:58" s="2" customFormat="1" x14ac:dyDescent="0.2">
      <c r="A866" s="6"/>
      <c r="B866" s="6"/>
      <c r="C866" s="42"/>
      <c r="D866" s="6"/>
      <c r="E866" s="6"/>
      <c r="F866" s="6"/>
      <c r="G866" s="6"/>
      <c r="H866" s="6"/>
      <c r="I866" s="6"/>
      <c r="J866" s="6"/>
      <c r="K866" s="6"/>
      <c r="L866" s="6"/>
      <c r="M866" s="6"/>
      <c r="N866" s="6"/>
      <c r="O866" s="6"/>
      <c r="P866" s="6"/>
      <c r="Q866" s="6"/>
      <c r="R866" s="6"/>
      <c r="S866" s="6"/>
      <c r="AV866" s="6"/>
      <c r="AW866" s="6"/>
      <c r="AX866" s="6"/>
      <c r="AY866" s="6"/>
      <c r="AZ866" s="6"/>
      <c r="BB866" s="6"/>
      <c r="BC866" s="6"/>
      <c r="BD866" s="6"/>
      <c r="BE866" s="6"/>
      <c r="BF866" s="6"/>
    </row>
    <row r="867" spans="1:58" s="2" customFormat="1" x14ac:dyDescent="0.2">
      <c r="A867" s="6"/>
      <c r="B867" s="6"/>
      <c r="C867" s="42"/>
      <c r="D867" s="6"/>
      <c r="E867" s="6"/>
      <c r="F867" s="6"/>
      <c r="G867" s="6"/>
      <c r="H867" s="6"/>
      <c r="I867" s="6"/>
      <c r="J867" s="6"/>
      <c r="K867" s="6"/>
      <c r="L867" s="6"/>
      <c r="M867" s="6"/>
      <c r="N867" s="6"/>
      <c r="O867" s="6"/>
      <c r="P867" s="6"/>
      <c r="Q867" s="6"/>
      <c r="R867" s="6"/>
      <c r="S867" s="6"/>
      <c r="AV867" s="6"/>
      <c r="AW867" s="6"/>
      <c r="AX867" s="6"/>
      <c r="AY867" s="6"/>
      <c r="AZ867" s="6"/>
      <c r="BB867" s="6"/>
      <c r="BC867" s="6"/>
      <c r="BD867" s="6"/>
      <c r="BE867" s="6"/>
      <c r="BF867" s="6"/>
    </row>
    <row r="868" spans="1:58" s="2" customFormat="1" x14ac:dyDescent="0.2">
      <c r="A868" s="6"/>
      <c r="B868" s="6"/>
      <c r="C868" s="42"/>
      <c r="D868" s="6"/>
      <c r="E868" s="6"/>
      <c r="F868" s="6"/>
      <c r="G868" s="6"/>
      <c r="H868" s="6"/>
      <c r="I868" s="6"/>
      <c r="J868" s="6"/>
      <c r="K868" s="6"/>
      <c r="L868" s="6"/>
      <c r="M868" s="6"/>
      <c r="N868" s="6"/>
      <c r="O868" s="6"/>
      <c r="P868" s="6"/>
      <c r="Q868" s="6"/>
      <c r="R868" s="6"/>
      <c r="S868" s="6"/>
      <c r="AV868" s="6"/>
      <c r="AW868" s="6"/>
      <c r="AX868" s="6"/>
      <c r="AY868" s="6"/>
      <c r="AZ868" s="6"/>
      <c r="BB868" s="6"/>
      <c r="BC868" s="6"/>
      <c r="BD868" s="6"/>
      <c r="BE868" s="6"/>
      <c r="BF868" s="6"/>
    </row>
    <row r="869" spans="1:58" s="2" customFormat="1" x14ac:dyDescent="0.2">
      <c r="A869" s="6"/>
      <c r="B869" s="6"/>
      <c r="C869" s="42"/>
      <c r="D869" s="6"/>
      <c r="E869" s="6"/>
      <c r="F869" s="6"/>
      <c r="G869" s="6"/>
      <c r="H869" s="6"/>
      <c r="I869" s="6"/>
      <c r="J869" s="6"/>
      <c r="K869" s="6"/>
      <c r="L869" s="6"/>
      <c r="M869" s="6"/>
      <c r="N869" s="6"/>
      <c r="O869" s="6"/>
      <c r="P869" s="6"/>
      <c r="Q869" s="6"/>
      <c r="R869" s="6"/>
      <c r="S869" s="6"/>
      <c r="AV869" s="6"/>
      <c r="AW869" s="6"/>
      <c r="AX869" s="6"/>
      <c r="AY869" s="6"/>
      <c r="AZ869" s="6"/>
      <c r="BB869" s="6"/>
      <c r="BC869" s="6"/>
      <c r="BD869" s="6"/>
      <c r="BE869" s="6"/>
      <c r="BF869" s="6"/>
    </row>
    <row r="870" spans="1:58" s="2" customFormat="1" x14ac:dyDescent="0.2">
      <c r="A870" s="6"/>
      <c r="B870" s="6"/>
      <c r="C870" s="42"/>
      <c r="D870" s="6"/>
      <c r="E870" s="6"/>
      <c r="F870" s="6"/>
      <c r="G870" s="6"/>
      <c r="H870" s="6"/>
      <c r="I870" s="6"/>
      <c r="J870" s="6"/>
      <c r="K870" s="6"/>
      <c r="L870" s="6"/>
      <c r="M870" s="6"/>
      <c r="N870" s="6"/>
      <c r="O870" s="6"/>
      <c r="P870" s="6"/>
      <c r="Q870" s="6"/>
      <c r="R870" s="6"/>
      <c r="S870" s="6"/>
      <c r="AV870" s="6"/>
      <c r="AW870" s="6"/>
      <c r="AX870" s="6"/>
      <c r="AY870" s="6"/>
      <c r="AZ870" s="6"/>
      <c r="BB870" s="6"/>
      <c r="BC870" s="6"/>
      <c r="BD870" s="6"/>
      <c r="BE870" s="6"/>
      <c r="BF870" s="6"/>
    </row>
    <row r="871" spans="1:58" s="2" customFormat="1" x14ac:dyDescent="0.2">
      <c r="A871" s="6"/>
      <c r="B871" s="6"/>
      <c r="C871" s="42"/>
      <c r="D871" s="6"/>
      <c r="E871" s="6"/>
      <c r="F871" s="6"/>
      <c r="G871" s="6"/>
      <c r="H871" s="6"/>
      <c r="I871" s="6"/>
      <c r="J871" s="6"/>
      <c r="K871" s="6"/>
      <c r="L871" s="6"/>
      <c r="M871" s="6"/>
      <c r="N871" s="6"/>
      <c r="O871" s="6"/>
      <c r="P871" s="6"/>
      <c r="Q871" s="6"/>
      <c r="R871" s="6"/>
      <c r="S871" s="6"/>
      <c r="AV871" s="6"/>
      <c r="AW871" s="6"/>
      <c r="AX871" s="6"/>
      <c r="AY871" s="6"/>
      <c r="AZ871" s="6"/>
      <c r="BB871" s="6"/>
      <c r="BC871" s="6"/>
      <c r="BD871" s="6"/>
      <c r="BE871" s="6"/>
      <c r="BF871" s="6"/>
    </row>
    <row r="872" spans="1:58" s="2" customFormat="1" x14ac:dyDescent="0.2">
      <c r="A872" s="6"/>
      <c r="B872" s="6"/>
      <c r="C872" s="42"/>
      <c r="D872" s="6"/>
      <c r="E872" s="6"/>
      <c r="F872" s="6"/>
      <c r="G872" s="6"/>
      <c r="H872" s="6"/>
      <c r="I872" s="6"/>
      <c r="J872" s="6"/>
      <c r="K872" s="6"/>
      <c r="L872" s="6"/>
      <c r="M872" s="6"/>
      <c r="N872" s="6"/>
      <c r="O872" s="6"/>
      <c r="P872" s="6"/>
      <c r="Q872" s="6"/>
      <c r="R872" s="6"/>
      <c r="S872" s="6"/>
      <c r="AV872" s="6"/>
      <c r="AW872" s="6"/>
      <c r="AX872" s="6"/>
      <c r="AY872" s="6"/>
      <c r="AZ872" s="6"/>
      <c r="BB872" s="6"/>
      <c r="BC872" s="6"/>
      <c r="BD872" s="6"/>
      <c r="BE872" s="6"/>
      <c r="BF872" s="6"/>
    </row>
    <row r="873" spans="1:58" s="2" customFormat="1" x14ac:dyDescent="0.2">
      <c r="A873" s="6"/>
      <c r="B873" s="6"/>
      <c r="C873" s="42"/>
      <c r="D873" s="6"/>
      <c r="E873" s="6"/>
      <c r="F873" s="6"/>
      <c r="G873" s="6"/>
      <c r="H873" s="6"/>
      <c r="I873" s="6"/>
      <c r="J873" s="6"/>
      <c r="K873" s="6"/>
      <c r="L873" s="6"/>
      <c r="M873" s="6"/>
      <c r="N873" s="6"/>
      <c r="O873" s="6"/>
      <c r="P873" s="6"/>
      <c r="Q873" s="6"/>
      <c r="R873" s="6"/>
      <c r="S873" s="6"/>
      <c r="AV873" s="6"/>
      <c r="AW873" s="6"/>
      <c r="AX873" s="6"/>
      <c r="AY873" s="6"/>
      <c r="AZ873" s="6"/>
      <c r="BB873" s="6"/>
      <c r="BC873" s="6"/>
      <c r="BD873" s="6"/>
      <c r="BE873" s="6"/>
      <c r="BF873" s="6"/>
    </row>
    <row r="874" spans="1:58" s="2" customFormat="1" x14ac:dyDescent="0.2">
      <c r="A874" s="6"/>
      <c r="B874" s="6"/>
      <c r="C874" s="42"/>
      <c r="D874" s="6"/>
      <c r="E874" s="6"/>
      <c r="F874" s="6"/>
      <c r="G874" s="6"/>
      <c r="H874" s="6"/>
      <c r="I874" s="6"/>
      <c r="J874" s="6"/>
      <c r="K874" s="6"/>
      <c r="L874" s="6"/>
      <c r="M874" s="6"/>
      <c r="N874" s="6"/>
      <c r="O874" s="6"/>
      <c r="P874" s="6"/>
      <c r="Q874" s="6"/>
      <c r="R874" s="6"/>
      <c r="S874" s="6"/>
      <c r="AV874" s="6"/>
      <c r="AW874" s="6"/>
      <c r="AX874" s="6"/>
      <c r="AY874" s="6"/>
      <c r="AZ874" s="6"/>
      <c r="BB874" s="6"/>
      <c r="BC874" s="6"/>
      <c r="BD874" s="6"/>
      <c r="BE874" s="6"/>
      <c r="BF874" s="6"/>
    </row>
    <row r="875" spans="1:58" s="2" customFormat="1" x14ac:dyDescent="0.2">
      <c r="A875" s="6"/>
      <c r="B875" s="6"/>
      <c r="C875" s="42"/>
      <c r="D875" s="6"/>
      <c r="E875" s="6"/>
      <c r="F875" s="6"/>
      <c r="G875" s="6"/>
      <c r="H875" s="6"/>
      <c r="I875" s="6"/>
      <c r="J875" s="6"/>
      <c r="K875" s="6"/>
      <c r="L875" s="6"/>
      <c r="M875" s="6"/>
      <c r="N875" s="6"/>
      <c r="O875" s="6"/>
      <c r="P875" s="6"/>
      <c r="Q875" s="6"/>
      <c r="R875" s="6"/>
      <c r="S875" s="6"/>
      <c r="AV875" s="6"/>
      <c r="AW875" s="6"/>
      <c r="AX875" s="6"/>
      <c r="AY875" s="6"/>
      <c r="AZ875" s="6"/>
      <c r="BB875" s="6"/>
      <c r="BC875" s="6"/>
      <c r="BD875" s="6"/>
      <c r="BE875" s="6"/>
      <c r="BF875" s="6"/>
    </row>
    <row r="876" spans="1:58" s="2" customFormat="1" x14ac:dyDescent="0.2">
      <c r="A876" s="6"/>
      <c r="B876" s="6"/>
      <c r="C876" s="42"/>
      <c r="D876" s="6"/>
      <c r="E876" s="6"/>
      <c r="F876" s="6"/>
      <c r="G876" s="6"/>
      <c r="H876" s="6"/>
      <c r="I876" s="6"/>
      <c r="J876" s="6"/>
      <c r="K876" s="6"/>
      <c r="L876" s="6"/>
      <c r="M876" s="6"/>
      <c r="N876" s="6"/>
      <c r="O876" s="6"/>
      <c r="P876" s="6"/>
      <c r="Q876" s="6"/>
      <c r="R876" s="6"/>
      <c r="S876" s="6"/>
      <c r="AV876" s="6"/>
      <c r="AW876" s="6"/>
      <c r="AX876" s="6"/>
      <c r="AY876" s="6"/>
      <c r="AZ876" s="6"/>
      <c r="BB876" s="6"/>
      <c r="BC876" s="6"/>
      <c r="BD876" s="6"/>
      <c r="BE876" s="6"/>
      <c r="BF876" s="6"/>
    </row>
    <row r="877" spans="1:58" s="2" customFormat="1" x14ac:dyDescent="0.2">
      <c r="A877" s="6"/>
      <c r="B877" s="6"/>
      <c r="C877" s="42"/>
      <c r="D877" s="6"/>
      <c r="E877" s="6"/>
      <c r="F877" s="6"/>
      <c r="G877" s="6"/>
      <c r="H877" s="6"/>
      <c r="I877" s="6"/>
      <c r="J877" s="6"/>
      <c r="K877" s="6"/>
      <c r="L877" s="6"/>
      <c r="M877" s="6"/>
      <c r="N877" s="6"/>
      <c r="O877" s="6"/>
      <c r="P877" s="6"/>
      <c r="Q877" s="6"/>
      <c r="R877" s="6"/>
      <c r="S877" s="6"/>
      <c r="AV877" s="6"/>
      <c r="AW877" s="6"/>
      <c r="AX877" s="6"/>
      <c r="AY877" s="6"/>
      <c r="AZ877" s="6"/>
      <c r="BB877" s="6"/>
      <c r="BC877" s="6"/>
      <c r="BD877" s="6"/>
      <c r="BE877" s="6"/>
      <c r="BF877" s="6"/>
    </row>
    <row r="878" spans="1:58" s="2" customFormat="1" x14ac:dyDescent="0.2">
      <c r="A878" s="6"/>
      <c r="B878" s="6"/>
      <c r="C878" s="42"/>
      <c r="D878" s="6"/>
      <c r="E878" s="6"/>
      <c r="F878" s="6"/>
      <c r="G878" s="6"/>
      <c r="H878" s="6"/>
      <c r="I878" s="6"/>
      <c r="J878" s="6"/>
      <c r="K878" s="6"/>
      <c r="L878" s="6"/>
      <c r="M878" s="6"/>
      <c r="N878" s="6"/>
      <c r="O878" s="6"/>
      <c r="P878" s="6"/>
      <c r="Q878" s="6"/>
      <c r="R878" s="6"/>
      <c r="S878" s="6"/>
      <c r="AV878" s="6"/>
      <c r="AW878" s="6"/>
      <c r="AX878" s="6"/>
      <c r="AY878" s="6"/>
      <c r="AZ878" s="6"/>
      <c r="BB878" s="6"/>
      <c r="BC878" s="6"/>
      <c r="BD878" s="6"/>
      <c r="BE878" s="6"/>
      <c r="BF878" s="6"/>
    </row>
    <row r="879" spans="1:58" s="2" customFormat="1" x14ac:dyDescent="0.2">
      <c r="A879" s="6"/>
      <c r="B879" s="6"/>
      <c r="C879" s="42"/>
      <c r="D879" s="6"/>
      <c r="E879" s="6"/>
      <c r="F879" s="6"/>
      <c r="G879" s="6"/>
      <c r="H879" s="6"/>
      <c r="I879" s="6"/>
      <c r="J879" s="6"/>
      <c r="K879" s="6"/>
      <c r="L879" s="6"/>
      <c r="M879" s="6"/>
      <c r="N879" s="6"/>
      <c r="O879" s="6"/>
      <c r="P879" s="6"/>
      <c r="Q879" s="6"/>
      <c r="R879" s="6"/>
      <c r="S879" s="6"/>
      <c r="AV879" s="6"/>
      <c r="AW879" s="6"/>
      <c r="AX879" s="6"/>
      <c r="AY879" s="6"/>
      <c r="AZ879" s="6"/>
      <c r="BB879" s="6"/>
      <c r="BC879" s="6"/>
      <c r="BD879" s="6"/>
      <c r="BE879" s="6"/>
      <c r="BF879" s="6"/>
    </row>
    <row r="880" spans="1:58" s="2" customFormat="1" x14ac:dyDescent="0.2">
      <c r="A880" s="6"/>
      <c r="B880" s="6"/>
      <c r="C880" s="42"/>
      <c r="D880" s="6"/>
      <c r="E880" s="6"/>
      <c r="F880" s="6"/>
      <c r="G880" s="6"/>
      <c r="H880" s="6"/>
      <c r="I880" s="6"/>
      <c r="J880" s="6"/>
      <c r="K880" s="6"/>
      <c r="L880" s="6"/>
      <c r="M880" s="6"/>
      <c r="N880" s="6"/>
      <c r="O880" s="6"/>
      <c r="P880" s="6"/>
      <c r="Q880" s="6"/>
      <c r="R880" s="6"/>
      <c r="S880" s="6"/>
      <c r="AV880" s="6"/>
      <c r="AW880" s="6"/>
      <c r="AX880" s="6"/>
      <c r="AY880" s="6"/>
      <c r="AZ880" s="6"/>
      <c r="BB880" s="6"/>
      <c r="BC880" s="6"/>
      <c r="BD880" s="6"/>
      <c r="BE880" s="6"/>
      <c r="BF880" s="6"/>
    </row>
    <row r="881" spans="1:58" s="2" customFormat="1" x14ac:dyDescent="0.2">
      <c r="A881" s="6"/>
      <c r="B881" s="6"/>
      <c r="C881" s="42"/>
      <c r="D881" s="6"/>
      <c r="E881" s="6"/>
      <c r="F881" s="6"/>
      <c r="G881" s="6"/>
      <c r="H881" s="6"/>
      <c r="I881" s="6"/>
      <c r="J881" s="6"/>
      <c r="K881" s="6"/>
      <c r="L881" s="6"/>
      <c r="M881" s="6"/>
      <c r="N881" s="6"/>
      <c r="O881" s="6"/>
      <c r="P881" s="6"/>
      <c r="Q881" s="6"/>
      <c r="R881" s="6"/>
      <c r="S881" s="6"/>
      <c r="AV881" s="6"/>
      <c r="AW881" s="6"/>
      <c r="AX881" s="6"/>
      <c r="AY881" s="6"/>
      <c r="AZ881" s="6"/>
      <c r="BB881" s="6"/>
      <c r="BC881" s="6"/>
      <c r="BD881" s="6"/>
      <c r="BE881" s="6"/>
      <c r="BF881" s="6"/>
    </row>
    <row r="882" spans="1:58" s="2" customFormat="1" x14ac:dyDescent="0.2">
      <c r="A882" s="6"/>
      <c r="B882" s="6"/>
      <c r="C882" s="42"/>
      <c r="D882" s="6"/>
      <c r="E882" s="6"/>
      <c r="F882" s="6"/>
      <c r="G882" s="6"/>
      <c r="H882" s="6"/>
      <c r="I882" s="6"/>
      <c r="J882" s="6"/>
      <c r="K882" s="6"/>
      <c r="L882" s="6"/>
      <c r="M882" s="6"/>
      <c r="N882" s="6"/>
      <c r="O882" s="6"/>
      <c r="P882" s="6"/>
      <c r="Q882" s="6"/>
      <c r="R882" s="6"/>
      <c r="S882" s="6"/>
      <c r="AV882" s="6"/>
      <c r="AW882" s="6"/>
      <c r="AX882" s="6"/>
      <c r="AY882" s="6"/>
      <c r="AZ882" s="6"/>
      <c r="BB882" s="6"/>
      <c r="BC882" s="6"/>
      <c r="BD882" s="6"/>
      <c r="BE882" s="6"/>
      <c r="BF882" s="6"/>
    </row>
    <row r="883" spans="1:58" s="2" customFormat="1" x14ac:dyDescent="0.2">
      <c r="A883" s="6"/>
      <c r="B883" s="6"/>
      <c r="C883" s="42"/>
      <c r="D883" s="6"/>
      <c r="E883" s="6"/>
      <c r="F883" s="6"/>
      <c r="G883" s="6"/>
      <c r="H883" s="6"/>
      <c r="I883" s="6"/>
      <c r="J883" s="6"/>
      <c r="K883" s="6"/>
      <c r="L883" s="6"/>
      <c r="M883" s="6"/>
      <c r="N883" s="6"/>
      <c r="O883" s="6"/>
      <c r="P883" s="6"/>
      <c r="Q883" s="6"/>
      <c r="R883" s="6"/>
      <c r="S883" s="6"/>
      <c r="AV883" s="6"/>
      <c r="AW883" s="6"/>
      <c r="AX883" s="6"/>
      <c r="AY883" s="6"/>
      <c r="AZ883" s="6"/>
      <c r="BB883" s="6"/>
      <c r="BC883" s="6"/>
      <c r="BD883" s="6"/>
      <c r="BE883" s="6"/>
      <c r="BF883" s="6"/>
    </row>
    <row r="884" spans="1:58" s="2" customFormat="1" x14ac:dyDescent="0.2">
      <c r="A884" s="6"/>
      <c r="B884" s="6"/>
      <c r="C884" s="42"/>
      <c r="D884" s="6"/>
      <c r="E884" s="6"/>
      <c r="F884" s="6"/>
      <c r="G884" s="6"/>
      <c r="H884" s="6"/>
      <c r="I884" s="6"/>
      <c r="J884" s="6"/>
      <c r="K884" s="6"/>
      <c r="L884" s="6"/>
      <c r="M884" s="6"/>
      <c r="N884" s="6"/>
      <c r="O884" s="6"/>
      <c r="P884" s="6"/>
      <c r="Q884" s="6"/>
      <c r="R884" s="6"/>
      <c r="S884" s="6"/>
      <c r="AV884" s="6"/>
      <c r="AW884" s="6"/>
      <c r="AX884" s="6"/>
      <c r="AY884" s="6"/>
      <c r="AZ884" s="6"/>
      <c r="BB884" s="6"/>
      <c r="BC884" s="6"/>
      <c r="BD884" s="6"/>
      <c r="BE884" s="6"/>
      <c r="BF884" s="6"/>
    </row>
    <row r="885" spans="1:58" s="2" customFormat="1" x14ac:dyDescent="0.2">
      <c r="A885" s="6"/>
      <c r="B885" s="6"/>
      <c r="C885" s="42"/>
      <c r="D885" s="6"/>
      <c r="E885" s="6"/>
      <c r="F885" s="6"/>
      <c r="G885" s="6"/>
      <c r="H885" s="6"/>
      <c r="I885" s="6"/>
      <c r="J885" s="6"/>
      <c r="K885" s="6"/>
      <c r="L885" s="6"/>
      <c r="M885" s="6"/>
      <c r="N885" s="6"/>
      <c r="O885" s="6"/>
      <c r="P885" s="6"/>
      <c r="Q885" s="6"/>
      <c r="R885" s="6"/>
      <c r="S885" s="6"/>
      <c r="AV885" s="6"/>
      <c r="AW885" s="6"/>
      <c r="AX885" s="6"/>
      <c r="AY885" s="6"/>
      <c r="AZ885" s="6"/>
      <c r="BB885" s="6"/>
      <c r="BC885" s="6"/>
      <c r="BD885" s="6"/>
      <c r="BE885" s="6"/>
      <c r="BF885" s="6"/>
    </row>
    <row r="886" spans="1:58" s="2" customFormat="1" x14ac:dyDescent="0.2">
      <c r="A886" s="6"/>
      <c r="B886" s="6"/>
      <c r="C886" s="42"/>
      <c r="D886" s="6"/>
      <c r="E886" s="6"/>
      <c r="F886" s="6"/>
      <c r="G886" s="6"/>
      <c r="H886" s="6"/>
      <c r="I886" s="6"/>
      <c r="J886" s="6"/>
      <c r="K886" s="6"/>
      <c r="L886" s="6"/>
      <c r="M886" s="6"/>
      <c r="N886" s="6"/>
      <c r="O886" s="6"/>
      <c r="P886" s="6"/>
      <c r="Q886" s="6"/>
      <c r="R886" s="6"/>
      <c r="S886" s="6"/>
      <c r="AV886" s="6"/>
      <c r="AW886" s="6"/>
      <c r="AX886" s="6"/>
      <c r="AY886" s="6"/>
      <c r="AZ886" s="6"/>
      <c r="BB886" s="6"/>
      <c r="BC886" s="6"/>
      <c r="BD886" s="6"/>
      <c r="BE886" s="6"/>
      <c r="BF886" s="6"/>
    </row>
    <row r="887" spans="1:58" s="2" customFormat="1" x14ac:dyDescent="0.2">
      <c r="A887" s="6"/>
      <c r="B887" s="6"/>
      <c r="C887" s="42"/>
      <c r="D887" s="6"/>
      <c r="E887" s="6"/>
      <c r="F887" s="6"/>
      <c r="G887" s="6"/>
      <c r="H887" s="6"/>
      <c r="I887" s="6"/>
      <c r="J887" s="6"/>
      <c r="K887" s="6"/>
      <c r="L887" s="6"/>
      <c r="M887" s="6"/>
      <c r="N887" s="6"/>
      <c r="O887" s="6"/>
      <c r="P887" s="6"/>
      <c r="Q887" s="6"/>
      <c r="R887" s="6"/>
      <c r="S887" s="6"/>
      <c r="AV887" s="6"/>
      <c r="AW887" s="6"/>
      <c r="AX887" s="6"/>
      <c r="AY887" s="6"/>
      <c r="AZ887" s="6"/>
      <c r="BB887" s="6"/>
      <c r="BC887" s="6"/>
      <c r="BD887" s="6"/>
      <c r="BE887" s="6"/>
      <c r="BF887" s="6"/>
    </row>
    <row r="888" spans="1:58" s="2" customFormat="1" x14ac:dyDescent="0.2">
      <c r="A888" s="6"/>
      <c r="B888" s="6"/>
      <c r="C888" s="42"/>
      <c r="D888" s="6"/>
      <c r="E888" s="6"/>
      <c r="F888" s="6"/>
      <c r="G888" s="6"/>
      <c r="H888" s="6"/>
      <c r="I888" s="6"/>
      <c r="J888" s="6"/>
      <c r="K888" s="6"/>
      <c r="L888" s="6"/>
      <c r="M888" s="6"/>
      <c r="N888" s="6"/>
      <c r="O888" s="6"/>
      <c r="P888" s="6"/>
      <c r="Q888" s="6"/>
      <c r="R888" s="6"/>
      <c r="S888" s="6"/>
      <c r="AV888" s="6"/>
      <c r="AW888" s="6"/>
      <c r="AX888" s="6"/>
      <c r="AY888" s="6"/>
      <c r="AZ888" s="6"/>
      <c r="BB888" s="6"/>
      <c r="BC888" s="6"/>
      <c r="BD888" s="6"/>
      <c r="BE888" s="6"/>
      <c r="BF888" s="6"/>
    </row>
    <row r="889" spans="1:58" s="2" customFormat="1" x14ac:dyDescent="0.2">
      <c r="A889" s="6"/>
      <c r="B889" s="6"/>
      <c r="C889" s="42"/>
      <c r="D889" s="6"/>
      <c r="E889" s="6"/>
      <c r="F889" s="6"/>
      <c r="G889" s="6"/>
      <c r="H889" s="6"/>
      <c r="I889" s="6"/>
      <c r="J889" s="6"/>
      <c r="K889" s="6"/>
      <c r="L889" s="6"/>
      <c r="M889" s="6"/>
      <c r="N889" s="6"/>
      <c r="O889" s="6"/>
      <c r="P889" s="6"/>
      <c r="Q889" s="6"/>
      <c r="R889" s="6"/>
      <c r="S889" s="6"/>
      <c r="AV889" s="6"/>
      <c r="AW889" s="6"/>
      <c r="AX889" s="6"/>
      <c r="AY889" s="6"/>
      <c r="AZ889" s="6"/>
      <c r="BB889" s="6"/>
      <c r="BC889" s="6"/>
      <c r="BD889" s="6"/>
      <c r="BE889" s="6"/>
      <c r="BF889" s="6"/>
    </row>
    <row r="890" spans="1:58" s="2" customFormat="1" x14ac:dyDescent="0.2">
      <c r="A890" s="6"/>
      <c r="B890" s="6"/>
      <c r="C890" s="42"/>
      <c r="D890" s="6"/>
      <c r="E890" s="6"/>
      <c r="F890" s="6"/>
      <c r="G890" s="6"/>
      <c r="H890" s="6"/>
      <c r="I890" s="6"/>
      <c r="J890" s="6"/>
      <c r="K890" s="6"/>
      <c r="L890" s="6"/>
      <c r="M890" s="6"/>
      <c r="N890" s="6"/>
      <c r="O890" s="6"/>
      <c r="P890" s="6"/>
      <c r="Q890" s="6"/>
      <c r="R890" s="6"/>
      <c r="S890" s="6"/>
      <c r="AV890" s="6"/>
      <c r="AW890" s="6"/>
      <c r="AX890" s="6"/>
      <c r="AY890" s="6"/>
      <c r="AZ890" s="6"/>
      <c r="BB890" s="6"/>
      <c r="BC890" s="6"/>
      <c r="BD890" s="6"/>
      <c r="BE890" s="6"/>
      <c r="BF890" s="6"/>
    </row>
    <row r="891" spans="1:58" s="2" customFormat="1" x14ac:dyDescent="0.2">
      <c r="A891" s="6"/>
      <c r="B891" s="6"/>
      <c r="C891" s="42"/>
      <c r="D891" s="6"/>
      <c r="E891" s="6"/>
      <c r="F891" s="6"/>
      <c r="G891" s="6"/>
      <c r="H891" s="6"/>
      <c r="I891" s="6"/>
      <c r="J891" s="6"/>
      <c r="K891" s="6"/>
      <c r="L891" s="6"/>
      <c r="M891" s="6"/>
      <c r="N891" s="6"/>
      <c r="O891" s="6"/>
      <c r="P891" s="6"/>
      <c r="Q891" s="6"/>
      <c r="R891" s="6"/>
      <c r="S891" s="6"/>
      <c r="AV891" s="6"/>
      <c r="AW891" s="6"/>
      <c r="AX891" s="6"/>
      <c r="AY891" s="6"/>
      <c r="AZ891" s="6"/>
      <c r="BB891" s="6"/>
      <c r="BC891" s="6"/>
      <c r="BD891" s="6"/>
      <c r="BE891" s="6"/>
      <c r="BF891" s="6"/>
    </row>
    <row r="892" spans="1:58" s="2" customFormat="1" x14ac:dyDescent="0.2">
      <c r="A892" s="6"/>
      <c r="B892" s="6"/>
      <c r="C892" s="42"/>
      <c r="D892" s="6"/>
      <c r="E892" s="6"/>
      <c r="F892" s="6"/>
      <c r="G892" s="6"/>
      <c r="H892" s="6"/>
      <c r="I892" s="6"/>
      <c r="J892" s="6"/>
      <c r="K892" s="6"/>
      <c r="L892" s="6"/>
      <c r="M892" s="6"/>
      <c r="N892" s="6"/>
      <c r="O892" s="6"/>
      <c r="P892" s="6"/>
      <c r="Q892" s="6"/>
      <c r="R892" s="6"/>
      <c r="S892" s="6"/>
      <c r="AV892" s="6"/>
      <c r="AW892" s="6"/>
      <c r="AX892" s="6"/>
      <c r="AY892" s="6"/>
      <c r="AZ892" s="6"/>
      <c r="BB892" s="6"/>
      <c r="BC892" s="6"/>
      <c r="BD892" s="6"/>
      <c r="BE892" s="6"/>
      <c r="BF892" s="6"/>
    </row>
    <row r="893" spans="1:58" s="2" customFormat="1" x14ac:dyDescent="0.2">
      <c r="A893" s="6"/>
      <c r="B893" s="6"/>
      <c r="C893" s="42"/>
      <c r="D893" s="6"/>
      <c r="E893" s="6"/>
      <c r="F893" s="6"/>
      <c r="G893" s="6"/>
      <c r="H893" s="6"/>
      <c r="I893" s="6"/>
      <c r="J893" s="6"/>
      <c r="K893" s="6"/>
      <c r="L893" s="6"/>
      <c r="M893" s="6"/>
      <c r="N893" s="6"/>
      <c r="O893" s="6"/>
      <c r="P893" s="6"/>
      <c r="Q893" s="6"/>
      <c r="R893" s="6"/>
      <c r="S893" s="6"/>
      <c r="AV893" s="6"/>
      <c r="AW893" s="6"/>
      <c r="AX893" s="6"/>
      <c r="AY893" s="6"/>
      <c r="AZ893" s="6"/>
      <c r="BB893" s="6"/>
      <c r="BC893" s="6"/>
      <c r="BD893" s="6"/>
      <c r="BE893" s="6"/>
      <c r="BF893" s="6"/>
    </row>
    <row r="894" spans="1:58" s="2" customFormat="1" x14ac:dyDescent="0.2">
      <c r="A894" s="6"/>
      <c r="B894" s="6"/>
      <c r="C894" s="42"/>
      <c r="D894" s="6"/>
      <c r="E894" s="6"/>
      <c r="F894" s="6"/>
      <c r="G894" s="6"/>
      <c r="H894" s="6"/>
      <c r="I894" s="6"/>
      <c r="J894" s="6"/>
      <c r="K894" s="6"/>
      <c r="L894" s="6"/>
      <c r="M894" s="6"/>
      <c r="N894" s="6"/>
      <c r="O894" s="6"/>
      <c r="P894" s="6"/>
      <c r="Q894" s="6"/>
      <c r="R894" s="6"/>
      <c r="S894" s="6"/>
      <c r="AV894" s="6"/>
      <c r="AW894" s="6"/>
      <c r="AX894" s="6"/>
      <c r="AY894" s="6"/>
      <c r="AZ894" s="6"/>
      <c r="BB894" s="6"/>
      <c r="BC894" s="6"/>
      <c r="BD894" s="6"/>
      <c r="BE894" s="6"/>
      <c r="BF894" s="6"/>
    </row>
    <row r="895" spans="1:58" s="2" customFormat="1" x14ac:dyDescent="0.2">
      <c r="A895" s="6"/>
      <c r="B895" s="6"/>
      <c r="C895" s="42"/>
      <c r="D895" s="6"/>
      <c r="E895" s="6"/>
      <c r="F895" s="6"/>
      <c r="G895" s="6"/>
      <c r="H895" s="6"/>
      <c r="I895" s="6"/>
      <c r="J895" s="6"/>
      <c r="K895" s="6"/>
      <c r="L895" s="6"/>
      <c r="M895" s="6"/>
      <c r="N895" s="6"/>
      <c r="O895" s="6"/>
      <c r="P895" s="6"/>
      <c r="Q895" s="6"/>
      <c r="R895" s="6"/>
      <c r="S895" s="6"/>
      <c r="AV895" s="6"/>
      <c r="AW895" s="6"/>
      <c r="AX895" s="6"/>
      <c r="AY895" s="6"/>
      <c r="AZ895" s="6"/>
      <c r="BB895" s="6"/>
      <c r="BC895" s="6"/>
      <c r="BD895" s="6"/>
      <c r="BE895" s="6"/>
      <c r="BF895" s="6"/>
    </row>
    <row r="896" spans="1:58" s="2" customFormat="1" x14ac:dyDescent="0.2">
      <c r="A896" s="6"/>
      <c r="B896" s="6"/>
      <c r="C896" s="42"/>
      <c r="D896" s="6"/>
      <c r="E896" s="6"/>
      <c r="F896" s="6"/>
      <c r="G896" s="6"/>
      <c r="H896" s="6"/>
      <c r="I896" s="6"/>
      <c r="J896" s="6"/>
      <c r="K896" s="6"/>
      <c r="L896" s="6"/>
      <c r="M896" s="6"/>
      <c r="N896" s="6"/>
      <c r="O896" s="6"/>
      <c r="P896" s="6"/>
      <c r="Q896" s="6"/>
      <c r="R896" s="6"/>
      <c r="S896" s="6"/>
      <c r="AV896" s="6"/>
      <c r="AW896" s="6"/>
      <c r="AX896" s="6"/>
      <c r="AY896" s="6"/>
      <c r="AZ896" s="6"/>
      <c r="BB896" s="6"/>
      <c r="BC896" s="6"/>
      <c r="BD896" s="6"/>
      <c r="BE896" s="6"/>
      <c r="BF896" s="6"/>
    </row>
    <row r="897" spans="1:58" s="2" customFormat="1" x14ac:dyDescent="0.2">
      <c r="A897" s="6"/>
      <c r="B897" s="6"/>
      <c r="C897" s="42"/>
      <c r="D897" s="6"/>
      <c r="E897" s="6"/>
      <c r="F897" s="6"/>
      <c r="G897" s="6"/>
      <c r="H897" s="6"/>
      <c r="I897" s="6"/>
      <c r="J897" s="6"/>
      <c r="K897" s="6"/>
      <c r="L897" s="6"/>
      <c r="M897" s="6"/>
      <c r="N897" s="6"/>
      <c r="O897" s="6"/>
      <c r="P897" s="6"/>
      <c r="Q897" s="6"/>
      <c r="R897" s="6"/>
      <c r="S897" s="6"/>
      <c r="AV897" s="6"/>
      <c r="AW897" s="6"/>
      <c r="AX897" s="6"/>
      <c r="AY897" s="6"/>
      <c r="AZ897" s="6"/>
      <c r="BB897" s="6"/>
      <c r="BC897" s="6"/>
      <c r="BD897" s="6"/>
      <c r="BE897" s="6"/>
      <c r="BF897" s="6"/>
    </row>
    <row r="898" spans="1:58" s="2" customFormat="1" x14ac:dyDescent="0.2">
      <c r="A898" s="6"/>
      <c r="B898" s="6"/>
      <c r="C898" s="42"/>
      <c r="D898" s="6"/>
      <c r="E898" s="6"/>
      <c r="F898" s="6"/>
      <c r="G898" s="6"/>
      <c r="H898" s="6"/>
      <c r="I898" s="6"/>
      <c r="J898" s="6"/>
      <c r="K898" s="6"/>
      <c r="L898" s="6"/>
      <c r="M898" s="6"/>
      <c r="N898" s="6"/>
      <c r="O898" s="6"/>
      <c r="P898" s="6"/>
      <c r="Q898" s="6"/>
      <c r="R898" s="6"/>
      <c r="S898" s="6"/>
      <c r="AV898" s="6"/>
      <c r="AW898" s="6"/>
      <c r="AX898" s="6"/>
      <c r="AY898" s="6"/>
      <c r="AZ898" s="6"/>
      <c r="BB898" s="6"/>
      <c r="BC898" s="6"/>
      <c r="BD898" s="6"/>
      <c r="BE898" s="6"/>
      <c r="BF898" s="6"/>
    </row>
    <row r="899" spans="1:58" s="2" customFormat="1" x14ac:dyDescent="0.2">
      <c r="A899" s="6"/>
      <c r="B899" s="6"/>
      <c r="C899" s="42"/>
      <c r="D899" s="6"/>
      <c r="E899" s="6"/>
      <c r="F899" s="6"/>
      <c r="G899" s="6"/>
      <c r="H899" s="6"/>
      <c r="I899" s="6"/>
      <c r="J899" s="6"/>
      <c r="K899" s="6"/>
      <c r="L899" s="6"/>
      <c r="M899" s="6"/>
      <c r="N899" s="6"/>
      <c r="O899" s="6"/>
      <c r="P899" s="6"/>
      <c r="Q899" s="6"/>
      <c r="R899" s="6"/>
      <c r="S899" s="6"/>
      <c r="AV899" s="6"/>
      <c r="AW899" s="6"/>
      <c r="AX899" s="6"/>
      <c r="AY899" s="6"/>
      <c r="AZ899" s="6"/>
      <c r="BB899" s="6"/>
      <c r="BC899" s="6"/>
      <c r="BD899" s="6"/>
      <c r="BE899" s="6"/>
      <c r="BF899" s="6"/>
    </row>
    <row r="900" spans="1:58" s="2" customFormat="1" x14ac:dyDescent="0.2">
      <c r="A900" s="6"/>
      <c r="B900" s="6"/>
      <c r="C900" s="42"/>
      <c r="D900" s="6"/>
      <c r="E900" s="6"/>
      <c r="F900" s="6"/>
      <c r="G900" s="6"/>
      <c r="H900" s="6"/>
      <c r="I900" s="6"/>
      <c r="J900" s="6"/>
      <c r="K900" s="6"/>
      <c r="L900" s="6"/>
      <c r="M900" s="6"/>
      <c r="N900" s="6"/>
      <c r="O900" s="6"/>
      <c r="P900" s="6"/>
      <c r="Q900" s="6"/>
      <c r="R900" s="6"/>
      <c r="S900" s="6"/>
      <c r="AV900" s="6"/>
      <c r="AW900" s="6"/>
      <c r="AX900" s="6"/>
      <c r="AY900" s="6"/>
      <c r="AZ900" s="6"/>
      <c r="BB900" s="6"/>
      <c r="BC900" s="6"/>
      <c r="BD900" s="6"/>
      <c r="BE900" s="6"/>
      <c r="BF900" s="6"/>
    </row>
    <row r="901" spans="1:58" s="2" customFormat="1" x14ac:dyDescent="0.2">
      <c r="A901" s="6"/>
      <c r="B901" s="6"/>
      <c r="C901" s="42"/>
      <c r="D901" s="6"/>
      <c r="E901" s="6"/>
      <c r="F901" s="6"/>
      <c r="G901" s="6"/>
      <c r="H901" s="6"/>
      <c r="I901" s="6"/>
      <c r="J901" s="6"/>
      <c r="K901" s="6"/>
      <c r="L901" s="6"/>
      <c r="M901" s="6"/>
      <c r="N901" s="6"/>
      <c r="O901" s="6"/>
      <c r="P901" s="6"/>
      <c r="Q901" s="6"/>
      <c r="R901" s="6"/>
      <c r="S901" s="6"/>
      <c r="AV901" s="6"/>
      <c r="AW901" s="6"/>
      <c r="AX901" s="6"/>
      <c r="AY901" s="6"/>
      <c r="AZ901" s="6"/>
      <c r="BB901" s="6"/>
      <c r="BC901" s="6"/>
      <c r="BD901" s="6"/>
      <c r="BE901" s="6"/>
      <c r="BF901" s="6"/>
    </row>
    <row r="902" spans="1:58" s="2" customFormat="1" x14ac:dyDescent="0.2">
      <c r="A902" s="6"/>
      <c r="B902" s="6"/>
      <c r="C902" s="42"/>
      <c r="D902" s="6"/>
      <c r="E902" s="6"/>
      <c r="F902" s="6"/>
      <c r="G902" s="6"/>
      <c r="H902" s="6"/>
      <c r="I902" s="6"/>
      <c r="J902" s="6"/>
      <c r="K902" s="6"/>
      <c r="L902" s="6"/>
      <c r="M902" s="6"/>
      <c r="N902" s="6"/>
      <c r="O902" s="6"/>
      <c r="P902" s="6"/>
      <c r="Q902" s="6"/>
      <c r="R902" s="6"/>
      <c r="S902" s="6"/>
      <c r="AV902" s="6"/>
      <c r="AW902" s="6"/>
      <c r="AX902" s="6"/>
      <c r="AY902" s="6"/>
      <c r="AZ902" s="6"/>
      <c r="BB902" s="6"/>
      <c r="BC902" s="6"/>
      <c r="BD902" s="6"/>
      <c r="BE902" s="6"/>
      <c r="BF902" s="6"/>
    </row>
    <row r="903" spans="1:58" s="2" customFormat="1" x14ac:dyDescent="0.2">
      <c r="A903" s="6"/>
      <c r="B903" s="6"/>
      <c r="C903" s="42"/>
      <c r="D903" s="6"/>
      <c r="E903" s="6"/>
      <c r="F903" s="6"/>
      <c r="G903" s="6"/>
      <c r="H903" s="6"/>
      <c r="I903" s="6"/>
      <c r="J903" s="6"/>
      <c r="K903" s="6"/>
      <c r="L903" s="6"/>
      <c r="M903" s="6"/>
      <c r="N903" s="6"/>
      <c r="O903" s="6"/>
      <c r="P903" s="6"/>
      <c r="Q903" s="6"/>
      <c r="R903" s="6"/>
      <c r="S903" s="6"/>
      <c r="AV903" s="6"/>
      <c r="AW903" s="6"/>
      <c r="AX903" s="6"/>
      <c r="AY903" s="6"/>
      <c r="AZ903" s="6"/>
      <c r="BB903" s="6"/>
      <c r="BC903" s="6"/>
      <c r="BD903" s="6"/>
      <c r="BE903" s="6"/>
      <c r="BF903" s="6"/>
    </row>
    <row r="904" spans="1:58" s="2" customFormat="1" x14ac:dyDescent="0.2">
      <c r="A904" s="6"/>
      <c r="B904" s="6"/>
      <c r="C904" s="42"/>
      <c r="D904" s="6"/>
      <c r="E904" s="6"/>
      <c r="F904" s="6"/>
      <c r="G904" s="6"/>
      <c r="H904" s="6"/>
      <c r="I904" s="6"/>
      <c r="J904" s="6"/>
      <c r="K904" s="6"/>
      <c r="L904" s="6"/>
      <c r="M904" s="6"/>
      <c r="N904" s="6"/>
      <c r="O904" s="6"/>
      <c r="P904" s="6"/>
      <c r="Q904" s="6"/>
      <c r="R904" s="6"/>
      <c r="S904" s="6"/>
      <c r="AV904" s="6"/>
      <c r="AW904" s="6"/>
      <c r="AX904" s="6"/>
      <c r="AY904" s="6"/>
      <c r="AZ904" s="6"/>
      <c r="BB904" s="6"/>
      <c r="BC904" s="6"/>
      <c r="BD904" s="6"/>
      <c r="BE904" s="6"/>
      <c r="BF904" s="6"/>
    </row>
    <row r="905" spans="1:58" s="2" customFormat="1" x14ac:dyDescent="0.2">
      <c r="A905" s="6"/>
      <c r="B905" s="6"/>
      <c r="C905" s="42"/>
      <c r="D905" s="6"/>
      <c r="E905" s="6"/>
      <c r="F905" s="6"/>
      <c r="G905" s="6"/>
      <c r="H905" s="6"/>
      <c r="I905" s="6"/>
      <c r="J905" s="6"/>
      <c r="K905" s="6"/>
      <c r="L905" s="6"/>
      <c r="M905" s="6"/>
      <c r="N905" s="6"/>
      <c r="O905" s="6"/>
      <c r="P905" s="6"/>
      <c r="Q905" s="6"/>
      <c r="R905" s="6"/>
      <c r="S905" s="6"/>
      <c r="AV905" s="6"/>
      <c r="AW905" s="6"/>
      <c r="AX905" s="6"/>
      <c r="AY905" s="6"/>
      <c r="AZ905" s="6"/>
      <c r="BB905" s="6"/>
      <c r="BC905" s="6"/>
      <c r="BD905" s="6"/>
      <c r="BE905" s="6"/>
      <c r="BF905" s="6"/>
    </row>
    <row r="906" spans="1:58" s="2" customFormat="1" x14ac:dyDescent="0.2">
      <c r="A906" s="6"/>
      <c r="B906" s="6"/>
      <c r="C906" s="42"/>
      <c r="D906" s="6"/>
      <c r="E906" s="6"/>
      <c r="F906" s="6"/>
      <c r="G906" s="6"/>
      <c r="H906" s="6"/>
      <c r="I906" s="6"/>
      <c r="J906" s="6"/>
      <c r="K906" s="6"/>
      <c r="L906" s="6"/>
      <c r="M906" s="6"/>
      <c r="N906" s="6"/>
      <c r="O906" s="6"/>
      <c r="P906" s="6"/>
      <c r="Q906" s="6"/>
      <c r="R906" s="6"/>
      <c r="S906" s="6"/>
      <c r="AV906" s="6"/>
      <c r="AW906" s="6"/>
      <c r="AX906" s="6"/>
      <c r="AY906" s="6"/>
      <c r="AZ906" s="6"/>
      <c r="BB906" s="6"/>
      <c r="BC906" s="6"/>
      <c r="BD906" s="6"/>
      <c r="BE906" s="6"/>
      <c r="BF906" s="6"/>
    </row>
    <row r="907" spans="1:58" s="2" customFormat="1" x14ac:dyDescent="0.2">
      <c r="A907" s="6"/>
      <c r="B907" s="6"/>
      <c r="C907" s="42"/>
      <c r="D907" s="6"/>
      <c r="E907" s="6"/>
      <c r="F907" s="6"/>
      <c r="G907" s="6"/>
      <c r="H907" s="6"/>
      <c r="I907" s="6"/>
      <c r="J907" s="6"/>
      <c r="K907" s="6"/>
      <c r="L907" s="6"/>
      <c r="M907" s="6"/>
      <c r="N907" s="6"/>
      <c r="O907" s="6"/>
      <c r="P907" s="6"/>
      <c r="Q907" s="6"/>
      <c r="R907" s="6"/>
      <c r="S907" s="6"/>
      <c r="AV907" s="6"/>
      <c r="AW907" s="6"/>
      <c r="AX907" s="6"/>
      <c r="AY907" s="6"/>
      <c r="AZ907" s="6"/>
      <c r="BB907" s="6"/>
      <c r="BC907" s="6"/>
      <c r="BD907" s="6"/>
      <c r="BE907" s="6"/>
      <c r="BF907" s="6"/>
    </row>
    <row r="908" spans="1:58" s="2" customFormat="1" x14ac:dyDescent="0.2">
      <c r="A908" s="6"/>
      <c r="B908" s="6"/>
      <c r="C908" s="42"/>
      <c r="D908" s="6"/>
      <c r="E908" s="6"/>
      <c r="F908" s="6"/>
      <c r="G908" s="6"/>
      <c r="H908" s="6"/>
      <c r="I908" s="6"/>
      <c r="J908" s="6"/>
      <c r="K908" s="6"/>
      <c r="L908" s="6"/>
      <c r="M908" s="6"/>
      <c r="N908" s="6"/>
      <c r="O908" s="6"/>
      <c r="P908" s="6"/>
      <c r="Q908" s="6"/>
      <c r="R908" s="6"/>
      <c r="S908" s="6"/>
      <c r="AV908" s="6"/>
      <c r="AW908" s="6"/>
      <c r="AX908" s="6"/>
      <c r="AY908" s="6"/>
      <c r="AZ908" s="6"/>
      <c r="BB908" s="6"/>
      <c r="BC908" s="6"/>
      <c r="BD908" s="6"/>
      <c r="BE908" s="6"/>
      <c r="BF908" s="6"/>
    </row>
    <row r="909" spans="1:58" s="2" customFormat="1" x14ac:dyDescent="0.2">
      <c r="A909" s="6"/>
      <c r="B909" s="6"/>
      <c r="C909" s="42"/>
      <c r="D909" s="6"/>
      <c r="E909" s="6"/>
      <c r="F909" s="6"/>
      <c r="G909" s="6"/>
      <c r="H909" s="6"/>
      <c r="I909" s="6"/>
      <c r="J909" s="6"/>
      <c r="K909" s="6"/>
      <c r="L909" s="6"/>
      <c r="M909" s="6"/>
      <c r="N909" s="6"/>
      <c r="O909" s="6"/>
      <c r="P909" s="6"/>
      <c r="Q909" s="6"/>
      <c r="R909" s="6"/>
      <c r="S909" s="6"/>
      <c r="AV909" s="6"/>
      <c r="AW909" s="6"/>
      <c r="AX909" s="6"/>
      <c r="AY909" s="6"/>
      <c r="AZ909" s="6"/>
      <c r="BB909" s="6"/>
      <c r="BC909" s="6"/>
      <c r="BD909" s="6"/>
      <c r="BE909" s="6"/>
      <c r="BF909" s="6"/>
    </row>
    <row r="910" spans="1:58" s="2" customFormat="1" x14ac:dyDescent="0.2">
      <c r="A910" s="6"/>
      <c r="B910" s="6"/>
      <c r="C910" s="42"/>
      <c r="D910" s="6"/>
      <c r="E910" s="6"/>
      <c r="F910" s="6"/>
      <c r="G910" s="6"/>
      <c r="H910" s="6"/>
      <c r="I910" s="6"/>
      <c r="J910" s="6"/>
      <c r="K910" s="6"/>
      <c r="L910" s="6"/>
      <c r="M910" s="6"/>
      <c r="N910" s="6"/>
      <c r="O910" s="6"/>
      <c r="P910" s="6"/>
      <c r="Q910" s="6"/>
      <c r="R910" s="6"/>
      <c r="S910" s="6"/>
      <c r="AV910" s="6"/>
      <c r="AW910" s="6"/>
      <c r="AX910" s="6"/>
      <c r="AY910" s="6"/>
      <c r="AZ910" s="6"/>
      <c r="BB910" s="6"/>
      <c r="BC910" s="6"/>
      <c r="BD910" s="6"/>
      <c r="BE910" s="6"/>
      <c r="BF910" s="6"/>
    </row>
    <row r="911" spans="1:58" s="2" customFormat="1" x14ac:dyDescent="0.2">
      <c r="A911" s="6"/>
      <c r="B911" s="6"/>
      <c r="C911" s="42"/>
      <c r="D911" s="6"/>
      <c r="E911" s="6"/>
      <c r="F911" s="6"/>
      <c r="G911" s="6"/>
      <c r="H911" s="6"/>
      <c r="I911" s="6"/>
      <c r="J911" s="6"/>
      <c r="K911" s="6"/>
      <c r="L911" s="6"/>
      <c r="M911" s="6"/>
      <c r="N911" s="6"/>
      <c r="O911" s="6"/>
      <c r="P911" s="6"/>
      <c r="Q911" s="6"/>
      <c r="R911" s="6"/>
      <c r="S911" s="6"/>
      <c r="AV911" s="6"/>
      <c r="AW911" s="6"/>
      <c r="AX911" s="6"/>
      <c r="AY911" s="6"/>
      <c r="AZ911" s="6"/>
      <c r="BB911" s="6"/>
      <c r="BC911" s="6"/>
      <c r="BD911" s="6"/>
      <c r="BE911" s="6"/>
      <c r="BF911" s="6"/>
    </row>
    <row r="912" spans="1:58" s="2" customFormat="1" x14ac:dyDescent="0.2">
      <c r="A912" s="6"/>
      <c r="B912" s="6"/>
      <c r="C912" s="42"/>
      <c r="D912" s="6"/>
      <c r="E912" s="6"/>
      <c r="F912" s="6"/>
      <c r="G912" s="6"/>
      <c r="H912" s="6"/>
      <c r="I912" s="6"/>
      <c r="J912" s="6"/>
      <c r="K912" s="6"/>
      <c r="L912" s="6"/>
      <c r="M912" s="6"/>
      <c r="N912" s="6"/>
      <c r="O912" s="6"/>
      <c r="P912" s="6"/>
      <c r="Q912" s="6"/>
      <c r="R912" s="6"/>
      <c r="S912" s="6"/>
      <c r="AV912" s="6"/>
      <c r="AW912" s="6"/>
      <c r="AX912" s="6"/>
      <c r="AY912" s="6"/>
      <c r="AZ912" s="6"/>
      <c r="BB912" s="6"/>
      <c r="BC912" s="6"/>
      <c r="BD912" s="6"/>
      <c r="BE912" s="6"/>
      <c r="BF912" s="6"/>
    </row>
    <row r="913" spans="1:58" s="2" customFormat="1" x14ac:dyDescent="0.2">
      <c r="A913" s="6"/>
      <c r="B913" s="6"/>
      <c r="C913" s="42"/>
      <c r="D913" s="6"/>
      <c r="E913" s="6"/>
      <c r="F913" s="6"/>
      <c r="G913" s="6"/>
      <c r="H913" s="6"/>
      <c r="I913" s="6"/>
      <c r="J913" s="6"/>
      <c r="K913" s="6"/>
      <c r="L913" s="6"/>
      <c r="M913" s="6"/>
      <c r="N913" s="6"/>
      <c r="O913" s="6"/>
      <c r="P913" s="6"/>
      <c r="Q913" s="6"/>
      <c r="R913" s="6"/>
      <c r="S913" s="6"/>
      <c r="AV913" s="6"/>
      <c r="AW913" s="6"/>
      <c r="AX913" s="6"/>
      <c r="AY913" s="6"/>
      <c r="AZ913" s="6"/>
      <c r="BB913" s="6"/>
      <c r="BC913" s="6"/>
      <c r="BD913" s="6"/>
      <c r="BE913" s="6"/>
      <c r="BF913" s="6"/>
    </row>
    <row r="914" spans="1:58" s="2" customFormat="1" x14ac:dyDescent="0.2">
      <c r="A914" s="6"/>
      <c r="B914" s="6"/>
      <c r="C914" s="42"/>
      <c r="D914" s="6"/>
      <c r="E914" s="6"/>
      <c r="F914" s="6"/>
      <c r="G914" s="6"/>
      <c r="H914" s="6"/>
      <c r="I914" s="6"/>
      <c r="J914" s="6"/>
      <c r="K914" s="6"/>
      <c r="L914" s="6"/>
      <c r="M914" s="6"/>
      <c r="N914" s="6"/>
      <c r="O914" s="6"/>
      <c r="P914" s="6"/>
      <c r="Q914" s="6"/>
      <c r="R914" s="6"/>
      <c r="S914" s="6"/>
      <c r="AV914" s="6"/>
      <c r="AW914" s="6"/>
      <c r="AX914" s="6"/>
      <c r="AY914" s="6"/>
      <c r="AZ914" s="6"/>
      <c r="BB914" s="6"/>
      <c r="BC914" s="6"/>
      <c r="BD914" s="6"/>
      <c r="BE914" s="6"/>
      <c r="BF914" s="6"/>
    </row>
    <row r="915" spans="1:58" s="2" customFormat="1" x14ac:dyDescent="0.2">
      <c r="A915" s="6"/>
      <c r="B915" s="6"/>
      <c r="C915" s="42"/>
      <c r="D915" s="6"/>
      <c r="E915" s="6"/>
      <c r="F915" s="6"/>
      <c r="G915" s="6"/>
      <c r="H915" s="6"/>
      <c r="I915" s="6"/>
      <c r="J915" s="6"/>
      <c r="K915" s="6"/>
      <c r="L915" s="6"/>
      <c r="M915" s="6"/>
      <c r="N915" s="6"/>
      <c r="O915" s="6"/>
      <c r="P915" s="6"/>
      <c r="Q915" s="6"/>
      <c r="R915" s="6"/>
      <c r="S915" s="6"/>
      <c r="AV915" s="6"/>
      <c r="AW915" s="6"/>
      <c r="AX915" s="6"/>
      <c r="AY915" s="6"/>
      <c r="AZ915" s="6"/>
      <c r="BB915" s="6"/>
      <c r="BC915" s="6"/>
      <c r="BD915" s="6"/>
      <c r="BE915" s="6"/>
      <c r="BF915" s="6"/>
    </row>
    <row r="916" spans="1:58" s="2" customFormat="1" x14ac:dyDescent="0.2">
      <c r="A916" s="6"/>
      <c r="B916" s="6"/>
      <c r="C916" s="42"/>
      <c r="D916" s="6"/>
      <c r="E916" s="6"/>
      <c r="F916" s="6"/>
      <c r="G916" s="6"/>
      <c r="H916" s="6"/>
      <c r="I916" s="6"/>
      <c r="J916" s="6"/>
      <c r="K916" s="6"/>
      <c r="L916" s="6"/>
      <c r="M916" s="6"/>
      <c r="N916" s="6"/>
      <c r="O916" s="6"/>
      <c r="P916" s="6"/>
      <c r="Q916" s="6"/>
      <c r="R916" s="6"/>
      <c r="S916" s="6"/>
      <c r="AV916" s="6"/>
      <c r="AW916" s="6"/>
      <c r="AX916" s="6"/>
      <c r="AY916" s="6"/>
      <c r="AZ916" s="6"/>
      <c r="BB916" s="6"/>
      <c r="BC916" s="6"/>
      <c r="BD916" s="6"/>
      <c r="BE916" s="6"/>
      <c r="BF916" s="6"/>
    </row>
    <row r="917" spans="1:58" s="2" customFormat="1" x14ac:dyDescent="0.2">
      <c r="A917" s="6"/>
      <c r="B917" s="6"/>
      <c r="C917" s="42"/>
      <c r="D917" s="6"/>
      <c r="E917" s="6"/>
      <c r="F917" s="6"/>
      <c r="G917" s="6"/>
      <c r="H917" s="6"/>
      <c r="I917" s="6"/>
      <c r="J917" s="6"/>
      <c r="K917" s="6"/>
      <c r="L917" s="6"/>
      <c r="M917" s="6"/>
      <c r="N917" s="6"/>
      <c r="O917" s="6"/>
      <c r="P917" s="6"/>
      <c r="Q917" s="6"/>
      <c r="R917" s="6"/>
      <c r="S917" s="6"/>
      <c r="AV917" s="6"/>
      <c r="AW917" s="6"/>
      <c r="AX917" s="6"/>
      <c r="AY917" s="6"/>
      <c r="AZ917" s="6"/>
      <c r="BB917" s="6"/>
      <c r="BC917" s="6"/>
      <c r="BD917" s="6"/>
      <c r="BE917" s="6"/>
      <c r="BF917" s="6"/>
    </row>
    <row r="918" spans="1:58" s="2" customFormat="1" x14ac:dyDescent="0.2">
      <c r="A918" s="6"/>
      <c r="B918" s="6"/>
      <c r="C918" s="42"/>
      <c r="D918" s="6"/>
      <c r="E918" s="6"/>
      <c r="F918" s="6"/>
      <c r="G918" s="6"/>
      <c r="H918" s="6"/>
      <c r="I918" s="6"/>
      <c r="J918" s="6"/>
      <c r="K918" s="6"/>
      <c r="L918" s="6"/>
      <c r="M918" s="6"/>
      <c r="N918" s="6"/>
      <c r="O918" s="6"/>
      <c r="P918" s="6"/>
      <c r="Q918" s="6"/>
      <c r="R918" s="6"/>
      <c r="S918" s="6"/>
      <c r="AV918" s="6"/>
      <c r="AW918" s="6"/>
      <c r="AX918" s="6"/>
      <c r="AY918" s="6"/>
      <c r="AZ918" s="6"/>
      <c r="BB918" s="6"/>
      <c r="BC918" s="6"/>
      <c r="BD918" s="6"/>
      <c r="BE918" s="6"/>
      <c r="BF918" s="6"/>
    </row>
    <row r="919" spans="1:58" s="2" customFormat="1" x14ac:dyDescent="0.2">
      <c r="A919" s="6"/>
      <c r="B919" s="6"/>
      <c r="C919" s="42"/>
      <c r="D919" s="6"/>
      <c r="E919" s="6"/>
      <c r="F919" s="6"/>
      <c r="G919" s="6"/>
      <c r="H919" s="6"/>
      <c r="I919" s="6"/>
      <c r="J919" s="6"/>
      <c r="K919" s="6"/>
      <c r="L919" s="6"/>
      <c r="M919" s="6"/>
      <c r="N919" s="6"/>
      <c r="O919" s="6"/>
      <c r="P919" s="6"/>
      <c r="Q919" s="6"/>
      <c r="R919" s="6"/>
      <c r="S919" s="6"/>
      <c r="AV919" s="6"/>
      <c r="AW919" s="6"/>
      <c r="AX919" s="6"/>
      <c r="AY919" s="6"/>
      <c r="AZ919" s="6"/>
      <c r="BB919" s="6"/>
      <c r="BC919" s="6"/>
      <c r="BD919" s="6"/>
      <c r="BE919" s="6"/>
      <c r="BF919" s="6"/>
    </row>
    <row r="920" spans="1:58" s="2" customFormat="1" x14ac:dyDescent="0.2">
      <c r="A920" s="6"/>
      <c r="B920" s="6"/>
      <c r="C920" s="42"/>
      <c r="D920" s="6"/>
      <c r="E920" s="6"/>
      <c r="F920" s="6"/>
      <c r="G920" s="6"/>
      <c r="H920" s="6"/>
      <c r="I920" s="6"/>
      <c r="J920" s="6"/>
      <c r="K920" s="6"/>
      <c r="L920" s="6"/>
      <c r="M920" s="6"/>
      <c r="N920" s="6"/>
      <c r="O920" s="6"/>
      <c r="P920" s="6"/>
      <c r="Q920" s="6"/>
      <c r="R920" s="6"/>
      <c r="S920" s="6"/>
      <c r="AV920" s="6"/>
      <c r="AW920" s="6"/>
      <c r="AX920" s="6"/>
      <c r="AY920" s="6"/>
      <c r="AZ920" s="6"/>
      <c r="BB920" s="6"/>
      <c r="BC920" s="6"/>
      <c r="BD920" s="6"/>
      <c r="BE920" s="6"/>
      <c r="BF920" s="6"/>
    </row>
    <row r="921" spans="1:58" s="2" customFormat="1" x14ac:dyDescent="0.2">
      <c r="A921" s="6"/>
      <c r="B921" s="6"/>
      <c r="C921" s="42"/>
      <c r="D921" s="6"/>
      <c r="E921" s="6"/>
      <c r="F921" s="6"/>
      <c r="G921" s="6"/>
      <c r="H921" s="6"/>
      <c r="I921" s="6"/>
      <c r="J921" s="6"/>
      <c r="K921" s="6"/>
      <c r="L921" s="6"/>
      <c r="M921" s="6"/>
      <c r="N921" s="6"/>
      <c r="O921" s="6"/>
      <c r="P921" s="6"/>
      <c r="Q921" s="6"/>
      <c r="R921" s="6"/>
      <c r="S921" s="6"/>
      <c r="AV921" s="6"/>
      <c r="AW921" s="6"/>
      <c r="AX921" s="6"/>
      <c r="AY921" s="6"/>
      <c r="AZ921" s="6"/>
      <c r="BB921" s="6"/>
      <c r="BC921" s="6"/>
      <c r="BD921" s="6"/>
      <c r="BE921" s="6"/>
      <c r="BF921" s="6"/>
    </row>
    <row r="922" spans="1:58" s="2" customFormat="1" x14ac:dyDescent="0.2">
      <c r="A922" s="6"/>
      <c r="B922" s="6"/>
      <c r="C922" s="42"/>
      <c r="D922" s="6"/>
      <c r="E922" s="6"/>
      <c r="F922" s="6"/>
      <c r="G922" s="6"/>
      <c r="H922" s="6"/>
      <c r="I922" s="6"/>
      <c r="J922" s="6"/>
      <c r="K922" s="6"/>
      <c r="L922" s="6"/>
      <c r="M922" s="6"/>
      <c r="N922" s="6"/>
      <c r="O922" s="6"/>
      <c r="P922" s="6"/>
      <c r="Q922" s="6"/>
      <c r="R922" s="6"/>
      <c r="S922" s="6"/>
      <c r="AV922" s="6"/>
      <c r="AW922" s="6"/>
      <c r="AX922" s="6"/>
      <c r="AY922" s="6"/>
      <c r="AZ922" s="6"/>
      <c r="BB922" s="6"/>
      <c r="BC922" s="6"/>
      <c r="BD922" s="6"/>
      <c r="BE922" s="6"/>
      <c r="BF922" s="6"/>
    </row>
    <row r="923" spans="1:58" s="2" customFormat="1" x14ac:dyDescent="0.2">
      <c r="A923" s="6"/>
      <c r="B923" s="6"/>
      <c r="C923" s="42"/>
      <c r="D923" s="6"/>
      <c r="E923" s="6"/>
      <c r="F923" s="6"/>
      <c r="G923" s="6"/>
      <c r="H923" s="6"/>
      <c r="I923" s="6"/>
      <c r="J923" s="6"/>
      <c r="K923" s="6"/>
      <c r="L923" s="6"/>
      <c r="M923" s="6"/>
      <c r="N923" s="6"/>
      <c r="O923" s="6"/>
      <c r="P923" s="6"/>
      <c r="Q923" s="6"/>
      <c r="R923" s="6"/>
      <c r="S923" s="6"/>
      <c r="AV923" s="6"/>
      <c r="AW923" s="6"/>
      <c r="AX923" s="6"/>
      <c r="AY923" s="6"/>
      <c r="AZ923" s="6"/>
      <c r="BB923" s="6"/>
      <c r="BC923" s="6"/>
      <c r="BD923" s="6"/>
      <c r="BE923" s="6"/>
      <c r="BF923" s="6"/>
    </row>
    <row r="924" spans="1:58" s="2" customFormat="1" x14ac:dyDescent="0.2">
      <c r="A924" s="6"/>
      <c r="B924" s="6"/>
      <c r="C924" s="42"/>
      <c r="D924" s="6"/>
      <c r="E924" s="6"/>
      <c r="F924" s="6"/>
      <c r="G924" s="6"/>
      <c r="H924" s="6"/>
      <c r="I924" s="6"/>
      <c r="J924" s="6"/>
      <c r="K924" s="6"/>
      <c r="L924" s="6"/>
      <c r="M924" s="6"/>
      <c r="N924" s="6"/>
      <c r="O924" s="6"/>
      <c r="P924" s="6"/>
      <c r="Q924" s="6"/>
      <c r="R924" s="6"/>
      <c r="S924" s="6"/>
      <c r="AV924" s="6"/>
      <c r="AW924" s="6"/>
      <c r="AX924" s="6"/>
      <c r="AY924" s="6"/>
      <c r="AZ924" s="6"/>
      <c r="BB924" s="6"/>
      <c r="BC924" s="6"/>
      <c r="BD924" s="6"/>
      <c r="BE924" s="6"/>
      <c r="BF924" s="6"/>
    </row>
    <row r="925" spans="1:58" s="2" customFormat="1" x14ac:dyDescent="0.2">
      <c r="A925" s="6"/>
      <c r="B925" s="6"/>
      <c r="C925" s="42"/>
      <c r="D925" s="6"/>
      <c r="E925" s="6"/>
      <c r="F925" s="6"/>
      <c r="G925" s="6"/>
      <c r="H925" s="6"/>
      <c r="I925" s="6"/>
      <c r="J925" s="6"/>
      <c r="K925" s="6"/>
      <c r="L925" s="6"/>
      <c r="M925" s="6"/>
      <c r="N925" s="6"/>
      <c r="O925" s="6"/>
      <c r="P925" s="6"/>
      <c r="Q925" s="6"/>
      <c r="R925" s="6"/>
      <c r="S925" s="6"/>
      <c r="AV925" s="6"/>
      <c r="AW925" s="6"/>
      <c r="AX925" s="6"/>
      <c r="AY925" s="6"/>
      <c r="AZ925" s="6"/>
      <c r="BB925" s="6"/>
      <c r="BC925" s="6"/>
      <c r="BD925" s="6"/>
      <c r="BE925" s="6"/>
      <c r="BF925" s="6"/>
    </row>
    <row r="926" spans="1:58" s="2" customFormat="1" x14ac:dyDescent="0.2">
      <c r="A926" s="6"/>
      <c r="B926" s="6"/>
      <c r="C926" s="42"/>
      <c r="D926" s="6"/>
      <c r="E926" s="6"/>
      <c r="F926" s="6"/>
      <c r="G926" s="6"/>
      <c r="H926" s="6"/>
      <c r="I926" s="6"/>
      <c r="J926" s="6"/>
      <c r="K926" s="6"/>
      <c r="L926" s="6"/>
      <c r="M926" s="6"/>
      <c r="N926" s="6"/>
      <c r="O926" s="6"/>
      <c r="P926" s="6"/>
      <c r="Q926" s="6"/>
      <c r="R926" s="6"/>
      <c r="S926" s="6"/>
      <c r="AV926" s="6"/>
      <c r="AW926" s="6"/>
      <c r="AX926" s="6"/>
      <c r="AY926" s="6"/>
      <c r="AZ926" s="6"/>
      <c r="BB926" s="6"/>
      <c r="BC926" s="6"/>
      <c r="BD926" s="6"/>
      <c r="BE926" s="6"/>
      <c r="BF926" s="6"/>
    </row>
    <row r="927" spans="1:58" s="2" customFormat="1" x14ac:dyDescent="0.2">
      <c r="A927" s="6"/>
      <c r="B927" s="6"/>
      <c r="C927" s="42"/>
      <c r="D927" s="6"/>
      <c r="E927" s="6"/>
      <c r="F927" s="6"/>
      <c r="G927" s="6"/>
      <c r="H927" s="6"/>
      <c r="I927" s="6"/>
      <c r="J927" s="6"/>
      <c r="K927" s="6"/>
      <c r="L927" s="6"/>
      <c r="M927" s="6"/>
      <c r="N927" s="6"/>
      <c r="O927" s="6"/>
      <c r="P927" s="6"/>
      <c r="Q927" s="6"/>
      <c r="R927" s="6"/>
      <c r="S927" s="6"/>
      <c r="AV927" s="6"/>
      <c r="AW927" s="6"/>
      <c r="AX927" s="6"/>
      <c r="AY927" s="6"/>
      <c r="AZ927" s="6"/>
      <c r="BB927" s="6"/>
      <c r="BC927" s="6"/>
      <c r="BD927" s="6"/>
      <c r="BE927" s="6"/>
      <c r="BF927" s="6"/>
    </row>
    <row r="928" spans="1:58" s="2" customFormat="1" x14ac:dyDescent="0.2">
      <c r="A928" s="6"/>
      <c r="B928" s="6"/>
      <c r="C928" s="42"/>
      <c r="D928" s="6"/>
      <c r="E928" s="6"/>
      <c r="F928" s="6"/>
      <c r="G928" s="6"/>
      <c r="H928" s="6"/>
      <c r="I928" s="6"/>
      <c r="J928" s="6"/>
      <c r="K928" s="6"/>
      <c r="L928" s="6"/>
      <c r="M928" s="6"/>
      <c r="N928" s="6"/>
      <c r="O928" s="6"/>
      <c r="P928" s="6"/>
      <c r="Q928" s="6"/>
      <c r="R928" s="6"/>
      <c r="S928" s="6"/>
      <c r="AV928" s="6"/>
      <c r="AW928" s="6"/>
      <c r="AX928" s="6"/>
      <c r="AY928" s="6"/>
      <c r="AZ928" s="6"/>
      <c r="BB928" s="6"/>
      <c r="BC928" s="6"/>
      <c r="BD928" s="6"/>
      <c r="BE928" s="6"/>
      <c r="BF928" s="6"/>
    </row>
    <row r="929" spans="1:58" s="2" customFormat="1" x14ac:dyDescent="0.2">
      <c r="A929" s="6"/>
      <c r="B929" s="6"/>
      <c r="C929" s="42"/>
      <c r="D929" s="6"/>
      <c r="E929" s="6"/>
      <c r="F929" s="6"/>
      <c r="G929" s="6"/>
      <c r="H929" s="6"/>
      <c r="I929" s="6"/>
      <c r="J929" s="6"/>
      <c r="K929" s="6"/>
      <c r="L929" s="6"/>
      <c r="M929" s="6"/>
      <c r="N929" s="6"/>
      <c r="O929" s="6"/>
      <c r="P929" s="6"/>
      <c r="Q929" s="6"/>
      <c r="R929" s="6"/>
      <c r="S929" s="6"/>
      <c r="AV929" s="6"/>
      <c r="AW929" s="6"/>
      <c r="AX929" s="6"/>
      <c r="AY929" s="6"/>
      <c r="AZ929" s="6"/>
      <c r="BB929" s="6"/>
      <c r="BC929" s="6"/>
      <c r="BD929" s="6"/>
      <c r="BE929" s="6"/>
      <c r="BF929" s="6"/>
    </row>
    <row r="930" spans="1:58" s="2" customFormat="1" x14ac:dyDescent="0.2">
      <c r="A930" s="6"/>
      <c r="B930" s="6"/>
      <c r="C930" s="42"/>
      <c r="D930" s="6"/>
      <c r="E930" s="6"/>
      <c r="F930" s="6"/>
      <c r="G930" s="6"/>
      <c r="H930" s="6"/>
      <c r="I930" s="6"/>
      <c r="J930" s="6"/>
      <c r="K930" s="6"/>
      <c r="L930" s="6"/>
      <c r="M930" s="6"/>
      <c r="N930" s="6"/>
      <c r="O930" s="6"/>
      <c r="P930" s="6"/>
      <c r="Q930" s="6"/>
      <c r="R930" s="6"/>
      <c r="S930" s="6"/>
      <c r="AV930" s="6"/>
      <c r="AW930" s="6"/>
      <c r="AX930" s="6"/>
      <c r="AY930" s="6"/>
      <c r="AZ930" s="6"/>
      <c r="BB930" s="6"/>
      <c r="BC930" s="6"/>
      <c r="BD930" s="6"/>
      <c r="BE930" s="6"/>
      <c r="BF930" s="6"/>
    </row>
    <row r="931" spans="1:58" s="2" customFormat="1" x14ac:dyDescent="0.2">
      <c r="A931" s="6"/>
      <c r="B931" s="6"/>
      <c r="C931" s="42"/>
      <c r="D931" s="6"/>
      <c r="E931" s="6"/>
      <c r="F931" s="6"/>
      <c r="G931" s="6"/>
      <c r="H931" s="6"/>
      <c r="I931" s="6"/>
      <c r="J931" s="6"/>
      <c r="K931" s="6"/>
      <c r="L931" s="6"/>
      <c r="M931" s="6"/>
      <c r="N931" s="6"/>
      <c r="O931" s="6"/>
      <c r="P931" s="6"/>
      <c r="Q931" s="6"/>
      <c r="R931" s="6"/>
      <c r="S931" s="6"/>
      <c r="AV931" s="6"/>
      <c r="AW931" s="6"/>
      <c r="AX931" s="6"/>
      <c r="AY931" s="6"/>
      <c r="AZ931" s="6"/>
      <c r="BB931" s="6"/>
      <c r="BC931" s="6"/>
      <c r="BD931" s="6"/>
      <c r="BE931" s="6"/>
      <c r="BF931" s="6"/>
    </row>
    <row r="932" spans="1:58" s="2" customFormat="1" x14ac:dyDescent="0.2">
      <c r="A932" s="6"/>
      <c r="B932" s="6"/>
      <c r="C932" s="42"/>
      <c r="D932" s="6"/>
      <c r="E932" s="6"/>
      <c r="F932" s="6"/>
      <c r="G932" s="6"/>
      <c r="H932" s="6"/>
      <c r="I932" s="6"/>
      <c r="J932" s="6"/>
      <c r="K932" s="6"/>
      <c r="L932" s="6"/>
      <c r="M932" s="6"/>
      <c r="N932" s="6"/>
      <c r="O932" s="6"/>
      <c r="P932" s="6"/>
      <c r="Q932" s="6"/>
      <c r="R932" s="6"/>
      <c r="S932" s="6"/>
      <c r="AV932" s="6"/>
      <c r="AW932" s="6"/>
      <c r="AX932" s="6"/>
      <c r="AY932" s="6"/>
      <c r="AZ932" s="6"/>
      <c r="BB932" s="6"/>
      <c r="BC932" s="6"/>
      <c r="BD932" s="6"/>
      <c r="BE932" s="6"/>
      <c r="BF932" s="6"/>
    </row>
    <row r="933" spans="1:58" s="2" customFormat="1" x14ac:dyDescent="0.2">
      <c r="A933" s="6"/>
      <c r="B933" s="6"/>
      <c r="C933" s="42"/>
      <c r="D933" s="6"/>
      <c r="E933" s="6"/>
      <c r="F933" s="6"/>
      <c r="G933" s="6"/>
      <c r="H933" s="6"/>
      <c r="I933" s="6"/>
      <c r="J933" s="6"/>
      <c r="K933" s="6"/>
      <c r="L933" s="6"/>
      <c r="M933" s="6"/>
      <c r="N933" s="6"/>
      <c r="O933" s="6"/>
      <c r="P933" s="6"/>
      <c r="Q933" s="6"/>
      <c r="R933" s="6"/>
      <c r="S933" s="6"/>
      <c r="AV933" s="6"/>
      <c r="AW933" s="6"/>
      <c r="AX933" s="6"/>
      <c r="AY933" s="6"/>
      <c r="AZ933" s="6"/>
      <c r="BB933" s="6"/>
      <c r="BC933" s="6"/>
      <c r="BD933" s="6"/>
      <c r="BE933" s="6"/>
      <c r="BF933" s="6"/>
    </row>
    <row r="934" spans="1:58" s="2" customFormat="1" x14ac:dyDescent="0.2">
      <c r="A934" s="6"/>
      <c r="B934" s="6"/>
      <c r="C934" s="42"/>
      <c r="D934" s="6"/>
      <c r="E934" s="6"/>
      <c r="F934" s="6"/>
      <c r="G934" s="6"/>
      <c r="H934" s="6"/>
      <c r="I934" s="6"/>
      <c r="J934" s="6"/>
      <c r="K934" s="6"/>
      <c r="L934" s="6"/>
      <c r="M934" s="6"/>
      <c r="N934" s="6"/>
      <c r="O934" s="6"/>
      <c r="P934" s="6"/>
      <c r="Q934" s="6"/>
      <c r="R934" s="6"/>
      <c r="S934" s="6"/>
      <c r="AV934" s="6"/>
      <c r="AW934" s="6"/>
      <c r="AX934" s="6"/>
      <c r="AY934" s="6"/>
      <c r="AZ934" s="6"/>
      <c r="BB934" s="6"/>
      <c r="BC934" s="6"/>
      <c r="BD934" s="6"/>
      <c r="BE934" s="6"/>
      <c r="BF934" s="6"/>
    </row>
    <row r="935" spans="1:58" s="2" customFormat="1" x14ac:dyDescent="0.2">
      <c r="A935" s="6"/>
      <c r="B935" s="6"/>
      <c r="C935" s="42"/>
      <c r="D935" s="6"/>
      <c r="E935" s="6"/>
      <c r="F935" s="6"/>
      <c r="G935" s="6"/>
      <c r="H935" s="6"/>
      <c r="I935" s="6"/>
      <c r="J935" s="6"/>
      <c r="K935" s="6"/>
      <c r="L935" s="6"/>
      <c r="M935" s="6"/>
      <c r="N935" s="6"/>
      <c r="O935" s="6"/>
      <c r="P935" s="6"/>
      <c r="Q935" s="6"/>
      <c r="R935" s="6"/>
      <c r="S935" s="6"/>
      <c r="AV935" s="6"/>
      <c r="AW935" s="6"/>
      <c r="AX935" s="6"/>
      <c r="AY935" s="6"/>
      <c r="AZ935" s="6"/>
      <c r="BB935" s="6"/>
      <c r="BC935" s="6"/>
      <c r="BD935" s="6"/>
      <c r="BE935" s="6"/>
      <c r="BF935" s="6"/>
    </row>
    <row r="936" spans="1:58" s="2" customFormat="1" x14ac:dyDescent="0.2">
      <c r="A936" s="6"/>
      <c r="B936" s="6"/>
      <c r="C936" s="42"/>
      <c r="D936" s="6"/>
      <c r="E936" s="6"/>
      <c r="F936" s="6"/>
      <c r="G936" s="6"/>
      <c r="H936" s="6"/>
      <c r="I936" s="6"/>
      <c r="J936" s="6"/>
      <c r="K936" s="6"/>
      <c r="L936" s="6"/>
      <c r="M936" s="6"/>
      <c r="N936" s="6"/>
      <c r="O936" s="6"/>
      <c r="P936" s="6"/>
      <c r="Q936" s="6"/>
      <c r="R936" s="6"/>
      <c r="S936" s="6"/>
      <c r="AV936" s="6"/>
      <c r="AW936" s="6"/>
      <c r="AX936" s="6"/>
      <c r="AY936" s="6"/>
      <c r="AZ936" s="6"/>
      <c r="BB936" s="6"/>
      <c r="BC936" s="6"/>
      <c r="BD936" s="6"/>
      <c r="BE936" s="6"/>
      <c r="BF936" s="6"/>
    </row>
    <row r="937" spans="1:58" s="2" customFormat="1" x14ac:dyDescent="0.2">
      <c r="A937" s="6"/>
      <c r="B937" s="6"/>
      <c r="C937" s="42"/>
      <c r="D937" s="6"/>
      <c r="E937" s="6"/>
      <c r="F937" s="6"/>
      <c r="G937" s="6"/>
      <c r="H937" s="6"/>
      <c r="I937" s="6"/>
      <c r="J937" s="6"/>
      <c r="K937" s="6"/>
      <c r="L937" s="6"/>
      <c r="M937" s="6"/>
      <c r="N937" s="6"/>
      <c r="O937" s="6"/>
      <c r="P937" s="6"/>
      <c r="Q937" s="6"/>
      <c r="R937" s="6"/>
      <c r="S937" s="6"/>
      <c r="AV937" s="6"/>
      <c r="AW937" s="6"/>
      <c r="AX937" s="6"/>
      <c r="AY937" s="6"/>
      <c r="AZ937" s="6"/>
      <c r="BB937" s="6"/>
      <c r="BC937" s="6"/>
      <c r="BD937" s="6"/>
      <c r="BE937" s="6"/>
      <c r="BF937" s="6"/>
    </row>
    <row r="938" spans="1:58" s="2" customFormat="1" x14ac:dyDescent="0.2">
      <c r="A938" s="6"/>
      <c r="B938" s="6"/>
      <c r="C938" s="42"/>
      <c r="D938" s="6"/>
      <c r="E938" s="6"/>
      <c r="F938" s="6"/>
      <c r="G938" s="6"/>
      <c r="H938" s="6"/>
      <c r="I938" s="6"/>
      <c r="J938" s="6"/>
      <c r="K938" s="6"/>
      <c r="L938" s="6"/>
      <c r="M938" s="6"/>
      <c r="N938" s="6"/>
      <c r="O938" s="6"/>
      <c r="P938" s="6"/>
      <c r="Q938" s="6"/>
      <c r="R938" s="6"/>
      <c r="S938" s="6"/>
      <c r="AV938" s="6"/>
      <c r="AW938" s="6"/>
      <c r="AX938" s="6"/>
      <c r="AY938" s="6"/>
      <c r="AZ938" s="6"/>
      <c r="BB938" s="6"/>
      <c r="BC938" s="6"/>
      <c r="BD938" s="6"/>
      <c r="BE938" s="6"/>
      <c r="BF938" s="6"/>
    </row>
    <row r="939" spans="1:58" s="2" customFormat="1" x14ac:dyDescent="0.2">
      <c r="A939" s="6"/>
      <c r="B939" s="6"/>
      <c r="C939" s="42"/>
      <c r="D939" s="6"/>
      <c r="E939" s="6"/>
      <c r="F939" s="6"/>
      <c r="G939" s="6"/>
      <c r="H939" s="6"/>
      <c r="I939" s="6"/>
      <c r="J939" s="6"/>
      <c r="K939" s="6"/>
      <c r="L939" s="6"/>
      <c r="M939" s="6"/>
      <c r="N939" s="6"/>
      <c r="O939" s="6"/>
      <c r="P939" s="6"/>
      <c r="Q939" s="6"/>
      <c r="R939" s="6"/>
      <c r="S939" s="6"/>
      <c r="AV939" s="6"/>
      <c r="AW939" s="6"/>
      <c r="AX939" s="6"/>
      <c r="AY939" s="6"/>
      <c r="AZ939" s="6"/>
      <c r="BB939" s="6"/>
      <c r="BC939" s="6"/>
      <c r="BD939" s="6"/>
      <c r="BE939" s="6"/>
      <c r="BF939" s="6"/>
    </row>
    <row r="940" spans="1:58" s="2" customFormat="1" x14ac:dyDescent="0.2">
      <c r="A940" s="6"/>
      <c r="B940" s="6"/>
      <c r="C940" s="42"/>
      <c r="D940" s="6"/>
      <c r="E940" s="6"/>
      <c r="F940" s="6"/>
      <c r="G940" s="6"/>
      <c r="H940" s="6"/>
      <c r="I940" s="6"/>
      <c r="J940" s="6"/>
      <c r="K940" s="6"/>
      <c r="L940" s="6"/>
      <c r="M940" s="6"/>
      <c r="N940" s="6"/>
      <c r="O940" s="6"/>
      <c r="P940" s="6"/>
      <c r="Q940" s="6"/>
      <c r="R940" s="6"/>
      <c r="S940" s="6"/>
      <c r="AV940" s="6"/>
      <c r="AW940" s="6"/>
      <c r="AX940" s="6"/>
      <c r="AY940" s="6"/>
      <c r="AZ940" s="6"/>
      <c r="BB940" s="6"/>
      <c r="BC940" s="6"/>
      <c r="BD940" s="6"/>
      <c r="BE940" s="6"/>
      <c r="BF940" s="6"/>
    </row>
    <row r="941" spans="1:58" s="2" customFormat="1" x14ac:dyDescent="0.2">
      <c r="A941" s="6"/>
      <c r="B941" s="6"/>
      <c r="C941" s="42"/>
      <c r="D941" s="6"/>
      <c r="E941" s="6"/>
      <c r="F941" s="6"/>
      <c r="G941" s="6"/>
      <c r="H941" s="6"/>
      <c r="I941" s="6"/>
      <c r="J941" s="6"/>
      <c r="K941" s="6"/>
      <c r="L941" s="6"/>
      <c r="M941" s="6"/>
      <c r="N941" s="6"/>
      <c r="O941" s="6"/>
      <c r="P941" s="6"/>
      <c r="Q941" s="6"/>
      <c r="R941" s="6"/>
      <c r="S941" s="6"/>
      <c r="AV941" s="6"/>
      <c r="AW941" s="6"/>
      <c r="AX941" s="6"/>
      <c r="AY941" s="6"/>
      <c r="AZ941" s="6"/>
      <c r="BB941" s="6"/>
      <c r="BC941" s="6"/>
      <c r="BD941" s="6"/>
      <c r="BE941" s="6"/>
      <c r="BF941" s="6"/>
    </row>
    <row r="942" spans="1:58" s="2" customFormat="1" x14ac:dyDescent="0.2">
      <c r="A942" s="6"/>
      <c r="B942" s="6"/>
      <c r="C942" s="42"/>
      <c r="D942" s="6"/>
      <c r="E942" s="6"/>
      <c r="F942" s="6"/>
      <c r="G942" s="6"/>
      <c r="H942" s="6"/>
      <c r="I942" s="6"/>
      <c r="J942" s="6"/>
      <c r="K942" s="6"/>
      <c r="L942" s="6"/>
      <c r="M942" s="6"/>
      <c r="N942" s="6"/>
      <c r="O942" s="6"/>
      <c r="P942" s="6"/>
      <c r="Q942" s="6"/>
      <c r="R942" s="6"/>
      <c r="S942" s="6"/>
      <c r="AV942" s="6"/>
      <c r="AW942" s="6"/>
      <c r="AX942" s="6"/>
      <c r="AY942" s="6"/>
      <c r="AZ942" s="6"/>
      <c r="BB942" s="6"/>
      <c r="BC942" s="6"/>
      <c r="BD942" s="6"/>
      <c r="BE942" s="6"/>
      <c r="BF942" s="6"/>
    </row>
    <row r="943" spans="1:58" s="2" customFormat="1" x14ac:dyDescent="0.2">
      <c r="A943" s="6"/>
      <c r="B943" s="6"/>
      <c r="C943" s="42"/>
      <c r="D943" s="6"/>
      <c r="E943" s="6"/>
      <c r="F943" s="6"/>
      <c r="G943" s="6"/>
      <c r="H943" s="6"/>
      <c r="I943" s="6"/>
      <c r="J943" s="6"/>
      <c r="K943" s="6"/>
      <c r="L943" s="6"/>
      <c r="M943" s="6"/>
      <c r="N943" s="6"/>
      <c r="O943" s="6"/>
      <c r="P943" s="6"/>
      <c r="Q943" s="6"/>
      <c r="R943" s="6"/>
      <c r="S943" s="6"/>
      <c r="AV943" s="6"/>
      <c r="AW943" s="6"/>
      <c r="AX943" s="6"/>
      <c r="AY943" s="6"/>
      <c r="AZ943" s="6"/>
      <c r="BB943" s="6"/>
      <c r="BC943" s="6"/>
      <c r="BD943" s="6"/>
      <c r="BE943" s="6"/>
      <c r="BF943" s="6"/>
    </row>
    <row r="944" spans="1:58" s="2" customFormat="1" x14ac:dyDescent="0.2">
      <c r="A944" s="6"/>
      <c r="B944" s="6"/>
      <c r="C944" s="42"/>
      <c r="D944" s="6"/>
      <c r="E944" s="6"/>
      <c r="F944" s="6"/>
      <c r="G944" s="6"/>
      <c r="H944" s="6"/>
      <c r="I944" s="6"/>
      <c r="J944" s="6"/>
      <c r="K944" s="6"/>
      <c r="L944" s="6"/>
      <c r="M944" s="6"/>
      <c r="N944" s="6"/>
      <c r="O944" s="6"/>
      <c r="P944" s="6"/>
      <c r="Q944" s="6"/>
      <c r="R944" s="6"/>
      <c r="S944" s="6"/>
      <c r="AV944" s="6"/>
      <c r="AW944" s="6"/>
      <c r="AX944" s="6"/>
      <c r="AY944" s="6"/>
      <c r="AZ944" s="6"/>
      <c r="BB944" s="6"/>
      <c r="BC944" s="6"/>
      <c r="BD944" s="6"/>
      <c r="BE944" s="6"/>
      <c r="BF944" s="6"/>
    </row>
    <row r="945" spans="1:58" s="2" customFormat="1" x14ac:dyDescent="0.2">
      <c r="A945" s="6"/>
      <c r="B945" s="6"/>
      <c r="C945" s="42"/>
      <c r="D945" s="6"/>
      <c r="E945" s="6"/>
      <c r="F945" s="6"/>
      <c r="G945" s="6"/>
      <c r="H945" s="6"/>
      <c r="I945" s="6"/>
      <c r="J945" s="6"/>
      <c r="K945" s="6"/>
      <c r="L945" s="6"/>
      <c r="M945" s="6"/>
      <c r="N945" s="6"/>
      <c r="O945" s="6"/>
      <c r="P945" s="6"/>
      <c r="Q945" s="6"/>
      <c r="R945" s="6"/>
      <c r="S945" s="6"/>
      <c r="AV945" s="6"/>
      <c r="AW945" s="6"/>
      <c r="AX945" s="6"/>
      <c r="AY945" s="6"/>
      <c r="AZ945" s="6"/>
      <c r="BB945" s="6"/>
      <c r="BC945" s="6"/>
      <c r="BD945" s="6"/>
      <c r="BE945" s="6"/>
      <c r="BF945" s="6"/>
    </row>
    <row r="946" spans="1:58" s="2" customFormat="1" x14ac:dyDescent="0.2">
      <c r="A946" s="6"/>
      <c r="B946" s="6"/>
      <c r="C946" s="42"/>
      <c r="D946" s="6"/>
      <c r="E946" s="6"/>
      <c r="F946" s="6"/>
      <c r="G946" s="6"/>
      <c r="H946" s="6"/>
      <c r="I946" s="6"/>
      <c r="J946" s="6"/>
      <c r="K946" s="6"/>
      <c r="L946" s="6"/>
      <c r="M946" s="6"/>
      <c r="N946" s="6"/>
      <c r="O946" s="6"/>
      <c r="P946" s="6"/>
      <c r="Q946" s="6"/>
      <c r="R946" s="6"/>
      <c r="S946" s="6"/>
      <c r="AV946" s="6"/>
      <c r="AW946" s="6"/>
      <c r="AX946" s="6"/>
      <c r="AY946" s="6"/>
      <c r="AZ946" s="6"/>
      <c r="BB946" s="6"/>
      <c r="BC946" s="6"/>
      <c r="BD946" s="6"/>
      <c r="BE946" s="6"/>
      <c r="BF946" s="6"/>
    </row>
    <row r="947" spans="1:58" s="2" customFormat="1" x14ac:dyDescent="0.2">
      <c r="A947" s="6"/>
      <c r="B947" s="6"/>
      <c r="C947" s="42"/>
      <c r="D947" s="6"/>
      <c r="E947" s="6"/>
      <c r="F947" s="6"/>
      <c r="G947" s="6"/>
      <c r="H947" s="6"/>
      <c r="I947" s="6"/>
      <c r="J947" s="6"/>
      <c r="K947" s="6"/>
      <c r="L947" s="6"/>
      <c r="M947" s="6"/>
      <c r="N947" s="6"/>
      <c r="O947" s="6"/>
      <c r="P947" s="6"/>
      <c r="Q947" s="6"/>
      <c r="R947" s="6"/>
      <c r="S947" s="6"/>
      <c r="AV947" s="6"/>
      <c r="AW947" s="6"/>
      <c r="AX947" s="6"/>
      <c r="AY947" s="6"/>
      <c r="AZ947" s="6"/>
      <c r="BB947" s="6"/>
      <c r="BC947" s="6"/>
      <c r="BD947" s="6"/>
      <c r="BE947" s="6"/>
      <c r="BF947" s="6"/>
    </row>
    <row r="948" spans="1:58" s="2" customFormat="1" x14ac:dyDescent="0.2">
      <c r="A948" s="6"/>
      <c r="B948" s="6"/>
      <c r="C948" s="42"/>
      <c r="D948" s="6"/>
      <c r="E948" s="6"/>
      <c r="F948" s="6"/>
      <c r="G948" s="6"/>
      <c r="H948" s="6"/>
      <c r="I948" s="6"/>
      <c r="J948" s="6"/>
      <c r="K948" s="6"/>
      <c r="L948" s="6"/>
      <c r="M948" s="6"/>
      <c r="N948" s="6"/>
      <c r="O948" s="6"/>
      <c r="P948" s="6"/>
      <c r="Q948" s="6"/>
      <c r="R948" s="6"/>
      <c r="S948" s="6"/>
      <c r="AV948" s="6"/>
      <c r="AW948" s="6"/>
      <c r="AX948" s="6"/>
      <c r="AY948" s="6"/>
      <c r="AZ948" s="6"/>
      <c r="BB948" s="6"/>
      <c r="BC948" s="6"/>
      <c r="BD948" s="6"/>
      <c r="BE948" s="6"/>
      <c r="BF948" s="6"/>
    </row>
    <row r="949" spans="1:58" s="2" customFormat="1" x14ac:dyDescent="0.2">
      <c r="A949" s="6"/>
      <c r="B949" s="6"/>
      <c r="C949" s="42"/>
      <c r="D949" s="6"/>
      <c r="E949" s="6"/>
      <c r="F949" s="6"/>
      <c r="G949" s="6"/>
      <c r="H949" s="6"/>
      <c r="I949" s="6"/>
      <c r="J949" s="6"/>
      <c r="K949" s="6"/>
      <c r="L949" s="6"/>
      <c r="M949" s="6"/>
      <c r="N949" s="6"/>
      <c r="O949" s="6"/>
      <c r="P949" s="6"/>
      <c r="Q949" s="6"/>
      <c r="R949" s="6"/>
      <c r="S949" s="6"/>
      <c r="AV949" s="6"/>
      <c r="AW949" s="6"/>
      <c r="AX949" s="6"/>
      <c r="AY949" s="6"/>
      <c r="AZ949" s="6"/>
      <c r="BB949" s="6"/>
      <c r="BC949" s="6"/>
      <c r="BD949" s="6"/>
      <c r="BE949" s="6"/>
      <c r="BF949" s="6"/>
    </row>
    <row r="950" spans="1:58" s="2" customFormat="1" x14ac:dyDescent="0.2">
      <c r="A950" s="6"/>
      <c r="B950" s="6"/>
      <c r="C950" s="42"/>
      <c r="D950" s="6"/>
      <c r="E950" s="6"/>
      <c r="F950" s="6"/>
      <c r="G950" s="6"/>
      <c r="H950" s="6"/>
      <c r="I950" s="6"/>
      <c r="J950" s="6"/>
      <c r="K950" s="6"/>
      <c r="L950" s="6"/>
      <c r="M950" s="6"/>
      <c r="N950" s="6"/>
      <c r="O950" s="6"/>
      <c r="P950" s="6"/>
      <c r="Q950" s="6"/>
      <c r="R950" s="6"/>
      <c r="S950" s="6"/>
      <c r="AV950" s="6"/>
      <c r="AW950" s="6"/>
      <c r="AX950" s="6"/>
      <c r="AY950" s="6"/>
      <c r="AZ950" s="6"/>
      <c r="BB950" s="6"/>
      <c r="BC950" s="6"/>
      <c r="BD950" s="6"/>
      <c r="BE950" s="6"/>
      <c r="BF950" s="6"/>
    </row>
    <row r="951" spans="1:58" s="2" customFormat="1" x14ac:dyDescent="0.2">
      <c r="A951" s="6"/>
      <c r="B951" s="6"/>
      <c r="C951" s="42"/>
      <c r="D951" s="6"/>
      <c r="E951" s="6"/>
      <c r="F951" s="6"/>
      <c r="G951" s="6"/>
      <c r="H951" s="6"/>
      <c r="I951" s="6"/>
      <c r="J951" s="6"/>
      <c r="K951" s="6"/>
      <c r="L951" s="6"/>
      <c r="M951" s="6"/>
      <c r="N951" s="6"/>
      <c r="O951" s="6"/>
      <c r="P951" s="6"/>
      <c r="Q951" s="6"/>
      <c r="R951" s="6"/>
      <c r="S951" s="6"/>
      <c r="AV951" s="6"/>
      <c r="AW951" s="6"/>
      <c r="AX951" s="6"/>
      <c r="AY951" s="6"/>
      <c r="AZ951" s="6"/>
      <c r="BB951" s="6"/>
      <c r="BC951" s="6"/>
      <c r="BD951" s="6"/>
      <c r="BE951" s="6"/>
      <c r="BF951" s="6"/>
    </row>
    <row r="952" spans="1:58" s="2" customFormat="1" x14ac:dyDescent="0.2">
      <c r="A952" s="6"/>
      <c r="B952" s="6"/>
      <c r="C952" s="42"/>
      <c r="D952" s="6"/>
      <c r="E952" s="6"/>
      <c r="F952" s="6"/>
      <c r="G952" s="6"/>
      <c r="H952" s="6"/>
      <c r="I952" s="6"/>
      <c r="J952" s="6"/>
      <c r="K952" s="6"/>
      <c r="L952" s="6"/>
      <c r="M952" s="6"/>
      <c r="N952" s="6"/>
      <c r="O952" s="6"/>
      <c r="P952" s="6"/>
      <c r="Q952" s="6"/>
      <c r="R952" s="6"/>
      <c r="S952" s="6"/>
      <c r="AV952" s="6"/>
      <c r="AW952" s="6"/>
      <c r="AX952" s="6"/>
      <c r="AY952" s="6"/>
      <c r="AZ952" s="6"/>
      <c r="BB952" s="6"/>
      <c r="BC952" s="6"/>
      <c r="BD952" s="6"/>
      <c r="BE952" s="6"/>
      <c r="BF952" s="6"/>
    </row>
    <row r="953" spans="1:58" s="2" customFormat="1" x14ac:dyDescent="0.2">
      <c r="A953" s="6"/>
      <c r="B953" s="6"/>
      <c r="C953" s="42"/>
      <c r="D953" s="6"/>
      <c r="E953" s="6"/>
      <c r="F953" s="6"/>
      <c r="G953" s="6"/>
      <c r="H953" s="6"/>
      <c r="I953" s="6"/>
      <c r="J953" s="6"/>
      <c r="K953" s="6"/>
      <c r="L953" s="6"/>
      <c r="M953" s="6"/>
      <c r="N953" s="6"/>
      <c r="O953" s="6"/>
      <c r="P953" s="6"/>
      <c r="Q953" s="6"/>
      <c r="R953" s="6"/>
      <c r="S953" s="6"/>
      <c r="AV953" s="6"/>
      <c r="AW953" s="6"/>
      <c r="AX953" s="6"/>
      <c r="AY953" s="6"/>
      <c r="AZ953" s="6"/>
      <c r="BB953" s="6"/>
      <c r="BC953" s="6"/>
      <c r="BD953" s="6"/>
      <c r="BE953" s="6"/>
      <c r="BF953" s="6"/>
    </row>
    <row r="954" spans="1:58" s="2" customFormat="1" x14ac:dyDescent="0.2">
      <c r="A954" s="6"/>
      <c r="B954" s="6"/>
      <c r="C954" s="42"/>
      <c r="D954" s="6"/>
      <c r="E954" s="6"/>
      <c r="F954" s="6"/>
      <c r="G954" s="6"/>
      <c r="H954" s="6"/>
      <c r="I954" s="6"/>
      <c r="J954" s="6"/>
      <c r="K954" s="6"/>
      <c r="L954" s="6"/>
      <c r="M954" s="6"/>
      <c r="N954" s="6"/>
      <c r="O954" s="6"/>
      <c r="P954" s="6"/>
      <c r="Q954" s="6"/>
      <c r="R954" s="6"/>
      <c r="S954" s="6"/>
      <c r="AV954" s="6"/>
      <c r="AW954" s="6"/>
      <c r="AX954" s="6"/>
      <c r="AY954" s="6"/>
      <c r="AZ954" s="6"/>
      <c r="BB954" s="6"/>
      <c r="BC954" s="6"/>
      <c r="BD954" s="6"/>
      <c r="BE954" s="6"/>
      <c r="BF954" s="6"/>
    </row>
    <row r="955" spans="1:58" s="2" customFormat="1" x14ac:dyDescent="0.2">
      <c r="A955" s="6"/>
      <c r="B955" s="6"/>
      <c r="C955" s="42"/>
      <c r="D955" s="6"/>
      <c r="E955" s="6"/>
      <c r="F955" s="6"/>
      <c r="G955" s="6"/>
      <c r="H955" s="6"/>
      <c r="I955" s="6"/>
      <c r="J955" s="6"/>
      <c r="K955" s="6"/>
      <c r="L955" s="6"/>
      <c r="M955" s="6"/>
      <c r="N955" s="6"/>
      <c r="O955" s="6"/>
      <c r="P955" s="6"/>
      <c r="Q955" s="6"/>
      <c r="R955" s="6"/>
      <c r="S955" s="6"/>
      <c r="AV955" s="6"/>
      <c r="AW955" s="6"/>
      <c r="AX955" s="6"/>
      <c r="AY955" s="6"/>
      <c r="AZ955" s="6"/>
      <c r="BB955" s="6"/>
      <c r="BC955" s="6"/>
      <c r="BD955" s="6"/>
      <c r="BE955" s="6"/>
      <c r="BF955" s="6"/>
    </row>
    <row r="956" spans="1:58" s="2" customFormat="1" x14ac:dyDescent="0.2">
      <c r="A956" s="6"/>
      <c r="B956" s="6"/>
      <c r="C956" s="42"/>
      <c r="D956" s="6"/>
      <c r="E956" s="6"/>
      <c r="F956" s="6"/>
      <c r="G956" s="6"/>
      <c r="H956" s="6"/>
      <c r="I956" s="6"/>
      <c r="J956" s="6"/>
      <c r="K956" s="6"/>
      <c r="L956" s="6"/>
      <c r="M956" s="6"/>
      <c r="N956" s="6"/>
      <c r="O956" s="6"/>
      <c r="P956" s="6"/>
      <c r="Q956" s="6"/>
      <c r="R956" s="6"/>
      <c r="S956" s="6"/>
      <c r="AV956" s="6"/>
      <c r="AW956" s="6"/>
      <c r="AX956" s="6"/>
      <c r="AY956" s="6"/>
      <c r="AZ956" s="6"/>
      <c r="BB956" s="6"/>
      <c r="BC956" s="6"/>
      <c r="BD956" s="6"/>
      <c r="BE956" s="6"/>
      <c r="BF956" s="6"/>
    </row>
    <row r="957" spans="1:58" s="2" customFormat="1" x14ac:dyDescent="0.2">
      <c r="A957" s="6"/>
      <c r="B957" s="6"/>
      <c r="C957" s="42"/>
      <c r="D957" s="6"/>
      <c r="E957" s="6"/>
      <c r="F957" s="6"/>
      <c r="G957" s="6"/>
      <c r="H957" s="6"/>
      <c r="I957" s="6"/>
      <c r="J957" s="6"/>
      <c r="K957" s="6"/>
      <c r="L957" s="6"/>
      <c r="M957" s="6"/>
      <c r="N957" s="6"/>
      <c r="O957" s="6"/>
      <c r="P957" s="6"/>
      <c r="Q957" s="6"/>
      <c r="R957" s="6"/>
      <c r="S957" s="6"/>
      <c r="AV957" s="6"/>
      <c r="AW957" s="6"/>
      <c r="AX957" s="6"/>
      <c r="AY957" s="6"/>
      <c r="AZ957" s="6"/>
      <c r="BB957" s="6"/>
      <c r="BC957" s="6"/>
      <c r="BD957" s="6"/>
      <c r="BE957" s="6"/>
      <c r="BF957" s="6"/>
    </row>
    <row r="958" spans="1:58" s="2" customFormat="1" x14ac:dyDescent="0.2">
      <c r="A958" s="6"/>
      <c r="B958" s="6"/>
      <c r="C958" s="42"/>
      <c r="D958" s="6"/>
      <c r="E958" s="6"/>
      <c r="F958" s="6"/>
      <c r="G958" s="6"/>
      <c r="H958" s="6"/>
      <c r="I958" s="6"/>
      <c r="J958" s="6"/>
      <c r="K958" s="6"/>
      <c r="L958" s="6"/>
      <c r="M958" s="6"/>
      <c r="N958" s="6"/>
      <c r="O958" s="6"/>
      <c r="P958" s="6"/>
      <c r="Q958" s="6"/>
      <c r="R958" s="6"/>
      <c r="S958" s="6"/>
      <c r="AV958" s="6"/>
      <c r="AW958" s="6"/>
      <c r="AX958" s="6"/>
      <c r="AY958" s="6"/>
      <c r="AZ958" s="6"/>
      <c r="BB958" s="6"/>
      <c r="BC958" s="6"/>
      <c r="BD958" s="6"/>
      <c r="BE958" s="6"/>
      <c r="BF958" s="6"/>
    </row>
    <row r="959" spans="1:58" s="2" customFormat="1" x14ac:dyDescent="0.2">
      <c r="A959" s="6"/>
      <c r="B959" s="6"/>
      <c r="C959" s="42"/>
      <c r="D959" s="6"/>
      <c r="E959" s="6"/>
      <c r="F959" s="6"/>
      <c r="G959" s="6"/>
      <c r="H959" s="6"/>
      <c r="I959" s="6"/>
      <c r="J959" s="6"/>
      <c r="K959" s="6"/>
      <c r="L959" s="6"/>
      <c r="M959" s="6"/>
      <c r="N959" s="6"/>
      <c r="O959" s="6"/>
      <c r="P959" s="6"/>
      <c r="Q959" s="6"/>
      <c r="R959" s="6"/>
      <c r="S959" s="6"/>
      <c r="AV959" s="6"/>
      <c r="AW959" s="6"/>
      <c r="AX959" s="6"/>
      <c r="AY959" s="6"/>
      <c r="AZ959" s="6"/>
      <c r="BB959" s="6"/>
      <c r="BC959" s="6"/>
      <c r="BD959" s="6"/>
      <c r="BE959" s="6"/>
      <c r="BF959" s="6"/>
    </row>
    <row r="960" spans="1:58" s="2" customFormat="1" x14ac:dyDescent="0.2">
      <c r="A960" s="6"/>
      <c r="B960" s="6"/>
      <c r="C960" s="42"/>
      <c r="D960" s="6"/>
      <c r="E960" s="6"/>
      <c r="F960" s="6"/>
      <c r="G960" s="6"/>
      <c r="H960" s="6"/>
      <c r="I960" s="6"/>
      <c r="J960" s="6"/>
      <c r="K960" s="6"/>
      <c r="L960" s="6"/>
      <c r="M960" s="6"/>
      <c r="N960" s="6"/>
      <c r="O960" s="6"/>
      <c r="P960" s="6"/>
      <c r="Q960" s="6"/>
      <c r="R960" s="6"/>
      <c r="S960" s="6"/>
      <c r="AV960" s="6"/>
      <c r="AW960" s="6"/>
      <c r="AX960" s="6"/>
      <c r="AY960" s="6"/>
      <c r="AZ960" s="6"/>
      <c r="BB960" s="6"/>
      <c r="BC960" s="6"/>
      <c r="BD960" s="6"/>
      <c r="BE960" s="6"/>
      <c r="BF960" s="6"/>
    </row>
    <row r="961" spans="1:58" s="2" customFormat="1" x14ac:dyDescent="0.2">
      <c r="A961" s="6"/>
      <c r="B961" s="6"/>
      <c r="C961" s="42"/>
      <c r="D961" s="6"/>
      <c r="E961" s="6"/>
      <c r="F961" s="6"/>
      <c r="G961" s="6"/>
      <c r="H961" s="6"/>
      <c r="I961" s="6"/>
      <c r="J961" s="6"/>
      <c r="K961" s="6"/>
      <c r="L961" s="6"/>
      <c r="M961" s="6"/>
      <c r="N961" s="6"/>
      <c r="O961" s="6"/>
      <c r="P961" s="6"/>
      <c r="Q961" s="6"/>
      <c r="R961" s="6"/>
      <c r="S961" s="6"/>
      <c r="AV961" s="6"/>
      <c r="AW961" s="6"/>
      <c r="AX961" s="6"/>
      <c r="AY961" s="6"/>
      <c r="AZ961" s="6"/>
      <c r="BB961" s="6"/>
      <c r="BC961" s="6"/>
      <c r="BD961" s="6"/>
      <c r="BE961" s="6"/>
      <c r="BF961" s="6"/>
    </row>
    <row r="962" spans="1:58" s="2" customFormat="1" x14ac:dyDescent="0.2">
      <c r="A962" s="6"/>
      <c r="B962" s="6"/>
      <c r="C962" s="42"/>
      <c r="D962" s="6"/>
      <c r="E962" s="6"/>
      <c r="F962" s="6"/>
      <c r="G962" s="6"/>
      <c r="H962" s="6"/>
      <c r="I962" s="6"/>
      <c r="J962" s="6"/>
      <c r="K962" s="6"/>
      <c r="L962" s="6"/>
      <c r="M962" s="6"/>
      <c r="N962" s="6"/>
      <c r="O962" s="6"/>
      <c r="P962" s="6"/>
      <c r="Q962" s="6"/>
      <c r="R962" s="6"/>
      <c r="S962" s="6"/>
      <c r="AV962" s="6"/>
      <c r="AW962" s="6"/>
      <c r="AX962" s="6"/>
      <c r="AY962" s="6"/>
      <c r="AZ962" s="6"/>
      <c r="BB962" s="6"/>
      <c r="BC962" s="6"/>
      <c r="BD962" s="6"/>
      <c r="BE962" s="6"/>
      <c r="BF962" s="6"/>
    </row>
    <row r="963" spans="1:58" s="2" customFormat="1" x14ac:dyDescent="0.2">
      <c r="A963" s="6"/>
      <c r="B963" s="6"/>
      <c r="C963" s="42"/>
      <c r="D963" s="6"/>
      <c r="E963" s="6"/>
      <c r="F963" s="6"/>
      <c r="G963" s="6"/>
      <c r="H963" s="6"/>
      <c r="I963" s="6"/>
      <c r="J963" s="6"/>
      <c r="K963" s="6"/>
      <c r="L963" s="6"/>
      <c r="M963" s="6"/>
      <c r="N963" s="6"/>
      <c r="O963" s="6"/>
      <c r="P963" s="6"/>
      <c r="Q963" s="6"/>
      <c r="R963" s="6"/>
      <c r="S963" s="6"/>
      <c r="AV963" s="6"/>
      <c r="AW963" s="6"/>
      <c r="AX963" s="6"/>
      <c r="AY963" s="6"/>
      <c r="AZ963" s="6"/>
      <c r="BB963" s="6"/>
      <c r="BC963" s="6"/>
      <c r="BD963" s="6"/>
      <c r="BE963" s="6"/>
      <c r="BF963" s="6"/>
    </row>
    <row r="964" spans="1:58" s="2" customFormat="1" x14ac:dyDescent="0.2">
      <c r="A964" s="6"/>
      <c r="B964" s="6"/>
      <c r="C964" s="42"/>
      <c r="D964" s="6"/>
      <c r="E964" s="6"/>
      <c r="F964" s="6"/>
      <c r="G964" s="6"/>
      <c r="H964" s="6"/>
      <c r="I964" s="6"/>
      <c r="J964" s="6"/>
      <c r="K964" s="6"/>
      <c r="L964" s="6"/>
      <c r="M964" s="6"/>
      <c r="N964" s="6"/>
      <c r="O964" s="6"/>
      <c r="P964" s="6"/>
      <c r="Q964" s="6"/>
      <c r="R964" s="6"/>
      <c r="S964" s="6"/>
      <c r="AV964" s="6"/>
      <c r="AW964" s="6"/>
      <c r="AX964" s="6"/>
      <c r="AY964" s="6"/>
      <c r="AZ964" s="6"/>
      <c r="BB964" s="6"/>
      <c r="BC964" s="6"/>
      <c r="BD964" s="6"/>
      <c r="BE964" s="6"/>
      <c r="BF964" s="6"/>
    </row>
    <row r="965" spans="1:58" s="2" customFormat="1" x14ac:dyDescent="0.2">
      <c r="A965" s="6"/>
      <c r="B965" s="6"/>
      <c r="C965" s="42"/>
      <c r="D965" s="6"/>
      <c r="E965" s="6"/>
      <c r="F965" s="6"/>
      <c r="G965" s="6"/>
      <c r="H965" s="6"/>
      <c r="I965" s="6"/>
      <c r="J965" s="6"/>
      <c r="K965" s="6"/>
      <c r="L965" s="6"/>
      <c r="M965" s="6"/>
      <c r="N965" s="6"/>
      <c r="O965" s="6"/>
      <c r="P965" s="6"/>
      <c r="Q965" s="6"/>
      <c r="R965" s="6"/>
      <c r="S965" s="6"/>
      <c r="AV965" s="6"/>
      <c r="AW965" s="6"/>
      <c r="AX965" s="6"/>
      <c r="AY965" s="6"/>
      <c r="AZ965" s="6"/>
      <c r="BB965" s="6"/>
      <c r="BC965" s="6"/>
      <c r="BD965" s="6"/>
      <c r="BE965" s="6"/>
      <c r="BF965" s="6"/>
    </row>
    <row r="966" spans="1:58" s="2" customFormat="1" x14ac:dyDescent="0.2">
      <c r="A966" s="6"/>
      <c r="B966" s="6"/>
      <c r="C966" s="42"/>
      <c r="D966" s="6"/>
      <c r="E966" s="6"/>
      <c r="F966" s="6"/>
      <c r="G966" s="6"/>
      <c r="H966" s="6"/>
      <c r="I966" s="6"/>
      <c r="J966" s="6"/>
      <c r="K966" s="6"/>
      <c r="L966" s="6"/>
      <c r="M966" s="6"/>
      <c r="N966" s="6"/>
      <c r="O966" s="6"/>
      <c r="P966" s="6"/>
      <c r="Q966" s="6"/>
      <c r="R966" s="6"/>
      <c r="S966" s="6"/>
      <c r="AV966" s="6"/>
      <c r="AW966" s="6"/>
      <c r="AX966" s="6"/>
      <c r="AY966" s="6"/>
      <c r="AZ966" s="6"/>
      <c r="BB966" s="6"/>
      <c r="BC966" s="6"/>
      <c r="BD966" s="6"/>
      <c r="BE966" s="6"/>
      <c r="BF966" s="6"/>
    </row>
    <row r="967" spans="1:58" s="2" customFormat="1" x14ac:dyDescent="0.2">
      <c r="A967" s="6"/>
      <c r="B967" s="6"/>
      <c r="C967" s="42"/>
      <c r="D967" s="6"/>
      <c r="E967" s="6"/>
      <c r="F967" s="6"/>
      <c r="G967" s="6"/>
      <c r="H967" s="6"/>
      <c r="I967" s="6"/>
      <c r="J967" s="6"/>
      <c r="K967" s="6"/>
      <c r="L967" s="6"/>
      <c r="M967" s="6"/>
      <c r="N967" s="6"/>
      <c r="O967" s="6"/>
      <c r="P967" s="6"/>
      <c r="Q967" s="6"/>
      <c r="R967" s="6"/>
      <c r="S967" s="6"/>
      <c r="AV967" s="6"/>
      <c r="AW967" s="6"/>
      <c r="AX967" s="6"/>
      <c r="AY967" s="6"/>
      <c r="AZ967" s="6"/>
      <c r="BB967" s="6"/>
      <c r="BC967" s="6"/>
      <c r="BD967" s="6"/>
      <c r="BE967" s="6"/>
      <c r="BF967" s="6"/>
    </row>
    <row r="968" spans="1:58" s="2" customFormat="1" x14ac:dyDescent="0.2">
      <c r="A968" s="6"/>
      <c r="B968" s="6"/>
      <c r="C968" s="42"/>
      <c r="D968" s="6"/>
      <c r="E968" s="6"/>
      <c r="F968" s="6"/>
      <c r="G968" s="6"/>
      <c r="H968" s="6"/>
      <c r="I968" s="6"/>
      <c r="J968" s="6"/>
      <c r="K968" s="6"/>
      <c r="L968" s="6"/>
      <c r="M968" s="6"/>
      <c r="N968" s="6"/>
      <c r="O968" s="6"/>
      <c r="P968" s="6"/>
      <c r="Q968" s="6"/>
      <c r="R968" s="6"/>
      <c r="S968" s="6"/>
      <c r="AV968" s="6"/>
      <c r="AW968" s="6"/>
      <c r="AX968" s="6"/>
      <c r="AY968" s="6"/>
      <c r="AZ968" s="6"/>
      <c r="BB968" s="6"/>
      <c r="BC968" s="6"/>
      <c r="BD968" s="6"/>
      <c r="BE968" s="6"/>
      <c r="BF968" s="6"/>
    </row>
    <row r="969" spans="1:58" s="2" customFormat="1" x14ac:dyDescent="0.2">
      <c r="A969" s="6"/>
      <c r="B969" s="6"/>
      <c r="C969" s="42"/>
      <c r="D969" s="6"/>
      <c r="E969" s="6"/>
      <c r="F969" s="6"/>
      <c r="G969" s="6"/>
      <c r="H969" s="6"/>
      <c r="I969" s="6"/>
      <c r="J969" s="6"/>
      <c r="K969" s="6"/>
      <c r="L969" s="6"/>
      <c r="M969" s="6"/>
      <c r="N969" s="6"/>
      <c r="O969" s="6"/>
      <c r="P969" s="6"/>
      <c r="Q969" s="6"/>
      <c r="R969" s="6"/>
      <c r="S969" s="6"/>
      <c r="AV969" s="6"/>
      <c r="AW969" s="6"/>
      <c r="AX969" s="6"/>
      <c r="AY969" s="6"/>
      <c r="AZ969" s="6"/>
      <c r="BB969" s="6"/>
      <c r="BC969" s="6"/>
      <c r="BD969" s="6"/>
      <c r="BE969" s="6"/>
      <c r="BF969" s="6"/>
    </row>
    <row r="970" spans="1:58" s="2" customFormat="1" x14ac:dyDescent="0.2">
      <c r="A970" s="6"/>
      <c r="B970" s="6"/>
      <c r="C970" s="42"/>
      <c r="D970" s="6"/>
      <c r="E970" s="6"/>
      <c r="F970" s="6"/>
      <c r="G970" s="6"/>
      <c r="H970" s="6"/>
      <c r="I970" s="6"/>
      <c r="J970" s="6"/>
      <c r="K970" s="6"/>
      <c r="L970" s="6"/>
      <c r="M970" s="6"/>
      <c r="N970" s="6"/>
      <c r="O970" s="6"/>
      <c r="P970" s="6"/>
      <c r="Q970" s="6"/>
      <c r="R970" s="6"/>
      <c r="S970" s="6"/>
      <c r="AV970" s="6"/>
      <c r="AW970" s="6"/>
      <c r="AX970" s="6"/>
      <c r="AY970" s="6"/>
      <c r="AZ970" s="6"/>
      <c r="BB970" s="6"/>
      <c r="BC970" s="6"/>
      <c r="BD970" s="6"/>
      <c r="BE970" s="6"/>
      <c r="BF970" s="6"/>
    </row>
    <row r="971" spans="1:58" s="2" customFormat="1" x14ac:dyDescent="0.2">
      <c r="A971" s="6"/>
      <c r="B971" s="6"/>
      <c r="C971" s="42"/>
      <c r="D971" s="6"/>
      <c r="E971" s="6"/>
      <c r="F971" s="6"/>
      <c r="G971" s="6"/>
      <c r="H971" s="6"/>
      <c r="I971" s="6"/>
      <c r="J971" s="6"/>
      <c r="K971" s="6"/>
      <c r="L971" s="6"/>
      <c r="M971" s="6"/>
      <c r="N971" s="6"/>
      <c r="O971" s="6"/>
      <c r="P971" s="6"/>
      <c r="Q971" s="6"/>
      <c r="R971" s="6"/>
      <c r="S971" s="6"/>
      <c r="AV971" s="6"/>
      <c r="AW971" s="6"/>
      <c r="AX971" s="6"/>
      <c r="AY971" s="6"/>
      <c r="AZ971" s="6"/>
      <c r="BB971" s="6"/>
      <c r="BC971" s="6"/>
      <c r="BD971" s="6"/>
      <c r="BE971" s="6"/>
      <c r="BF971" s="6"/>
    </row>
    <row r="972" spans="1:58" s="2" customFormat="1" x14ac:dyDescent="0.2">
      <c r="A972" s="6"/>
      <c r="B972" s="6"/>
      <c r="C972" s="42"/>
      <c r="D972" s="6"/>
      <c r="E972" s="6"/>
      <c r="F972" s="6"/>
      <c r="G972" s="6"/>
      <c r="H972" s="6"/>
      <c r="I972" s="6"/>
      <c r="J972" s="6"/>
      <c r="K972" s="6"/>
      <c r="L972" s="6"/>
      <c r="M972" s="6"/>
      <c r="N972" s="6"/>
      <c r="O972" s="6"/>
      <c r="P972" s="6"/>
      <c r="Q972" s="6"/>
      <c r="R972" s="6"/>
      <c r="S972" s="6"/>
      <c r="AV972" s="6"/>
      <c r="AW972" s="6"/>
      <c r="AX972" s="6"/>
      <c r="AY972" s="6"/>
      <c r="AZ972" s="6"/>
      <c r="BB972" s="6"/>
      <c r="BC972" s="6"/>
      <c r="BD972" s="6"/>
      <c r="BE972" s="6"/>
      <c r="BF972" s="6"/>
    </row>
    <row r="973" spans="1:58" s="2" customFormat="1" x14ac:dyDescent="0.2">
      <c r="A973" s="6"/>
      <c r="B973" s="6"/>
      <c r="C973" s="42"/>
      <c r="D973" s="6"/>
      <c r="E973" s="6"/>
      <c r="F973" s="6"/>
      <c r="G973" s="6"/>
      <c r="H973" s="6"/>
      <c r="I973" s="6"/>
      <c r="J973" s="6"/>
      <c r="K973" s="6"/>
      <c r="L973" s="6"/>
      <c r="M973" s="6"/>
      <c r="N973" s="6"/>
      <c r="O973" s="6"/>
      <c r="P973" s="6"/>
      <c r="Q973" s="6"/>
      <c r="R973" s="6"/>
      <c r="S973" s="6"/>
      <c r="AV973" s="6"/>
      <c r="AW973" s="6"/>
      <c r="AX973" s="6"/>
      <c r="AY973" s="6"/>
      <c r="AZ973" s="6"/>
      <c r="BB973" s="6"/>
      <c r="BC973" s="6"/>
      <c r="BD973" s="6"/>
      <c r="BE973" s="6"/>
      <c r="BF973" s="6"/>
    </row>
    <row r="974" spans="1:58" s="2" customFormat="1" x14ac:dyDescent="0.2">
      <c r="A974" s="6"/>
      <c r="B974" s="6"/>
      <c r="C974" s="42"/>
      <c r="D974" s="6"/>
      <c r="E974" s="6"/>
      <c r="F974" s="6"/>
      <c r="G974" s="6"/>
      <c r="H974" s="6"/>
      <c r="I974" s="6"/>
      <c r="J974" s="6"/>
      <c r="K974" s="6"/>
      <c r="L974" s="6"/>
      <c r="M974" s="6"/>
      <c r="N974" s="6"/>
      <c r="O974" s="6"/>
      <c r="P974" s="6"/>
      <c r="Q974" s="6"/>
      <c r="R974" s="6"/>
      <c r="S974" s="6"/>
      <c r="AV974" s="6"/>
      <c r="AW974" s="6"/>
      <c r="AX974" s="6"/>
      <c r="AY974" s="6"/>
      <c r="AZ974" s="6"/>
      <c r="BB974" s="6"/>
      <c r="BC974" s="6"/>
      <c r="BD974" s="6"/>
      <c r="BE974" s="6"/>
      <c r="BF974" s="6"/>
    </row>
  </sheetData>
  <mergeCells count="28">
    <mergeCell ref="Q1:S1"/>
    <mergeCell ref="AF1:AK1"/>
    <mergeCell ref="AP1:AT1"/>
    <mergeCell ref="AV1:AZ1"/>
    <mergeCell ref="BB1:BF1"/>
    <mergeCell ref="T1:W1"/>
    <mergeCell ref="X1:AE1"/>
    <mergeCell ref="AL1:AN1"/>
    <mergeCell ref="B56:B74"/>
    <mergeCell ref="B4:B17"/>
    <mergeCell ref="A1:C1"/>
    <mergeCell ref="D1:K1"/>
    <mergeCell ref="L1:P1"/>
    <mergeCell ref="B18:B27"/>
    <mergeCell ref="B28:B37"/>
    <mergeCell ref="B38:B48"/>
    <mergeCell ref="B49:B55"/>
    <mergeCell ref="A84:C84"/>
    <mergeCell ref="D84:K84"/>
    <mergeCell ref="L84:P84"/>
    <mergeCell ref="Q84:S84"/>
    <mergeCell ref="T84:W84"/>
    <mergeCell ref="X84:AE84"/>
    <mergeCell ref="AF84:AK84"/>
    <mergeCell ref="AP84:AT84"/>
    <mergeCell ref="AV84:AZ84"/>
    <mergeCell ref="BB84:BF84"/>
    <mergeCell ref="AL84:AN84"/>
  </mergeCells>
  <conditionalFormatting sqref="E74:N74 P18:Q73 N18:N73 K18:K73 Z8 AA13:AA73 Z11:AA12 Z17 Z27 Z29:Z32 Z36:Z37 Z48 Z50:Z51 Z53:Z72 P74:W74 Z74:AC74 AA4:AA10 R4:W73 N4:Q17 AD4:AN74 J4:K17 L4:M73 AB4:AC73 D4:I73 X4:Y74">
    <cfRule type="cellIs" dxfId="6792" priority="203" operator="equal">
      <formula>"E"</formula>
    </cfRule>
    <cfRule type="cellIs" dxfId="6791" priority="204" operator="equal">
      <formula>"S"</formula>
    </cfRule>
    <cfRule type="cellIs" dxfId="6790" priority="205" operator="equal">
      <formula>"M"</formula>
    </cfRule>
    <cfRule type="cellIs" dxfId="6789" priority="206" operator="equal">
      <formula>"J"</formula>
    </cfRule>
    <cfRule type="cellIs" dxfId="6788" priority="207" operator="equal">
      <formula>"O"</formula>
    </cfRule>
  </conditionalFormatting>
  <conditionalFormatting sqref="AN3 D3:AK3 L86:AK86">
    <cfRule type="cellIs" dxfId="6787" priority="197" operator="equal">
      <formula>"e"</formula>
    </cfRule>
  </conditionalFormatting>
  <conditionalFormatting sqref="D87:AN89">
    <cfRule type="cellIs" dxfId="6786" priority="181" operator="equal">
      <formula>"E"</formula>
    </cfRule>
    <cfRule type="cellIs" dxfId="6785" priority="182" operator="equal">
      <formula>"C"</formula>
    </cfRule>
    <cfRule type="cellIs" dxfId="6784" priority="183" operator="equal">
      <formula>"B"</formula>
    </cfRule>
    <cfRule type="cellIs" dxfId="6783" priority="184" operator="equal">
      <formula>"A"</formula>
    </cfRule>
    <cfRule type="cellIs" dxfId="6782" priority="185" operator="equal">
      <formula>"O"</formula>
    </cfRule>
  </conditionalFormatting>
  <conditionalFormatting sqref="D86:K86">
    <cfRule type="cellIs" dxfId="6781" priority="180" operator="equal">
      <formula>"e"</formula>
    </cfRule>
  </conditionalFormatting>
  <conditionalFormatting sqref="AL3:AM3">
    <cfRule type="cellIs" dxfId="6780" priority="178" operator="equal">
      <formula>"i"</formula>
    </cfRule>
  </conditionalFormatting>
  <conditionalFormatting sqref="AN86">
    <cfRule type="cellIs" dxfId="6779" priority="177" operator="equal">
      <formula>"e"</formula>
    </cfRule>
  </conditionalFormatting>
  <conditionalFormatting sqref="AL86:AM86">
    <cfRule type="cellIs" dxfId="6778" priority="176" operator="equal">
      <formula>"e"</formula>
    </cfRule>
  </conditionalFormatting>
  <conditionalFormatting sqref="O18:O27">
    <cfRule type="cellIs" dxfId="6777" priority="171" operator="equal">
      <formula>"E"</formula>
    </cfRule>
    <cfRule type="cellIs" dxfId="6776" priority="172" operator="equal">
      <formula>"S"</formula>
    </cfRule>
    <cfRule type="cellIs" dxfId="6775" priority="173" operator="equal">
      <formula>"M"</formula>
    </cfRule>
    <cfRule type="cellIs" dxfId="6774" priority="174" operator="equal">
      <formula>"J"</formula>
    </cfRule>
    <cfRule type="cellIs" dxfId="6773" priority="175" operator="equal">
      <formula>"O"</formula>
    </cfRule>
  </conditionalFormatting>
  <conditionalFormatting sqref="O28:O37">
    <cfRule type="cellIs" dxfId="6772" priority="166" operator="equal">
      <formula>"E"</formula>
    </cfRule>
    <cfRule type="cellIs" dxfId="6771" priority="167" operator="equal">
      <formula>"S"</formula>
    </cfRule>
    <cfRule type="cellIs" dxfId="6770" priority="168" operator="equal">
      <formula>"M"</formula>
    </cfRule>
    <cfRule type="cellIs" dxfId="6769" priority="169" operator="equal">
      <formula>"J"</formula>
    </cfRule>
    <cfRule type="cellIs" dxfId="6768" priority="170" operator="equal">
      <formula>"O"</formula>
    </cfRule>
  </conditionalFormatting>
  <conditionalFormatting sqref="O38:O48">
    <cfRule type="cellIs" dxfId="6767" priority="161" operator="equal">
      <formula>"E"</formula>
    </cfRule>
    <cfRule type="cellIs" dxfId="6766" priority="162" operator="equal">
      <formula>"S"</formula>
    </cfRule>
    <cfRule type="cellIs" dxfId="6765" priority="163" operator="equal">
      <formula>"M"</formula>
    </cfRule>
    <cfRule type="cellIs" dxfId="6764" priority="164" operator="equal">
      <formula>"J"</formula>
    </cfRule>
    <cfRule type="cellIs" dxfId="6763" priority="165" operator="equal">
      <formula>"O"</formula>
    </cfRule>
  </conditionalFormatting>
  <conditionalFormatting sqref="O49:O55">
    <cfRule type="cellIs" dxfId="6762" priority="156" operator="equal">
      <formula>"E"</formula>
    </cfRule>
    <cfRule type="cellIs" dxfId="6761" priority="157" operator="equal">
      <formula>"S"</formula>
    </cfRule>
    <cfRule type="cellIs" dxfId="6760" priority="158" operator="equal">
      <formula>"M"</formula>
    </cfRule>
    <cfRule type="cellIs" dxfId="6759" priority="159" operator="equal">
      <formula>"J"</formula>
    </cfRule>
    <cfRule type="cellIs" dxfId="6758" priority="160" operator="equal">
      <formula>"O"</formula>
    </cfRule>
  </conditionalFormatting>
  <conditionalFormatting sqref="O56:O74">
    <cfRule type="cellIs" dxfId="6757" priority="151" operator="equal">
      <formula>"E"</formula>
    </cfRule>
    <cfRule type="cellIs" dxfId="6756" priority="152" operator="equal">
      <formula>"S"</formula>
    </cfRule>
    <cfRule type="cellIs" dxfId="6755" priority="153" operator="equal">
      <formula>"M"</formula>
    </cfRule>
    <cfRule type="cellIs" dxfId="6754" priority="154" operator="equal">
      <formula>"J"</formula>
    </cfRule>
    <cfRule type="cellIs" dxfId="6753" priority="155" operator="equal">
      <formula>"O"</formula>
    </cfRule>
  </conditionalFormatting>
  <conditionalFormatting sqref="Z4:Z7 Z9:Z10 Z13:Z16 Z18:Z26 Z28 Z33:Z35 Z38:Z47 Z49 Z52 Z73">
    <cfRule type="cellIs" dxfId="6752" priority="141" operator="equal">
      <formula>"E"</formula>
    </cfRule>
    <cfRule type="cellIs" dxfId="6751" priority="142" operator="equal">
      <formula>"S"</formula>
    </cfRule>
    <cfRule type="cellIs" dxfId="6750" priority="143" operator="equal">
      <formula>"M"</formula>
    </cfRule>
    <cfRule type="cellIs" dxfId="6749" priority="144" operator="equal">
      <formula>"J"</formula>
    </cfRule>
    <cfRule type="cellIs" dxfId="6748" priority="145" operator="equal">
      <formula>"O"</formula>
    </cfRule>
  </conditionalFormatting>
  <conditionalFormatting sqref="J18:J73">
    <cfRule type="cellIs" dxfId="6747" priority="26" operator="equal">
      <formula>"E"</formula>
    </cfRule>
    <cfRule type="cellIs" dxfId="6746" priority="27" operator="equal">
      <formula>"S"</formula>
    </cfRule>
    <cfRule type="cellIs" dxfId="6745" priority="28" operator="equal">
      <formula>"M"</formula>
    </cfRule>
    <cfRule type="cellIs" dxfId="6744" priority="29" operator="equal">
      <formula>"J"</formula>
    </cfRule>
    <cfRule type="cellIs" dxfId="6743" priority="30" operator="equal">
      <formula>"O"</formula>
    </cfRule>
  </conditionalFormatting>
  <conditionalFormatting sqref="D74">
    <cfRule type="cellIs" dxfId="6742" priority="16" operator="equal">
      <formula>"E"</formula>
    </cfRule>
    <cfRule type="cellIs" dxfId="6741" priority="17" operator="equal">
      <formula>"S"</formula>
    </cfRule>
    <cfRule type="cellIs" dxfId="6740" priority="18" operator="equal">
      <formula>"M"</formula>
    </cfRule>
    <cfRule type="cellIs" dxfId="6739" priority="19" operator="equal">
      <formula>"J"</formula>
    </cfRule>
    <cfRule type="cellIs" dxfId="6738" priority="20" operator="equal">
      <formula>"O"</formula>
    </cfRule>
  </conditionalFormatting>
  <pageMargins left="0.31496062992125984" right="0.31496062992125984" top="0.35433070866141736" bottom="0.35433070866141736" header="0.31496062992125984" footer="0.31496062992125984"/>
  <pageSetup paperSize="9" scale="40" orientation="portrait"/>
  <drawing r:id="rId1"/>
  <legacyDrawing r:id="rId2"/>
  <controls>
    <mc:AlternateContent xmlns:mc="http://schemas.openxmlformats.org/markup-compatibility/2006">
      <mc:Choice Requires="x14">
        <control shapeId="1032" r:id="rId3" name="butEdit">
          <controlPr defaultSize="0" autoLine="0" r:id="rId4">
            <anchor moveWithCells="1">
              <from>
                <xdr:col>2</xdr:col>
                <xdr:colOff>828675</xdr:colOff>
                <xdr:row>0</xdr:row>
                <xdr:rowOff>114300</xdr:rowOff>
              </from>
              <to>
                <xdr:col>2</xdr:col>
                <xdr:colOff>1828800</xdr:colOff>
                <xdr:row>0</xdr:row>
                <xdr:rowOff>476250</xdr:rowOff>
              </to>
            </anchor>
          </controlPr>
        </control>
      </mc:Choice>
      <mc:Fallback>
        <control shapeId="1032" r:id="rId3" name="butEdit"/>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Behoeftes"/>
  <dimension ref="A1:AR76"/>
  <sheetViews>
    <sheetView showGridLines="0" zoomScale="90" zoomScaleNormal="90" workbookViewId="0">
      <selection sqref="A1:C2"/>
    </sheetView>
  </sheetViews>
  <sheetFormatPr defaultRowHeight="15" x14ac:dyDescent="0.25"/>
  <cols>
    <col min="2" max="2" width="6.5703125" customWidth="1"/>
    <col min="3" max="3" width="17.7109375" customWidth="1"/>
    <col min="4" max="38" width="3.28515625" customWidth="1"/>
    <col min="39" max="39" width="2.5703125" customWidth="1"/>
    <col min="40" max="44" width="3.28515625" customWidth="1"/>
  </cols>
  <sheetData>
    <row r="1" spans="1:44" ht="37.5" customHeight="1" thickBot="1" x14ac:dyDescent="0.3">
      <c r="A1" s="424" t="s">
        <v>224</v>
      </c>
      <c r="B1" s="424"/>
      <c r="C1" s="425"/>
      <c r="D1" s="418" t="s">
        <v>1</v>
      </c>
      <c r="E1" s="419"/>
      <c r="F1" s="419"/>
      <c r="G1" s="419"/>
      <c r="H1" s="419"/>
      <c r="I1" s="418" t="s">
        <v>131</v>
      </c>
      <c r="J1" s="419"/>
      <c r="K1" s="419"/>
      <c r="L1" s="419"/>
      <c r="M1" s="419"/>
      <c r="N1" s="418" t="s">
        <v>3</v>
      </c>
      <c r="O1" s="419"/>
      <c r="P1" s="419"/>
      <c r="Q1" s="419"/>
      <c r="R1" s="419"/>
      <c r="S1" s="418" t="s">
        <v>4</v>
      </c>
      <c r="T1" s="419"/>
      <c r="U1" s="419"/>
      <c r="V1" s="419"/>
      <c r="W1" s="419"/>
      <c r="X1" s="418" t="s">
        <v>5</v>
      </c>
      <c r="Y1" s="419"/>
      <c r="Z1" s="419"/>
      <c r="AA1" s="419"/>
      <c r="AB1" s="419"/>
      <c r="AC1" s="418" t="s">
        <v>6</v>
      </c>
      <c r="AD1" s="419"/>
      <c r="AE1" s="419"/>
      <c r="AF1" s="419"/>
      <c r="AG1" s="419"/>
      <c r="AH1" s="418" t="s">
        <v>135</v>
      </c>
      <c r="AI1" s="419"/>
      <c r="AJ1" s="419"/>
      <c r="AK1" s="419"/>
      <c r="AL1" s="419"/>
      <c r="AN1" s="418" t="s">
        <v>223</v>
      </c>
      <c r="AO1" s="419"/>
      <c r="AP1" s="419"/>
      <c r="AQ1" s="419"/>
      <c r="AR1" s="419"/>
    </row>
    <row r="2" spans="1:44" ht="128.1" customHeight="1" thickTop="1" thickBot="1" x14ac:dyDescent="0.3">
      <c r="B2" s="5"/>
      <c r="C2" s="231" t="s">
        <v>216</v>
      </c>
      <c r="D2" s="260" t="s">
        <v>217</v>
      </c>
      <c r="E2" s="261" t="s">
        <v>218</v>
      </c>
      <c r="F2" s="262" t="s">
        <v>219</v>
      </c>
      <c r="G2" s="263" t="s">
        <v>220</v>
      </c>
      <c r="H2" s="264" t="s">
        <v>221</v>
      </c>
      <c r="I2" s="260" t="s">
        <v>217</v>
      </c>
      <c r="J2" s="261" t="s">
        <v>218</v>
      </c>
      <c r="K2" s="262" t="s">
        <v>219</v>
      </c>
      <c r="L2" s="263" t="s">
        <v>220</v>
      </c>
      <c r="M2" s="264" t="s">
        <v>221</v>
      </c>
      <c r="N2" s="260" t="s">
        <v>217</v>
      </c>
      <c r="O2" s="261" t="s">
        <v>218</v>
      </c>
      <c r="P2" s="262" t="s">
        <v>219</v>
      </c>
      <c r="Q2" s="263" t="s">
        <v>220</v>
      </c>
      <c r="R2" s="264" t="s">
        <v>221</v>
      </c>
      <c r="S2" s="260" t="s">
        <v>217</v>
      </c>
      <c r="T2" s="261" t="s">
        <v>218</v>
      </c>
      <c r="U2" s="262" t="s">
        <v>219</v>
      </c>
      <c r="V2" s="263" t="s">
        <v>220</v>
      </c>
      <c r="W2" s="264" t="s">
        <v>221</v>
      </c>
      <c r="X2" s="260" t="s">
        <v>217</v>
      </c>
      <c r="Y2" s="261" t="s">
        <v>218</v>
      </c>
      <c r="Z2" s="262" t="s">
        <v>219</v>
      </c>
      <c r="AA2" s="263" t="s">
        <v>220</v>
      </c>
      <c r="AB2" s="264" t="s">
        <v>221</v>
      </c>
      <c r="AC2" s="260" t="s">
        <v>217</v>
      </c>
      <c r="AD2" s="261" t="s">
        <v>218</v>
      </c>
      <c r="AE2" s="262" t="s">
        <v>219</v>
      </c>
      <c r="AF2" s="263" t="s">
        <v>220</v>
      </c>
      <c r="AG2" s="264" t="s">
        <v>221</v>
      </c>
      <c r="AH2" s="260" t="s">
        <v>217</v>
      </c>
      <c r="AI2" s="261" t="s">
        <v>218</v>
      </c>
      <c r="AJ2" s="262" t="s">
        <v>219</v>
      </c>
      <c r="AK2" s="263" t="s">
        <v>220</v>
      </c>
      <c r="AL2" s="265" t="s">
        <v>221</v>
      </c>
      <c r="AM2" s="124"/>
      <c r="AN2" s="255" t="s">
        <v>217</v>
      </c>
      <c r="AO2" s="256" t="s">
        <v>218</v>
      </c>
      <c r="AP2" s="257" t="s">
        <v>219</v>
      </c>
      <c r="AQ2" s="258" t="s">
        <v>220</v>
      </c>
      <c r="AR2" s="259" t="s">
        <v>221</v>
      </c>
    </row>
    <row r="3" spans="1:44" ht="12.75" customHeight="1" thickTop="1" x14ac:dyDescent="0.25">
      <c r="B3" s="426" t="s">
        <v>48</v>
      </c>
      <c r="C3" s="251" t="s">
        <v>49</v>
      </c>
      <c r="D3" s="233">
        <v>1</v>
      </c>
      <c r="E3" s="234"/>
      <c r="F3" s="234"/>
      <c r="G3" s="234"/>
      <c r="H3" s="242"/>
      <c r="I3" s="233"/>
      <c r="J3" s="234"/>
      <c r="K3" s="234"/>
      <c r="L3" s="234"/>
      <c r="M3" s="242"/>
      <c r="N3" s="233"/>
      <c r="O3" s="234"/>
      <c r="P3" s="234"/>
      <c r="Q3" s="234"/>
      <c r="R3" s="242"/>
      <c r="S3" s="233"/>
      <c r="T3" s="234"/>
      <c r="U3" s="234"/>
      <c r="V3" s="234"/>
      <c r="W3" s="242"/>
      <c r="X3" s="233"/>
      <c r="Y3" s="234"/>
      <c r="Z3" s="234"/>
      <c r="AA3" s="234"/>
      <c r="AB3" s="242"/>
      <c r="AC3" s="233"/>
      <c r="AD3" s="234"/>
      <c r="AE3" s="234"/>
      <c r="AF3" s="234"/>
      <c r="AG3" s="242"/>
      <c r="AH3" s="233"/>
      <c r="AI3" s="234"/>
      <c r="AJ3" s="234"/>
      <c r="AK3" s="234"/>
      <c r="AL3" s="235"/>
      <c r="AN3" s="233" t="str">
        <f>sum_level("o",Behoeftes!D3:AL3)</f>
        <v>1</v>
      </c>
      <c r="AO3" s="234" t="str">
        <f>sum_level("j",Behoeftes!D3:AL3)</f>
        <v/>
      </c>
      <c r="AP3" s="234" t="str">
        <f>sum_level("m",Behoeftes!D3:AL3)</f>
        <v/>
      </c>
      <c r="AQ3" s="234" t="str">
        <f>sum_level("s",Behoeftes!D3:AL3)</f>
        <v/>
      </c>
      <c r="AR3" s="235" t="str">
        <f>sum_level("e",Behoeftes!D3:AL3)</f>
        <v/>
      </c>
    </row>
    <row r="4" spans="1:44" x14ac:dyDescent="0.25">
      <c r="B4" s="427"/>
      <c r="C4" s="252" t="s">
        <v>54</v>
      </c>
      <c r="D4" s="236"/>
      <c r="E4" s="237">
        <v>2</v>
      </c>
      <c r="F4" s="237"/>
      <c r="G4" s="237"/>
      <c r="H4" s="243"/>
      <c r="I4" s="236"/>
      <c r="J4" s="237"/>
      <c r="K4" s="237"/>
      <c r="L4" s="237"/>
      <c r="M4" s="243"/>
      <c r="N4" s="236"/>
      <c r="O4" s="237"/>
      <c r="P4" s="237"/>
      <c r="Q4" s="237"/>
      <c r="R4" s="243"/>
      <c r="S4" s="236"/>
      <c r="T4" s="237"/>
      <c r="U4" s="237"/>
      <c r="V4" s="237"/>
      <c r="W4" s="243"/>
      <c r="X4" s="236"/>
      <c r="Y4" s="237"/>
      <c r="Z4" s="237"/>
      <c r="AA4" s="237"/>
      <c r="AB4" s="243"/>
      <c r="AC4" s="236"/>
      <c r="AD4" s="237"/>
      <c r="AE4" s="237"/>
      <c r="AF4" s="237"/>
      <c r="AG4" s="243"/>
      <c r="AH4" s="236"/>
      <c r="AI4" s="237"/>
      <c r="AJ4" s="237"/>
      <c r="AK4" s="237"/>
      <c r="AL4" s="238"/>
      <c r="AN4" s="236" t="str">
        <f>sum_level("o",Behoeftes!D4:AL4)</f>
        <v/>
      </c>
      <c r="AO4" s="237" t="str">
        <f>sum_level("j",Behoeftes!D4:AL4)</f>
        <v>2</v>
      </c>
      <c r="AP4" s="237" t="str">
        <f>sum_level("m",Behoeftes!D4:AL4)</f>
        <v/>
      </c>
      <c r="AQ4" s="237" t="str">
        <f>sum_level("s",Behoeftes!D4:AL4)</f>
        <v/>
      </c>
      <c r="AR4" s="238" t="str">
        <f>sum_level("e",Behoeftes!D4:AL4)</f>
        <v/>
      </c>
    </row>
    <row r="5" spans="1:44" x14ac:dyDescent="0.25">
      <c r="B5" s="427"/>
      <c r="C5" s="252" t="s">
        <v>51</v>
      </c>
      <c r="D5" s="236"/>
      <c r="E5" s="237"/>
      <c r="F5" s="237">
        <v>3</v>
      </c>
      <c r="G5" s="237"/>
      <c r="H5" s="243"/>
      <c r="I5" s="236"/>
      <c r="J5" s="237"/>
      <c r="K5" s="237"/>
      <c r="L5" s="237"/>
      <c r="M5" s="243"/>
      <c r="N5" s="236"/>
      <c r="O5" s="237"/>
      <c r="P5" s="237"/>
      <c r="Q5" s="237"/>
      <c r="R5" s="243"/>
      <c r="S5" s="236"/>
      <c r="T5" s="237"/>
      <c r="U5" s="237"/>
      <c r="V5" s="237"/>
      <c r="W5" s="243"/>
      <c r="X5" s="236"/>
      <c r="Y5" s="237"/>
      <c r="Z5" s="237"/>
      <c r="AA5" s="237"/>
      <c r="AB5" s="243"/>
      <c r="AC5" s="236"/>
      <c r="AD5" s="237"/>
      <c r="AE5" s="237"/>
      <c r="AF5" s="237"/>
      <c r="AG5" s="243"/>
      <c r="AH5" s="236"/>
      <c r="AI5" s="237"/>
      <c r="AJ5" s="237"/>
      <c r="AK5" s="237"/>
      <c r="AL5" s="238"/>
      <c r="AN5" s="236" t="str">
        <f>sum_level("o",Behoeftes!D5:AL5)</f>
        <v/>
      </c>
      <c r="AO5" s="237" t="str">
        <f>sum_level("j",Behoeftes!D5:AL5)</f>
        <v/>
      </c>
      <c r="AP5" s="237" t="str">
        <f>sum_level("m",Behoeftes!D5:AL5)</f>
        <v>3</v>
      </c>
      <c r="AQ5" s="237" t="str">
        <f>sum_level("s",Behoeftes!D5:AL5)</f>
        <v/>
      </c>
      <c r="AR5" s="238" t="str">
        <f>sum_level("e",Behoeftes!D5:AL5)</f>
        <v/>
      </c>
    </row>
    <row r="6" spans="1:44" x14ac:dyDescent="0.25">
      <c r="B6" s="427"/>
      <c r="C6" s="252" t="s">
        <v>52</v>
      </c>
      <c r="D6" s="236"/>
      <c r="E6" s="237"/>
      <c r="F6" s="237"/>
      <c r="G6" s="237">
        <v>4</v>
      </c>
      <c r="H6" s="243"/>
      <c r="I6" s="236"/>
      <c r="J6" s="237"/>
      <c r="K6" s="237"/>
      <c r="L6" s="237"/>
      <c r="M6" s="243"/>
      <c r="N6" s="236"/>
      <c r="O6" s="237"/>
      <c r="P6" s="237"/>
      <c r="Q6" s="237"/>
      <c r="R6" s="243"/>
      <c r="S6" s="236"/>
      <c r="T6" s="237"/>
      <c r="U6" s="237"/>
      <c r="V6" s="237"/>
      <c r="W6" s="243"/>
      <c r="X6" s="236"/>
      <c r="Y6" s="237"/>
      <c r="Z6" s="237"/>
      <c r="AA6" s="237"/>
      <c r="AB6" s="243"/>
      <c r="AC6" s="236"/>
      <c r="AD6" s="237"/>
      <c r="AE6" s="237"/>
      <c r="AF6" s="237"/>
      <c r="AG6" s="243"/>
      <c r="AH6" s="236"/>
      <c r="AI6" s="237"/>
      <c r="AJ6" s="237"/>
      <c r="AK6" s="237"/>
      <c r="AL6" s="238"/>
      <c r="AN6" s="236" t="str">
        <f>sum_level("o",Behoeftes!D6:AL6)</f>
        <v/>
      </c>
      <c r="AO6" s="237" t="str">
        <f>sum_level("j",Behoeftes!D6:AL6)</f>
        <v/>
      </c>
      <c r="AP6" s="237" t="str">
        <f>sum_level("m",Behoeftes!D6:AL6)</f>
        <v/>
      </c>
      <c r="AQ6" s="237" t="str">
        <f>sum_level("s",Behoeftes!D6:AL6)</f>
        <v>4</v>
      </c>
      <c r="AR6" s="238" t="str">
        <f>sum_level("e",Behoeftes!D6:AL6)</f>
        <v/>
      </c>
    </row>
    <row r="7" spans="1:44" x14ac:dyDescent="0.25">
      <c r="B7" s="427"/>
      <c r="C7" s="252" t="s">
        <v>53</v>
      </c>
      <c r="D7" s="236"/>
      <c r="E7" s="237"/>
      <c r="F7" s="237"/>
      <c r="G7" s="237"/>
      <c r="H7" s="243">
        <v>5</v>
      </c>
      <c r="I7" s="236"/>
      <c r="J7" s="237"/>
      <c r="K7" s="237"/>
      <c r="L7" s="237"/>
      <c r="M7" s="243"/>
      <c r="N7" s="236"/>
      <c r="O7" s="237"/>
      <c r="P7" s="237"/>
      <c r="Q7" s="237"/>
      <c r="R7" s="243"/>
      <c r="S7" s="236"/>
      <c r="T7" s="237"/>
      <c r="U7" s="237"/>
      <c r="V7" s="237"/>
      <c r="W7" s="243"/>
      <c r="X7" s="236"/>
      <c r="Y7" s="237"/>
      <c r="Z7" s="237"/>
      <c r="AA7" s="237"/>
      <c r="AB7" s="243"/>
      <c r="AC7" s="236"/>
      <c r="AD7" s="237"/>
      <c r="AE7" s="237"/>
      <c r="AF7" s="237"/>
      <c r="AG7" s="243"/>
      <c r="AH7" s="236"/>
      <c r="AI7" s="237"/>
      <c r="AJ7" s="237"/>
      <c r="AK7" s="237"/>
      <c r="AL7" s="238"/>
      <c r="AN7" s="236" t="str">
        <f>sum_level("o",Behoeftes!D7:AL7)</f>
        <v/>
      </c>
      <c r="AO7" s="237" t="str">
        <f>sum_level("j",Behoeftes!D7:AL7)</f>
        <v/>
      </c>
      <c r="AP7" s="237" t="str">
        <f>sum_level("m",Behoeftes!D7:AL7)</f>
        <v/>
      </c>
      <c r="AQ7" s="237" t="str">
        <f>sum_level("s",Behoeftes!D7:AL7)</f>
        <v/>
      </c>
      <c r="AR7" s="238" t="str">
        <f>sum_level("e",Behoeftes!D7:AL7)</f>
        <v>5</v>
      </c>
    </row>
    <row r="8" spans="1:44" x14ac:dyDescent="0.25">
      <c r="B8" s="427"/>
      <c r="C8" s="252" t="s">
        <v>50</v>
      </c>
      <c r="D8" s="236"/>
      <c r="E8" s="237"/>
      <c r="F8" s="237"/>
      <c r="G8" s="237"/>
      <c r="H8" s="243"/>
      <c r="I8" s="236"/>
      <c r="J8" s="237"/>
      <c r="K8" s="237"/>
      <c r="L8" s="237"/>
      <c r="M8" s="243"/>
      <c r="N8" s="236"/>
      <c r="O8" s="237"/>
      <c r="P8" s="237"/>
      <c r="Q8" s="237"/>
      <c r="R8" s="243"/>
      <c r="S8" s="236"/>
      <c r="T8" s="237"/>
      <c r="U8" s="237"/>
      <c r="V8" s="237"/>
      <c r="W8" s="243"/>
      <c r="X8" s="236"/>
      <c r="Y8" s="237"/>
      <c r="Z8" s="237"/>
      <c r="AA8" s="237"/>
      <c r="AB8" s="243"/>
      <c r="AC8" s="236"/>
      <c r="AD8" s="237"/>
      <c r="AE8" s="237"/>
      <c r="AF8" s="237"/>
      <c r="AG8" s="243"/>
      <c r="AH8" s="236"/>
      <c r="AI8" s="237"/>
      <c r="AJ8" s="237"/>
      <c r="AK8" s="237"/>
      <c r="AL8" s="238"/>
      <c r="AN8" s="236" t="str">
        <f>sum_level("o",Behoeftes!D8:AL8)</f>
        <v/>
      </c>
      <c r="AO8" s="237" t="str">
        <f>sum_level("j",Behoeftes!D8:AL8)</f>
        <v/>
      </c>
      <c r="AP8" s="237" t="str">
        <f>sum_level("m",Behoeftes!D8:AL8)</f>
        <v/>
      </c>
      <c r="AQ8" s="237" t="str">
        <f>sum_level("s",Behoeftes!D8:AL8)</f>
        <v/>
      </c>
      <c r="AR8" s="238" t="str">
        <f>sum_level("e",Behoeftes!D8:AL8)</f>
        <v/>
      </c>
    </row>
    <row r="9" spans="1:44" x14ac:dyDescent="0.25">
      <c r="B9" s="427"/>
      <c r="C9" s="252" t="s">
        <v>55</v>
      </c>
      <c r="D9" s="236"/>
      <c r="E9" s="237"/>
      <c r="F9" s="237"/>
      <c r="G9" s="237"/>
      <c r="H9" s="243"/>
      <c r="I9" s="236">
        <v>6</v>
      </c>
      <c r="J9" s="237"/>
      <c r="K9" s="237"/>
      <c r="L9" s="237"/>
      <c r="M9" s="243"/>
      <c r="N9" s="236"/>
      <c r="O9" s="237"/>
      <c r="P9" s="237"/>
      <c r="Q9" s="237"/>
      <c r="R9" s="243"/>
      <c r="S9" s="236"/>
      <c r="T9" s="237"/>
      <c r="U9" s="237"/>
      <c r="V9" s="237"/>
      <c r="W9" s="243"/>
      <c r="X9" s="236"/>
      <c r="Y9" s="237"/>
      <c r="Z9" s="237"/>
      <c r="AA9" s="237"/>
      <c r="AB9" s="243"/>
      <c r="AC9" s="236"/>
      <c r="AD9" s="237"/>
      <c r="AE9" s="237"/>
      <c r="AF9" s="237"/>
      <c r="AG9" s="243"/>
      <c r="AH9" s="236"/>
      <c r="AI9" s="237"/>
      <c r="AJ9" s="237"/>
      <c r="AK9" s="237"/>
      <c r="AL9" s="238"/>
      <c r="AN9" s="236" t="str">
        <f>sum_level("o",Behoeftes!D9:AL9)</f>
        <v>6</v>
      </c>
      <c r="AO9" s="237" t="str">
        <f>sum_level("j",Behoeftes!D9:AL9)</f>
        <v/>
      </c>
      <c r="AP9" s="237" t="str">
        <f>sum_level("m",Behoeftes!D9:AL9)</f>
        <v/>
      </c>
      <c r="AQ9" s="237" t="str">
        <f>sum_level("s",Behoeftes!D9:AL9)</f>
        <v/>
      </c>
      <c r="AR9" s="238" t="str">
        <f>sum_level("e",Behoeftes!D9:AL9)</f>
        <v/>
      </c>
    </row>
    <row r="10" spans="1:44" x14ac:dyDescent="0.25">
      <c r="B10" s="427"/>
      <c r="C10" s="252" t="s">
        <v>56</v>
      </c>
      <c r="D10" s="236"/>
      <c r="E10" s="237"/>
      <c r="F10" s="237"/>
      <c r="G10" s="237"/>
      <c r="H10" s="243"/>
      <c r="I10" s="236"/>
      <c r="J10" s="237">
        <v>7</v>
      </c>
      <c r="K10" s="237"/>
      <c r="L10" s="237"/>
      <c r="M10" s="243"/>
      <c r="N10" s="236"/>
      <c r="O10" s="237"/>
      <c r="P10" s="237"/>
      <c r="Q10" s="237"/>
      <c r="R10" s="243"/>
      <c r="S10" s="236"/>
      <c r="T10" s="237"/>
      <c r="U10" s="237"/>
      <c r="V10" s="237"/>
      <c r="W10" s="243"/>
      <c r="X10" s="236"/>
      <c r="Y10" s="237"/>
      <c r="Z10" s="237"/>
      <c r="AA10" s="237"/>
      <c r="AB10" s="243"/>
      <c r="AC10" s="236"/>
      <c r="AD10" s="237"/>
      <c r="AE10" s="237"/>
      <c r="AF10" s="237"/>
      <c r="AG10" s="243"/>
      <c r="AH10" s="236"/>
      <c r="AI10" s="237"/>
      <c r="AJ10" s="237"/>
      <c r="AK10" s="237"/>
      <c r="AL10" s="238"/>
      <c r="AN10" s="236" t="str">
        <f>sum_level("o",Behoeftes!D10:AL10)</f>
        <v/>
      </c>
      <c r="AO10" s="237" t="str">
        <f>sum_level("j",Behoeftes!D10:AL10)</f>
        <v>7</v>
      </c>
      <c r="AP10" s="237" t="str">
        <f>sum_level("m",Behoeftes!D10:AL10)</f>
        <v/>
      </c>
      <c r="AQ10" s="237" t="str">
        <f>sum_level("s",Behoeftes!D10:AL10)</f>
        <v/>
      </c>
      <c r="AR10" s="238" t="str">
        <f>sum_level("e",Behoeftes!D10:AL10)</f>
        <v/>
      </c>
    </row>
    <row r="11" spans="1:44" x14ac:dyDescent="0.25">
      <c r="B11" s="427"/>
      <c r="C11" s="252" t="s">
        <v>57</v>
      </c>
      <c r="D11" s="236"/>
      <c r="E11" s="237"/>
      <c r="F11" s="237"/>
      <c r="G11" s="237"/>
      <c r="H11" s="243"/>
      <c r="I11" s="236"/>
      <c r="J11" s="237"/>
      <c r="K11" s="237">
        <v>8</v>
      </c>
      <c r="L11" s="237"/>
      <c r="M11" s="243"/>
      <c r="N11" s="236"/>
      <c r="O11" s="237"/>
      <c r="P11" s="237"/>
      <c r="Q11" s="237"/>
      <c r="R11" s="243"/>
      <c r="S11" s="236"/>
      <c r="T11" s="237"/>
      <c r="U11" s="237"/>
      <c r="V11" s="237"/>
      <c r="W11" s="243"/>
      <c r="X11" s="236"/>
      <c r="Y11" s="237"/>
      <c r="Z11" s="237"/>
      <c r="AA11" s="237"/>
      <c r="AB11" s="243"/>
      <c r="AC11" s="236"/>
      <c r="AD11" s="237"/>
      <c r="AE11" s="237"/>
      <c r="AF11" s="237"/>
      <c r="AG11" s="243"/>
      <c r="AH11" s="236"/>
      <c r="AI11" s="237"/>
      <c r="AJ11" s="237"/>
      <c r="AK11" s="237"/>
      <c r="AL11" s="238"/>
      <c r="AN11" s="236" t="str">
        <f>sum_level("o",Behoeftes!D11:AL11)</f>
        <v/>
      </c>
      <c r="AO11" s="237" t="str">
        <f>sum_level("j",Behoeftes!D11:AL11)</f>
        <v/>
      </c>
      <c r="AP11" s="237" t="str">
        <f>sum_level("m",Behoeftes!D11:AL11)</f>
        <v>8</v>
      </c>
      <c r="AQ11" s="237" t="str">
        <f>sum_level("s",Behoeftes!D11:AL11)</f>
        <v/>
      </c>
      <c r="AR11" s="238" t="str">
        <f>sum_level("e",Behoeftes!D11:AL11)</f>
        <v/>
      </c>
    </row>
    <row r="12" spans="1:44" x14ac:dyDescent="0.25">
      <c r="B12" s="427"/>
      <c r="C12" s="252" t="s">
        <v>58</v>
      </c>
      <c r="D12" s="236"/>
      <c r="E12" s="237"/>
      <c r="F12" s="237"/>
      <c r="G12" s="237"/>
      <c r="H12" s="243"/>
      <c r="I12" s="236"/>
      <c r="J12" s="237"/>
      <c r="K12" s="237"/>
      <c r="L12" s="237">
        <v>9</v>
      </c>
      <c r="M12" s="243"/>
      <c r="N12" s="236"/>
      <c r="O12" s="237"/>
      <c r="P12" s="237"/>
      <c r="Q12" s="237"/>
      <c r="R12" s="243"/>
      <c r="S12" s="236"/>
      <c r="T12" s="237"/>
      <c r="U12" s="237"/>
      <c r="V12" s="237"/>
      <c r="W12" s="243"/>
      <c r="X12" s="236"/>
      <c r="Y12" s="237"/>
      <c r="Z12" s="237"/>
      <c r="AA12" s="237"/>
      <c r="AB12" s="243"/>
      <c r="AC12" s="236"/>
      <c r="AD12" s="237"/>
      <c r="AE12" s="237"/>
      <c r="AF12" s="237"/>
      <c r="AG12" s="243"/>
      <c r="AH12" s="236"/>
      <c r="AI12" s="237"/>
      <c r="AJ12" s="237"/>
      <c r="AK12" s="237"/>
      <c r="AL12" s="238"/>
      <c r="AN12" s="236" t="str">
        <f>sum_level("o",Behoeftes!D12:AL12)</f>
        <v/>
      </c>
      <c r="AO12" s="237" t="str">
        <f>sum_level("j",Behoeftes!D12:AL12)</f>
        <v/>
      </c>
      <c r="AP12" s="237" t="str">
        <f>sum_level("m",Behoeftes!D12:AL12)</f>
        <v/>
      </c>
      <c r="AQ12" s="237" t="str">
        <f>sum_level("s",Behoeftes!D12:AL12)</f>
        <v>9</v>
      </c>
      <c r="AR12" s="238" t="str">
        <f>sum_level("e",Behoeftes!D12:AL12)</f>
        <v/>
      </c>
    </row>
    <row r="13" spans="1:44" x14ac:dyDescent="0.25">
      <c r="B13" s="427"/>
      <c r="C13" s="252" t="s">
        <v>59</v>
      </c>
      <c r="D13" s="236"/>
      <c r="E13" s="237"/>
      <c r="F13" s="237"/>
      <c r="G13" s="237"/>
      <c r="H13" s="243"/>
      <c r="I13" s="236"/>
      <c r="J13" s="237"/>
      <c r="K13" s="237"/>
      <c r="L13" s="237"/>
      <c r="M13" s="243">
        <v>10</v>
      </c>
      <c r="N13" s="236"/>
      <c r="O13" s="237"/>
      <c r="P13" s="237"/>
      <c r="Q13" s="237"/>
      <c r="R13" s="243"/>
      <c r="S13" s="236"/>
      <c r="T13" s="237"/>
      <c r="U13" s="237"/>
      <c r="V13" s="237"/>
      <c r="W13" s="243"/>
      <c r="X13" s="236"/>
      <c r="Y13" s="237"/>
      <c r="Z13" s="237"/>
      <c r="AA13" s="237"/>
      <c r="AB13" s="243"/>
      <c r="AC13" s="236"/>
      <c r="AD13" s="237"/>
      <c r="AE13" s="237"/>
      <c r="AF13" s="237"/>
      <c r="AG13" s="243"/>
      <c r="AH13" s="236"/>
      <c r="AI13" s="237"/>
      <c r="AJ13" s="237"/>
      <c r="AK13" s="237"/>
      <c r="AL13" s="238"/>
      <c r="AN13" s="236" t="str">
        <f>sum_level("o",Behoeftes!D13:AL13)</f>
        <v/>
      </c>
      <c r="AO13" s="237" t="str">
        <f>sum_level("j",Behoeftes!D13:AL13)</f>
        <v/>
      </c>
      <c r="AP13" s="237" t="str">
        <f>sum_level("m",Behoeftes!D13:AL13)</f>
        <v/>
      </c>
      <c r="AQ13" s="237" t="str">
        <f>sum_level("s",Behoeftes!D13:AL13)</f>
        <v/>
      </c>
      <c r="AR13" s="238" t="str">
        <f>sum_level("e",Behoeftes!D13:AL13)</f>
        <v>10</v>
      </c>
    </row>
    <row r="14" spans="1:44" x14ac:dyDescent="0.25">
      <c r="B14" s="427"/>
      <c r="C14" s="252" t="s">
        <v>60</v>
      </c>
      <c r="D14" s="236"/>
      <c r="E14" s="237"/>
      <c r="F14" s="237"/>
      <c r="G14" s="237"/>
      <c r="H14" s="243"/>
      <c r="I14" s="236"/>
      <c r="J14" s="237"/>
      <c r="K14" s="237"/>
      <c r="L14" s="237"/>
      <c r="M14" s="243"/>
      <c r="N14" s="236"/>
      <c r="O14" s="237"/>
      <c r="P14" s="237"/>
      <c r="Q14" s="237"/>
      <c r="R14" s="243"/>
      <c r="S14" s="236"/>
      <c r="T14" s="237"/>
      <c r="U14" s="237"/>
      <c r="V14" s="237"/>
      <c r="W14" s="243"/>
      <c r="X14" s="236"/>
      <c r="Y14" s="237"/>
      <c r="Z14" s="237"/>
      <c r="AA14" s="237"/>
      <c r="AB14" s="243"/>
      <c r="AC14" s="236"/>
      <c r="AD14" s="237"/>
      <c r="AE14" s="237"/>
      <c r="AF14" s="237"/>
      <c r="AG14" s="243"/>
      <c r="AH14" s="236"/>
      <c r="AI14" s="237"/>
      <c r="AJ14" s="237"/>
      <c r="AK14" s="237"/>
      <c r="AL14" s="238"/>
      <c r="AN14" s="236" t="str">
        <f>sum_level("o",Behoeftes!D14:AL14)</f>
        <v/>
      </c>
      <c r="AO14" s="237" t="str">
        <f>sum_level("j",Behoeftes!D14:AL14)</f>
        <v/>
      </c>
      <c r="AP14" s="237" t="str">
        <f>sum_level("m",Behoeftes!D14:AL14)</f>
        <v/>
      </c>
      <c r="AQ14" s="237" t="str">
        <f>sum_level("s",Behoeftes!D14:AL14)</f>
        <v/>
      </c>
      <c r="AR14" s="238" t="str">
        <f>sum_level("e",Behoeftes!D14:AL14)</f>
        <v/>
      </c>
    </row>
    <row r="15" spans="1:44" ht="15.75" thickBot="1" x14ac:dyDescent="0.3">
      <c r="B15" s="427"/>
      <c r="C15" s="253" t="s">
        <v>61</v>
      </c>
      <c r="D15" s="239"/>
      <c r="E15" s="240"/>
      <c r="F15" s="240"/>
      <c r="G15" s="240"/>
      <c r="H15" s="250"/>
      <c r="I15" s="239"/>
      <c r="J15" s="240"/>
      <c r="K15" s="240"/>
      <c r="L15" s="240"/>
      <c r="M15" s="250"/>
      <c r="N15" s="239"/>
      <c r="O15" s="240"/>
      <c r="P15" s="240"/>
      <c r="Q15" s="240"/>
      <c r="R15" s="250"/>
      <c r="S15" s="239"/>
      <c r="T15" s="240"/>
      <c r="U15" s="240"/>
      <c r="V15" s="240"/>
      <c r="W15" s="250"/>
      <c r="X15" s="239"/>
      <c r="Y15" s="240"/>
      <c r="Z15" s="240"/>
      <c r="AA15" s="240"/>
      <c r="AB15" s="250"/>
      <c r="AC15" s="239"/>
      <c r="AD15" s="240"/>
      <c r="AE15" s="240"/>
      <c r="AF15" s="240"/>
      <c r="AG15" s="250"/>
      <c r="AH15" s="239"/>
      <c r="AI15" s="240"/>
      <c r="AJ15" s="240"/>
      <c r="AK15" s="240"/>
      <c r="AL15" s="241"/>
      <c r="AN15" s="239" t="str">
        <f>sum_level("o",Behoeftes!D15:AL15)</f>
        <v/>
      </c>
      <c r="AO15" s="240" t="str">
        <f>sum_level("j",Behoeftes!D15:AL15)</f>
        <v/>
      </c>
      <c r="AP15" s="240" t="str">
        <f>sum_level("m",Behoeftes!D15:AL15)</f>
        <v/>
      </c>
      <c r="AQ15" s="240" t="str">
        <f>sum_level("s",Behoeftes!D15:AL15)</f>
        <v/>
      </c>
      <c r="AR15" s="241" t="str">
        <f>sum_level("e",Behoeftes!D15:AL15)</f>
        <v/>
      </c>
    </row>
    <row r="16" spans="1:44" ht="12.75" customHeight="1" thickTop="1" thickBot="1" x14ac:dyDescent="0.3">
      <c r="B16" s="427"/>
      <c r="C16" s="248"/>
      <c r="D16" s="249"/>
      <c r="E16" s="249"/>
      <c r="F16" s="249"/>
      <c r="G16" s="249"/>
      <c r="H16" s="249"/>
      <c r="I16" s="249"/>
      <c r="J16" s="249"/>
      <c r="K16" s="249"/>
      <c r="L16" s="249"/>
      <c r="M16" s="249"/>
      <c r="N16" s="249"/>
      <c r="O16" s="249"/>
      <c r="P16" s="249"/>
      <c r="Q16" s="249"/>
      <c r="R16" s="249"/>
      <c r="S16" s="249"/>
      <c r="T16" s="249"/>
      <c r="U16" s="249"/>
      <c r="V16" s="249"/>
      <c r="W16" s="249"/>
      <c r="X16" s="249"/>
      <c r="Y16" s="249"/>
      <c r="Z16" s="249"/>
      <c r="AA16" s="249"/>
      <c r="AB16" s="249"/>
      <c r="AC16" s="249"/>
      <c r="AD16" s="249"/>
      <c r="AE16" s="249"/>
      <c r="AF16" s="249"/>
      <c r="AG16" s="249"/>
      <c r="AH16" s="249"/>
      <c r="AI16" s="249"/>
      <c r="AJ16" s="249"/>
      <c r="AK16" s="249"/>
      <c r="AL16" s="249"/>
      <c r="AN16" s="249"/>
      <c r="AO16" s="249"/>
      <c r="AP16" s="249"/>
      <c r="AQ16" s="249"/>
      <c r="AR16" s="249"/>
    </row>
    <row r="17" spans="2:44" ht="15.75" customHeight="1" thickTop="1" x14ac:dyDescent="0.25">
      <c r="B17" s="426" t="s">
        <v>62</v>
      </c>
      <c r="C17" s="251" t="s">
        <v>63</v>
      </c>
      <c r="D17" s="233"/>
      <c r="E17" s="234"/>
      <c r="F17" s="234"/>
      <c r="G17" s="234"/>
      <c r="H17" s="242"/>
      <c r="I17" s="233"/>
      <c r="J17" s="234"/>
      <c r="K17" s="234"/>
      <c r="L17" s="234"/>
      <c r="M17" s="242"/>
      <c r="N17" s="233">
        <v>11</v>
      </c>
      <c r="O17" s="234"/>
      <c r="P17" s="234"/>
      <c r="Q17" s="234"/>
      <c r="R17" s="242"/>
      <c r="S17" s="233"/>
      <c r="T17" s="234"/>
      <c r="U17" s="234"/>
      <c r="V17" s="234"/>
      <c r="W17" s="242"/>
      <c r="X17" s="233"/>
      <c r="Y17" s="234"/>
      <c r="Z17" s="234"/>
      <c r="AA17" s="234"/>
      <c r="AB17" s="242"/>
      <c r="AC17" s="233"/>
      <c r="AD17" s="234"/>
      <c r="AE17" s="234"/>
      <c r="AF17" s="234"/>
      <c r="AG17" s="242"/>
      <c r="AH17" s="233"/>
      <c r="AI17" s="234"/>
      <c r="AJ17" s="234"/>
      <c r="AK17" s="234"/>
      <c r="AL17" s="235"/>
      <c r="AN17" s="233" t="str">
        <f>sum_level("o",Behoeftes!D17:AL17)</f>
        <v>11</v>
      </c>
      <c r="AO17" s="234" t="str">
        <f>sum_level("j",Behoeftes!D17:AL17)</f>
        <v/>
      </c>
      <c r="AP17" s="234" t="str">
        <f>sum_level("m",Behoeftes!D17:AL17)</f>
        <v/>
      </c>
      <c r="AQ17" s="234" t="str">
        <f>sum_level("s",Behoeftes!D17:AL17)</f>
        <v/>
      </c>
      <c r="AR17" s="235" t="str">
        <f>sum_level("e",Behoeftes!D17:AL17)</f>
        <v/>
      </c>
    </row>
    <row r="18" spans="2:44" x14ac:dyDescent="0.25">
      <c r="B18" s="427"/>
      <c r="C18" s="252" t="s">
        <v>118</v>
      </c>
      <c r="D18" s="236"/>
      <c r="E18" s="237"/>
      <c r="F18" s="237"/>
      <c r="G18" s="237"/>
      <c r="H18" s="243"/>
      <c r="I18" s="236"/>
      <c r="J18" s="237"/>
      <c r="K18" s="237"/>
      <c r="L18" s="237"/>
      <c r="M18" s="243"/>
      <c r="N18" s="236"/>
      <c r="O18" s="237">
        <v>12</v>
      </c>
      <c r="P18" s="237"/>
      <c r="Q18" s="237"/>
      <c r="R18" s="243"/>
      <c r="S18" s="236"/>
      <c r="T18" s="237"/>
      <c r="U18" s="237"/>
      <c r="V18" s="237"/>
      <c r="W18" s="243"/>
      <c r="X18" s="236"/>
      <c r="Y18" s="237"/>
      <c r="Z18" s="237"/>
      <c r="AA18" s="237"/>
      <c r="AB18" s="243"/>
      <c r="AC18" s="236"/>
      <c r="AD18" s="237"/>
      <c r="AE18" s="237"/>
      <c r="AF18" s="237"/>
      <c r="AG18" s="243"/>
      <c r="AH18" s="236"/>
      <c r="AI18" s="237"/>
      <c r="AJ18" s="237"/>
      <c r="AK18" s="237"/>
      <c r="AL18" s="238"/>
      <c r="AN18" s="236" t="str">
        <f>sum_level("o",Behoeftes!D18:AL18)</f>
        <v/>
      </c>
      <c r="AO18" s="237" t="str">
        <f>sum_level("j",Behoeftes!D18:AL18)</f>
        <v>12</v>
      </c>
      <c r="AP18" s="237" t="str">
        <f>sum_level("m",Behoeftes!D18:AL18)</f>
        <v/>
      </c>
      <c r="AQ18" s="237" t="str">
        <f>sum_level("s",Behoeftes!D18:AL18)</f>
        <v/>
      </c>
      <c r="AR18" s="238" t="str">
        <f>sum_level("e",Behoeftes!D18:AL18)</f>
        <v/>
      </c>
    </row>
    <row r="19" spans="2:44" x14ac:dyDescent="0.25">
      <c r="B19" s="427"/>
      <c r="C19" s="252" t="s">
        <v>64</v>
      </c>
      <c r="D19" s="236"/>
      <c r="E19" s="237"/>
      <c r="F19" s="237"/>
      <c r="G19" s="237"/>
      <c r="H19" s="243"/>
      <c r="I19" s="236"/>
      <c r="J19" s="237"/>
      <c r="K19" s="237"/>
      <c r="L19" s="237"/>
      <c r="M19" s="243"/>
      <c r="N19" s="236"/>
      <c r="O19" s="237"/>
      <c r="P19" s="237">
        <v>13</v>
      </c>
      <c r="Q19" s="237"/>
      <c r="R19" s="243"/>
      <c r="S19" s="236"/>
      <c r="T19" s="237"/>
      <c r="U19" s="237"/>
      <c r="V19" s="237"/>
      <c r="W19" s="243"/>
      <c r="X19" s="236"/>
      <c r="Y19" s="237"/>
      <c r="Z19" s="237"/>
      <c r="AA19" s="237"/>
      <c r="AB19" s="243"/>
      <c r="AC19" s="236"/>
      <c r="AD19" s="237"/>
      <c r="AE19" s="237"/>
      <c r="AF19" s="237"/>
      <c r="AG19" s="243"/>
      <c r="AH19" s="236"/>
      <c r="AI19" s="237"/>
      <c r="AJ19" s="237"/>
      <c r="AK19" s="237"/>
      <c r="AL19" s="238"/>
      <c r="AN19" s="236" t="str">
        <f>sum_level("o",Behoeftes!D19:AL19)</f>
        <v/>
      </c>
      <c r="AO19" s="237" t="str">
        <f>sum_level("j",Behoeftes!D19:AL19)</f>
        <v/>
      </c>
      <c r="AP19" s="237" t="str">
        <f>sum_level("m",Behoeftes!D19:AL19)</f>
        <v>13</v>
      </c>
      <c r="AQ19" s="237" t="str">
        <f>sum_level("s",Behoeftes!D19:AL19)</f>
        <v/>
      </c>
      <c r="AR19" s="238" t="str">
        <f>sum_level("e",Behoeftes!D19:AL19)</f>
        <v/>
      </c>
    </row>
    <row r="20" spans="2:44" x14ac:dyDescent="0.25">
      <c r="B20" s="427"/>
      <c r="C20" s="252" t="s">
        <v>65</v>
      </c>
      <c r="D20" s="236"/>
      <c r="E20" s="237"/>
      <c r="F20" s="237"/>
      <c r="G20" s="237"/>
      <c r="H20" s="243"/>
      <c r="I20" s="236"/>
      <c r="J20" s="237"/>
      <c r="K20" s="237"/>
      <c r="L20" s="237"/>
      <c r="M20" s="243"/>
      <c r="N20" s="236"/>
      <c r="O20" s="237"/>
      <c r="P20" s="237"/>
      <c r="Q20" s="237">
        <v>14</v>
      </c>
      <c r="R20" s="243"/>
      <c r="S20" s="236"/>
      <c r="T20" s="237"/>
      <c r="U20" s="237"/>
      <c r="V20" s="237"/>
      <c r="W20" s="243"/>
      <c r="X20" s="236"/>
      <c r="Y20" s="237"/>
      <c r="Z20" s="237"/>
      <c r="AA20" s="237"/>
      <c r="AB20" s="243"/>
      <c r="AC20" s="236"/>
      <c r="AD20" s="237"/>
      <c r="AE20" s="237"/>
      <c r="AF20" s="237"/>
      <c r="AG20" s="243"/>
      <c r="AH20" s="236"/>
      <c r="AI20" s="237"/>
      <c r="AJ20" s="237"/>
      <c r="AK20" s="237"/>
      <c r="AL20" s="238"/>
      <c r="AN20" s="236" t="str">
        <f>sum_level("o",Behoeftes!D20:AL20)</f>
        <v/>
      </c>
      <c r="AO20" s="237" t="str">
        <f>sum_level("j",Behoeftes!D20:AL20)</f>
        <v/>
      </c>
      <c r="AP20" s="237" t="str">
        <f>sum_level("m",Behoeftes!D20:AL20)</f>
        <v/>
      </c>
      <c r="AQ20" s="237" t="str">
        <f>sum_level("s",Behoeftes!D20:AL20)</f>
        <v>14</v>
      </c>
      <c r="AR20" s="238" t="str">
        <f>sum_level("e",Behoeftes!D20:AL20)</f>
        <v/>
      </c>
    </row>
    <row r="21" spans="2:44" x14ac:dyDescent="0.25">
      <c r="B21" s="427"/>
      <c r="C21" s="252" t="s">
        <v>66</v>
      </c>
      <c r="D21" s="236"/>
      <c r="E21" s="237"/>
      <c r="F21" s="237"/>
      <c r="G21" s="237"/>
      <c r="H21" s="243"/>
      <c r="I21" s="236"/>
      <c r="J21" s="237"/>
      <c r="K21" s="237"/>
      <c r="L21" s="237"/>
      <c r="M21" s="243"/>
      <c r="N21" s="236"/>
      <c r="O21" s="237"/>
      <c r="P21" s="237"/>
      <c r="Q21" s="237"/>
      <c r="R21" s="243">
        <v>15</v>
      </c>
      <c r="S21" s="236"/>
      <c r="T21" s="237"/>
      <c r="U21" s="237"/>
      <c r="V21" s="237"/>
      <c r="W21" s="243"/>
      <c r="X21" s="236"/>
      <c r="Y21" s="237"/>
      <c r="Z21" s="237"/>
      <c r="AA21" s="237"/>
      <c r="AB21" s="243"/>
      <c r="AC21" s="236"/>
      <c r="AD21" s="237"/>
      <c r="AE21" s="237"/>
      <c r="AF21" s="237"/>
      <c r="AG21" s="243"/>
      <c r="AH21" s="236"/>
      <c r="AI21" s="237"/>
      <c r="AJ21" s="237"/>
      <c r="AK21" s="237"/>
      <c r="AL21" s="238"/>
      <c r="AN21" s="236" t="str">
        <f>sum_level("o",Behoeftes!D21:AL21)</f>
        <v/>
      </c>
      <c r="AO21" s="237" t="str">
        <f>sum_level("j",Behoeftes!D21:AL21)</f>
        <v/>
      </c>
      <c r="AP21" s="237" t="str">
        <f>sum_level("m",Behoeftes!D21:AL21)</f>
        <v/>
      </c>
      <c r="AQ21" s="237" t="str">
        <f>sum_level("s",Behoeftes!D21:AL21)</f>
        <v/>
      </c>
      <c r="AR21" s="238" t="str">
        <f>sum_level("e",Behoeftes!D21:AL21)</f>
        <v>15</v>
      </c>
    </row>
    <row r="22" spans="2:44" x14ac:dyDescent="0.25">
      <c r="B22" s="427"/>
      <c r="C22" s="252" t="s">
        <v>67</v>
      </c>
      <c r="D22" s="236"/>
      <c r="E22" s="237"/>
      <c r="F22" s="237"/>
      <c r="G22" s="237"/>
      <c r="H22" s="243"/>
      <c r="I22" s="236"/>
      <c r="J22" s="237"/>
      <c r="K22" s="237"/>
      <c r="L22" s="237"/>
      <c r="M22" s="243"/>
      <c r="N22" s="236"/>
      <c r="O22" s="237"/>
      <c r="P22" s="237"/>
      <c r="Q22" s="237"/>
      <c r="R22" s="243"/>
      <c r="S22" s="236"/>
      <c r="T22" s="237"/>
      <c r="U22" s="237"/>
      <c r="V22" s="237"/>
      <c r="W22" s="243"/>
      <c r="X22" s="236"/>
      <c r="Y22" s="237"/>
      <c r="Z22" s="237"/>
      <c r="AA22" s="237"/>
      <c r="AB22" s="243"/>
      <c r="AC22" s="236"/>
      <c r="AD22" s="237"/>
      <c r="AE22" s="237"/>
      <c r="AF22" s="237"/>
      <c r="AG22" s="243"/>
      <c r="AH22" s="236"/>
      <c r="AI22" s="237"/>
      <c r="AJ22" s="237"/>
      <c r="AK22" s="237"/>
      <c r="AL22" s="238"/>
      <c r="AN22" s="236" t="str">
        <f>sum_level("o",Behoeftes!D22:AL22)</f>
        <v/>
      </c>
      <c r="AO22" s="237" t="str">
        <f>sum_level("j",Behoeftes!D22:AL22)</f>
        <v/>
      </c>
      <c r="AP22" s="237" t="str">
        <f>sum_level("m",Behoeftes!D22:AL22)</f>
        <v/>
      </c>
      <c r="AQ22" s="237" t="str">
        <f>sum_level("s",Behoeftes!D22:AL22)</f>
        <v/>
      </c>
      <c r="AR22" s="238" t="str">
        <f>sum_level("e",Behoeftes!D22:AL22)</f>
        <v/>
      </c>
    </row>
    <row r="23" spans="2:44" x14ac:dyDescent="0.25">
      <c r="B23" s="427"/>
      <c r="C23" s="252" t="s">
        <v>68</v>
      </c>
      <c r="D23" s="236"/>
      <c r="E23" s="237"/>
      <c r="F23" s="237"/>
      <c r="G23" s="237"/>
      <c r="H23" s="243"/>
      <c r="I23" s="236"/>
      <c r="J23" s="237"/>
      <c r="K23" s="237"/>
      <c r="L23" s="237"/>
      <c r="M23" s="243"/>
      <c r="N23" s="236"/>
      <c r="O23" s="237"/>
      <c r="P23" s="237"/>
      <c r="Q23" s="237"/>
      <c r="R23" s="243"/>
      <c r="S23" s="236"/>
      <c r="T23" s="237"/>
      <c r="U23" s="237"/>
      <c r="V23" s="237"/>
      <c r="W23" s="243"/>
      <c r="X23" s="236"/>
      <c r="Y23" s="237"/>
      <c r="Z23" s="237"/>
      <c r="AA23" s="237"/>
      <c r="AB23" s="243"/>
      <c r="AC23" s="236"/>
      <c r="AD23" s="237"/>
      <c r="AE23" s="237"/>
      <c r="AF23" s="237"/>
      <c r="AG23" s="243"/>
      <c r="AH23" s="236"/>
      <c r="AI23" s="237"/>
      <c r="AJ23" s="237"/>
      <c r="AK23" s="237"/>
      <c r="AL23" s="238"/>
      <c r="AN23" s="236" t="str">
        <f>sum_level("o",Behoeftes!D23:AL23)</f>
        <v/>
      </c>
      <c r="AO23" s="237" t="str">
        <f>sum_level("j",Behoeftes!D23:AL23)</f>
        <v/>
      </c>
      <c r="AP23" s="237" t="str">
        <f>sum_level("m",Behoeftes!D23:AL23)</f>
        <v/>
      </c>
      <c r="AQ23" s="237" t="str">
        <f>sum_level("s",Behoeftes!D23:AL23)</f>
        <v/>
      </c>
      <c r="AR23" s="238" t="str">
        <f>sum_level("e",Behoeftes!D23:AL23)</f>
        <v/>
      </c>
    </row>
    <row r="24" spans="2:44" x14ac:dyDescent="0.25">
      <c r="B24" s="427"/>
      <c r="C24" s="252" t="s">
        <v>69</v>
      </c>
      <c r="D24" s="236"/>
      <c r="E24" s="237"/>
      <c r="F24" s="237"/>
      <c r="G24" s="237"/>
      <c r="H24" s="243"/>
      <c r="I24" s="236"/>
      <c r="J24" s="237"/>
      <c r="K24" s="237"/>
      <c r="L24" s="237"/>
      <c r="M24" s="243"/>
      <c r="N24" s="236"/>
      <c r="O24" s="237"/>
      <c r="P24" s="237"/>
      <c r="Q24" s="237"/>
      <c r="R24" s="243"/>
      <c r="S24" s="236"/>
      <c r="T24" s="237"/>
      <c r="U24" s="237"/>
      <c r="V24" s="237"/>
      <c r="W24" s="243"/>
      <c r="X24" s="236"/>
      <c r="Y24" s="237"/>
      <c r="Z24" s="237"/>
      <c r="AA24" s="237"/>
      <c r="AB24" s="243"/>
      <c r="AC24" s="236"/>
      <c r="AD24" s="237"/>
      <c r="AE24" s="237"/>
      <c r="AF24" s="237"/>
      <c r="AG24" s="243"/>
      <c r="AH24" s="236"/>
      <c r="AI24" s="237"/>
      <c r="AJ24" s="237"/>
      <c r="AK24" s="237"/>
      <c r="AL24" s="238"/>
      <c r="AN24" s="236" t="str">
        <f>sum_level("o",Behoeftes!D24:AL24)</f>
        <v/>
      </c>
      <c r="AO24" s="237" t="str">
        <f>sum_level("j",Behoeftes!D24:AL24)</f>
        <v/>
      </c>
      <c r="AP24" s="237" t="str">
        <f>sum_level("m",Behoeftes!D24:AL24)</f>
        <v/>
      </c>
      <c r="AQ24" s="237" t="str">
        <f>sum_level("s",Behoeftes!D24:AL24)</f>
        <v/>
      </c>
      <c r="AR24" s="238" t="str">
        <f>sum_level("e",Behoeftes!D24:AL24)</f>
        <v/>
      </c>
    </row>
    <row r="25" spans="2:44" ht="15.75" thickBot="1" x14ac:dyDescent="0.3">
      <c r="B25" s="427"/>
      <c r="C25" s="253" t="s">
        <v>75</v>
      </c>
      <c r="D25" s="239"/>
      <c r="E25" s="240"/>
      <c r="F25" s="240"/>
      <c r="G25" s="240"/>
      <c r="H25" s="250"/>
      <c r="I25" s="239"/>
      <c r="J25" s="240"/>
      <c r="K25" s="240"/>
      <c r="L25" s="240"/>
      <c r="M25" s="250"/>
      <c r="N25" s="239"/>
      <c r="O25" s="240"/>
      <c r="P25" s="240"/>
      <c r="Q25" s="240"/>
      <c r="R25" s="250"/>
      <c r="S25" s="239"/>
      <c r="T25" s="240"/>
      <c r="U25" s="240"/>
      <c r="V25" s="240"/>
      <c r="W25" s="250"/>
      <c r="X25" s="239"/>
      <c r="Y25" s="240"/>
      <c r="Z25" s="240"/>
      <c r="AA25" s="240"/>
      <c r="AB25" s="250"/>
      <c r="AC25" s="239"/>
      <c r="AD25" s="240"/>
      <c r="AE25" s="240"/>
      <c r="AF25" s="240"/>
      <c r="AG25" s="250"/>
      <c r="AH25" s="239"/>
      <c r="AI25" s="240"/>
      <c r="AJ25" s="240"/>
      <c r="AK25" s="240"/>
      <c r="AL25" s="241"/>
      <c r="AN25" s="239" t="str">
        <f>sum_level("o",Behoeftes!D25:AL25)</f>
        <v/>
      </c>
      <c r="AO25" s="240" t="str">
        <f>sum_level("j",Behoeftes!D25:AL25)</f>
        <v/>
      </c>
      <c r="AP25" s="240" t="str">
        <f>sum_level("m",Behoeftes!D25:AL25)</f>
        <v/>
      </c>
      <c r="AQ25" s="240" t="str">
        <f>sum_level("s",Behoeftes!D25:AL25)</f>
        <v/>
      </c>
      <c r="AR25" s="241" t="str">
        <f>sum_level("e",Behoeftes!D25:AL25)</f>
        <v/>
      </c>
    </row>
    <row r="26" spans="2:44" ht="12.75" customHeight="1" thickTop="1" thickBot="1" x14ac:dyDescent="0.3">
      <c r="B26" s="427"/>
      <c r="C26" s="248"/>
      <c r="D26" s="249"/>
      <c r="E26" s="249"/>
      <c r="F26" s="249"/>
      <c r="G26" s="249"/>
      <c r="H26" s="249"/>
      <c r="I26" s="249"/>
      <c r="J26" s="249"/>
      <c r="K26" s="249"/>
      <c r="L26" s="249"/>
      <c r="M26" s="249"/>
      <c r="N26" s="249"/>
      <c r="O26" s="249"/>
      <c r="P26" s="249"/>
      <c r="Q26" s="249"/>
      <c r="R26" s="249"/>
      <c r="S26" s="249"/>
      <c r="T26" s="249"/>
      <c r="U26" s="249"/>
      <c r="V26" s="249"/>
      <c r="W26" s="249"/>
      <c r="X26" s="249"/>
      <c r="Y26" s="249"/>
      <c r="Z26" s="249"/>
      <c r="AA26" s="249"/>
      <c r="AB26" s="249"/>
      <c r="AC26" s="249"/>
      <c r="AD26" s="249"/>
      <c r="AE26" s="249"/>
      <c r="AF26" s="249"/>
      <c r="AG26" s="249"/>
      <c r="AH26" s="249"/>
      <c r="AI26" s="249"/>
      <c r="AJ26" s="249"/>
      <c r="AK26" s="249"/>
      <c r="AL26" s="249"/>
      <c r="AN26" s="249"/>
      <c r="AO26" s="249"/>
      <c r="AP26" s="249"/>
      <c r="AQ26" s="249"/>
      <c r="AR26" s="249"/>
    </row>
    <row r="27" spans="2:44" ht="15.75" customHeight="1" thickTop="1" x14ac:dyDescent="0.25">
      <c r="B27" s="426" t="s">
        <v>70</v>
      </c>
      <c r="C27" s="251" t="s">
        <v>71</v>
      </c>
      <c r="D27" s="233"/>
      <c r="E27" s="234"/>
      <c r="F27" s="234"/>
      <c r="G27" s="234"/>
      <c r="H27" s="242"/>
      <c r="I27" s="233"/>
      <c r="J27" s="234"/>
      <c r="K27" s="234"/>
      <c r="L27" s="234"/>
      <c r="M27" s="242"/>
      <c r="N27" s="233"/>
      <c r="O27" s="234"/>
      <c r="P27" s="234"/>
      <c r="Q27" s="234"/>
      <c r="R27" s="242"/>
      <c r="S27" s="233">
        <v>16</v>
      </c>
      <c r="T27" s="234"/>
      <c r="U27" s="234"/>
      <c r="V27" s="234"/>
      <c r="W27" s="242"/>
      <c r="X27" s="233"/>
      <c r="Y27" s="234"/>
      <c r="Z27" s="234"/>
      <c r="AA27" s="234"/>
      <c r="AB27" s="242"/>
      <c r="AC27" s="233"/>
      <c r="AD27" s="234"/>
      <c r="AE27" s="234"/>
      <c r="AF27" s="234"/>
      <c r="AG27" s="242"/>
      <c r="AH27" s="233"/>
      <c r="AI27" s="234"/>
      <c r="AJ27" s="234"/>
      <c r="AK27" s="234"/>
      <c r="AL27" s="235"/>
      <c r="AN27" s="233" t="str">
        <f>sum_level("o",Behoeftes!D27:AL27)</f>
        <v>16</v>
      </c>
      <c r="AO27" s="234" t="str">
        <f>sum_level("j",Behoeftes!D27:AL27)</f>
        <v/>
      </c>
      <c r="AP27" s="234" t="str">
        <f>sum_level("m",Behoeftes!D27:AL27)</f>
        <v/>
      </c>
      <c r="AQ27" s="234" t="str">
        <f>sum_level("s",Behoeftes!D27:AL27)</f>
        <v/>
      </c>
      <c r="AR27" s="235" t="str">
        <f>sum_level("e",Behoeftes!D27:AL27)</f>
        <v/>
      </c>
    </row>
    <row r="28" spans="2:44" x14ac:dyDescent="0.25">
      <c r="B28" s="427"/>
      <c r="C28" s="252" t="s">
        <v>72</v>
      </c>
      <c r="D28" s="236"/>
      <c r="E28" s="237"/>
      <c r="F28" s="237"/>
      <c r="G28" s="237"/>
      <c r="H28" s="243"/>
      <c r="I28" s="236"/>
      <c r="J28" s="237"/>
      <c r="K28" s="237"/>
      <c r="L28" s="237"/>
      <c r="M28" s="243"/>
      <c r="N28" s="236"/>
      <c r="O28" s="237"/>
      <c r="P28" s="237"/>
      <c r="Q28" s="237"/>
      <c r="R28" s="243"/>
      <c r="S28" s="236"/>
      <c r="T28" s="237">
        <v>17</v>
      </c>
      <c r="U28" s="237"/>
      <c r="V28" s="237"/>
      <c r="W28" s="243"/>
      <c r="X28" s="236"/>
      <c r="Y28" s="237"/>
      <c r="Z28" s="237"/>
      <c r="AA28" s="237"/>
      <c r="AB28" s="243"/>
      <c r="AC28" s="236"/>
      <c r="AD28" s="237"/>
      <c r="AE28" s="237"/>
      <c r="AF28" s="237"/>
      <c r="AG28" s="243"/>
      <c r="AH28" s="236"/>
      <c r="AI28" s="237"/>
      <c r="AJ28" s="237"/>
      <c r="AK28" s="237"/>
      <c r="AL28" s="238"/>
      <c r="AN28" s="236" t="str">
        <f>sum_level("o",Behoeftes!D28:AL28)</f>
        <v/>
      </c>
      <c r="AO28" s="237" t="str">
        <f>sum_level("j",Behoeftes!D28:AL28)</f>
        <v>17</v>
      </c>
      <c r="AP28" s="237" t="str">
        <f>sum_level("m",Behoeftes!D28:AL28)</f>
        <v/>
      </c>
      <c r="AQ28" s="237" t="str">
        <f>sum_level("s",Behoeftes!D28:AL28)</f>
        <v/>
      </c>
      <c r="AR28" s="238" t="str">
        <f>sum_level("e",Behoeftes!D28:AL28)</f>
        <v/>
      </c>
    </row>
    <row r="29" spans="2:44" x14ac:dyDescent="0.25">
      <c r="B29" s="427"/>
      <c r="C29" s="252" t="s">
        <v>73</v>
      </c>
      <c r="D29" s="236"/>
      <c r="E29" s="237"/>
      <c r="F29" s="237"/>
      <c r="G29" s="237"/>
      <c r="H29" s="243"/>
      <c r="I29" s="236"/>
      <c r="J29" s="237"/>
      <c r="K29" s="237"/>
      <c r="L29" s="237"/>
      <c r="M29" s="243"/>
      <c r="N29" s="236"/>
      <c r="O29" s="237"/>
      <c r="P29" s="237"/>
      <c r="Q29" s="237"/>
      <c r="R29" s="243"/>
      <c r="S29" s="236"/>
      <c r="T29" s="237"/>
      <c r="U29" s="237">
        <v>18</v>
      </c>
      <c r="V29" s="237"/>
      <c r="W29" s="243"/>
      <c r="X29" s="236"/>
      <c r="Y29" s="237"/>
      <c r="Z29" s="237"/>
      <c r="AA29" s="237"/>
      <c r="AB29" s="243"/>
      <c r="AC29" s="236"/>
      <c r="AD29" s="237"/>
      <c r="AE29" s="237"/>
      <c r="AF29" s="237"/>
      <c r="AG29" s="243"/>
      <c r="AH29" s="236"/>
      <c r="AI29" s="237"/>
      <c r="AJ29" s="237"/>
      <c r="AK29" s="237"/>
      <c r="AL29" s="238"/>
      <c r="AN29" s="236" t="str">
        <f>sum_level("o",Behoeftes!D29:AL29)</f>
        <v/>
      </c>
      <c r="AO29" s="237" t="str">
        <f>sum_level("j",Behoeftes!D29:AL29)</f>
        <v/>
      </c>
      <c r="AP29" s="237" t="str">
        <f>sum_level("m",Behoeftes!D29:AL29)</f>
        <v>18</v>
      </c>
      <c r="AQ29" s="237" t="str">
        <f>sum_level("s",Behoeftes!D29:AL29)</f>
        <v/>
      </c>
      <c r="AR29" s="238" t="str">
        <f>sum_level("e",Behoeftes!D29:AL29)</f>
        <v/>
      </c>
    </row>
    <row r="30" spans="2:44" x14ac:dyDescent="0.25">
      <c r="B30" s="427"/>
      <c r="C30" s="252" t="s">
        <v>74</v>
      </c>
      <c r="D30" s="236"/>
      <c r="E30" s="237"/>
      <c r="F30" s="237"/>
      <c r="G30" s="237"/>
      <c r="H30" s="243"/>
      <c r="I30" s="236"/>
      <c r="J30" s="237"/>
      <c r="K30" s="237"/>
      <c r="L30" s="237"/>
      <c r="M30" s="243"/>
      <c r="N30" s="236"/>
      <c r="O30" s="237"/>
      <c r="P30" s="237"/>
      <c r="Q30" s="237"/>
      <c r="R30" s="243"/>
      <c r="S30" s="236"/>
      <c r="T30" s="237"/>
      <c r="U30" s="237"/>
      <c r="V30" s="237">
        <v>19</v>
      </c>
      <c r="W30" s="243"/>
      <c r="X30" s="236"/>
      <c r="Y30" s="237"/>
      <c r="Z30" s="237"/>
      <c r="AA30" s="237"/>
      <c r="AB30" s="243"/>
      <c r="AC30" s="236"/>
      <c r="AD30" s="237"/>
      <c r="AE30" s="237"/>
      <c r="AF30" s="237"/>
      <c r="AG30" s="243"/>
      <c r="AH30" s="236"/>
      <c r="AI30" s="237"/>
      <c r="AJ30" s="237"/>
      <c r="AK30" s="237"/>
      <c r="AL30" s="238"/>
      <c r="AN30" s="236" t="str">
        <f>sum_level("o",Behoeftes!D30:AL30)</f>
        <v/>
      </c>
      <c r="AO30" s="237" t="str">
        <f>sum_level("j",Behoeftes!D30:AL30)</f>
        <v/>
      </c>
      <c r="AP30" s="237" t="str">
        <f>sum_level("m",Behoeftes!D30:AL30)</f>
        <v/>
      </c>
      <c r="AQ30" s="237" t="str">
        <f>sum_level("s",Behoeftes!D30:AL30)</f>
        <v>19</v>
      </c>
      <c r="AR30" s="238" t="str">
        <f>sum_level("e",Behoeftes!D30:AL30)</f>
        <v/>
      </c>
    </row>
    <row r="31" spans="2:44" x14ac:dyDescent="0.25">
      <c r="B31" s="427"/>
      <c r="C31" s="252" t="s">
        <v>76</v>
      </c>
      <c r="D31" s="236"/>
      <c r="E31" s="237"/>
      <c r="F31" s="237"/>
      <c r="G31" s="237"/>
      <c r="H31" s="243"/>
      <c r="I31" s="236"/>
      <c r="J31" s="237"/>
      <c r="K31" s="237"/>
      <c r="L31" s="237"/>
      <c r="M31" s="243"/>
      <c r="N31" s="236"/>
      <c r="O31" s="237"/>
      <c r="P31" s="237"/>
      <c r="Q31" s="237"/>
      <c r="R31" s="243"/>
      <c r="S31" s="236"/>
      <c r="T31" s="237"/>
      <c r="U31" s="237"/>
      <c r="V31" s="237"/>
      <c r="W31" s="243">
        <v>20</v>
      </c>
      <c r="X31" s="236"/>
      <c r="Y31" s="237"/>
      <c r="Z31" s="237"/>
      <c r="AA31" s="237"/>
      <c r="AB31" s="243"/>
      <c r="AC31" s="236"/>
      <c r="AD31" s="237"/>
      <c r="AE31" s="237"/>
      <c r="AF31" s="237"/>
      <c r="AG31" s="243"/>
      <c r="AH31" s="236"/>
      <c r="AI31" s="237"/>
      <c r="AJ31" s="237"/>
      <c r="AK31" s="237"/>
      <c r="AL31" s="238"/>
      <c r="AN31" s="236" t="str">
        <f>sum_level("o",Behoeftes!D31:AL31)</f>
        <v/>
      </c>
      <c r="AO31" s="237" t="str">
        <f>sum_level("j",Behoeftes!D31:AL31)</f>
        <v/>
      </c>
      <c r="AP31" s="237" t="str">
        <f>sum_level("m",Behoeftes!D31:AL31)</f>
        <v/>
      </c>
      <c r="AQ31" s="237" t="str">
        <f>sum_level("s",Behoeftes!D31:AL31)</f>
        <v/>
      </c>
      <c r="AR31" s="238" t="str">
        <f>sum_level("e",Behoeftes!D31:AL31)</f>
        <v>20</v>
      </c>
    </row>
    <row r="32" spans="2:44" x14ac:dyDescent="0.25">
      <c r="B32" s="427"/>
      <c r="C32" s="252" t="s">
        <v>77</v>
      </c>
      <c r="D32" s="236"/>
      <c r="E32" s="237"/>
      <c r="F32" s="237"/>
      <c r="G32" s="237"/>
      <c r="H32" s="243"/>
      <c r="I32" s="236"/>
      <c r="J32" s="237"/>
      <c r="K32" s="237"/>
      <c r="L32" s="237"/>
      <c r="M32" s="243"/>
      <c r="N32" s="236"/>
      <c r="O32" s="237"/>
      <c r="P32" s="237"/>
      <c r="Q32" s="237"/>
      <c r="R32" s="243"/>
      <c r="S32" s="236"/>
      <c r="T32" s="237"/>
      <c r="U32" s="237"/>
      <c r="V32" s="237"/>
      <c r="W32" s="243"/>
      <c r="X32" s="236"/>
      <c r="Y32" s="237"/>
      <c r="Z32" s="237"/>
      <c r="AA32" s="237"/>
      <c r="AB32" s="243"/>
      <c r="AC32" s="236"/>
      <c r="AD32" s="237"/>
      <c r="AE32" s="237"/>
      <c r="AF32" s="237"/>
      <c r="AG32" s="243"/>
      <c r="AH32" s="236"/>
      <c r="AI32" s="237"/>
      <c r="AJ32" s="237"/>
      <c r="AK32" s="237"/>
      <c r="AL32" s="238"/>
      <c r="AN32" s="236" t="str">
        <f>sum_level("o",Behoeftes!D32:AL32)</f>
        <v/>
      </c>
      <c r="AO32" s="237" t="str">
        <f>sum_level("j",Behoeftes!D32:AL32)</f>
        <v/>
      </c>
      <c r="AP32" s="237" t="str">
        <f>sum_level("m",Behoeftes!D32:AL32)</f>
        <v/>
      </c>
      <c r="AQ32" s="237" t="str">
        <f>sum_level("s",Behoeftes!D32:AL32)</f>
        <v/>
      </c>
      <c r="AR32" s="238" t="str">
        <f>sum_level("e",Behoeftes!D32:AL32)</f>
        <v/>
      </c>
    </row>
    <row r="33" spans="2:44" x14ac:dyDescent="0.25">
      <c r="B33" s="427"/>
      <c r="C33" s="252" t="s">
        <v>78</v>
      </c>
      <c r="D33" s="236"/>
      <c r="E33" s="237"/>
      <c r="F33" s="237"/>
      <c r="G33" s="237"/>
      <c r="H33" s="243"/>
      <c r="I33" s="236"/>
      <c r="J33" s="237"/>
      <c r="K33" s="237"/>
      <c r="L33" s="237"/>
      <c r="M33" s="243"/>
      <c r="N33" s="236"/>
      <c r="O33" s="237"/>
      <c r="P33" s="237"/>
      <c r="Q33" s="237"/>
      <c r="R33" s="243"/>
      <c r="S33" s="236"/>
      <c r="T33" s="237"/>
      <c r="U33" s="237"/>
      <c r="V33" s="237"/>
      <c r="W33" s="243"/>
      <c r="X33" s="236"/>
      <c r="Y33" s="237"/>
      <c r="Z33" s="237"/>
      <c r="AA33" s="237"/>
      <c r="AB33" s="243"/>
      <c r="AC33" s="236"/>
      <c r="AD33" s="237"/>
      <c r="AE33" s="237"/>
      <c r="AF33" s="237"/>
      <c r="AG33" s="243"/>
      <c r="AH33" s="236"/>
      <c r="AI33" s="237"/>
      <c r="AJ33" s="237"/>
      <c r="AK33" s="237"/>
      <c r="AL33" s="238"/>
      <c r="AN33" s="236" t="str">
        <f>sum_level("o",Behoeftes!D33:AL33)</f>
        <v/>
      </c>
      <c r="AO33" s="237" t="str">
        <f>sum_level("j",Behoeftes!D33:AL33)</f>
        <v/>
      </c>
      <c r="AP33" s="237" t="str">
        <f>sum_level("m",Behoeftes!D33:AL33)</f>
        <v/>
      </c>
      <c r="AQ33" s="237" t="str">
        <f>sum_level("s",Behoeftes!D33:AL33)</f>
        <v/>
      </c>
      <c r="AR33" s="238" t="str">
        <f>sum_level("e",Behoeftes!D33:AL33)</f>
        <v/>
      </c>
    </row>
    <row r="34" spans="2:44" x14ac:dyDescent="0.25">
      <c r="B34" s="427"/>
      <c r="C34" s="252" t="s">
        <v>79</v>
      </c>
      <c r="D34" s="236"/>
      <c r="E34" s="237"/>
      <c r="F34" s="237"/>
      <c r="G34" s="237"/>
      <c r="H34" s="243"/>
      <c r="I34" s="236"/>
      <c r="J34" s="237"/>
      <c r="K34" s="237"/>
      <c r="L34" s="237"/>
      <c r="M34" s="243"/>
      <c r="N34" s="236"/>
      <c r="O34" s="237"/>
      <c r="P34" s="237"/>
      <c r="Q34" s="237"/>
      <c r="R34" s="243"/>
      <c r="S34" s="236"/>
      <c r="T34" s="237"/>
      <c r="U34" s="237"/>
      <c r="V34" s="237"/>
      <c r="W34" s="243"/>
      <c r="X34" s="236"/>
      <c r="Y34" s="237"/>
      <c r="Z34" s="237"/>
      <c r="AA34" s="237"/>
      <c r="AB34" s="243"/>
      <c r="AC34" s="236"/>
      <c r="AD34" s="237"/>
      <c r="AE34" s="237"/>
      <c r="AF34" s="237"/>
      <c r="AG34" s="243"/>
      <c r="AH34" s="236"/>
      <c r="AI34" s="237"/>
      <c r="AJ34" s="237"/>
      <c r="AK34" s="237"/>
      <c r="AL34" s="238"/>
      <c r="AN34" s="236" t="str">
        <f>sum_level("o",Behoeftes!D34:AL34)</f>
        <v/>
      </c>
      <c r="AO34" s="237" t="str">
        <f>sum_level("j",Behoeftes!D34:AL34)</f>
        <v/>
      </c>
      <c r="AP34" s="237" t="str">
        <f>sum_level("m",Behoeftes!D34:AL34)</f>
        <v/>
      </c>
      <c r="AQ34" s="237" t="str">
        <f>sum_level("s",Behoeftes!D34:AL34)</f>
        <v/>
      </c>
      <c r="AR34" s="238" t="str">
        <f>sum_level("e",Behoeftes!D34:AL34)</f>
        <v/>
      </c>
    </row>
    <row r="35" spans="2:44" ht="15.75" thickBot="1" x14ac:dyDescent="0.3">
      <c r="B35" s="427"/>
      <c r="C35" s="253" t="s">
        <v>80</v>
      </c>
      <c r="D35" s="239"/>
      <c r="E35" s="240"/>
      <c r="F35" s="240"/>
      <c r="G35" s="240"/>
      <c r="H35" s="250"/>
      <c r="I35" s="239"/>
      <c r="J35" s="240"/>
      <c r="K35" s="240"/>
      <c r="L35" s="240"/>
      <c r="M35" s="250"/>
      <c r="N35" s="239"/>
      <c r="O35" s="240"/>
      <c r="P35" s="240"/>
      <c r="Q35" s="240"/>
      <c r="R35" s="250"/>
      <c r="S35" s="239"/>
      <c r="T35" s="240"/>
      <c r="U35" s="240"/>
      <c r="V35" s="240"/>
      <c r="W35" s="250"/>
      <c r="X35" s="239"/>
      <c r="Y35" s="240"/>
      <c r="Z35" s="240"/>
      <c r="AA35" s="240"/>
      <c r="AB35" s="250"/>
      <c r="AC35" s="239"/>
      <c r="AD35" s="240"/>
      <c r="AE35" s="240"/>
      <c r="AF35" s="240"/>
      <c r="AG35" s="250"/>
      <c r="AH35" s="239"/>
      <c r="AI35" s="240"/>
      <c r="AJ35" s="240"/>
      <c r="AK35" s="240"/>
      <c r="AL35" s="241"/>
      <c r="AN35" s="239" t="str">
        <f>sum_level("o",Behoeftes!D35:AL35)</f>
        <v/>
      </c>
      <c r="AO35" s="240" t="str">
        <f>sum_level("j",Behoeftes!D35:AL35)</f>
        <v/>
      </c>
      <c r="AP35" s="240" t="str">
        <f>sum_level("m",Behoeftes!D35:AL35)</f>
        <v/>
      </c>
      <c r="AQ35" s="240" t="str">
        <f>sum_level("s",Behoeftes!D35:AL35)</f>
        <v/>
      </c>
      <c r="AR35" s="241" t="str">
        <f>sum_level("e",Behoeftes!D35:AL35)</f>
        <v/>
      </c>
    </row>
    <row r="36" spans="2:44" ht="12.75" customHeight="1" thickTop="1" thickBot="1" x14ac:dyDescent="0.3">
      <c r="B36" s="427"/>
      <c r="C36" s="248"/>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c r="AD36" s="249"/>
      <c r="AE36" s="249"/>
      <c r="AF36" s="249"/>
      <c r="AG36" s="249"/>
      <c r="AH36" s="249"/>
      <c r="AI36" s="249"/>
      <c r="AJ36" s="249"/>
      <c r="AK36" s="249"/>
      <c r="AL36" s="249"/>
      <c r="AN36" s="249"/>
      <c r="AO36" s="249"/>
      <c r="AP36" s="249"/>
      <c r="AQ36" s="249"/>
      <c r="AR36" s="249"/>
    </row>
    <row r="37" spans="2:44" ht="15.75" customHeight="1" thickTop="1" x14ac:dyDescent="0.25">
      <c r="B37" s="426" t="s">
        <v>81</v>
      </c>
      <c r="C37" s="251" t="s">
        <v>82</v>
      </c>
      <c r="D37" s="233"/>
      <c r="E37" s="234"/>
      <c r="F37" s="234"/>
      <c r="G37" s="234"/>
      <c r="H37" s="242"/>
      <c r="I37" s="233"/>
      <c r="J37" s="234"/>
      <c r="K37" s="234"/>
      <c r="L37" s="234"/>
      <c r="M37" s="242"/>
      <c r="N37" s="233"/>
      <c r="O37" s="234"/>
      <c r="P37" s="234"/>
      <c r="Q37" s="234"/>
      <c r="R37" s="242"/>
      <c r="S37" s="233"/>
      <c r="T37" s="234"/>
      <c r="U37" s="234"/>
      <c r="V37" s="234"/>
      <c r="W37" s="242"/>
      <c r="X37" s="233">
        <v>21</v>
      </c>
      <c r="Y37" s="234"/>
      <c r="Z37" s="234"/>
      <c r="AA37" s="234"/>
      <c r="AB37" s="242"/>
      <c r="AC37" s="233"/>
      <c r="AD37" s="234"/>
      <c r="AE37" s="234"/>
      <c r="AF37" s="234"/>
      <c r="AG37" s="242"/>
      <c r="AH37" s="233"/>
      <c r="AI37" s="234"/>
      <c r="AJ37" s="234"/>
      <c r="AK37" s="234"/>
      <c r="AL37" s="235"/>
      <c r="AN37" s="233" t="str">
        <f>sum_level("o",Behoeftes!D37:AL37)</f>
        <v>21</v>
      </c>
      <c r="AO37" s="234" t="str">
        <f>sum_level("j",Behoeftes!D37:AL37)</f>
        <v/>
      </c>
      <c r="AP37" s="234" t="str">
        <f>sum_level("m",Behoeftes!D37:AL37)</f>
        <v/>
      </c>
      <c r="AQ37" s="234" t="str">
        <f>sum_level("s",Behoeftes!D37:AL37)</f>
        <v/>
      </c>
      <c r="AR37" s="235" t="str">
        <f>sum_level("e",Behoeftes!D37:AL37)</f>
        <v/>
      </c>
    </row>
    <row r="38" spans="2:44" x14ac:dyDescent="0.25">
      <c r="B38" s="427"/>
      <c r="C38" s="252" t="s">
        <v>83</v>
      </c>
      <c r="D38" s="236"/>
      <c r="E38" s="237"/>
      <c r="F38" s="237"/>
      <c r="G38" s="237"/>
      <c r="H38" s="243"/>
      <c r="I38" s="236"/>
      <c r="J38" s="237"/>
      <c r="K38" s="237"/>
      <c r="L38" s="237"/>
      <c r="M38" s="243"/>
      <c r="N38" s="236"/>
      <c r="O38" s="237"/>
      <c r="P38" s="237"/>
      <c r="Q38" s="237"/>
      <c r="R38" s="243"/>
      <c r="S38" s="236"/>
      <c r="T38" s="237"/>
      <c r="U38" s="237"/>
      <c r="V38" s="237"/>
      <c r="W38" s="243"/>
      <c r="X38" s="236"/>
      <c r="Y38" s="237">
        <v>22</v>
      </c>
      <c r="Z38" s="237"/>
      <c r="AA38" s="237"/>
      <c r="AB38" s="243"/>
      <c r="AC38" s="236"/>
      <c r="AD38" s="237"/>
      <c r="AE38" s="237"/>
      <c r="AF38" s="237"/>
      <c r="AG38" s="243"/>
      <c r="AH38" s="236"/>
      <c r="AI38" s="237"/>
      <c r="AJ38" s="237"/>
      <c r="AK38" s="237"/>
      <c r="AL38" s="238"/>
      <c r="AN38" s="236" t="str">
        <f>sum_level("o",Behoeftes!D38:AL38)</f>
        <v/>
      </c>
      <c r="AO38" s="237" t="str">
        <f>sum_level("j",Behoeftes!D38:AL38)</f>
        <v>22</v>
      </c>
      <c r="AP38" s="237" t="str">
        <f>sum_level("m",Behoeftes!D38:AL38)</f>
        <v/>
      </c>
      <c r="AQ38" s="237" t="str">
        <f>sum_level("s",Behoeftes!D38:AL38)</f>
        <v/>
      </c>
      <c r="AR38" s="238" t="str">
        <f>sum_level("e",Behoeftes!D38:AL38)</f>
        <v/>
      </c>
    </row>
    <row r="39" spans="2:44" x14ac:dyDescent="0.25">
      <c r="B39" s="427"/>
      <c r="C39" s="252" t="s">
        <v>84</v>
      </c>
      <c r="D39" s="236"/>
      <c r="E39" s="237"/>
      <c r="F39" s="237"/>
      <c r="G39" s="237"/>
      <c r="H39" s="243"/>
      <c r="I39" s="236"/>
      <c r="J39" s="237"/>
      <c r="K39" s="237"/>
      <c r="L39" s="237"/>
      <c r="M39" s="243"/>
      <c r="N39" s="236"/>
      <c r="O39" s="237"/>
      <c r="P39" s="237"/>
      <c r="Q39" s="237"/>
      <c r="R39" s="243"/>
      <c r="S39" s="236"/>
      <c r="T39" s="237"/>
      <c r="U39" s="237"/>
      <c r="V39" s="237"/>
      <c r="W39" s="243"/>
      <c r="X39" s="236"/>
      <c r="Y39" s="237"/>
      <c r="Z39" s="237">
        <v>23</v>
      </c>
      <c r="AA39" s="237"/>
      <c r="AB39" s="243"/>
      <c r="AC39" s="236"/>
      <c r="AD39" s="237"/>
      <c r="AE39" s="237"/>
      <c r="AF39" s="237"/>
      <c r="AG39" s="243"/>
      <c r="AH39" s="236"/>
      <c r="AI39" s="237"/>
      <c r="AJ39" s="237"/>
      <c r="AK39" s="237"/>
      <c r="AL39" s="238"/>
      <c r="AN39" s="236" t="str">
        <f>sum_level("o",Behoeftes!D39:AL39)</f>
        <v/>
      </c>
      <c r="AO39" s="237" t="str">
        <f>sum_level("j",Behoeftes!D39:AL39)</f>
        <v/>
      </c>
      <c r="AP39" s="237" t="str">
        <f>sum_level("m",Behoeftes!D39:AL39)</f>
        <v>23</v>
      </c>
      <c r="AQ39" s="237" t="str">
        <f>sum_level("s",Behoeftes!D39:AL39)</f>
        <v/>
      </c>
      <c r="AR39" s="238" t="str">
        <f>sum_level("e",Behoeftes!D39:AL39)</f>
        <v/>
      </c>
    </row>
    <row r="40" spans="2:44" x14ac:dyDescent="0.25">
      <c r="B40" s="427"/>
      <c r="C40" s="252" t="s">
        <v>85</v>
      </c>
      <c r="D40" s="236"/>
      <c r="E40" s="237"/>
      <c r="F40" s="237"/>
      <c r="G40" s="237"/>
      <c r="H40" s="243"/>
      <c r="I40" s="236"/>
      <c r="J40" s="237"/>
      <c r="K40" s="237"/>
      <c r="L40" s="237"/>
      <c r="M40" s="243"/>
      <c r="N40" s="236"/>
      <c r="O40" s="237"/>
      <c r="P40" s="237"/>
      <c r="Q40" s="237"/>
      <c r="R40" s="243"/>
      <c r="S40" s="236"/>
      <c r="T40" s="237"/>
      <c r="U40" s="237"/>
      <c r="V40" s="237"/>
      <c r="W40" s="243"/>
      <c r="X40" s="236"/>
      <c r="Y40" s="237"/>
      <c r="Z40" s="237"/>
      <c r="AA40" s="237">
        <v>24</v>
      </c>
      <c r="AB40" s="243"/>
      <c r="AC40" s="236"/>
      <c r="AD40" s="237"/>
      <c r="AE40" s="237"/>
      <c r="AF40" s="237"/>
      <c r="AG40" s="243"/>
      <c r="AH40" s="236"/>
      <c r="AI40" s="237"/>
      <c r="AJ40" s="237"/>
      <c r="AK40" s="237"/>
      <c r="AL40" s="238"/>
      <c r="AN40" s="236" t="str">
        <f>sum_level("o",Behoeftes!D40:AL40)</f>
        <v/>
      </c>
      <c r="AO40" s="237" t="str">
        <f>sum_level("j",Behoeftes!D40:AL40)</f>
        <v/>
      </c>
      <c r="AP40" s="237" t="str">
        <f>sum_level("m",Behoeftes!D40:AL40)</f>
        <v/>
      </c>
      <c r="AQ40" s="237" t="str">
        <f>sum_level("s",Behoeftes!D40:AL40)</f>
        <v>24</v>
      </c>
      <c r="AR40" s="238" t="str">
        <f>sum_level("e",Behoeftes!D40:AL40)</f>
        <v/>
      </c>
    </row>
    <row r="41" spans="2:44" x14ac:dyDescent="0.25">
      <c r="B41" s="427"/>
      <c r="C41" s="252" t="s">
        <v>86</v>
      </c>
      <c r="D41" s="236"/>
      <c r="E41" s="237"/>
      <c r="F41" s="237"/>
      <c r="G41" s="237"/>
      <c r="H41" s="243"/>
      <c r="I41" s="236"/>
      <c r="J41" s="237"/>
      <c r="K41" s="237"/>
      <c r="L41" s="237"/>
      <c r="M41" s="243"/>
      <c r="N41" s="236"/>
      <c r="O41" s="237"/>
      <c r="P41" s="237"/>
      <c r="Q41" s="237"/>
      <c r="R41" s="243"/>
      <c r="S41" s="236"/>
      <c r="T41" s="237"/>
      <c r="U41" s="237"/>
      <c r="V41" s="237"/>
      <c r="W41" s="243"/>
      <c r="X41" s="236"/>
      <c r="Y41" s="237"/>
      <c r="Z41" s="237"/>
      <c r="AA41" s="237"/>
      <c r="AB41" s="243">
        <v>25</v>
      </c>
      <c r="AC41" s="236"/>
      <c r="AD41" s="237"/>
      <c r="AE41" s="237"/>
      <c r="AF41" s="237"/>
      <c r="AG41" s="243"/>
      <c r="AH41" s="236"/>
      <c r="AI41" s="237"/>
      <c r="AJ41" s="237"/>
      <c r="AK41" s="237"/>
      <c r="AL41" s="238"/>
      <c r="AN41" s="236" t="str">
        <f>sum_level("o",Behoeftes!D41:AL41)</f>
        <v/>
      </c>
      <c r="AO41" s="237" t="str">
        <f>sum_level("j",Behoeftes!D41:AL41)</f>
        <v/>
      </c>
      <c r="AP41" s="237" t="str">
        <f>sum_level("m",Behoeftes!D41:AL41)</f>
        <v/>
      </c>
      <c r="AQ41" s="237" t="str">
        <f>sum_level("s",Behoeftes!D41:AL41)</f>
        <v/>
      </c>
      <c r="AR41" s="238" t="str">
        <f>sum_level("e",Behoeftes!D41:AL41)</f>
        <v>25</v>
      </c>
    </row>
    <row r="42" spans="2:44" x14ac:dyDescent="0.25">
      <c r="B42" s="427"/>
      <c r="C42" s="252" t="s">
        <v>87</v>
      </c>
      <c r="D42" s="236"/>
      <c r="E42" s="237"/>
      <c r="F42" s="237"/>
      <c r="G42" s="237"/>
      <c r="H42" s="243"/>
      <c r="I42" s="236"/>
      <c r="J42" s="237"/>
      <c r="K42" s="237"/>
      <c r="L42" s="237"/>
      <c r="M42" s="243"/>
      <c r="N42" s="236"/>
      <c r="O42" s="237"/>
      <c r="P42" s="237"/>
      <c r="Q42" s="237"/>
      <c r="R42" s="243"/>
      <c r="S42" s="236"/>
      <c r="T42" s="237"/>
      <c r="U42" s="237"/>
      <c r="V42" s="237"/>
      <c r="W42" s="243"/>
      <c r="X42" s="236"/>
      <c r="Y42" s="237"/>
      <c r="Z42" s="237"/>
      <c r="AA42" s="237"/>
      <c r="AB42" s="243"/>
      <c r="AC42" s="236"/>
      <c r="AD42" s="237"/>
      <c r="AE42" s="237"/>
      <c r="AF42" s="237"/>
      <c r="AG42" s="243"/>
      <c r="AH42" s="236"/>
      <c r="AI42" s="237"/>
      <c r="AJ42" s="237"/>
      <c r="AK42" s="237"/>
      <c r="AL42" s="238"/>
      <c r="AN42" s="236" t="str">
        <f>sum_level("o",Behoeftes!D42:AL42)</f>
        <v/>
      </c>
      <c r="AO42" s="237" t="str">
        <f>sum_level("j",Behoeftes!D42:AL42)</f>
        <v/>
      </c>
      <c r="AP42" s="237" t="str">
        <f>sum_level("m",Behoeftes!D42:AL42)</f>
        <v/>
      </c>
      <c r="AQ42" s="237" t="str">
        <f>sum_level("s",Behoeftes!D42:AL42)</f>
        <v/>
      </c>
      <c r="AR42" s="238" t="str">
        <f>sum_level("e",Behoeftes!D42:AL42)</f>
        <v/>
      </c>
    </row>
    <row r="43" spans="2:44" x14ac:dyDescent="0.25">
      <c r="B43" s="427"/>
      <c r="C43" s="252" t="s">
        <v>88</v>
      </c>
      <c r="D43" s="236"/>
      <c r="E43" s="237"/>
      <c r="F43" s="237"/>
      <c r="G43" s="237"/>
      <c r="H43" s="243"/>
      <c r="I43" s="236"/>
      <c r="J43" s="237"/>
      <c r="K43" s="237"/>
      <c r="L43" s="237"/>
      <c r="M43" s="243"/>
      <c r="N43" s="236"/>
      <c r="O43" s="237"/>
      <c r="P43" s="237"/>
      <c r="Q43" s="237"/>
      <c r="R43" s="243"/>
      <c r="S43" s="236"/>
      <c r="T43" s="237"/>
      <c r="U43" s="237"/>
      <c r="V43" s="237"/>
      <c r="W43" s="243"/>
      <c r="X43" s="236"/>
      <c r="Y43" s="237"/>
      <c r="Z43" s="237"/>
      <c r="AA43" s="237"/>
      <c r="AB43" s="243"/>
      <c r="AC43" s="236"/>
      <c r="AD43" s="237"/>
      <c r="AE43" s="237"/>
      <c r="AF43" s="237"/>
      <c r="AG43" s="243"/>
      <c r="AH43" s="236"/>
      <c r="AI43" s="237"/>
      <c r="AJ43" s="237"/>
      <c r="AK43" s="237"/>
      <c r="AL43" s="238"/>
      <c r="AN43" s="236" t="str">
        <f>sum_level("o",Behoeftes!D43:AL43)</f>
        <v/>
      </c>
      <c r="AO43" s="237" t="str">
        <f>sum_level("j",Behoeftes!D43:AL43)</f>
        <v/>
      </c>
      <c r="AP43" s="237" t="str">
        <f>sum_level("m",Behoeftes!D43:AL43)</f>
        <v/>
      </c>
      <c r="AQ43" s="237" t="str">
        <f>sum_level("s",Behoeftes!D43:AL43)</f>
        <v/>
      </c>
      <c r="AR43" s="238" t="str">
        <f>sum_level("e",Behoeftes!D43:AL43)</f>
        <v/>
      </c>
    </row>
    <row r="44" spans="2:44" x14ac:dyDescent="0.25">
      <c r="B44" s="427"/>
      <c r="C44" s="252" t="s">
        <v>89</v>
      </c>
      <c r="D44" s="236"/>
      <c r="E44" s="237"/>
      <c r="F44" s="237"/>
      <c r="G44" s="237"/>
      <c r="H44" s="243"/>
      <c r="I44" s="236"/>
      <c r="J44" s="237"/>
      <c r="K44" s="237"/>
      <c r="L44" s="237"/>
      <c r="M44" s="243"/>
      <c r="N44" s="236"/>
      <c r="O44" s="237"/>
      <c r="P44" s="237"/>
      <c r="Q44" s="237"/>
      <c r="R44" s="243"/>
      <c r="S44" s="236"/>
      <c r="T44" s="237"/>
      <c r="U44" s="237"/>
      <c r="V44" s="237"/>
      <c r="W44" s="243"/>
      <c r="X44" s="236"/>
      <c r="Y44" s="237"/>
      <c r="Z44" s="237"/>
      <c r="AA44" s="237"/>
      <c r="AB44" s="243"/>
      <c r="AC44" s="236"/>
      <c r="AD44" s="237"/>
      <c r="AE44" s="237"/>
      <c r="AF44" s="237"/>
      <c r="AG44" s="243"/>
      <c r="AH44" s="236"/>
      <c r="AI44" s="237"/>
      <c r="AJ44" s="237"/>
      <c r="AK44" s="237"/>
      <c r="AL44" s="238"/>
      <c r="AN44" s="236" t="str">
        <f>sum_level("o",Behoeftes!D44:AL44)</f>
        <v/>
      </c>
      <c r="AO44" s="237" t="str">
        <f>sum_level("j",Behoeftes!D44:AL44)</f>
        <v/>
      </c>
      <c r="AP44" s="237" t="str">
        <f>sum_level("m",Behoeftes!D44:AL44)</f>
        <v/>
      </c>
      <c r="AQ44" s="237" t="str">
        <f>sum_level("s",Behoeftes!D44:AL44)</f>
        <v/>
      </c>
      <c r="AR44" s="238" t="str">
        <f>sum_level("e",Behoeftes!D44:AL44)</f>
        <v/>
      </c>
    </row>
    <row r="45" spans="2:44" x14ac:dyDescent="0.25">
      <c r="B45" s="427"/>
      <c r="C45" s="252" t="s">
        <v>90</v>
      </c>
      <c r="D45" s="236"/>
      <c r="E45" s="237"/>
      <c r="F45" s="237"/>
      <c r="G45" s="237"/>
      <c r="H45" s="243"/>
      <c r="I45" s="236"/>
      <c r="J45" s="237"/>
      <c r="K45" s="237"/>
      <c r="L45" s="237"/>
      <c r="M45" s="243"/>
      <c r="N45" s="236"/>
      <c r="O45" s="237"/>
      <c r="P45" s="237"/>
      <c r="Q45" s="237"/>
      <c r="R45" s="243"/>
      <c r="S45" s="236"/>
      <c r="T45" s="237"/>
      <c r="U45" s="237"/>
      <c r="V45" s="237"/>
      <c r="W45" s="243"/>
      <c r="X45" s="236"/>
      <c r="Y45" s="237"/>
      <c r="Z45" s="237"/>
      <c r="AA45" s="237"/>
      <c r="AB45" s="243"/>
      <c r="AC45" s="236"/>
      <c r="AD45" s="237"/>
      <c r="AE45" s="237"/>
      <c r="AF45" s="237"/>
      <c r="AG45" s="243"/>
      <c r="AH45" s="236"/>
      <c r="AI45" s="237"/>
      <c r="AJ45" s="237"/>
      <c r="AK45" s="237"/>
      <c r="AL45" s="238"/>
      <c r="AN45" s="236" t="str">
        <f>sum_level("o",Behoeftes!D45:AL45)</f>
        <v/>
      </c>
      <c r="AO45" s="237" t="str">
        <f>sum_level("j",Behoeftes!D45:AL45)</f>
        <v/>
      </c>
      <c r="AP45" s="237" t="str">
        <f>sum_level("m",Behoeftes!D45:AL45)</f>
        <v/>
      </c>
      <c r="AQ45" s="237" t="str">
        <f>sum_level("s",Behoeftes!D45:AL45)</f>
        <v/>
      </c>
      <c r="AR45" s="238" t="str">
        <f>sum_level("e",Behoeftes!D45:AL45)</f>
        <v/>
      </c>
    </row>
    <row r="46" spans="2:44" ht="15.75" thickBot="1" x14ac:dyDescent="0.3">
      <c r="B46" s="427"/>
      <c r="C46" s="253" t="s">
        <v>91</v>
      </c>
      <c r="D46" s="239"/>
      <c r="E46" s="240"/>
      <c r="F46" s="240"/>
      <c r="G46" s="240"/>
      <c r="H46" s="250"/>
      <c r="I46" s="239"/>
      <c r="J46" s="240"/>
      <c r="K46" s="240"/>
      <c r="L46" s="240"/>
      <c r="M46" s="250"/>
      <c r="N46" s="239"/>
      <c r="O46" s="240"/>
      <c r="P46" s="240"/>
      <c r="Q46" s="240"/>
      <c r="R46" s="250"/>
      <c r="S46" s="239"/>
      <c r="T46" s="240"/>
      <c r="U46" s="240"/>
      <c r="V46" s="240"/>
      <c r="W46" s="250"/>
      <c r="X46" s="239"/>
      <c r="Y46" s="240"/>
      <c r="Z46" s="240"/>
      <c r="AA46" s="240"/>
      <c r="AB46" s="250"/>
      <c r="AC46" s="239"/>
      <c r="AD46" s="240"/>
      <c r="AE46" s="240"/>
      <c r="AF46" s="240"/>
      <c r="AG46" s="250"/>
      <c r="AH46" s="239"/>
      <c r="AI46" s="240"/>
      <c r="AJ46" s="240"/>
      <c r="AK46" s="240"/>
      <c r="AL46" s="241"/>
      <c r="AN46" s="239" t="str">
        <f>sum_level("o",Behoeftes!D46:AL46)</f>
        <v/>
      </c>
      <c r="AO46" s="240" t="str">
        <f>sum_level("j",Behoeftes!D46:AL46)</f>
        <v/>
      </c>
      <c r="AP46" s="240" t="str">
        <f>sum_level("m",Behoeftes!D46:AL46)</f>
        <v/>
      </c>
      <c r="AQ46" s="240" t="str">
        <f>sum_level("s",Behoeftes!D46:AL46)</f>
        <v/>
      </c>
      <c r="AR46" s="241" t="str">
        <f>sum_level("e",Behoeftes!D46:AL46)</f>
        <v/>
      </c>
    </row>
    <row r="47" spans="2:44" ht="12.75" customHeight="1" thickTop="1" thickBot="1" x14ac:dyDescent="0.3">
      <c r="B47" s="427"/>
      <c r="C47" s="248"/>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N47" s="249"/>
      <c r="AO47" s="249"/>
      <c r="AP47" s="249"/>
      <c r="AQ47" s="249"/>
      <c r="AR47" s="249"/>
    </row>
    <row r="48" spans="2:44" ht="15.75" customHeight="1" thickTop="1" x14ac:dyDescent="0.25">
      <c r="B48" s="426" t="s">
        <v>122</v>
      </c>
      <c r="C48" s="251" t="s">
        <v>92</v>
      </c>
      <c r="D48" s="233"/>
      <c r="E48" s="234"/>
      <c r="F48" s="234"/>
      <c r="G48" s="234"/>
      <c r="H48" s="242"/>
      <c r="I48" s="233"/>
      <c r="J48" s="234"/>
      <c r="K48" s="234"/>
      <c r="L48" s="234"/>
      <c r="M48" s="242"/>
      <c r="N48" s="233"/>
      <c r="O48" s="234"/>
      <c r="P48" s="234"/>
      <c r="Q48" s="234"/>
      <c r="R48" s="242"/>
      <c r="S48" s="233"/>
      <c r="T48" s="234"/>
      <c r="U48" s="234"/>
      <c r="V48" s="234"/>
      <c r="W48" s="242"/>
      <c r="X48" s="233"/>
      <c r="Y48" s="234"/>
      <c r="Z48" s="234"/>
      <c r="AA48" s="234"/>
      <c r="AB48" s="242"/>
      <c r="AC48" s="233">
        <v>26</v>
      </c>
      <c r="AD48" s="234"/>
      <c r="AE48" s="234"/>
      <c r="AF48" s="234"/>
      <c r="AG48" s="242"/>
      <c r="AH48" s="233"/>
      <c r="AI48" s="234"/>
      <c r="AJ48" s="234"/>
      <c r="AK48" s="234"/>
      <c r="AL48" s="235"/>
      <c r="AN48" s="233" t="str">
        <f>sum_level("o",Behoeftes!D48:AL48)</f>
        <v>26</v>
      </c>
      <c r="AO48" s="234" t="str">
        <f>sum_level("j",Behoeftes!D48:AL48)</f>
        <v/>
      </c>
      <c r="AP48" s="234" t="str">
        <f>sum_level("m",Behoeftes!D48:AL48)</f>
        <v/>
      </c>
      <c r="AQ48" s="234" t="str">
        <f>sum_level("s",Behoeftes!D48:AL48)</f>
        <v/>
      </c>
      <c r="AR48" s="235" t="str">
        <f>sum_level("e",Behoeftes!D48:AL48)</f>
        <v/>
      </c>
    </row>
    <row r="49" spans="2:44" x14ac:dyDescent="0.25">
      <c r="B49" s="427"/>
      <c r="C49" s="252" t="s">
        <v>93</v>
      </c>
      <c r="D49" s="236"/>
      <c r="E49" s="237"/>
      <c r="F49" s="237"/>
      <c r="G49" s="237"/>
      <c r="H49" s="243"/>
      <c r="I49" s="236"/>
      <c r="J49" s="237"/>
      <c r="K49" s="237"/>
      <c r="L49" s="237"/>
      <c r="M49" s="243"/>
      <c r="N49" s="236"/>
      <c r="O49" s="237"/>
      <c r="P49" s="237"/>
      <c r="Q49" s="237"/>
      <c r="R49" s="243"/>
      <c r="S49" s="236"/>
      <c r="T49" s="237"/>
      <c r="U49" s="237"/>
      <c r="V49" s="237"/>
      <c r="W49" s="243"/>
      <c r="X49" s="236"/>
      <c r="Y49" s="237"/>
      <c r="Z49" s="237"/>
      <c r="AA49" s="237"/>
      <c r="AB49" s="243"/>
      <c r="AC49" s="236"/>
      <c r="AD49" s="237">
        <v>27</v>
      </c>
      <c r="AE49" s="237"/>
      <c r="AF49" s="237"/>
      <c r="AG49" s="243"/>
      <c r="AH49" s="236"/>
      <c r="AI49" s="237"/>
      <c r="AJ49" s="237"/>
      <c r="AK49" s="237"/>
      <c r="AL49" s="238"/>
      <c r="AN49" s="236" t="str">
        <f>sum_level("o",Behoeftes!D49:AL49)</f>
        <v/>
      </c>
      <c r="AO49" s="237" t="str">
        <f>sum_level("j",Behoeftes!D49:AL49)</f>
        <v>27</v>
      </c>
      <c r="AP49" s="237" t="str">
        <f>sum_level("m",Behoeftes!D49:AL49)</f>
        <v/>
      </c>
      <c r="AQ49" s="237" t="str">
        <f>sum_level("s",Behoeftes!D49:AL49)</f>
        <v/>
      </c>
      <c r="AR49" s="238" t="str">
        <f>sum_level("e",Behoeftes!D49:AL49)</f>
        <v/>
      </c>
    </row>
    <row r="50" spans="2:44" x14ac:dyDescent="0.25">
      <c r="B50" s="427"/>
      <c r="C50" s="252" t="s">
        <v>94</v>
      </c>
      <c r="D50" s="236"/>
      <c r="E50" s="237"/>
      <c r="F50" s="237"/>
      <c r="G50" s="237"/>
      <c r="H50" s="243"/>
      <c r="I50" s="236"/>
      <c r="J50" s="237"/>
      <c r="K50" s="237"/>
      <c r="L50" s="237"/>
      <c r="M50" s="243"/>
      <c r="N50" s="236"/>
      <c r="O50" s="237"/>
      <c r="P50" s="237"/>
      <c r="Q50" s="237"/>
      <c r="R50" s="243"/>
      <c r="S50" s="236"/>
      <c r="T50" s="237"/>
      <c r="U50" s="237"/>
      <c r="V50" s="237"/>
      <c r="W50" s="243"/>
      <c r="X50" s="236"/>
      <c r="Y50" s="237"/>
      <c r="Z50" s="237"/>
      <c r="AA50" s="237"/>
      <c r="AB50" s="243"/>
      <c r="AC50" s="236"/>
      <c r="AD50" s="237"/>
      <c r="AE50" s="237">
        <v>28</v>
      </c>
      <c r="AF50" s="237"/>
      <c r="AG50" s="243"/>
      <c r="AH50" s="236"/>
      <c r="AI50" s="237"/>
      <c r="AJ50" s="237"/>
      <c r="AK50" s="237"/>
      <c r="AL50" s="238"/>
      <c r="AN50" s="236" t="str">
        <f>sum_level("o",Behoeftes!D50:AL50)</f>
        <v/>
      </c>
      <c r="AO50" s="237" t="str">
        <f>sum_level("j",Behoeftes!D50:AL50)</f>
        <v/>
      </c>
      <c r="AP50" s="237" t="str">
        <f>sum_level("m",Behoeftes!D50:AL50)</f>
        <v>28</v>
      </c>
      <c r="AQ50" s="237" t="str">
        <f>sum_level("s",Behoeftes!D50:AL50)</f>
        <v/>
      </c>
      <c r="AR50" s="238" t="str">
        <f>sum_level("e",Behoeftes!D50:AL50)</f>
        <v/>
      </c>
    </row>
    <row r="51" spans="2:44" x14ac:dyDescent="0.25">
      <c r="B51" s="427"/>
      <c r="C51" s="252" t="s">
        <v>95</v>
      </c>
      <c r="D51" s="236"/>
      <c r="E51" s="237"/>
      <c r="F51" s="237"/>
      <c r="G51" s="237"/>
      <c r="H51" s="243"/>
      <c r="I51" s="236"/>
      <c r="J51" s="237"/>
      <c r="K51" s="237"/>
      <c r="L51" s="237"/>
      <c r="M51" s="243"/>
      <c r="N51" s="236"/>
      <c r="O51" s="237"/>
      <c r="P51" s="237"/>
      <c r="Q51" s="237"/>
      <c r="R51" s="243"/>
      <c r="S51" s="236"/>
      <c r="T51" s="237"/>
      <c r="U51" s="237"/>
      <c r="V51" s="237"/>
      <c r="W51" s="243"/>
      <c r="X51" s="236"/>
      <c r="Y51" s="237"/>
      <c r="Z51" s="237"/>
      <c r="AA51" s="237"/>
      <c r="AB51" s="243"/>
      <c r="AC51" s="236"/>
      <c r="AD51" s="237"/>
      <c r="AE51" s="237"/>
      <c r="AF51" s="237">
        <v>29</v>
      </c>
      <c r="AG51" s="243"/>
      <c r="AH51" s="236"/>
      <c r="AI51" s="237"/>
      <c r="AJ51" s="237"/>
      <c r="AK51" s="237"/>
      <c r="AL51" s="238"/>
      <c r="AN51" s="236" t="str">
        <f>sum_level("o",Behoeftes!D51:AL51)</f>
        <v/>
      </c>
      <c r="AO51" s="237" t="str">
        <f>sum_level("j",Behoeftes!D51:AL51)</f>
        <v/>
      </c>
      <c r="AP51" s="237" t="str">
        <f>sum_level("m",Behoeftes!D51:AL51)</f>
        <v/>
      </c>
      <c r="AQ51" s="237" t="str">
        <f>sum_level("s",Behoeftes!D51:AL51)</f>
        <v>29</v>
      </c>
      <c r="AR51" s="238" t="str">
        <f>sum_level("e",Behoeftes!D51:AL51)</f>
        <v/>
      </c>
    </row>
    <row r="52" spans="2:44" x14ac:dyDescent="0.25">
      <c r="B52" s="427"/>
      <c r="C52" s="252" t="s">
        <v>96</v>
      </c>
      <c r="D52" s="236"/>
      <c r="E52" s="237"/>
      <c r="F52" s="237"/>
      <c r="G52" s="237"/>
      <c r="H52" s="243"/>
      <c r="I52" s="236"/>
      <c r="J52" s="237"/>
      <c r="K52" s="237"/>
      <c r="L52" s="237"/>
      <c r="M52" s="243"/>
      <c r="N52" s="236"/>
      <c r="O52" s="237"/>
      <c r="P52" s="237"/>
      <c r="Q52" s="237"/>
      <c r="R52" s="243"/>
      <c r="S52" s="236"/>
      <c r="T52" s="237"/>
      <c r="U52" s="237"/>
      <c r="V52" s="237"/>
      <c r="W52" s="243"/>
      <c r="X52" s="236"/>
      <c r="Y52" s="237"/>
      <c r="Z52" s="237"/>
      <c r="AA52" s="237"/>
      <c r="AB52" s="243"/>
      <c r="AC52" s="236"/>
      <c r="AD52" s="237"/>
      <c r="AE52" s="237"/>
      <c r="AF52" s="237"/>
      <c r="AG52" s="243">
        <v>30</v>
      </c>
      <c r="AH52" s="236"/>
      <c r="AI52" s="237"/>
      <c r="AJ52" s="237"/>
      <c r="AK52" s="237"/>
      <c r="AL52" s="238"/>
      <c r="AN52" s="236" t="str">
        <f>sum_level("o",Behoeftes!D52:AL52)</f>
        <v/>
      </c>
      <c r="AO52" s="237" t="str">
        <f>sum_level("j",Behoeftes!D52:AL52)</f>
        <v/>
      </c>
      <c r="AP52" s="237" t="str">
        <f>sum_level("m",Behoeftes!D52:AL52)</f>
        <v/>
      </c>
      <c r="AQ52" s="237" t="str">
        <f>sum_level("s",Behoeftes!D52:AL52)</f>
        <v/>
      </c>
      <c r="AR52" s="238" t="str">
        <f>sum_level("e",Behoeftes!D52:AL52)</f>
        <v>30</v>
      </c>
    </row>
    <row r="53" spans="2:44" ht="15.75" thickBot="1" x14ac:dyDescent="0.3">
      <c r="B53" s="427"/>
      <c r="C53" s="253" t="s">
        <v>97</v>
      </c>
      <c r="D53" s="239"/>
      <c r="E53" s="240"/>
      <c r="F53" s="240"/>
      <c r="G53" s="240"/>
      <c r="H53" s="250"/>
      <c r="I53" s="239"/>
      <c r="J53" s="240"/>
      <c r="K53" s="240"/>
      <c r="L53" s="240"/>
      <c r="M53" s="250"/>
      <c r="N53" s="239"/>
      <c r="O53" s="240"/>
      <c r="P53" s="240"/>
      <c r="Q53" s="240"/>
      <c r="R53" s="250"/>
      <c r="S53" s="239"/>
      <c r="T53" s="240"/>
      <c r="U53" s="240"/>
      <c r="V53" s="240"/>
      <c r="W53" s="250"/>
      <c r="X53" s="239"/>
      <c r="Y53" s="240"/>
      <c r="Z53" s="240"/>
      <c r="AA53" s="240"/>
      <c r="AB53" s="250"/>
      <c r="AC53" s="239"/>
      <c r="AD53" s="240"/>
      <c r="AE53" s="240"/>
      <c r="AF53" s="240"/>
      <c r="AG53" s="250"/>
      <c r="AH53" s="239"/>
      <c r="AI53" s="240"/>
      <c r="AJ53" s="240"/>
      <c r="AK53" s="240"/>
      <c r="AL53" s="241"/>
      <c r="AN53" s="239" t="str">
        <f>sum_level("o",Behoeftes!D53:AL53)</f>
        <v/>
      </c>
      <c r="AO53" s="240" t="str">
        <f>sum_level("j",Behoeftes!D53:AL53)</f>
        <v/>
      </c>
      <c r="AP53" s="240" t="str">
        <f>sum_level("m",Behoeftes!D53:AL53)</f>
        <v/>
      </c>
      <c r="AQ53" s="240" t="str">
        <f>sum_level("s",Behoeftes!D53:AL53)</f>
        <v/>
      </c>
      <c r="AR53" s="241" t="str">
        <f>sum_level("e",Behoeftes!D53:AL53)</f>
        <v/>
      </c>
    </row>
    <row r="54" spans="2:44" ht="12.75" customHeight="1" thickTop="1" thickBot="1" x14ac:dyDescent="0.3">
      <c r="B54" s="427"/>
      <c r="C54" s="248"/>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c r="AD54" s="249"/>
      <c r="AE54" s="249"/>
      <c r="AF54" s="249"/>
      <c r="AG54" s="249"/>
      <c r="AH54" s="249"/>
      <c r="AI54" s="249"/>
      <c r="AJ54" s="249"/>
      <c r="AK54" s="249"/>
      <c r="AL54" s="249"/>
      <c r="AN54" s="249"/>
      <c r="AO54" s="249"/>
      <c r="AP54" s="249"/>
      <c r="AQ54" s="249"/>
      <c r="AR54" s="249"/>
    </row>
    <row r="55" spans="2:44" ht="15.75" customHeight="1" thickTop="1" x14ac:dyDescent="0.25">
      <c r="B55" s="429" t="s">
        <v>98</v>
      </c>
      <c r="C55" s="251" t="s">
        <v>99</v>
      </c>
      <c r="D55" s="233"/>
      <c r="E55" s="234"/>
      <c r="F55" s="234"/>
      <c r="G55" s="234"/>
      <c r="H55" s="242"/>
      <c r="I55" s="233"/>
      <c r="J55" s="234"/>
      <c r="K55" s="234"/>
      <c r="L55" s="234"/>
      <c r="M55" s="242"/>
      <c r="N55" s="233"/>
      <c r="O55" s="234"/>
      <c r="P55" s="234"/>
      <c r="Q55" s="234"/>
      <c r="R55" s="242"/>
      <c r="S55" s="233"/>
      <c r="T55" s="234"/>
      <c r="U55" s="234"/>
      <c r="V55" s="234"/>
      <c r="W55" s="242"/>
      <c r="X55" s="233"/>
      <c r="Y55" s="234"/>
      <c r="Z55" s="234"/>
      <c r="AA55" s="234"/>
      <c r="AB55" s="242"/>
      <c r="AC55" s="233"/>
      <c r="AD55" s="234"/>
      <c r="AE55" s="234"/>
      <c r="AF55" s="234"/>
      <c r="AG55" s="242"/>
      <c r="AH55" s="233">
        <v>31</v>
      </c>
      <c r="AI55" s="234"/>
      <c r="AJ55" s="234"/>
      <c r="AK55" s="234"/>
      <c r="AL55" s="235"/>
      <c r="AN55" s="233" t="str">
        <f>sum_level("o",Behoeftes!D55:AL55)</f>
        <v>31</v>
      </c>
      <c r="AO55" s="234" t="str">
        <f>sum_level("j",Behoeftes!D55:AL55)</f>
        <v/>
      </c>
      <c r="AP55" s="234" t="str">
        <f>sum_level("m",Behoeftes!D55:AL55)</f>
        <v/>
      </c>
      <c r="AQ55" s="234" t="str">
        <f>sum_level("s",Behoeftes!D55:AL55)</f>
        <v/>
      </c>
      <c r="AR55" s="235" t="str">
        <f>sum_level("e",Behoeftes!D55:AL55)</f>
        <v/>
      </c>
    </row>
    <row r="56" spans="2:44" x14ac:dyDescent="0.25">
      <c r="B56" s="430"/>
      <c r="C56" s="252" t="s">
        <v>100</v>
      </c>
      <c r="D56" s="236"/>
      <c r="E56" s="237"/>
      <c r="F56" s="237"/>
      <c r="G56" s="237"/>
      <c r="H56" s="243"/>
      <c r="I56" s="236"/>
      <c r="J56" s="237"/>
      <c r="K56" s="237"/>
      <c r="L56" s="237"/>
      <c r="M56" s="243"/>
      <c r="N56" s="236"/>
      <c r="O56" s="237"/>
      <c r="P56" s="237"/>
      <c r="Q56" s="237"/>
      <c r="R56" s="243"/>
      <c r="S56" s="236"/>
      <c r="T56" s="237"/>
      <c r="U56" s="237"/>
      <c r="V56" s="237"/>
      <c r="W56" s="243"/>
      <c r="X56" s="236"/>
      <c r="Y56" s="237"/>
      <c r="Z56" s="237"/>
      <c r="AA56" s="237"/>
      <c r="AB56" s="243"/>
      <c r="AC56" s="236"/>
      <c r="AD56" s="237"/>
      <c r="AE56" s="237"/>
      <c r="AF56" s="237"/>
      <c r="AG56" s="243"/>
      <c r="AH56" s="236"/>
      <c r="AI56" s="237">
        <v>32</v>
      </c>
      <c r="AJ56" s="237"/>
      <c r="AK56" s="237"/>
      <c r="AL56" s="238"/>
      <c r="AN56" s="236" t="str">
        <f>sum_level("o",Behoeftes!D56:AL56)</f>
        <v/>
      </c>
      <c r="AO56" s="237" t="str">
        <f>sum_level("j",Behoeftes!D56:AL56)</f>
        <v>32</v>
      </c>
      <c r="AP56" s="237" t="str">
        <f>sum_level("m",Behoeftes!D56:AL56)</f>
        <v/>
      </c>
      <c r="AQ56" s="237" t="str">
        <f>sum_level("s",Behoeftes!D56:AL56)</f>
        <v/>
      </c>
      <c r="AR56" s="238" t="str">
        <f>sum_level("e",Behoeftes!D56:AL56)</f>
        <v/>
      </c>
    </row>
    <row r="57" spans="2:44" x14ac:dyDescent="0.25">
      <c r="B57" s="430"/>
      <c r="C57" s="252" t="s">
        <v>101</v>
      </c>
      <c r="D57" s="236"/>
      <c r="E57" s="237"/>
      <c r="F57" s="237"/>
      <c r="G57" s="237"/>
      <c r="H57" s="243"/>
      <c r="I57" s="236"/>
      <c r="J57" s="237"/>
      <c r="K57" s="237"/>
      <c r="L57" s="237"/>
      <c r="M57" s="243"/>
      <c r="N57" s="236"/>
      <c r="O57" s="237"/>
      <c r="P57" s="237"/>
      <c r="Q57" s="237"/>
      <c r="R57" s="243"/>
      <c r="S57" s="236"/>
      <c r="T57" s="237"/>
      <c r="U57" s="237"/>
      <c r="V57" s="237"/>
      <c r="W57" s="243"/>
      <c r="X57" s="236"/>
      <c r="Y57" s="237"/>
      <c r="Z57" s="237"/>
      <c r="AA57" s="237"/>
      <c r="AB57" s="243"/>
      <c r="AC57" s="236"/>
      <c r="AD57" s="237"/>
      <c r="AE57" s="237"/>
      <c r="AF57" s="237"/>
      <c r="AG57" s="243"/>
      <c r="AH57" s="236"/>
      <c r="AI57" s="237"/>
      <c r="AJ57" s="237">
        <v>33</v>
      </c>
      <c r="AK57" s="237"/>
      <c r="AL57" s="238"/>
      <c r="AN57" s="236" t="str">
        <f>sum_level("o",Behoeftes!D57:AL57)</f>
        <v/>
      </c>
      <c r="AO57" s="237" t="str">
        <f>sum_level("j",Behoeftes!D57:AL57)</f>
        <v/>
      </c>
      <c r="AP57" s="237" t="str">
        <f>sum_level("m",Behoeftes!D57:AL57)</f>
        <v>33</v>
      </c>
      <c r="AQ57" s="237" t="str">
        <f>sum_level("s",Behoeftes!D57:AL57)</f>
        <v/>
      </c>
      <c r="AR57" s="238" t="str">
        <f>sum_level("e",Behoeftes!D57:AL57)</f>
        <v/>
      </c>
    </row>
    <row r="58" spans="2:44" x14ac:dyDescent="0.25">
      <c r="B58" s="430"/>
      <c r="C58" s="252" t="s">
        <v>102</v>
      </c>
      <c r="D58" s="236"/>
      <c r="E58" s="237"/>
      <c r="F58" s="237"/>
      <c r="G58" s="237"/>
      <c r="H58" s="243"/>
      <c r="I58" s="236"/>
      <c r="J58" s="237"/>
      <c r="K58" s="237"/>
      <c r="L58" s="237"/>
      <c r="M58" s="243"/>
      <c r="N58" s="236"/>
      <c r="O58" s="237"/>
      <c r="P58" s="237"/>
      <c r="Q58" s="237"/>
      <c r="R58" s="243"/>
      <c r="S58" s="236"/>
      <c r="T58" s="237"/>
      <c r="U58" s="237"/>
      <c r="V58" s="237"/>
      <c r="W58" s="243"/>
      <c r="X58" s="236"/>
      <c r="Y58" s="237"/>
      <c r="Z58" s="237"/>
      <c r="AA58" s="237"/>
      <c r="AB58" s="243"/>
      <c r="AC58" s="236"/>
      <c r="AD58" s="237"/>
      <c r="AE58" s="237"/>
      <c r="AF58" s="237"/>
      <c r="AG58" s="243"/>
      <c r="AH58" s="236"/>
      <c r="AI58" s="237"/>
      <c r="AJ58" s="237"/>
      <c r="AK58" s="237">
        <v>34</v>
      </c>
      <c r="AL58" s="238"/>
      <c r="AN58" s="236" t="str">
        <f>sum_level("o",Behoeftes!D58:AL58)</f>
        <v/>
      </c>
      <c r="AO58" s="237" t="str">
        <f>sum_level("j",Behoeftes!D58:AL58)</f>
        <v/>
      </c>
      <c r="AP58" s="237" t="str">
        <f>sum_level("m",Behoeftes!D58:AL58)</f>
        <v/>
      </c>
      <c r="AQ58" s="237" t="str">
        <f>sum_level("s",Behoeftes!D58:AL58)</f>
        <v>34</v>
      </c>
      <c r="AR58" s="238" t="str">
        <f>sum_level("e",Behoeftes!D58:AL58)</f>
        <v/>
      </c>
    </row>
    <row r="59" spans="2:44" x14ac:dyDescent="0.25">
      <c r="B59" s="430"/>
      <c r="C59" s="252" t="s">
        <v>103</v>
      </c>
      <c r="D59" s="236"/>
      <c r="E59" s="237"/>
      <c r="F59" s="237"/>
      <c r="G59" s="237"/>
      <c r="H59" s="243"/>
      <c r="I59" s="236"/>
      <c r="J59" s="237"/>
      <c r="K59" s="237"/>
      <c r="L59" s="237"/>
      <c r="M59" s="243"/>
      <c r="N59" s="236"/>
      <c r="O59" s="237"/>
      <c r="P59" s="237"/>
      <c r="Q59" s="237"/>
      <c r="R59" s="243"/>
      <c r="S59" s="236"/>
      <c r="T59" s="237"/>
      <c r="U59" s="237"/>
      <c r="V59" s="237"/>
      <c r="W59" s="243"/>
      <c r="X59" s="236"/>
      <c r="Y59" s="237"/>
      <c r="Z59" s="237"/>
      <c r="AA59" s="237"/>
      <c r="AB59" s="243"/>
      <c r="AC59" s="236"/>
      <c r="AD59" s="237"/>
      <c r="AE59" s="237"/>
      <c r="AF59" s="237"/>
      <c r="AG59" s="243"/>
      <c r="AH59" s="236"/>
      <c r="AI59" s="237"/>
      <c r="AJ59" s="237"/>
      <c r="AK59" s="237"/>
      <c r="AL59" s="238">
        <v>35</v>
      </c>
      <c r="AN59" s="236" t="str">
        <f>sum_level("o",Behoeftes!D59:AL59)</f>
        <v/>
      </c>
      <c r="AO59" s="237" t="str">
        <f>sum_level("j",Behoeftes!D59:AL59)</f>
        <v/>
      </c>
      <c r="AP59" s="237" t="str">
        <f>sum_level("m",Behoeftes!D59:AL59)</f>
        <v/>
      </c>
      <c r="AQ59" s="237" t="str">
        <f>sum_level("s",Behoeftes!D59:AL59)</f>
        <v/>
      </c>
      <c r="AR59" s="238" t="str">
        <f>sum_level("e",Behoeftes!D59:AL59)</f>
        <v>35</v>
      </c>
    </row>
    <row r="60" spans="2:44" x14ac:dyDescent="0.25">
      <c r="B60" s="430"/>
      <c r="C60" s="252" t="s">
        <v>104</v>
      </c>
      <c r="D60" s="236"/>
      <c r="E60" s="237"/>
      <c r="F60" s="237"/>
      <c r="G60" s="237"/>
      <c r="H60" s="243"/>
      <c r="I60" s="236"/>
      <c r="J60" s="237"/>
      <c r="K60" s="237"/>
      <c r="L60" s="237"/>
      <c r="M60" s="243"/>
      <c r="N60" s="236"/>
      <c r="O60" s="237"/>
      <c r="P60" s="237"/>
      <c r="Q60" s="237"/>
      <c r="R60" s="243"/>
      <c r="S60" s="236"/>
      <c r="T60" s="237"/>
      <c r="U60" s="237"/>
      <c r="V60" s="237"/>
      <c r="W60" s="243"/>
      <c r="X60" s="236"/>
      <c r="Y60" s="237"/>
      <c r="Z60" s="237"/>
      <c r="AA60" s="237"/>
      <c r="AB60" s="243"/>
      <c r="AC60" s="236"/>
      <c r="AD60" s="237"/>
      <c r="AE60" s="237"/>
      <c r="AF60" s="237"/>
      <c r="AG60" s="243"/>
      <c r="AH60" s="236"/>
      <c r="AI60" s="237"/>
      <c r="AJ60" s="237"/>
      <c r="AK60" s="237"/>
      <c r="AL60" s="238"/>
      <c r="AN60" s="236" t="str">
        <f>sum_level("o",Behoeftes!D60:AL60)</f>
        <v/>
      </c>
      <c r="AO60" s="237" t="str">
        <f>sum_level("j",Behoeftes!D60:AL60)</f>
        <v/>
      </c>
      <c r="AP60" s="237" t="str">
        <f>sum_level("m",Behoeftes!D60:AL60)</f>
        <v/>
      </c>
      <c r="AQ60" s="237" t="str">
        <f>sum_level("s",Behoeftes!D60:AL60)</f>
        <v/>
      </c>
      <c r="AR60" s="238" t="str">
        <f>sum_level("e",Behoeftes!D60:AL60)</f>
        <v/>
      </c>
    </row>
    <row r="61" spans="2:44" x14ac:dyDescent="0.25">
      <c r="B61" s="430"/>
      <c r="C61" s="252" t="s">
        <v>105</v>
      </c>
      <c r="D61" s="236"/>
      <c r="E61" s="237"/>
      <c r="F61" s="237"/>
      <c r="G61" s="237"/>
      <c r="H61" s="243"/>
      <c r="I61" s="236"/>
      <c r="J61" s="237"/>
      <c r="K61" s="237"/>
      <c r="L61" s="237"/>
      <c r="M61" s="243"/>
      <c r="N61" s="236"/>
      <c r="O61" s="237"/>
      <c r="P61" s="237"/>
      <c r="Q61" s="237"/>
      <c r="R61" s="243"/>
      <c r="S61" s="236"/>
      <c r="T61" s="237"/>
      <c r="U61" s="237"/>
      <c r="V61" s="237"/>
      <c r="W61" s="243"/>
      <c r="X61" s="236"/>
      <c r="Y61" s="237"/>
      <c r="Z61" s="237"/>
      <c r="AA61" s="237"/>
      <c r="AB61" s="243"/>
      <c r="AC61" s="236"/>
      <c r="AD61" s="237"/>
      <c r="AE61" s="237"/>
      <c r="AF61" s="237"/>
      <c r="AG61" s="243"/>
      <c r="AH61" s="236"/>
      <c r="AI61" s="237"/>
      <c r="AJ61" s="237"/>
      <c r="AK61" s="237"/>
      <c r="AL61" s="238"/>
      <c r="AN61" s="236" t="str">
        <f>sum_level("o",Behoeftes!D61:AL61)</f>
        <v/>
      </c>
      <c r="AO61" s="237" t="str">
        <f>sum_level("j",Behoeftes!D61:AL61)</f>
        <v/>
      </c>
      <c r="AP61" s="237" t="str">
        <f>sum_level("m",Behoeftes!D61:AL61)</f>
        <v/>
      </c>
      <c r="AQ61" s="237" t="str">
        <f>sum_level("s",Behoeftes!D61:AL61)</f>
        <v/>
      </c>
      <c r="AR61" s="238" t="str">
        <f>sum_level("e",Behoeftes!D61:AL61)</f>
        <v/>
      </c>
    </row>
    <row r="62" spans="2:44" x14ac:dyDescent="0.25">
      <c r="B62" s="430"/>
      <c r="C62" s="252" t="s">
        <v>106</v>
      </c>
      <c r="D62" s="236"/>
      <c r="E62" s="237"/>
      <c r="F62" s="237"/>
      <c r="G62" s="237"/>
      <c r="H62" s="243"/>
      <c r="I62" s="236"/>
      <c r="J62" s="237"/>
      <c r="K62" s="237"/>
      <c r="L62" s="237"/>
      <c r="M62" s="243"/>
      <c r="N62" s="236"/>
      <c r="O62" s="237"/>
      <c r="P62" s="237"/>
      <c r="Q62" s="237"/>
      <c r="R62" s="243"/>
      <c r="S62" s="236"/>
      <c r="T62" s="237"/>
      <c r="U62" s="237"/>
      <c r="V62" s="237"/>
      <c r="W62" s="243"/>
      <c r="X62" s="236"/>
      <c r="Y62" s="237"/>
      <c r="Z62" s="237"/>
      <c r="AA62" s="237"/>
      <c r="AB62" s="243"/>
      <c r="AC62" s="236"/>
      <c r="AD62" s="237"/>
      <c r="AE62" s="237"/>
      <c r="AF62" s="237"/>
      <c r="AG62" s="243"/>
      <c r="AH62" s="236"/>
      <c r="AI62" s="237"/>
      <c r="AJ62" s="237"/>
      <c r="AK62" s="237"/>
      <c r="AL62" s="238"/>
      <c r="AN62" s="236" t="str">
        <f>sum_level("o",Behoeftes!D62:AL62)</f>
        <v/>
      </c>
      <c r="AO62" s="237" t="str">
        <f>sum_level("j",Behoeftes!D62:AL62)</f>
        <v/>
      </c>
      <c r="AP62" s="237" t="str">
        <f>sum_level("m",Behoeftes!D62:AL62)</f>
        <v/>
      </c>
      <c r="AQ62" s="237" t="str">
        <f>sum_level("s",Behoeftes!D62:AL62)</f>
        <v/>
      </c>
      <c r="AR62" s="238" t="str">
        <f>sum_level("e",Behoeftes!D62:AL62)</f>
        <v/>
      </c>
    </row>
    <row r="63" spans="2:44" x14ac:dyDescent="0.25">
      <c r="B63" s="430"/>
      <c r="C63" s="252" t="s">
        <v>107</v>
      </c>
      <c r="D63" s="236"/>
      <c r="E63" s="237"/>
      <c r="F63" s="237"/>
      <c r="G63" s="237"/>
      <c r="H63" s="243"/>
      <c r="I63" s="236"/>
      <c r="J63" s="237"/>
      <c r="K63" s="237"/>
      <c r="L63" s="237"/>
      <c r="M63" s="243"/>
      <c r="N63" s="236"/>
      <c r="O63" s="237"/>
      <c r="P63" s="237"/>
      <c r="Q63" s="237"/>
      <c r="R63" s="243"/>
      <c r="S63" s="236"/>
      <c r="T63" s="237"/>
      <c r="U63" s="237"/>
      <c r="V63" s="237"/>
      <c r="W63" s="243"/>
      <c r="X63" s="236"/>
      <c r="Y63" s="237"/>
      <c r="Z63" s="237"/>
      <c r="AA63" s="237"/>
      <c r="AB63" s="243"/>
      <c r="AC63" s="236"/>
      <c r="AD63" s="237"/>
      <c r="AE63" s="237"/>
      <c r="AF63" s="237"/>
      <c r="AG63" s="243"/>
      <c r="AH63" s="236"/>
      <c r="AI63" s="237"/>
      <c r="AJ63" s="237"/>
      <c r="AK63" s="237"/>
      <c r="AL63" s="238"/>
      <c r="AN63" s="236" t="str">
        <f>sum_level("o",Behoeftes!D63:AL63)</f>
        <v/>
      </c>
      <c r="AO63" s="237" t="str">
        <f>sum_level("j",Behoeftes!D63:AL63)</f>
        <v/>
      </c>
      <c r="AP63" s="237" t="str">
        <f>sum_level("m",Behoeftes!D63:AL63)</f>
        <v/>
      </c>
      <c r="AQ63" s="237" t="str">
        <f>sum_level("s",Behoeftes!D63:AL63)</f>
        <v/>
      </c>
      <c r="AR63" s="238" t="str">
        <f>sum_level("e",Behoeftes!D63:AL63)</f>
        <v/>
      </c>
    </row>
    <row r="64" spans="2:44" x14ac:dyDescent="0.25">
      <c r="B64" s="430"/>
      <c r="C64" s="252" t="s">
        <v>108</v>
      </c>
      <c r="D64" s="236"/>
      <c r="E64" s="237"/>
      <c r="F64" s="237"/>
      <c r="G64" s="237"/>
      <c r="H64" s="243"/>
      <c r="I64" s="236"/>
      <c r="J64" s="237"/>
      <c r="K64" s="237"/>
      <c r="L64" s="237"/>
      <c r="M64" s="243"/>
      <c r="N64" s="236"/>
      <c r="O64" s="237"/>
      <c r="P64" s="237"/>
      <c r="Q64" s="237"/>
      <c r="R64" s="243"/>
      <c r="S64" s="236"/>
      <c r="T64" s="237"/>
      <c r="U64" s="237"/>
      <c r="V64" s="237"/>
      <c r="W64" s="243"/>
      <c r="X64" s="236"/>
      <c r="Y64" s="237"/>
      <c r="Z64" s="237"/>
      <c r="AA64" s="237"/>
      <c r="AB64" s="243"/>
      <c r="AC64" s="236"/>
      <c r="AD64" s="237"/>
      <c r="AE64" s="237"/>
      <c r="AF64" s="237"/>
      <c r="AG64" s="243"/>
      <c r="AH64" s="236"/>
      <c r="AI64" s="237"/>
      <c r="AJ64" s="237"/>
      <c r="AK64" s="237"/>
      <c r="AL64" s="238"/>
      <c r="AN64" s="236" t="str">
        <f>sum_level("o",Behoeftes!D64:AL64)</f>
        <v/>
      </c>
      <c r="AO64" s="237" t="str">
        <f>sum_level("j",Behoeftes!D64:AL64)</f>
        <v/>
      </c>
      <c r="AP64" s="237" t="str">
        <f>sum_level("m",Behoeftes!D64:AL64)</f>
        <v/>
      </c>
      <c r="AQ64" s="237" t="str">
        <f>sum_level("s",Behoeftes!D64:AL64)</f>
        <v/>
      </c>
      <c r="AR64" s="238" t="str">
        <f>sum_level("e",Behoeftes!D64:AL64)</f>
        <v/>
      </c>
    </row>
    <row r="65" spans="2:44" x14ac:dyDescent="0.25">
      <c r="B65" s="430"/>
      <c r="C65" s="252" t="s">
        <v>109</v>
      </c>
      <c r="D65" s="236"/>
      <c r="E65" s="237"/>
      <c r="F65" s="237"/>
      <c r="G65" s="237"/>
      <c r="H65" s="243"/>
      <c r="I65" s="236"/>
      <c r="J65" s="237"/>
      <c r="K65" s="237"/>
      <c r="L65" s="237"/>
      <c r="M65" s="243"/>
      <c r="N65" s="236"/>
      <c r="O65" s="237"/>
      <c r="P65" s="237"/>
      <c r="Q65" s="237"/>
      <c r="R65" s="243"/>
      <c r="S65" s="236"/>
      <c r="T65" s="237"/>
      <c r="U65" s="237"/>
      <c r="V65" s="237"/>
      <c r="W65" s="243"/>
      <c r="X65" s="236"/>
      <c r="Y65" s="237"/>
      <c r="Z65" s="237"/>
      <c r="AA65" s="237"/>
      <c r="AB65" s="243"/>
      <c r="AC65" s="236"/>
      <c r="AD65" s="237"/>
      <c r="AE65" s="237"/>
      <c r="AF65" s="237"/>
      <c r="AG65" s="243"/>
      <c r="AH65" s="236"/>
      <c r="AI65" s="237"/>
      <c r="AJ65" s="237"/>
      <c r="AK65" s="237"/>
      <c r="AL65" s="238"/>
      <c r="AN65" s="236" t="str">
        <f>sum_level("o",Behoeftes!D65:AL65)</f>
        <v/>
      </c>
      <c r="AO65" s="237" t="str">
        <f>sum_level("j",Behoeftes!D65:AL65)</f>
        <v/>
      </c>
      <c r="AP65" s="237" t="str">
        <f>sum_level("m",Behoeftes!D65:AL65)</f>
        <v/>
      </c>
      <c r="AQ65" s="237" t="str">
        <f>sum_level("s",Behoeftes!D65:AL65)</f>
        <v/>
      </c>
      <c r="AR65" s="238" t="str">
        <f>sum_level("e",Behoeftes!D65:AL65)</f>
        <v/>
      </c>
    </row>
    <row r="66" spans="2:44" x14ac:dyDescent="0.25">
      <c r="B66" s="430"/>
      <c r="C66" s="252" t="s">
        <v>110</v>
      </c>
      <c r="D66" s="236"/>
      <c r="E66" s="237"/>
      <c r="F66" s="237"/>
      <c r="G66" s="237"/>
      <c r="H66" s="243"/>
      <c r="I66" s="236"/>
      <c r="J66" s="237"/>
      <c r="K66" s="237"/>
      <c r="L66" s="237"/>
      <c r="M66" s="243"/>
      <c r="N66" s="236"/>
      <c r="O66" s="237"/>
      <c r="P66" s="237"/>
      <c r="Q66" s="237"/>
      <c r="R66" s="243"/>
      <c r="S66" s="236"/>
      <c r="T66" s="237"/>
      <c r="U66" s="237"/>
      <c r="V66" s="237"/>
      <c r="W66" s="243"/>
      <c r="X66" s="236"/>
      <c r="Y66" s="237"/>
      <c r="Z66" s="237"/>
      <c r="AA66" s="237"/>
      <c r="AB66" s="243"/>
      <c r="AC66" s="236"/>
      <c r="AD66" s="237"/>
      <c r="AE66" s="237"/>
      <c r="AF66" s="237"/>
      <c r="AG66" s="243"/>
      <c r="AH66" s="236"/>
      <c r="AI66" s="237"/>
      <c r="AJ66" s="237"/>
      <c r="AK66" s="237"/>
      <c r="AL66" s="238"/>
      <c r="AN66" s="236" t="str">
        <f>sum_level("o",Behoeftes!D66:AL66)</f>
        <v/>
      </c>
      <c r="AO66" s="237" t="str">
        <f>sum_level("j",Behoeftes!D66:AL66)</f>
        <v/>
      </c>
      <c r="AP66" s="237" t="str">
        <f>sum_level("m",Behoeftes!D66:AL66)</f>
        <v/>
      </c>
      <c r="AQ66" s="237" t="str">
        <f>sum_level("s",Behoeftes!D66:AL66)</f>
        <v/>
      </c>
      <c r="AR66" s="238" t="str">
        <f>sum_level("e",Behoeftes!D66:AL66)</f>
        <v/>
      </c>
    </row>
    <row r="67" spans="2:44" x14ac:dyDescent="0.25">
      <c r="B67" s="430"/>
      <c r="C67" s="252" t="s">
        <v>111</v>
      </c>
      <c r="D67" s="236"/>
      <c r="E67" s="237"/>
      <c r="F67" s="237"/>
      <c r="G67" s="237"/>
      <c r="H67" s="243"/>
      <c r="I67" s="236"/>
      <c r="J67" s="237"/>
      <c r="K67" s="237"/>
      <c r="L67" s="237"/>
      <c r="M67" s="243"/>
      <c r="N67" s="236"/>
      <c r="O67" s="237"/>
      <c r="P67" s="237"/>
      <c r="Q67" s="237"/>
      <c r="R67" s="243"/>
      <c r="S67" s="236"/>
      <c r="T67" s="237"/>
      <c r="U67" s="237"/>
      <c r="V67" s="237"/>
      <c r="W67" s="243"/>
      <c r="X67" s="236"/>
      <c r="Y67" s="237"/>
      <c r="Z67" s="237"/>
      <c r="AA67" s="237"/>
      <c r="AB67" s="243"/>
      <c r="AC67" s="236"/>
      <c r="AD67" s="237"/>
      <c r="AE67" s="237"/>
      <c r="AF67" s="237"/>
      <c r="AG67" s="243"/>
      <c r="AH67" s="236"/>
      <c r="AI67" s="237"/>
      <c r="AJ67" s="237"/>
      <c r="AK67" s="237"/>
      <c r="AL67" s="238"/>
      <c r="AN67" s="236" t="str">
        <f>sum_level("o",Behoeftes!D67:AL67)</f>
        <v/>
      </c>
      <c r="AO67" s="237" t="str">
        <f>sum_level("j",Behoeftes!D67:AL67)</f>
        <v/>
      </c>
      <c r="AP67" s="237" t="str">
        <f>sum_level("m",Behoeftes!D67:AL67)</f>
        <v/>
      </c>
      <c r="AQ67" s="237" t="str">
        <f>sum_level("s",Behoeftes!D67:AL67)</f>
        <v/>
      </c>
      <c r="AR67" s="238" t="str">
        <f>sum_level("e",Behoeftes!D67:AL67)</f>
        <v/>
      </c>
    </row>
    <row r="68" spans="2:44" x14ac:dyDescent="0.25">
      <c r="B68" s="430"/>
      <c r="C68" s="252" t="s">
        <v>112</v>
      </c>
      <c r="D68" s="236"/>
      <c r="E68" s="237"/>
      <c r="F68" s="237"/>
      <c r="G68" s="237"/>
      <c r="H68" s="243"/>
      <c r="I68" s="236"/>
      <c r="J68" s="237"/>
      <c r="K68" s="237"/>
      <c r="L68" s="237"/>
      <c r="M68" s="243"/>
      <c r="N68" s="236"/>
      <c r="O68" s="237"/>
      <c r="P68" s="237"/>
      <c r="Q68" s="237"/>
      <c r="R68" s="243"/>
      <c r="S68" s="236"/>
      <c r="T68" s="237"/>
      <c r="U68" s="237"/>
      <c r="V68" s="237"/>
      <c r="W68" s="243"/>
      <c r="X68" s="236"/>
      <c r="Y68" s="237"/>
      <c r="Z68" s="237"/>
      <c r="AA68" s="237"/>
      <c r="AB68" s="243"/>
      <c r="AC68" s="236"/>
      <c r="AD68" s="237"/>
      <c r="AE68" s="237"/>
      <c r="AF68" s="237"/>
      <c r="AG68" s="243"/>
      <c r="AH68" s="236"/>
      <c r="AI68" s="237"/>
      <c r="AJ68" s="237"/>
      <c r="AK68" s="237"/>
      <c r="AL68" s="238"/>
      <c r="AN68" s="236" t="str">
        <f>sum_level("o",Behoeftes!D68:AL68)</f>
        <v/>
      </c>
      <c r="AO68" s="237" t="str">
        <f>sum_level("j",Behoeftes!D68:AL68)</f>
        <v/>
      </c>
      <c r="AP68" s="237" t="str">
        <f>sum_level("m",Behoeftes!D68:AL68)</f>
        <v/>
      </c>
      <c r="AQ68" s="237" t="str">
        <f>sum_level("s",Behoeftes!D68:AL68)</f>
        <v/>
      </c>
      <c r="AR68" s="238" t="str">
        <f>sum_level("e",Behoeftes!D68:AL68)</f>
        <v/>
      </c>
    </row>
    <row r="69" spans="2:44" x14ac:dyDescent="0.25">
      <c r="B69" s="430"/>
      <c r="C69" s="252" t="s">
        <v>113</v>
      </c>
      <c r="D69" s="236"/>
      <c r="E69" s="237"/>
      <c r="F69" s="237"/>
      <c r="G69" s="237"/>
      <c r="H69" s="243"/>
      <c r="I69" s="236"/>
      <c r="J69" s="237"/>
      <c r="K69" s="237"/>
      <c r="L69" s="237"/>
      <c r="M69" s="243"/>
      <c r="N69" s="236"/>
      <c r="O69" s="237"/>
      <c r="P69" s="237"/>
      <c r="Q69" s="237"/>
      <c r="R69" s="243"/>
      <c r="S69" s="236"/>
      <c r="T69" s="237"/>
      <c r="U69" s="237"/>
      <c r="V69" s="237"/>
      <c r="W69" s="243"/>
      <c r="X69" s="236"/>
      <c r="Y69" s="237"/>
      <c r="Z69" s="237"/>
      <c r="AA69" s="237"/>
      <c r="AB69" s="243"/>
      <c r="AC69" s="236"/>
      <c r="AD69" s="237"/>
      <c r="AE69" s="237"/>
      <c r="AF69" s="237"/>
      <c r="AG69" s="243"/>
      <c r="AH69" s="236"/>
      <c r="AI69" s="237"/>
      <c r="AJ69" s="237"/>
      <c r="AK69" s="237"/>
      <c r="AL69" s="238"/>
      <c r="AN69" s="236" t="str">
        <f>sum_level("o",Behoeftes!D69:AL69)</f>
        <v/>
      </c>
      <c r="AO69" s="237" t="str">
        <f>sum_level("j",Behoeftes!D69:AL69)</f>
        <v/>
      </c>
      <c r="AP69" s="237" t="str">
        <f>sum_level("m",Behoeftes!D69:AL69)</f>
        <v/>
      </c>
      <c r="AQ69" s="237" t="str">
        <f>sum_level("s",Behoeftes!D69:AL69)</f>
        <v/>
      </c>
      <c r="AR69" s="238" t="str">
        <f>sum_level("e",Behoeftes!D69:AL69)</f>
        <v/>
      </c>
    </row>
    <row r="70" spans="2:44" x14ac:dyDescent="0.25">
      <c r="B70" s="430"/>
      <c r="C70" s="252" t="s">
        <v>114</v>
      </c>
      <c r="D70" s="236"/>
      <c r="E70" s="237"/>
      <c r="F70" s="237"/>
      <c r="G70" s="237"/>
      <c r="H70" s="243"/>
      <c r="I70" s="236"/>
      <c r="J70" s="237"/>
      <c r="K70" s="237"/>
      <c r="L70" s="237"/>
      <c r="M70" s="243"/>
      <c r="N70" s="236"/>
      <c r="O70" s="237"/>
      <c r="P70" s="237"/>
      <c r="Q70" s="237"/>
      <c r="R70" s="243"/>
      <c r="S70" s="236"/>
      <c r="T70" s="237"/>
      <c r="U70" s="237"/>
      <c r="V70" s="237"/>
      <c r="W70" s="243"/>
      <c r="X70" s="236"/>
      <c r="Y70" s="237"/>
      <c r="Z70" s="237"/>
      <c r="AA70" s="237"/>
      <c r="AB70" s="243"/>
      <c r="AC70" s="236"/>
      <c r="AD70" s="237"/>
      <c r="AE70" s="237"/>
      <c r="AF70" s="237"/>
      <c r="AG70" s="243"/>
      <c r="AH70" s="236"/>
      <c r="AI70" s="237"/>
      <c r="AJ70" s="237"/>
      <c r="AK70" s="237"/>
      <c r="AL70" s="238"/>
      <c r="AN70" s="236" t="str">
        <f>sum_level("o",Behoeftes!D70:AL70)</f>
        <v/>
      </c>
      <c r="AO70" s="237" t="str">
        <f>sum_level("j",Behoeftes!D70:AL70)</f>
        <v/>
      </c>
      <c r="AP70" s="237" t="str">
        <f>sum_level("m",Behoeftes!D70:AL70)</f>
        <v/>
      </c>
      <c r="AQ70" s="237" t="str">
        <f>sum_level("s",Behoeftes!D70:AL70)</f>
        <v/>
      </c>
      <c r="AR70" s="238" t="str">
        <f>sum_level("e",Behoeftes!D70:AL70)</f>
        <v/>
      </c>
    </row>
    <row r="71" spans="2:44" x14ac:dyDescent="0.25">
      <c r="B71" s="430"/>
      <c r="C71" s="252" t="s">
        <v>115</v>
      </c>
      <c r="D71" s="236"/>
      <c r="E71" s="237"/>
      <c r="F71" s="237"/>
      <c r="G71" s="237"/>
      <c r="H71" s="243"/>
      <c r="I71" s="236"/>
      <c r="J71" s="237"/>
      <c r="K71" s="237"/>
      <c r="L71" s="237"/>
      <c r="M71" s="243"/>
      <c r="N71" s="236"/>
      <c r="O71" s="237"/>
      <c r="P71" s="237"/>
      <c r="Q71" s="237"/>
      <c r="R71" s="243"/>
      <c r="S71" s="236"/>
      <c r="T71" s="237"/>
      <c r="U71" s="237"/>
      <c r="V71" s="237"/>
      <c r="W71" s="243"/>
      <c r="X71" s="236"/>
      <c r="Y71" s="237"/>
      <c r="Z71" s="237"/>
      <c r="AA71" s="237"/>
      <c r="AB71" s="243"/>
      <c r="AC71" s="236"/>
      <c r="AD71" s="237"/>
      <c r="AE71" s="237"/>
      <c r="AF71" s="237"/>
      <c r="AG71" s="243"/>
      <c r="AH71" s="236"/>
      <c r="AI71" s="237"/>
      <c r="AJ71" s="237"/>
      <c r="AK71" s="237"/>
      <c r="AL71" s="238"/>
      <c r="AN71" s="236" t="str">
        <f>sum_level("o",Behoeftes!D71:AL71)</f>
        <v/>
      </c>
      <c r="AO71" s="237" t="str">
        <f>sum_level("j",Behoeftes!D71:AL71)</f>
        <v/>
      </c>
      <c r="AP71" s="237" t="str">
        <f>sum_level("m",Behoeftes!D71:AL71)</f>
        <v/>
      </c>
      <c r="AQ71" s="237" t="str">
        <f>sum_level("s",Behoeftes!D71:AL71)</f>
        <v/>
      </c>
      <c r="AR71" s="238" t="str">
        <f>sum_level("e",Behoeftes!D71:AL71)</f>
        <v/>
      </c>
    </row>
    <row r="72" spans="2:44" ht="15.75" thickBot="1" x14ac:dyDescent="0.3">
      <c r="B72" s="430"/>
      <c r="C72" s="253" t="s">
        <v>116</v>
      </c>
      <c r="D72" s="239"/>
      <c r="E72" s="240"/>
      <c r="F72" s="240"/>
      <c r="G72" s="240"/>
      <c r="H72" s="250"/>
      <c r="I72" s="239"/>
      <c r="J72" s="240"/>
      <c r="K72" s="240"/>
      <c r="L72" s="240"/>
      <c r="M72" s="250"/>
      <c r="N72" s="239"/>
      <c r="O72" s="240"/>
      <c r="P72" s="240"/>
      <c r="Q72" s="240"/>
      <c r="R72" s="250"/>
      <c r="S72" s="239"/>
      <c r="T72" s="240"/>
      <c r="U72" s="240"/>
      <c r="V72" s="240"/>
      <c r="W72" s="250"/>
      <c r="X72" s="239"/>
      <c r="Y72" s="240"/>
      <c r="Z72" s="240"/>
      <c r="AA72" s="240"/>
      <c r="AB72" s="250"/>
      <c r="AC72" s="239"/>
      <c r="AD72" s="240"/>
      <c r="AE72" s="240"/>
      <c r="AF72" s="240"/>
      <c r="AG72" s="250"/>
      <c r="AH72" s="239"/>
      <c r="AI72" s="240"/>
      <c r="AJ72" s="240"/>
      <c r="AK72" s="240"/>
      <c r="AL72" s="241"/>
      <c r="AN72" s="239" t="str">
        <f>sum_level("o",Behoeftes!D72:AL72)</f>
        <v/>
      </c>
      <c r="AO72" s="240" t="str">
        <f>sum_level("j",Behoeftes!D72:AL72)</f>
        <v/>
      </c>
      <c r="AP72" s="240" t="str">
        <f>sum_level("m",Behoeftes!D72:AL72)</f>
        <v/>
      </c>
      <c r="AQ72" s="240" t="str">
        <f>sum_level("s",Behoeftes!D72:AL72)</f>
        <v/>
      </c>
      <c r="AR72" s="241" t="str">
        <f>sum_level("e",Behoeftes!D72:AL72)</f>
        <v/>
      </c>
    </row>
    <row r="73" spans="2:44" ht="12.75" customHeight="1" thickTop="1" x14ac:dyDescent="0.25">
      <c r="B73" s="430"/>
      <c r="C73" s="248"/>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c r="AD73" s="249"/>
      <c r="AE73" s="249"/>
      <c r="AF73" s="249"/>
      <c r="AG73" s="249"/>
      <c r="AH73" s="249"/>
      <c r="AI73" s="249"/>
      <c r="AJ73" s="249"/>
      <c r="AK73" s="249"/>
      <c r="AL73" s="249"/>
      <c r="AN73" s="249"/>
      <c r="AO73" s="249"/>
      <c r="AP73" s="249"/>
      <c r="AQ73" s="249"/>
      <c r="AR73" s="249"/>
    </row>
    <row r="74" spans="2:44" ht="15.75" thickBot="1" x14ac:dyDescent="0.3"/>
    <row r="75" spans="2:44" ht="16.5" thickTop="1" thickBot="1" x14ac:dyDescent="0.3">
      <c r="C75" s="254" t="s">
        <v>222</v>
      </c>
      <c r="D75" s="232">
        <f t="shared" ref="D75:AL75" si="0">SUM(D4:D73)</f>
        <v>0</v>
      </c>
      <c r="E75" s="246">
        <f t="shared" si="0"/>
        <v>2</v>
      </c>
      <c r="F75" s="246">
        <f t="shared" si="0"/>
        <v>3</v>
      </c>
      <c r="G75" s="246">
        <f t="shared" si="0"/>
        <v>4</v>
      </c>
      <c r="H75" s="244">
        <f t="shared" si="0"/>
        <v>5</v>
      </c>
      <c r="I75" s="245">
        <f t="shared" si="0"/>
        <v>6</v>
      </c>
      <c r="J75" s="246">
        <f t="shared" si="0"/>
        <v>7</v>
      </c>
      <c r="K75" s="246">
        <f t="shared" si="0"/>
        <v>8</v>
      </c>
      <c r="L75" s="246">
        <f t="shared" si="0"/>
        <v>9</v>
      </c>
      <c r="M75" s="244">
        <f t="shared" si="0"/>
        <v>10</v>
      </c>
      <c r="N75" s="245">
        <f t="shared" si="0"/>
        <v>11</v>
      </c>
      <c r="O75" s="246">
        <f t="shared" si="0"/>
        <v>12</v>
      </c>
      <c r="P75" s="246">
        <f t="shared" si="0"/>
        <v>13</v>
      </c>
      <c r="Q75" s="246">
        <f t="shared" si="0"/>
        <v>14</v>
      </c>
      <c r="R75" s="244">
        <f t="shared" si="0"/>
        <v>15</v>
      </c>
      <c r="S75" s="245">
        <f t="shared" si="0"/>
        <v>16</v>
      </c>
      <c r="T75" s="246">
        <f t="shared" si="0"/>
        <v>17</v>
      </c>
      <c r="U75" s="246">
        <f t="shared" si="0"/>
        <v>18</v>
      </c>
      <c r="V75" s="246">
        <f t="shared" si="0"/>
        <v>19</v>
      </c>
      <c r="W75" s="244">
        <f t="shared" si="0"/>
        <v>20</v>
      </c>
      <c r="X75" s="245">
        <f t="shared" si="0"/>
        <v>21</v>
      </c>
      <c r="Y75" s="246">
        <f t="shared" si="0"/>
        <v>22</v>
      </c>
      <c r="Z75" s="246">
        <f t="shared" si="0"/>
        <v>23</v>
      </c>
      <c r="AA75" s="246">
        <f t="shared" si="0"/>
        <v>24</v>
      </c>
      <c r="AB75" s="244">
        <f t="shared" si="0"/>
        <v>25</v>
      </c>
      <c r="AC75" s="245">
        <f t="shared" si="0"/>
        <v>26</v>
      </c>
      <c r="AD75" s="246">
        <f t="shared" si="0"/>
        <v>27</v>
      </c>
      <c r="AE75" s="246">
        <f t="shared" si="0"/>
        <v>28</v>
      </c>
      <c r="AF75" s="246">
        <f t="shared" si="0"/>
        <v>29</v>
      </c>
      <c r="AG75" s="244">
        <f t="shared" si="0"/>
        <v>30</v>
      </c>
      <c r="AH75" s="245">
        <f t="shared" si="0"/>
        <v>31</v>
      </c>
      <c r="AI75" s="246">
        <f t="shared" si="0"/>
        <v>32</v>
      </c>
      <c r="AJ75" s="246">
        <f t="shared" si="0"/>
        <v>33</v>
      </c>
      <c r="AK75" s="246">
        <f t="shared" si="0"/>
        <v>34</v>
      </c>
      <c r="AL75" s="247">
        <f t="shared" si="0"/>
        <v>35</v>
      </c>
    </row>
    <row r="76" spans="2:44" ht="15.75" thickTop="1" x14ac:dyDescent="0.25"/>
  </sheetData>
  <mergeCells count="15">
    <mergeCell ref="B55:B73"/>
    <mergeCell ref="AN1:AR1"/>
    <mergeCell ref="AH1:AL1"/>
    <mergeCell ref="B3:B16"/>
    <mergeCell ref="B17:B26"/>
    <mergeCell ref="B27:B36"/>
    <mergeCell ref="B37:B47"/>
    <mergeCell ref="B48:B54"/>
    <mergeCell ref="D1:H1"/>
    <mergeCell ref="I1:M1"/>
    <mergeCell ref="N1:R1"/>
    <mergeCell ref="S1:W1"/>
    <mergeCell ref="X1:AB1"/>
    <mergeCell ref="AC1:AG1"/>
    <mergeCell ref="A1:C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Extra"/>
  <dimension ref="A1:B31"/>
  <sheetViews>
    <sheetView showGridLines="0" topLeftCell="A10" workbookViewId="0">
      <selection activeCell="A16" sqref="A16"/>
    </sheetView>
  </sheetViews>
  <sheetFormatPr defaultRowHeight="15" x14ac:dyDescent="0.25"/>
  <cols>
    <col min="1" max="1" width="21.42578125" customWidth="1"/>
    <col min="2" max="2" width="119.5703125" style="122" customWidth="1"/>
  </cols>
  <sheetData>
    <row r="1" spans="1:2" x14ac:dyDescent="0.25">
      <c r="A1" s="155" t="s">
        <v>166</v>
      </c>
    </row>
    <row r="2" spans="1:2" s="124" customFormat="1" x14ac:dyDescent="0.25">
      <c r="A2" s="157" t="s">
        <v>175</v>
      </c>
      <c r="B2" s="122"/>
    </row>
    <row r="3" spans="1:2" s="124" customFormat="1" x14ac:dyDescent="0.25">
      <c r="A3" s="156" t="s">
        <v>174</v>
      </c>
      <c r="B3" s="122"/>
    </row>
    <row r="4" spans="1:2" s="124" customFormat="1" x14ac:dyDescent="0.25">
      <c r="A4" s="148" t="s">
        <v>170</v>
      </c>
      <c r="B4" s="122"/>
    </row>
    <row r="5" spans="1:2" s="124" customFormat="1" x14ac:dyDescent="0.25">
      <c r="A5" s="159" t="s">
        <v>171</v>
      </c>
      <c r="B5" s="122"/>
    </row>
    <row r="6" spans="1:2" s="124" customFormat="1" x14ac:dyDescent="0.25">
      <c r="A6" s="147" t="s">
        <v>178</v>
      </c>
      <c r="B6" s="122"/>
    </row>
    <row r="7" spans="1:2" s="124" customFormat="1" x14ac:dyDescent="0.25">
      <c r="B7" s="122"/>
    </row>
    <row r="8" spans="1:2" s="124" customFormat="1" x14ac:dyDescent="0.25">
      <c r="A8" s="157" t="s">
        <v>173</v>
      </c>
      <c r="B8" s="122"/>
    </row>
    <row r="9" spans="1:2" x14ac:dyDescent="0.25">
      <c r="A9" s="136" t="s">
        <v>167</v>
      </c>
      <c r="B9" s="137" t="s">
        <v>168</v>
      </c>
    </row>
    <row r="10" spans="1:2" x14ac:dyDescent="0.25">
      <c r="A10" s="138" t="s">
        <v>19</v>
      </c>
      <c r="B10" s="139" t="s">
        <v>141</v>
      </c>
    </row>
    <row r="11" spans="1:2" x14ac:dyDescent="0.25">
      <c r="A11" s="140" t="s">
        <v>38</v>
      </c>
      <c r="B11" s="143" t="s">
        <v>146</v>
      </c>
    </row>
    <row r="12" spans="1:2" ht="45" x14ac:dyDescent="0.25">
      <c r="A12" s="141"/>
      <c r="B12" s="144" t="s">
        <v>169</v>
      </c>
    </row>
    <row r="13" spans="1:2" x14ac:dyDescent="0.25">
      <c r="A13" s="140" t="s">
        <v>16</v>
      </c>
      <c r="B13" s="146" t="s">
        <v>151</v>
      </c>
    </row>
    <row r="14" spans="1:2" x14ac:dyDescent="0.25">
      <c r="A14" s="142"/>
    </row>
    <row r="15" spans="1:2" x14ac:dyDescent="0.25">
      <c r="A15" s="140" t="s">
        <v>28</v>
      </c>
      <c r="B15" s="161" t="s">
        <v>180</v>
      </c>
    </row>
    <row r="16" spans="1:2" x14ac:dyDescent="0.25">
      <c r="A16" s="142"/>
      <c r="B16" s="162" t="s">
        <v>152</v>
      </c>
    </row>
    <row r="17" spans="1:2" x14ac:dyDescent="0.25">
      <c r="A17" s="145" t="s">
        <v>15</v>
      </c>
      <c r="B17" s="163" t="s">
        <v>154</v>
      </c>
    </row>
    <row r="18" spans="1:2" x14ac:dyDescent="0.25">
      <c r="A18" s="158"/>
      <c r="B18" s="148" t="s">
        <v>155</v>
      </c>
    </row>
    <row r="19" spans="1:2" x14ac:dyDescent="0.25">
      <c r="A19" s="158"/>
      <c r="B19" s="148" t="s">
        <v>156</v>
      </c>
    </row>
    <row r="20" spans="1:2" s="124" customFormat="1" x14ac:dyDescent="0.25">
      <c r="A20" s="158"/>
      <c r="B20" s="148" t="s">
        <v>157</v>
      </c>
    </row>
    <row r="21" spans="1:2" s="124" customFormat="1" x14ac:dyDescent="0.25">
      <c r="A21" s="158"/>
      <c r="B21" s="152" t="s">
        <v>160</v>
      </c>
    </row>
    <row r="22" spans="1:2" s="124" customFormat="1" x14ac:dyDescent="0.25">
      <c r="A22" s="158"/>
      <c r="B22" s="153" t="s">
        <v>161</v>
      </c>
    </row>
    <row r="23" spans="1:2" x14ac:dyDescent="0.25">
      <c r="A23" s="158"/>
      <c r="B23" s="153" t="s">
        <v>162</v>
      </c>
    </row>
    <row r="24" spans="1:2" s="124" customFormat="1" x14ac:dyDescent="0.25">
      <c r="A24" s="158"/>
      <c r="B24" s="153" t="s">
        <v>163</v>
      </c>
    </row>
    <row r="25" spans="1:2" s="124" customFormat="1" x14ac:dyDescent="0.25">
      <c r="A25" s="158"/>
      <c r="B25" s="153" t="s">
        <v>176</v>
      </c>
    </row>
    <row r="26" spans="1:2" s="124" customFormat="1" x14ac:dyDescent="0.25">
      <c r="A26" s="158"/>
      <c r="B26" s="154" t="s">
        <v>177</v>
      </c>
    </row>
    <row r="27" spans="1:2" x14ac:dyDescent="0.25">
      <c r="A27" s="140" t="s">
        <v>158</v>
      </c>
      <c r="B27" s="149" t="s">
        <v>172</v>
      </c>
    </row>
    <row r="28" spans="1:2" x14ac:dyDescent="0.25">
      <c r="A28" s="142"/>
      <c r="B28" s="150" t="s">
        <v>159</v>
      </c>
    </row>
    <row r="29" spans="1:2" x14ac:dyDescent="0.25">
      <c r="A29" s="138" t="s">
        <v>164</v>
      </c>
      <c r="B29" s="151" t="s">
        <v>165</v>
      </c>
    </row>
    <row r="30" spans="1:2" x14ac:dyDescent="0.25">
      <c r="A30" s="138" t="s">
        <v>12</v>
      </c>
      <c r="B30" s="139" t="s">
        <v>179</v>
      </c>
    </row>
    <row r="31" spans="1:2" x14ac:dyDescent="0.25">
      <c r="B31" s="160"/>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A110"/>
  <sheetViews>
    <sheetView showGridLines="0" zoomScale="70" zoomScaleNormal="70" workbookViewId="0">
      <pane xSplit="3" ySplit="3" topLeftCell="D4" activePane="bottomRight" state="frozenSplit"/>
      <selection pane="topRight" activeCell="D1" sqref="D1"/>
      <selection pane="bottomLeft" activeCell="A4" sqref="A4"/>
      <selection pane="bottomRight" activeCell="BW2" sqref="BW2"/>
    </sheetView>
  </sheetViews>
  <sheetFormatPr defaultRowHeight="15" x14ac:dyDescent="0.25"/>
  <cols>
    <col min="1" max="1" width="11.7109375" customWidth="1"/>
    <col min="2" max="2" width="6.5703125" customWidth="1"/>
    <col min="3" max="3" width="31.7109375" customWidth="1"/>
    <col min="4" max="87" width="3.85546875" customWidth="1"/>
    <col min="88" max="88" width="2.5703125" customWidth="1"/>
    <col min="89" max="93" width="3.85546875" customWidth="1"/>
    <col min="94" max="94" width="2.5703125" customWidth="1"/>
    <col min="95" max="99" width="3.85546875" customWidth="1"/>
    <col min="100" max="100" width="2.5703125" customWidth="1"/>
    <col min="101" max="105" width="3.85546875" customWidth="1"/>
  </cols>
  <sheetData>
    <row r="1" spans="1:105" ht="37.5" customHeight="1" thickTop="1" thickBot="1" x14ac:dyDescent="0.3">
      <c r="A1" s="424" t="s">
        <v>0</v>
      </c>
      <c r="B1" s="424"/>
      <c r="C1" s="425"/>
      <c r="D1" s="431" t="s">
        <v>230</v>
      </c>
      <c r="E1" s="432"/>
      <c r="F1" s="432"/>
      <c r="G1" s="432"/>
      <c r="H1" s="432"/>
      <c r="I1" s="432"/>
      <c r="J1" s="432"/>
      <c r="K1" s="432"/>
      <c r="L1" s="431" t="s">
        <v>231</v>
      </c>
      <c r="M1" s="432"/>
      <c r="N1" s="432"/>
      <c r="O1" s="432"/>
      <c r="P1" s="431" t="s">
        <v>232</v>
      </c>
      <c r="Q1" s="432"/>
      <c r="R1" s="432"/>
      <c r="S1" s="432"/>
      <c r="T1" s="432"/>
      <c r="U1" s="432"/>
      <c r="V1" s="432"/>
      <c r="W1" s="432"/>
      <c r="X1" s="432"/>
      <c r="Y1" s="432"/>
      <c r="Z1" s="432"/>
      <c r="AA1" s="432"/>
      <c r="AB1" s="432"/>
      <c r="AC1" s="432"/>
      <c r="AD1" s="432"/>
      <c r="AE1" s="432"/>
      <c r="AF1" s="432"/>
      <c r="AG1" s="432"/>
      <c r="AH1" s="432"/>
      <c r="AI1" s="432"/>
      <c r="AJ1" s="431" t="s">
        <v>233</v>
      </c>
      <c r="AK1" s="432"/>
      <c r="AL1" s="432"/>
      <c r="AM1" s="431" t="s">
        <v>234</v>
      </c>
      <c r="AN1" s="432"/>
      <c r="AO1" s="432"/>
      <c r="AP1" s="431" t="s">
        <v>235</v>
      </c>
      <c r="AQ1" s="432"/>
      <c r="AR1" s="432"/>
      <c r="AS1" s="432"/>
      <c r="AT1" s="432"/>
      <c r="AU1" s="431" t="s">
        <v>1</v>
      </c>
      <c r="AV1" s="432"/>
      <c r="AW1" s="432"/>
      <c r="AX1" s="432"/>
      <c r="AY1" s="432"/>
      <c r="AZ1" s="432"/>
      <c r="BA1" s="432"/>
      <c r="BB1" s="432"/>
      <c r="BC1" s="431" t="s">
        <v>131</v>
      </c>
      <c r="BD1" s="432"/>
      <c r="BE1" s="432"/>
      <c r="BF1" s="432"/>
      <c r="BG1" s="432"/>
      <c r="BH1" s="431" t="s">
        <v>3</v>
      </c>
      <c r="BI1" s="432"/>
      <c r="BJ1" s="432"/>
      <c r="BK1" s="431" t="s">
        <v>4</v>
      </c>
      <c r="BL1" s="432"/>
      <c r="BM1" s="432"/>
      <c r="BN1" s="432"/>
      <c r="BO1" s="431" t="s">
        <v>5</v>
      </c>
      <c r="BP1" s="432"/>
      <c r="BQ1" s="432"/>
      <c r="BR1" s="432"/>
      <c r="BS1" s="432"/>
      <c r="BT1" s="432"/>
      <c r="BU1" s="432"/>
      <c r="BV1" s="432"/>
      <c r="BW1" s="431" t="s">
        <v>6</v>
      </c>
      <c r="BX1" s="432"/>
      <c r="BY1" s="432"/>
      <c r="BZ1" s="432"/>
      <c r="CA1" s="432"/>
      <c r="CB1" s="432"/>
      <c r="CC1" s="431" t="s">
        <v>135</v>
      </c>
      <c r="CD1" s="432"/>
      <c r="CE1" s="432"/>
      <c r="CF1" s="431" t="s">
        <v>236</v>
      </c>
      <c r="CG1" s="432"/>
      <c r="CH1" s="432"/>
      <c r="CI1" s="433"/>
      <c r="CK1" s="431" t="s">
        <v>304</v>
      </c>
      <c r="CL1" s="432"/>
      <c r="CM1" s="432"/>
      <c r="CN1" s="432"/>
      <c r="CO1" s="433"/>
      <c r="CQ1" s="431" t="s">
        <v>223</v>
      </c>
      <c r="CR1" s="432"/>
      <c r="CS1" s="432"/>
      <c r="CT1" s="432"/>
      <c r="CU1" s="433"/>
      <c r="CW1" s="431" t="s">
        <v>305</v>
      </c>
      <c r="CX1" s="432"/>
      <c r="CY1" s="432"/>
      <c r="CZ1" s="432"/>
      <c r="DA1" s="433"/>
    </row>
    <row r="2" spans="1:105" ht="128.1" customHeight="1" thickTop="1" thickBot="1" x14ac:dyDescent="0.3">
      <c r="A2" s="4" t="s">
        <v>9</v>
      </c>
      <c r="B2" s="5"/>
      <c r="C2" s="231" t="s">
        <v>216</v>
      </c>
      <c r="D2" s="287" t="s">
        <v>241</v>
      </c>
      <c r="E2" s="288" t="s">
        <v>242</v>
      </c>
      <c r="F2" s="288" t="s">
        <v>238</v>
      </c>
      <c r="G2" s="288" t="s">
        <v>11</v>
      </c>
      <c r="H2" s="288" t="s">
        <v>10</v>
      </c>
      <c r="I2" s="288" t="s">
        <v>125</v>
      </c>
      <c r="J2" s="288" t="s">
        <v>12</v>
      </c>
      <c r="K2" s="293" t="s">
        <v>241</v>
      </c>
      <c r="L2" s="287" t="s">
        <v>13</v>
      </c>
      <c r="M2" s="288" t="s">
        <v>38</v>
      </c>
      <c r="N2" s="288" t="s">
        <v>243</v>
      </c>
      <c r="O2" s="293" t="s">
        <v>244</v>
      </c>
      <c r="P2" s="287" t="s">
        <v>35</v>
      </c>
      <c r="Q2" s="288" t="s">
        <v>18</v>
      </c>
      <c r="R2" s="288" t="s">
        <v>239</v>
      </c>
      <c r="S2" s="288" t="s">
        <v>28</v>
      </c>
      <c r="T2" s="288" t="s">
        <v>245</v>
      </c>
      <c r="U2" s="288" t="s">
        <v>246</v>
      </c>
      <c r="V2" s="288" t="s">
        <v>284</v>
      </c>
      <c r="W2" s="288" t="s">
        <v>248</v>
      </c>
      <c r="X2" s="288" t="s">
        <v>247</v>
      </c>
      <c r="Y2" s="288" t="s">
        <v>249</v>
      </c>
      <c r="Z2" s="288" t="s">
        <v>250</v>
      </c>
      <c r="AA2" s="288" t="s">
        <v>251</v>
      </c>
      <c r="AB2" s="288" t="s">
        <v>31</v>
      </c>
      <c r="AC2" s="288" t="s">
        <v>34</v>
      </c>
      <c r="AD2" s="288" t="s">
        <v>252</v>
      </c>
      <c r="AE2" s="288" t="s">
        <v>36</v>
      </c>
      <c r="AF2" s="288" t="s">
        <v>16</v>
      </c>
      <c r="AG2" s="288" t="s">
        <v>253</v>
      </c>
      <c r="AH2" s="288" t="s">
        <v>37</v>
      </c>
      <c r="AI2" s="293" t="s">
        <v>124</v>
      </c>
      <c r="AJ2" s="287" t="s">
        <v>254</v>
      </c>
      <c r="AK2" s="288" t="s">
        <v>255</v>
      </c>
      <c r="AL2" s="293" t="s">
        <v>256</v>
      </c>
      <c r="AM2" s="287" t="s">
        <v>257</v>
      </c>
      <c r="AN2" s="288" t="s">
        <v>22</v>
      </c>
      <c r="AO2" s="293" t="s">
        <v>258</v>
      </c>
      <c r="AP2" s="287" t="s">
        <v>262</v>
      </c>
      <c r="AQ2" s="288" t="s">
        <v>260</v>
      </c>
      <c r="AR2" s="288" t="s">
        <v>19</v>
      </c>
      <c r="AS2" s="288" t="s">
        <v>261</v>
      </c>
      <c r="AT2" s="293" t="s">
        <v>259</v>
      </c>
      <c r="AU2" s="287" t="s">
        <v>10</v>
      </c>
      <c r="AV2" s="288" t="s">
        <v>11</v>
      </c>
      <c r="AW2" s="288" t="s">
        <v>12</v>
      </c>
      <c r="AX2" s="288" t="s">
        <v>13</v>
      </c>
      <c r="AY2" s="288" t="s">
        <v>14</v>
      </c>
      <c r="AZ2" s="288" t="s">
        <v>125</v>
      </c>
      <c r="BA2" s="288" t="s">
        <v>121</v>
      </c>
      <c r="BB2" s="293" t="s">
        <v>15</v>
      </c>
      <c r="BC2" s="287" t="s">
        <v>16</v>
      </c>
      <c r="BD2" s="288" t="s">
        <v>17</v>
      </c>
      <c r="BE2" s="288" t="s">
        <v>18</v>
      </c>
      <c r="BF2" s="288" t="s">
        <v>19</v>
      </c>
      <c r="BG2" s="293" t="s">
        <v>20</v>
      </c>
      <c r="BH2" s="287" t="s">
        <v>21</v>
      </c>
      <c r="BI2" s="288" t="s">
        <v>22</v>
      </c>
      <c r="BJ2" s="293" t="s">
        <v>20</v>
      </c>
      <c r="BK2" s="287" t="s">
        <v>28</v>
      </c>
      <c r="BL2" s="288" t="s">
        <v>24</v>
      </c>
      <c r="BM2" s="288" t="s">
        <v>27</v>
      </c>
      <c r="BN2" s="293" t="s">
        <v>124</v>
      </c>
      <c r="BO2" s="287" t="s">
        <v>33</v>
      </c>
      <c r="BP2" s="288" t="s">
        <v>29</v>
      </c>
      <c r="BQ2" s="288" t="s">
        <v>30</v>
      </c>
      <c r="BR2" s="288" t="s">
        <v>181</v>
      </c>
      <c r="BS2" s="288" t="s">
        <v>26</v>
      </c>
      <c r="BT2" s="288" t="s">
        <v>31</v>
      </c>
      <c r="BU2" s="288" t="s">
        <v>32</v>
      </c>
      <c r="BV2" s="293" t="s">
        <v>23</v>
      </c>
      <c r="BW2" s="287" t="s">
        <v>34</v>
      </c>
      <c r="BX2" s="288" t="s">
        <v>25</v>
      </c>
      <c r="BY2" s="288" t="s">
        <v>35</v>
      </c>
      <c r="BZ2" s="288" t="s">
        <v>38</v>
      </c>
      <c r="CA2" s="288" t="s">
        <v>36</v>
      </c>
      <c r="CB2" s="293" t="s">
        <v>37</v>
      </c>
      <c r="CC2" s="287" t="s">
        <v>133</v>
      </c>
      <c r="CD2" s="288" t="s">
        <v>39</v>
      </c>
      <c r="CE2" s="293" t="s">
        <v>40</v>
      </c>
      <c r="CF2" s="287" t="s">
        <v>263</v>
      </c>
      <c r="CG2" s="288" t="s">
        <v>240</v>
      </c>
      <c r="CH2" s="288" t="s">
        <v>265</v>
      </c>
      <c r="CI2" s="289" t="s">
        <v>264</v>
      </c>
      <c r="CK2" s="304" t="s">
        <v>217</v>
      </c>
      <c r="CL2" s="305" t="s">
        <v>218</v>
      </c>
      <c r="CM2" s="306" t="s">
        <v>219</v>
      </c>
      <c r="CN2" s="307" t="s">
        <v>220</v>
      </c>
      <c r="CO2" s="308" t="s">
        <v>221</v>
      </c>
      <c r="CQ2" s="304" t="s">
        <v>217</v>
      </c>
      <c r="CR2" s="305" t="s">
        <v>218</v>
      </c>
      <c r="CS2" s="306" t="s">
        <v>219</v>
      </c>
      <c r="CT2" s="307" t="s">
        <v>220</v>
      </c>
      <c r="CU2" s="308" t="s">
        <v>221</v>
      </c>
      <c r="CW2" s="304" t="s">
        <v>217</v>
      </c>
      <c r="CX2" s="305" t="s">
        <v>218</v>
      </c>
      <c r="CY2" s="306" t="s">
        <v>219</v>
      </c>
      <c r="CZ2" s="307" t="s">
        <v>220</v>
      </c>
      <c r="DA2" s="308" t="s">
        <v>221</v>
      </c>
    </row>
    <row r="3" spans="1:105" ht="12.75" customHeight="1" thickTop="1" thickBot="1" x14ac:dyDescent="0.3">
      <c r="A3" s="5"/>
      <c r="B3" s="3"/>
      <c r="C3" s="100" t="s">
        <v>126</v>
      </c>
      <c r="D3" s="309" t="s">
        <v>139</v>
      </c>
      <c r="E3" s="309" t="s">
        <v>237</v>
      </c>
      <c r="F3" s="309" t="s">
        <v>237</v>
      </c>
      <c r="G3" s="309" t="s">
        <v>237</v>
      </c>
      <c r="H3" s="309" t="s">
        <v>237</v>
      </c>
      <c r="I3" s="309" t="s">
        <v>139</v>
      </c>
      <c r="J3" s="309" t="s">
        <v>237</v>
      </c>
      <c r="K3" s="309" t="s">
        <v>139</v>
      </c>
      <c r="L3" s="309" t="s">
        <v>237</v>
      </c>
      <c r="M3" s="309" t="s">
        <v>237</v>
      </c>
      <c r="N3" s="309" t="s">
        <v>237</v>
      </c>
      <c r="O3" s="309" t="s">
        <v>237</v>
      </c>
      <c r="P3" s="309" t="s">
        <v>237</v>
      </c>
      <c r="Q3" s="309" t="s">
        <v>237</v>
      </c>
      <c r="R3" s="309" t="s">
        <v>237</v>
      </c>
      <c r="S3" s="309" t="s">
        <v>237</v>
      </c>
      <c r="T3" s="309" t="s">
        <v>237</v>
      </c>
      <c r="U3" s="309" t="s">
        <v>139</v>
      </c>
      <c r="V3" s="309" t="s">
        <v>139</v>
      </c>
      <c r="W3" s="309" t="s">
        <v>139</v>
      </c>
      <c r="X3" s="309" t="s">
        <v>139</v>
      </c>
      <c r="Y3" s="309" t="s">
        <v>237</v>
      </c>
      <c r="Z3" s="309" t="s">
        <v>237</v>
      </c>
      <c r="AA3" s="309" t="s">
        <v>139</v>
      </c>
      <c r="AB3" s="309" t="s">
        <v>139</v>
      </c>
      <c r="AC3" s="309" t="s">
        <v>237</v>
      </c>
      <c r="AD3" s="309" t="s">
        <v>139</v>
      </c>
      <c r="AE3" s="309" t="s">
        <v>237</v>
      </c>
      <c r="AF3" s="309" t="s">
        <v>237</v>
      </c>
      <c r="AG3" s="309" t="s">
        <v>237</v>
      </c>
      <c r="AH3" s="309" t="s">
        <v>237</v>
      </c>
      <c r="AI3" s="309" t="s">
        <v>139</v>
      </c>
      <c r="AJ3" s="309" t="s">
        <v>237</v>
      </c>
      <c r="AK3" s="309" t="s">
        <v>139</v>
      </c>
      <c r="AL3" s="309" t="s">
        <v>139</v>
      </c>
      <c r="AM3" s="309" t="s">
        <v>237</v>
      </c>
      <c r="AN3" s="309" t="s">
        <v>237</v>
      </c>
      <c r="AO3" s="309" t="s">
        <v>139</v>
      </c>
      <c r="AP3" s="309" t="s">
        <v>139</v>
      </c>
      <c r="AQ3" s="309" t="s">
        <v>237</v>
      </c>
      <c r="AR3" s="309" t="s">
        <v>237</v>
      </c>
      <c r="AS3" s="309" t="s">
        <v>237</v>
      </c>
      <c r="AT3" s="309" t="s">
        <v>237</v>
      </c>
      <c r="AU3" s="309" t="s">
        <v>46</v>
      </c>
      <c r="AV3" s="309" t="s">
        <v>46</v>
      </c>
      <c r="AW3" s="309" t="s">
        <v>46</v>
      </c>
      <c r="AX3" s="309" t="s">
        <v>46</v>
      </c>
      <c r="AY3" s="309" t="s">
        <v>46</v>
      </c>
      <c r="AZ3" s="309" t="s">
        <v>47</v>
      </c>
      <c r="BA3" s="309" t="s">
        <v>47</v>
      </c>
      <c r="BB3" s="309" t="s">
        <v>47</v>
      </c>
      <c r="BC3" s="309" t="s">
        <v>46</v>
      </c>
      <c r="BD3" s="309" t="s">
        <v>46</v>
      </c>
      <c r="BE3" s="309" t="s">
        <v>46</v>
      </c>
      <c r="BF3" s="309" t="s">
        <v>46</v>
      </c>
      <c r="BG3" s="309" t="s">
        <v>46</v>
      </c>
      <c r="BH3" s="309" t="s">
        <v>46</v>
      </c>
      <c r="BI3" s="309" t="s">
        <v>46</v>
      </c>
      <c r="BJ3" s="309" t="s">
        <v>46</v>
      </c>
      <c r="BK3" s="309" t="s">
        <v>46</v>
      </c>
      <c r="BL3" s="309" t="s">
        <v>47</v>
      </c>
      <c r="BM3" s="309" t="s">
        <v>47</v>
      </c>
      <c r="BN3" s="309" t="s">
        <v>47</v>
      </c>
      <c r="BO3" s="309" t="s">
        <v>46</v>
      </c>
      <c r="BP3" s="309" t="s">
        <v>46</v>
      </c>
      <c r="BQ3" s="309" t="s">
        <v>46</v>
      </c>
      <c r="BR3" s="309" t="s">
        <v>47</v>
      </c>
      <c r="BS3" s="309" t="s">
        <v>47</v>
      </c>
      <c r="BT3" s="309" t="s">
        <v>47</v>
      </c>
      <c r="BU3" s="309" t="s">
        <v>47</v>
      </c>
      <c r="BV3" s="309" t="s">
        <v>47</v>
      </c>
      <c r="BW3" s="309" t="s">
        <v>46</v>
      </c>
      <c r="BX3" s="309" t="s">
        <v>46</v>
      </c>
      <c r="BY3" s="309" t="s">
        <v>46</v>
      </c>
      <c r="BZ3" s="309" t="s">
        <v>46</v>
      </c>
      <c r="CA3" s="309" t="s">
        <v>46</v>
      </c>
      <c r="CB3" s="309" t="s">
        <v>46</v>
      </c>
      <c r="CC3" s="309" t="s">
        <v>46</v>
      </c>
      <c r="CD3" s="309" t="s">
        <v>46</v>
      </c>
      <c r="CE3" s="309" t="s">
        <v>46</v>
      </c>
      <c r="CF3" s="309" t="s">
        <v>139</v>
      </c>
      <c r="CG3" s="309" t="s">
        <v>237</v>
      </c>
      <c r="CH3" s="309" t="s">
        <v>237</v>
      </c>
      <c r="CI3" s="309" t="s">
        <v>237</v>
      </c>
      <c r="CK3" s="303"/>
      <c r="CL3" s="303"/>
      <c r="CM3" s="303"/>
      <c r="CN3" s="303"/>
      <c r="CO3" s="303"/>
      <c r="CQ3" s="303"/>
      <c r="CR3" s="303"/>
      <c r="CS3" s="303"/>
      <c r="CT3" s="303"/>
      <c r="CU3" s="303"/>
      <c r="CW3" s="303"/>
      <c r="CX3" s="303"/>
      <c r="CY3" s="303"/>
      <c r="CZ3" s="303"/>
      <c r="DA3" s="303"/>
    </row>
    <row r="4" spans="1:105" ht="15.75" thickTop="1" x14ac:dyDescent="0.25">
      <c r="B4" s="434" t="s">
        <v>48</v>
      </c>
      <c r="C4" s="290" t="s">
        <v>49</v>
      </c>
      <c r="D4" s="310"/>
      <c r="E4" s="311"/>
      <c r="F4" s="311"/>
      <c r="G4" s="311"/>
      <c r="H4" s="311"/>
      <c r="I4" s="311"/>
      <c r="J4" s="311"/>
      <c r="K4" s="312"/>
      <c r="L4" s="310"/>
      <c r="M4" s="311"/>
      <c r="N4" s="311"/>
      <c r="O4" s="312"/>
      <c r="P4" s="310"/>
      <c r="Q4" s="311"/>
      <c r="R4" s="311"/>
      <c r="S4" s="311"/>
      <c r="T4" s="311"/>
      <c r="U4" s="311"/>
      <c r="V4" s="311"/>
      <c r="W4" s="311"/>
      <c r="X4" s="311"/>
      <c r="Y4" s="311"/>
      <c r="Z4" s="311"/>
      <c r="AA4" s="311"/>
      <c r="AB4" s="311"/>
      <c r="AC4" s="311"/>
      <c r="AD4" s="311"/>
      <c r="AE4" s="311"/>
      <c r="AF4" s="311"/>
      <c r="AG4" s="311"/>
      <c r="AH4" s="311"/>
      <c r="AI4" s="312"/>
      <c r="AJ4" s="310"/>
      <c r="AK4" s="311"/>
      <c r="AL4" s="312"/>
      <c r="AM4" s="310"/>
      <c r="AN4" s="311"/>
      <c r="AO4" s="312"/>
      <c r="AP4" s="310"/>
      <c r="AQ4" s="311"/>
      <c r="AR4" s="311"/>
      <c r="AS4" s="311"/>
      <c r="AT4" s="312"/>
      <c r="AU4" s="310" t="s">
        <v>148</v>
      </c>
      <c r="AV4" s="311" t="s">
        <v>148</v>
      </c>
      <c r="AW4" s="311" t="s">
        <v>150</v>
      </c>
      <c r="AX4" s="311" t="s">
        <v>147</v>
      </c>
      <c r="AY4" s="311" t="s">
        <v>147</v>
      </c>
      <c r="AZ4" s="311"/>
      <c r="BA4" s="311"/>
      <c r="BB4" s="312"/>
      <c r="BC4" s="310" t="s">
        <v>147</v>
      </c>
      <c r="BD4" s="311" t="s">
        <v>147</v>
      </c>
      <c r="BE4" s="311"/>
      <c r="BF4" s="311"/>
      <c r="BG4" s="312"/>
      <c r="BH4" s="310"/>
      <c r="BI4" s="311" t="s">
        <v>147</v>
      </c>
      <c r="BJ4" s="312"/>
      <c r="BK4" s="310"/>
      <c r="BL4" s="311" t="s">
        <v>147</v>
      </c>
      <c r="BM4" s="311"/>
      <c r="BN4" s="312" t="s">
        <v>147</v>
      </c>
      <c r="BO4" s="310" t="s">
        <v>150</v>
      </c>
      <c r="BP4" s="311" t="s">
        <v>148</v>
      </c>
      <c r="BQ4" s="311" t="s">
        <v>147</v>
      </c>
      <c r="BR4" s="311"/>
      <c r="BS4" s="311" t="s">
        <v>147</v>
      </c>
      <c r="BT4" s="311" t="s">
        <v>150</v>
      </c>
      <c r="BU4" s="311" t="s">
        <v>150</v>
      </c>
      <c r="BV4" s="312"/>
      <c r="BW4" s="310" t="s">
        <v>148</v>
      </c>
      <c r="BX4" s="311"/>
      <c r="BY4" s="311"/>
      <c r="BZ4" s="311" t="s">
        <v>147</v>
      </c>
      <c r="CA4" s="311"/>
      <c r="CB4" s="312"/>
      <c r="CC4" s="310"/>
      <c r="CD4" s="311"/>
      <c r="CE4" s="312"/>
      <c r="CF4" s="310"/>
      <c r="CG4" s="311"/>
      <c r="CH4" s="311"/>
      <c r="CI4" s="313"/>
      <c r="CK4" s="233" t="str">
        <f t="shared" ref="CK4:CK16" si="0">IF(COUNTIF(D4:CI4,"o")&gt;0,COUNTIF(D4:CI4,"o"),"")</f>
        <v/>
      </c>
      <c r="CL4" s="234">
        <f t="shared" ref="CL4:CL16" si="1">IF(COUNTIF(D4:CI4,"j")&gt;0,COUNTIF(D4:CI4,"j"),"")</f>
        <v>10</v>
      </c>
      <c r="CM4" s="234">
        <f t="shared" ref="CM4:CM16" si="2">IF(COUNTIF(D4:CI4,"m")&gt;0,COUNTIF(D4:CI4,"m"),"")</f>
        <v>4</v>
      </c>
      <c r="CN4" s="234">
        <f t="shared" ref="CN4:CN16" si="3">IF(COUNTIF(D4:CI4,"s")&gt;0,COUNTIF(D4:CI4,"s"),"")</f>
        <v>4</v>
      </c>
      <c r="CO4" s="235" t="str">
        <f t="shared" ref="CO4:CO16" si="4">IF(COUNTIF(D4:CI4,"e")&gt;0,COUNTIF(D4:CI4,"e"),"")</f>
        <v/>
      </c>
      <c r="CQ4" s="233" t="str">
        <f>desired_skills(C4,"Systemen/Oracle","o")</f>
        <v>1</v>
      </c>
      <c r="CR4" s="234" t="str">
        <f>desired_skills(C4,"Systemen/Oracle","j")</f>
        <v/>
      </c>
      <c r="CS4" s="234" t="str">
        <f>desired_skills(C4,"Systemen/Oracle","m")</f>
        <v/>
      </c>
      <c r="CT4" s="234" t="str">
        <f>desired_skills(C4,"Systemen/Oracle","s")</f>
        <v/>
      </c>
      <c r="CU4" s="235" t="str">
        <f>desired_skills(C4,"Systemen/Oracle","e")</f>
        <v/>
      </c>
      <c r="CW4" s="233" t="str">
        <f>calc_gap('Matrix 171007_1827'!$CK$4,'Matrix 171007_1827'!$CQ$4)</f>
        <v/>
      </c>
      <c r="CX4" s="234" t="str">
        <f>calc_gap('Matrix 171007_1827'!$CL$4,'Matrix 171007_1827'!$CR$4)</f>
        <v/>
      </c>
      <c r="CY4" s="234" t="str">
        <f>calc_gap('Matrix 171007_1827'!$CM$4,'Matrix 171007_1827'!$CS$4)</f>
        <v/>
      </c>
      <c r="CZ4" s="234" t="str">
        <f>calc_gap('Matrix 171007_1827'!$CN$4,'Matrix 171007_1827'!$CT$4)</f>
        <v/>
      </c>
      <c r="DA4" s="235" t="str">
        <f>calc_gap('Matrix 171007_1827'!$CO$4,'Matrix 171007_1827'!$CU$4)</f>
        <v/>
      </c>
    </row>
    <row r="5" spans="1:105" x14ac:dyDescent="0.25">
      <c r="B5" s="435"/>
      <c r="C5" s="291" t="s">
        <v>54</v>
      </c>
      <c r="D5" s="314"/>
      <c r="E5" s="315"/>
      <c r="F5" s="315"/>
      <c r="G5" s="315"/>
      <c r="H5" s="315"/>
      <c r="I5" s="315"/>
      <c r="J5" s="315"/>
      <c r="K5" s="316"/>
      <c r="L5" s="314"/>
      <c r="M5" s="315"/>
      <c r="N5" s="315"/>
      <c r="O5" s="316"/>
      <c r="P5" s="314"/>
      <c r="Q5" s="315"/>
      <c r="R5" s="315"/>
      <c r="S5" s="315"/>
      <c r="T5" s="315"/>
      <c r="U5" s="315"/>
      <c r="V5" s="315"/>
      <c r="W5" s="315"/>
      <c r="X5" s="315"/>
      <c r="Y5" s="315"/>
      <c r="Z5" s="315"/>
      <c r="AA5" s="315"/>
      <c r="AB5" s="315"/>
      <c r="AC5" s="315"/>
      <c r="AD5" s="315"/>
      <c r="AE5" s="315"/>
      <c r="AF5" s="315"/>
      <c r="AG5" s="315"/>
      <c r="AH5" s="315"/>
      <c r="AI5" s="316"/>
      <c r="AJ5" s="314"/>
      <c r="AK5" s="315"/>
      <c r="AL5" s="316"/>
      <c r="AM5" s="314"/>
      <c r="AN5" s="315"/>
      <c r="AO5" s="316"/>
      <c r="AP5" s="314"/>
      <c r="AQ5" s="315"/>
      <c r="AR5" s="315"/>
      <c r="AS5" s="315"/>
      <c r="AT5" s="316"/>
      <c r="AU5" s="314" t="s">
        <v>148</v>
      </c>
      <c r="AV5" s="315" t="s">
        <v>150</v>
      </c>
      <c r="AW5" s="315" t="s">
        <v>150</v>
      </c>
      <c r="AX5" s="315" t="s">
        <v>148</v>
      </c>
      <c r="AY5" s="315" t="s">
        <v>148</v>
      </c>
      <c r="AZ5" s="315"/>
      <c r="BA5" s="315"/>
      <c r="BB5" s="316" t="s">
        <v>147</v>
      </c>
      <c r="BC5" s="314" t="s">
        <v>147</v>
      </c>
      <c r="BD5" s="315" t="s">
        <v>147</v>
      </c>
      <c r="BE5" s="315"/>
      <c r="BF5" s="315"/>
      <c r="BG5" s="316"/>
      <c r="BH5" s="314"/>
      <c r="BI5" s="315"/>
      <c r="BJ5" s="316"/>
      <c r="BK5" s="314" t="s">
        <v>148</v>
      </c>
      <c r="BL5" s="315" t="s">
        <v>147</v>
      </c>
      <c r="BM5" s="315"/>
      <c r="BN5" s="316" t="s">
        <v>147</v>
      </c>
      <c r="BO5" s="314" t="s">
        <v>150</v>
      </c>
      <c r="BP5" s="315" t="s">
        <v>150</v>
      </c>
      <c r="BQ5" s="315" t="s">
        <v>148</v>
      </c>
      <c r="BR5" s="315"/>
      <c r="BS5" s="315" t="s">
        <v>147</v>
      </c>
      <c r="BT5" s="315" t="s">
        <v>150</v>
      </c>
      <c r="BU5" s="315" t="s">
        <v>150</v>
      </c>
      <c r="BV5" s="316"/>
      <c r="BW5" s="314" t="s">
        <v>150</v>
      </c>
      <c r="BX5" s="315" t="s">
        <v>148</v>
      </c>
      <c r="BY5" s="315" t="s">
        <v>150</v>
      </c>
      <c r="BZ5" s="315" t="s">
        <v>150</v>
      </c>
      <c r="CA5" s="315" t="s">
        <v>150</v>
      </c>
      <c r="CB5" s="316" t="s">
        <v>150</v>
      </c>
      <c r="CC5" s="314" t="s">
        <v>148</v>
      </c>
      <c r="CD5" s="315"/>
      <c r="CE5" s="316"/>
      <c r="CF5" s="314"/>
      <c r="CG5" s="315"/>
      <c r="CH5" s="315"/>
      <c r="CI5" s="317"/>
      <c r="CK5" s="236" t="str">
        <f t="shared" si="0"/>
        <v/>
      </c>
      <c r="CL5" s="237">
        <f t="shared" si="1"/>
        <v>6</v>
      </c>
      <c r="CM5" s="237">
        <f t="shared" si="2"/>
        <v>7</v>
      </c>
      <c r="CN5" s="237">
        <f t="shared" si="3"/>
        <v>11</v>
      </c>
      <c r="CO5" s="238" t="str">
        <f t="shared" si="4"/>
        <v/>
      </c>
      <c r="CQ5" s="236" t="str">
        <f>desired_skills(C5,"Systemen/OBIP","o")</f>
        <v/>
      </c>
      <c r="CR5" s="237" t="str">
        <f>desired_skills(C5,"Systemen/OBIP","j")</f>
        <v>2</v>
      </c>
      <c r="CS5" s="237" t="str">
        <f>desired_skills(C5,"Systemen/OBIP","m")</f>
        <v/>
      </c>
      <c r="CT5" s="237" t="str">
        <f>desired_skills(C5,"Systemen/OBIP","s")</f>
        <v/>
      </c>
      <c r="CU5" s="238" t="str">
        <f>desired_skills(C5,"Systemen/OBIP","e")</f>
        <v/>
      </c>
      <c r="CW5" s="236" t="str">
        <f>calc_gap('Matrix 171007_1827'!$CK$5,'Matrix 171007_1827'!$CQ$5)</f>
        <v/>
      </c>
      <c r="CX5" s="237" t="str">
        <f>calc_gap('Matrix 171007_1827'!$CL$5,'Matrix 171007_1827'!$CR$5)</f>
        <v>-4</v>
      </c>
      <c r="CY5" s="237" t="str">
        <f>calc_gap('Matrix 171007_1827'!$CM$5,'Matrix 171007_1827'!$CS$5)</f>
        <v/>
      </c>
      <c r="CZ5" s="237" t="str">
        <f>calc_gap('Matrix 171007_1827'!$CN$5,'Matrix 171007_1827'!$CT$5)</f>
        <v/>
      </c>
      <c r="DA5" s="238" t="str">
        <f>calc_gap('Matrix 171007_1827'!$CO$5,'Matrix 171007_1827'!$CU$5)</f>
        <v/>
      </c>
    </row>
    <row r="6" spans="1:105" x14ac:dyDescent="0.25">
      <c r="B6" s="435"/>
      <c r="C6" s="291" t="s">
        <v>51</v>
      </c>
      <c r="D6" s="314"/>
      <c r="E6" s="315"/>
      <c r="F6" s="315"/>
      <c r="G6" s="315"/>
      <c r="H6" s="315"/>
      <c r="I6" s="315"/>
      <c r="J6" s="315"/>
      <c r="K6" s="316"/>
      <c r="L6" s="314"/>
      <c r="M6" s="315"/>
      <c r="N6" s="315"/>
      <c r="O6" s="316"/>
      <c r="P6" s="314"/>
      <c r="Q6" s="315"/>
      <c r="R6" s="315"/>
      <c r="S6" s="315"/>
      <c r="T6" s="315"/>
      <c r="U6" s="315"/>
      <c r="V6" s="315"/>
      <c r="W6" s="315"/>
      <c r="X6" s="315"/>
      <c r="Y6" s="315"/>
      <c r="Z6" s="315"/>
      <c r="AA6" s="315"/>
      <c r="AB6" s="315"/>
      <c r="AC6" s="315"/>
      <c r="AD6" s="315"/>
      <c r="AE6" s="315"/>
      <c r="AF6" s="315"/>
      <c r="AG6" s="315"/>
      <c r="AH6" s="315"/>
      <c r="AI6" s="316"/>
      <c r="AJ6" s="314"/>
      <c r="AK6" s="315"/>
      <c r="AL6" s="316"/>
      <c r="AM6" s="314"/>
      <c r="AN6" s="315"/>
      <c r="AO6" s="316"/>
      <c r="AP6" s="314"/>
      <c r="AQ6" s="315"/>
      <c r="AR6" s="315"/>
      <c r="AS6" s="315"/>
      <c r="AT6" s="316"/>
      <c r="AU6" s="314" t="s">
        <v>148</v>
      </c>
      <c r="AV6" s="315" t="s">
        <v>148</v>
      </c>
      <c r="AW6" s="315" t="s">
        <v>149</v>
      </c>
      <c r="AX6" s="315" t="s">
        <v>148</v>
      </c>
      <c r="AY6" s="315" t="s">
        <v>147</v>
      </c>
      <c r="AZ6" s="315"/>
      <c r="BA6" s="315"/>
      <c r="BB6" s="316" t="s">
        <v>147</v>
      </c>
      <c r="BC6" s="314" t="s">
        <v>149</v>
      </c>
      <c r="BD6" s="315" t="s">
        <v>148</v>
      </c>
      <c r="BE6" s="315"/>
      <c r="BF6" s="315"/>
      <c r="BG6" s="316"/>
      <c r="BH6" s="314"/>
      <c r="BI6" s="315"/>
      <c r="BJ6" s="316"/>
      <c r="BK6" s="314" t="s">
        <v>47</v>
      </c>
      <c r="BL6" s="315" t="s">
        <v>148</v>
      </c>
      <c r="BM6" s="315"/>
      <c r="BN6" s="316" t="s">
        <v>148</v>
      </c>
      <c r="BO6" s="314" t="s">
        <v>150</v>
      </c>
      <c r="BP6" s="315" t="s">
        <v>47</v>
      </c>
      <c r="BQ6" s="315" t="s">
        <v>148</v>
      </c>
      <c r="BR6" s="315"/>
      <c r="BS6" s="315" t="s">
        <v>147</v>
      </c>
      <c r="BT6" s="315" t="s">
        <v>148</v>
      </c>
      <c r="BU6" s="315" t="s">
        <v>150</v>
      </c>
      <c r="BV6" s="316"/>
      <c r="BW6" s="314" t="s">
        <v>47</v>
      </c>
      <c r="BX6" s="315" t="s">
        <v>148</v>
      </c>
      <c r="BY6" s="315" t="s">
        <v>150</v>
      </c>
      <c r="BZ6" s="315" t="s">
        <v>47</v>
      </c>
      <c r="CA6" s="315" t="s">
        <v>150</v>
      </c>
      <c r="CB6" s="316" t="s">
        <v>150</v>
      </c>
      <c r="CC6" s="314" t="s">
        <v>150</v>
      </c>
      <c r="CD6" s="315" t="s">
        <v>148</v>
      </c>
      <c r="CE6" s="316"/>
      <c r="CF6" s="314"/>
      <c r="CG6" s="315"/>
      <c r="CH6" s="315"/>
      <c r="CI6" s="317"/>
      <c r="CK6" s="236">
        <f t="shared" si="0"/>
        <v>2</v>
      </c>
      <c r="CL6" s="237">
        <f t="shared" si="1"/>
        <v>3</v>
      </c>
      <c r="CM6" s="237">
        <f t="shared" si="2"/>
        <v>10</v>
      </c>
      <c r="CN6" s="237">
        <f t="shared" si="3"/>
        <v>6</v>
      </c>
      <c r="CO6" s="238">
        <f t="shared" si="4"/>
        <v>4</v>
      </c>
      <c r="CQ6" s="236" t="str">
        <f>desired_skills(C6,"Systemen/Raboshop","o")</f>
        <v/>
      </c>
      <c r="CR6" s="237" t="str">
        <f>desired_skills(C6,"Systemen/Raboshop","j")</f>
        <v/>
      </c>
      <c r="CS6" s="237" t="str">
        <f>desired_skills(C6,"Systemen/Raboshop","m")</f>
        <v>3</v>
      </c>
      <c r="CT6" s="237" t="str">
        <f>desired_skills(C6,"Systemen/Raboshop","s")</f>
        <v/>
      </c>
      <c r="CU6" s="238" t="str">
        <f>desired_skills(C6,"Systemen/Raboshop","e")</f>
        <v/>
      </c>
      <c r="CW6" s="236" t="str">
        <f>calc_gap('Matrix 171007_1827'!$CK$6,'Matrix 171007_1827'!$CQ$6)</f>
        <v/>
      </c>
      <c r="CX6" s="237" t="str">
        <f>calc_gap('Matrix 171007_1827'!$CL$6,'Matrix 171007_1827'!$CR$6)</f>
        <v/>
      </c>
      <c r="CY6" s="237" t="str">
        <f>calc_gap('Matrix 171007_1827'!$CM$6,'Matrix 171007_1827'!$CS$6)</f>
        <v>-7</v>
      </c>
      <c r="CZ6" s="237" t="str">
        <f>calc_gap('Matrix 171007_1827'!$CN$6,'Matrix 171007_1827'!$CT$6)</f>
        <v/>
      </c>
      <c r="DA6" s="238" t="str">
        <f>calc_gap('Matrix 171007_1827'!$CO$6,'Matrix 171007_1827'!$CU$6)</f>
        <v/>
      </c>
    </row>
    <row r="7" spans="1:105" x14ac:dyDescent="0.25">
      <c r="B7" s="435"/>
      <c r="C7" s="291" t="s">
        <v>52</v>
      </c>
      <c r="D7" s="314"/>
      <c r="E7" s="315"/>
      <c r="F7" s="315"/>
      <c r="G7" s="315"/>
      <c r="H7" s="315"/>
      <c r="I7" s="315"/>
      <c r="J7" s="315"/>
      <c r="K7" s="316"/>
      <c r="L7" s="314"/>
      <c r="M7" s="315"/>
      <c r="N7" s="315"/>
      <c r="O7" s="316"/>
      <c r="P7" s="314"/>
      <c r="Q7" s="315"/>
      <c r="R7" s="315"/>
      <c r="S7" s="315"/>
      <c r="T7" s="315"/>
      <c r="U7" s="315"/>
      <c r="V7" s="315"/>
      <c r="W7" s="315"/>
      <c r="X7" s="315"/>
      <c r="Y7" s="315"/>
      <c r="Z7" s="315"/>
      <c r="AA7" s="315"/>
      <c r="AB7" s="315"/>
      <c r="AC7" s="315"/>
      <c r="AD7" s="315"/>
      <c r="AE7" s="315"/>
      <c r="AF7" s="315"/>
      <c r="AG7" s="315"/>
      <c r="AH7" s="315"/>
      <c r="AI7" s="316"/>
      <c r="AJ7" s="314"/>
      <c r="AK7" s="315"/>
      <c r="AL7" s="316"/>
      <c r="AM7" s="314"/>
      <c r="AN7" s="315"/>
      <c r="AO7" s="316"/>
      <c r="AP7" s="314"/>
      <c r="AQ7" s="315"/>
      <c r="AR7" s="315"/>
      <c r="AS7" s="315"/>
      <c r="AT7" s="316"/>
      <c r="AU7" s="314" t="s">
        <v>148</v>
      </c>
      <c r="AV7" s="315" t="s">
        <v>148</v>
      </c>
      <c r="AW7" s="315" t="s">
        <v>149</v>
      </c>
      <c r="AX7" s="315" t="s">
        <v>147</v>
      </c>
      <c r="AY7" s="315" t="s">
        <v>147</v>
      </c>
      <c r="AZ7" s="315"/>
      <c r="BA7" s="315"/>
      <c r="BB7" s="316"/>
      <c r="BC7" s="314" t="s">
        <v>149</v>
      </c>
      <c r="BD7" s="315" t="s">
        <v>150</v>
      </c>
      <c r="BE7" s="315"/>
      <c r="BF7" s="315"/>
      <c r="BG7" s="316"/>
      <c r="BH7" s="314"/>
      <c r="BI7" s="315"/>
      <c r="BJ7" s="316"/>
      <c r="BK7" s="314" t="s">
        <v>150</v>
      </c>
      <c r="BL7" s="315" t="s">
        <v>148</v>
      </c>
      <c r="BM7" s="315"/>
      <c r="BN7" s="316" t="s">
        <v>147</v>
      </c>
      <c r="BO7" s="314" t="s">
        <v>150</v>
      </c>
      <c r="BP7" s="315" t="s">
        <v>47</v>
      </c>
      <c r="BQ7" s="315" t="s">
        <v>148</v>
      </c>
      <c r="BR7" s="315"/>
      <c r="BS7" s="315" t="s">
        <v>147</v>
      </c>
      <c r="BT7" s="315" t="s">
        <v>148</v>
      </c>
      <c r="BU7" s="315" t="s">
        <v>150</v>
      </c>
      <c r="BV7" s="316"/>
      <c r="BW7" s="314" t="s">
        <v>47</v>
      </c>
      <c r="BX7" s="315" t="s">
        <v>147</v>
      </c>
      <c r="BY7" s="315" t="s">
        <v>147</v>
      </c>
      <c r="BZ7" s="315" t="s">
        <v>47</v>
      </c>
      <c r="CA7" s="315" t="s">
        <v>147</v>
      </c>
      <c r="CB7" s="316" t="s">
        <v>147</v>
      </c>
      <c r="CC7" s="314" t="s">
        <v>147</v>
      </c>
      <c r="CD7" s="315"/>
      <c r="CE7" s="316"/>
      <c r="CF7" s="314"/>
      <c r="CG7" s="315"/>
      <c r="CH7" s="315"/>
      <c r="CI7" s="317"/>
      <c r="CK7" s="236">
        <f t="shared" si="0"/>
        <v>2</v>
      </c>
      <c r="CL7" s="237">
        <f t="shared" si="1"/>
        <v>9</v>
      </c>
      <c r="CM7" s="237">
        <f t="shared" si="2"/>
        <v>5</v>
      </c>
      <c r="CN7" s="237">
        <f t="shared" si="3"/>
        <v>4</v>
      </c>
      <c r="CO7" s="238">
        <f t="shared" si="4"/>
        <v>3</v>
      </c>
      <c r="CQ7" s="236" t="str">
        <f>desired_skills(C7,"Systemen/HP Servicemanager","o")</f>
        <v/>
      </c>
      <c r="CR7" s="237" t="str">
        <f>desired_skills(C7,"Systemen/HP Servicemanager","j")</f>
        <v/>
      </c>
      <c r="CS7" s="237" t="str">
        <f>desired_skills(C7,"Systemen/HP Servicemanager","m")</f>
        <v/>
      </c>
      <c r="CT7" s="237" t="str">
        <f>desired_skills(C7,"Systemen/HP Servicemanager","s")</f>
        <v>4</v>
      </c>
      <c r="CU7" s="238" t="str">
        <f>desired_skills(C7,"Systemen/HP Servicemanager","e")</f>
        <v/>
      </c>
      <c r="CW7" s="236" t="str">
        <f>calc_gap('Matrix 171007_1827'!$CK$7,'Matrix 171007_1827'!$CQ$7)</f>
        <v/>
      </c>
      <c r="CX7" s="237" t="str">
        <f>calc_gap('Matrix 171007_1827'!$CL$7,'Matrix 171007_1827'!$CR$7)</f>
        <v/>
      </c>
      <c r="CY7" s="237" t="str">
        <f>calc_gap('Matrix 171007_1827'!$CM$7,'Matrix 171007_1827'!$CS$7)</f>
        <v/>
      </c>
      <c r="CZ7" s="237" t="str">
        <f>calc_gap('Matrix 171007_1827'!$CN$7,'Matrix 171007_1827'!$CT$7)</f>
        <v>0</v>
      </c>
      <c r="DA7" s="238" t="str">
        <f>calc_gap('Matrix 171007_1827'!$CO$7,'Matrix 171007_1827'!$CU$7)</f>
        <v/>
      </c>
    </row>
    <row r="8" spans="1:105" x14ac:dyDescent="0.25">
      <c r="B8" s="435"/>
      <c r="C8" s="291" t="s">
        <v>53</v>
      </c>
      <c r="D8" s="314"/>
      <c r="E8" s="315"/>
      <c r="F8" s="315"/>
      <c r="G8" s="315"/>
      <c r="H8" s="315"/>
      <c r="I8" s="315"/>
      <c r="J8" s="315"/>
      <c r="K8" s="316"/>
      <c r="L8" s="314"/>
      <c r="M8" s="315"/>
      <c r="N8" s="315"/>
      <c r="O8" s="316"/>
      <c r="P8" s="314"/>
      <c r="Q8" s="315"/>
      <c r="R8" s="315"/>
      <c r="S8" s="315"/>
      <c r="T8" s="315"/>
      <c r="U8" s="315"/>
      <c r="V8" s="315"/>
      <c r="W8" s="315"/>
      <c r="X8" s="315"/>
      <c r="Y8" s="315"/>
      <c r="Z8" s="315"/>
      <c r="AA8" s="315"/>
      <c r="AB8" s="315"/>
      <c r="AC8" s="315"/>
      <c r="AD8" s="315"/>
      <c r="AE8" s="315"/>
      <c r="AF8" s="315"/>
      <c r="AG8" s="315"/>
      <c r="AH8" s="315"/>
      <c r="AI8" s="316"/>
      <c r="AJ8" s="314"/>
      <c r="AK8" s="315"/>
      <c r="AL8" s="316"/>
      <c r="AM8" s="314"/>
      <c r="AN8" s="315"/>
      <c r="AO8" s="316"/>
      <c r="AP8" s="314"/>
      <c r="AQ8" s="315"/>
      <c r="AR8" s="315"/>
      <c r="AS8" s="315"/>
      <c r="AT8" s="316"/>
      <c r="AU8" s="314" t="s">
        <v>148</v>
      </c>
      <c r="AV8" s="315" t="s">
        <v>147</v>
      </c>
      <c r="AW8" s="315" t="s">
        <v>149</v>
      </c>
      <c r="AX8" s="315" t="s">
        <v>147</v>
      </c>
      <c r="AY8" s="315" t="s">
        <v>147</v>
      </c>
      <c r="AZ8" s="315"/>
      <c r="BA8" s="315"/>
      <c r="BB8" s="316" t="s">
        <v>147</v>
      </c>
      <c r="BC8" s="314" t="s">
        <v>149</v>
      </c>
      <c r="BD8" s="315"/>
      <c r="BE8" s="315"/>
      <c r="BF8" s="315"/>
      <c r="BG8" s="316"/>
      <c r="BH8" s="314"/>
      <c r="BI8" s="315"/>
      <c r="BJ8" s="316"/>
      <c r="BK8" s="314" t="s">
        <v>147</v>
      </c>
      <c r="BL8" s="315" t="s">
        <v>147</v>
      </c>
      <c r="BM8" s="315"/>
      <c r="BN8" s="316" t="s">
        <v>147</v>
      </c>
      <c r="BO8" s="314"/>
      <c r="BP8" s="315"/>
      <c r="BQ8" s="315"/>
      <c r="BR8" s="315"/>
      <c r="BS8" s="315"/>
      <c r="BT8" s="315"/>
      <c r="BU8" s="315" t="s">
        <v>150</v>
      </c>
      <c r="BV8" s="316"/>
      <c r="BW8" s="314" t="s">
        <v>149</v>
      </c>
      <c r="BX8" s="315"/>
      <c r="BY8" s="315"/>
      <c r="BZ8" s="315" t="s">
        <v>150</v>
      </c>
      <c r="CA8" s="315"/>
      <c r="CB8" s="316"/>
      <c r="CC8" s="314" t="s">
        <v>147</v>
      </c>
      <c r="CD8" s="315"/>
      <c r="CE8" s="316"/>
      <c r="CF8" s="314"/>
      <c r="CG8" s="315"/>
      <c r="CH8" s="315"/>
      <c r="CI8" s="317"/>
      <c r="CK8" s="236">
        <f t="shared" si="0"/>
        <v>3</v>
      </c>
      <c r="CL8" s="237">
        <f t="shared" si="1"/>
        <v>8</v>
      </c>
      <c r="CM8" s="237">
        <f t="shared" si="2"/>
        <v>1</v>
      </c>
      <c r="CN8" s="237">
        <f t="shared" si="3"/>
        <v>2</v>
      </c>
      <c r="CO8" s="238" t="str">
        <f t="shared" si="4"/>
        <v/>
      </c>
      <c r="CQ8" s="236" t="str">
        <f>desired_skills(C8,"Systemen/IT Shop","o")</f>
        <v/>
      </c>
      <c r="CR8" s="237" t="str">
        <f>desired_skills(C8,"Systemen/IT Shop","j")</f>
        <v/>
      </c>
      <c r="CS8" s="237" t="str">
        <f>desired_skills(C8,"Systemen/IT Shop","m")</f>
        <v/>
      </c>
      <c r="CT8" s="237" t="str">
        <f>desired_skills(C8,"Systemen/IT Shop","s")</f>
        <v/>
      </c>
      <c r="CU8" s="238" t="str">
        <f>desired_skills(C8,"Systemen/IT Shop","e")</f>
        <v>5</v>
      </c>
      <c r="CW8" s="236" t="str">
        <f>calc_gap('Matrix 171007_1827'!$CK$8,'Matrix 171007_1827'!$CQ$8)</f>
        <v/>
      </c>
      <c r="CX8" s="237" t="str">
        <f>calc_gap('Matrix 171007_1827'!$CL$8,'Matrix 171007_1827'!$CR$8)</f>
        <v/>
      </c>
      <c r="CY8" s="237" t="str">
        <f>calc_gap('Matrix 171007_1827'!$CM$8,'Matrix 171007_1827'!$CS$8)</f>
        <v/>
      </c>
      <c r="CZ8" s="237" t="str">
        <f>calc_gap('Matrix 171007_1827'!$CN$8,'Matrix 171007_1827'!$CT$8)</f>
        <v/>
      </c>
      <c r="DA8" s="238" t="str">
        <f>calc_gap('Matrix 171007_1827'!$CO$8,'Matrix 171007_1827'!$CU$8)</f>
        <v/>
      </c>
    </row>
    <row r="9" spans="1:105" x14ac:dyDescent="0.25">
      <c r="B9" s="435"/>
      <c r="C9" s="291" t="s">
        <v>50</v>
      </c>
      <c r="D9" s="314"/>
      <c r="E9" s="315"/>
      <c r="F9" s="315"/>
      <c r="G9" s="315"/>
      <c r="H9" s="315"/>
      <c r="I9" s="315"/>
      <c r="J9" s="315"/>
      <c r="K9" s="316"/>
      <c r="L9" s="314"/>
      <c r="M9" s="315"/>
      <c r="N9" s="315"/>
      <c r="O9" s="316"/>
      <c r="P9" s="314"/>
      <c r="Q9" s="315"/>
      <c r="R9" s="315"/>
      <c r="S9" s="315"/>
      <c r="T9" s="315"/>
      <c r="U9" s="315"/>
      <c r="V9" s="315"/>
      <c r="W9" s="315"/>
      <c r="X9" s="315"/>
      <c r="Y9" s="315"/>
      <c r="Z9" s="315"/>
      <c r="AA9" s="315"/>
      <c r="AB9" s="315"/>
      <c r="AC9" s="315"/>
      <c r="AD9" s="315"/>
      <c r="AE9" s="315"/>
      <c r="AF9" s="315"/>
      <c r="AG9" s="315"/>
      <c r="AH9" s="315"/>
      <c r="AI9" s="316"/>
      <c r="AJ9" s="314"/>
      <c r="AK9" s="315"/>
      <c r="AL9" s="316"/>
      <c r="AM9" s="314"/>
      <c r="AN9" s="315"/>
      <c r="AO9" s="316"/>
      <c r="AP9" s="314"/>
      <c r="AQ9" s="315"/>
      <c r="AR9" s="315"/>
      <c r="AS9" s="315"/>
      <c r="AT9" s="316"/>
      <c r="AU9" s="314"/>
      <c r="AV9" s="315" t="s">
        <v>47</v>
      </c>
      <c r="AW9" s="315" t="s">
        <v>150</v>
      </c>
      <c r="AX9" s="315" t="s">
        <v>148</v>
      </c>
      <c r="AY9" s="315" t="s">
        <v>148</v>
      </c>
      <c r="AZ9" s="315"/>
      <c r="BA9" s="315"/>
      <c r="BB9" s="316" t="s">
        <v>147</v>
      </c>
      <c r="BC9" s="314" t="s">
        <v>150</v>
      </c>
      <c r="BD9" s="315" t="s">
        <v>149</v>
      </c>
      <c r="BE9" s="315"/>
      <c r="BF9" s="315"/>
      <c r="BG9" s="316"/>
      <c r="BH9" s="314"/>
      <c r="BI9" s="315"/>
      <c r="BJ9" s="316"/>
      <c r="BK9" s="314"/>
      <c r="BL9" s="315"/>
      <c r="BM9" s="315"/>
      <c r="BN9" s="316"/>
      <c r="BO9" s="314" t="s">
        <v>147</v>
      </c>
      <c r="BP9" s="315" t="s">
        <v>147</v>
      </c>
      <c r="BQ9" s="315" t="s">
        <v>147</v>
      </c>
      <c r="BR9" s="315"/>
      <c r="BS9" s="315"/>
      <c r="BT9" s="315"/>
      <c r="BU9" s="315" t="s">
        <v>150</v>
      </c>
      <c r="BV9" s="316"/>
      <c r="BW9" s="314" t="s">
        <v>147</v>
      </c>
      <c r="BX9" s="315" t="s">
        <v>150</v>
      </c>
      <c r="BY9" s="315" t="s">
        <v>47</v>
      </c>
      <c r="BZ9" s="315"/>
      <c r="CA9" s="315" t="s">
        <v>47</v>
      </c>
      <c r="CB9" s="316" t="s">
        <v>47</v>
      </c>
      <c r="CC9" s="314"/>
      <c r="CD9" s="315"/>
      <c r="CE9" s="316"/>
      <c r="CF9" s="314"/>
      <c r="CG9" s="315"/>
      <c r="CH9" s="315"/>
      <c r="CI9" s="317"/>
      <c r="CK9" s="236">
        <f t="shared" si="0"/>
        <v>1</v>
      </c>
      <c r="CL9" s="237">
        <f t="shared" si="1"/>
        <v>5</v>
      </c>
      <c r="CM9" s="237">
        <f t="shared" si="2"/>
        <v>2</v>
      </c>
      <c r="CN9" s="237">
        <f t="shared" si="3"/>
        <v>4</v>
      </c>
      <c r="CO9" s="238">
        <f t="shared" si="4"/>
        <v>4</v>
      </c>
      <c r="CQ9" s="236" t="str">
        <f>desired_skills(C9,"Systemen/Bert+","o")</f>
        <v/>
      </c>
      <c r="CR9" s="237" t="str">
        <f>desired_skills(C9,"Systemen/Bert+","j")</f>
        <v/>
      </c>
      <c r="CS9" s="237" t="str">
        <f>desired_skills(C9,"Systemen/Bert+","m")</f>
        <v/>
      </c>
      <c r="CT9" s="237" t="str">
        <f>desired_skills(C9,"Systemen/Bert+","s")</f>
        <v/>
      </c>
      <c r="CU9" s="238" t="str">
        <f>desired_skills(C9,"Systemen/Bert+","e")</f>
        <v/>
      </c>
      <c r="CW9" s="236" t="str">
        <f>calc_gap('Matrix 171007_1827'!$CK$9,'Matrix 171007_1827'!$CQ$9)</f>
        <v/>
      </c>
      <c r="CX9" s="237" t="str">
        <f>calc_gap('Matrix 171007_1827'!$CL$9,'Matrix 171007_1827'!$CR$9)</f>
        <v/>
      </c>
      <c r="CY9" s="237" t="str">
        <f>calc_gap('Matrix 171007_1827'!$CM$9,'Matrix 171007_1827'!$CS$9)</f>
        <v/>
      </c>
      <c r="CZ9" s="237" t="str">
        <f>calc_gap('Matrix 171007_1827'!$CN$9,'Matrix 171007_1827'!$CT$9)</f>
        <v/>
      </c>
      <c r="DA9" s="238" t="str">
        <f>calc_gap('Matrix 171007_1827'!$CO$9,'Matrix 171007_1827'!$CU$9)</f>
        <v/>
      </c>
    </row>
    <row r="10" spans="1:105" x14ac:dyDescent="0.25">
      <c r="B10" s="435"/>
      <c r="C10" s="291" t="s">
        <v>55</v>
      </c>
      <c r="D10" s="314"/>
      <c r="E10" s="315"/>
      <c r="F10" s="315"/>
      <c r="G10" s="315"/>
      <c r="H10" s="315"/>
      <c r="I10" s="315"/>
      <c r="J10" s="315"/>
      <c r="K10" s="316"/>
      <c r="L10" s="314"/>
      <c r="M10" s="315"/>
      <c r="N10" s="315"/>
      <c r="O10" s="316"/>
      <c r="P10" s="314"/>
      <c r="Q10" s="315"/>
      <c r="R10" s="315"/>
      <c r="S10" s="315"/>
      <c r="T10" s="315"/>
      <c r="U10" s="315"/>
      <c r="V10" s="315"/>
      <c r="W10" s="315"/>
      <c r="X10" s="315"/>
      <c r="Y10" s="315"/>
      <c r="Z10" s="315"/>
      <c r="AA10" s="315"/>
      <c r="AB10" s="315"/>
      <c r="AC10" s="315"/>
      <c r="AD10" s="315"/>
      <c r="AE10" s="315"/>
      <c r="AF10" s="315"/>
      <c r="AG10" s="315"/>
      <c r="AH10" s="315"/>
      <c r="AI10" s="316"/>
      <c r="AJ10" s="314"/>
      <c r="AK10" s="315"/>
      <c r="AL10" s="316"/>
      <c r="AM10" s="314"/>
      <c r="AN10" s="315"/>
      <c r="AO10" s="316"/>
      <c r="AP10" s="314"/>
      <c r="AQ10" s="315"/>
      <c r="AR10" s="315"/>
      <c r="AS10" s="315"/>
      <c r="AT10" s="316"/>
      <c r="AU10" s="314" t="s">
        <v>148</v>
      </c>
      <c r="AV10" s="315" t="s">
        <v>47</v>
      </c>
      <c r="AW10" s="315" t="s">
        <v>150</v>
      </c>
      <c r="AX10" s="315" t="s">
        <v>148</v>
      </c>
      <c r="AY10" s="315" t="s">
        <v>148</v>
      </c>
      <c r="AZ10" s="315"/>
      <c r="BA10" s="315"/>
      <c r="BB10" s="316"/>
      <c r="BC10" s="314" t="s">
        <v>149</v>
      </c>
      <c r="BD10" s="315" t="s">
        <v>148</v>
      </c>
      <c r="BE10" s="315"/>
      <c r="BF10" s="315"/>
      <c r="BG10" s="316"/>
      <c r="BH10" s="314"/>
      <c r="BI10" s="315"/>
      <c r="BJ10" s="316"/>
      <c r="BK10" s="314" t="s">
        <v>148</v>
      </c>
      <c r="BL10" s="315"/>
      <c r="BM10" s="315"/>
      <c r="BN10" s="316"/>
      <c r="BO10" s="314" t="s">
        <v>150</v>
      </c>
      <c r="BP10" s="315" t="s">
        <v>150</v>
      </c>
      <c r="BQ10" s="315" t="s">
        <v>150</v>
      </c>
      <c r="BR10" s="315"/>
      <c r="BS10" s="315" t="s">
        <v>147</v>
      </c>
      <c r="BT10" s="315" t="s">
        <v>150</v>
      </c>
      <c r="BU10" s="315" t="s">
        <v>150</v>
      </c>
      <c r="BV10" s="316"/>
      <c r="BW10" s="314" t="s">
        <v>150</v>
      </c>
      <c r="BX10" s="315" t="s">
        <v>148</v>
      </c>
      <c r="BY10" s="315" t="s">
        <v>47</v>
      </c>
      <c r="BZ10" s="315" t="s">
        <v>150</v>
      </c>
      <c r="CA10" s="315" t="s">
        <v>47</v>
      </c>
      <c r="CB10" s="316" t="s">
        <v>47</v>
      </c>
      <c r="CC10" s="314"/>
      <c r="CD10" s="315"/>
      <c r="CE10" s="316"/>
      <c r="CF10" s="314"/>
      <c r="CG10" s="315"/>
      <c r="CH10" s="315"/>
      <c r="CI10" s="317"/>
      <c r="CK10" s="236">
        <f t="shared" si="0"/>
        <v>1</v>
      </c>
      <c r="CL10" s="237">
        <f t="shared" si="1"/>
        <v>1</v>
      </c>
      <c r="CM10" s="237">
        <f t="shared" si="2"/>
        <v>6</v>
      </c>
      <c r="CN10" s="237">
        <f t="shared" si="3"/>
        <v>8</v>
      </c>
      <c r="CO10" s="238">
        <f t="shared" si="4"/>
        <v>4</v>
      </c>
      <c r="CQ10" s="236" t="str">
        <f>desired_skills(C10,"Systemen/Rapportageserver","o")</f>
        <v>6</v>
      </c>
      <c r="CR10" s="237" t="str">
        <f>desired_skills(C10,"Systemen/Rapportageserver","j")</f>
        <v/>
      </c>
      <c r="CS10" s="237" t="str">
        <f>desired_skills(C10,"Systemen/Rapportageserver","m")</f>
        <v/>
      </c>
      <c r="CT10" s="237" t="str">
        <f>desired_skills(C10,"Systemen/Rapportageserver","s")</f>
        <v/>
      </c>
      <c r="CU10" s="238" t="str">
        <f>desired_skills(C10,"Systemen/Rapportageserver","e")</f>
        <v/>
      </c>
      <c r="CW10" s="236" t="str">
        <f>calc_gap('Matrix 171007_1827'!$CK$10,'Matrix 171007_1827'!$CQ$10)</f>
        <v>5</v>
      </c>
      <c r="CX10" s="237" t="str">
        <f>calc_gap('Matrix 171007_1827'!$CL$10,'Matrix 171007_1827'!$CR$10)</f>
        <v/>
      </c>
      <c r="CY10" s="237" t="str">
        <f>calc_gap('Matrix 171007_1827'!$CM$10,'Matrix 171007_1827'!$CS$10)</f>
        <v/>
      </c>
      <c r="CZ10" s="237" t="str">
        <f>calc_gap('Matrix 171007_1827'!$CN$10,'Matrix 171007_1827'!$CT$10)</f>
        <v/>
      </c>
      <c r="DA10" s="238" t="str">
        <f>calc_gap('Matrix 171007_1827'!$CO$10,'Matrix 171007_1827'!$CU$10)</f>
        <v/>
      </c>
    </row>
    <row r="11" spans="1:105" x14ac:dyDescent="0.25">
      <c r="B11" s="435"/>
      <c r="C11" s="291" t="s">
        <v>56</v>
      </c>
      <c r="D11" s="314"/>
      <c r="E11" s="315"/>
      <c r="F11" s="315"/>
      <c r="G11" s="315"/>
      <c r="H11" s="315"/>
      <c r="I11" s="315"/>
      <c r="J11" s="315"/>
      <c r="K11" s="316"/>
      <c r="L11" s="314"/>
      <c r="M11" s="315"/>
      <c r="N11" s="315"/>
      <c r="O11" s="316"/>
      <c r="P11" s="314"/>
      <c r="Q11" s="315"/>
      <c r="R11" s="315"/>
      <c r="S11" s="315"/>
      <c r="T11" s="315"/>
      <c r="U11" s="315"/>
      <c r="V11" s="315"/>
      <c r="W11" s="315"/>
      <c r="X11" s="315"/>
      <c r="Y11" s="315"/>
      <c r="Z11" s="315"/>
      <c r="AA11" s="315"/>
      <c r="AB11" s="315"/>
      <c r="AC11" s="315"/>
      <c r="AD11" s="315"/>
      <c r="AE11" s="315"/>
      <c r="AF11" s="315"/>
      <c r="AG11" s="315"/>
      <c r="AH11" s="315"/>
      <c r="AI11" s="316"/>
      <c r="AJ11" s="314"/>
      <c r="AK11" s="315"/>
      <c r="AL11" s="316"/>
      <c r="AM11" s="314"/>
      <c r="AN11" s="315"/>
      <c r="AO11" s="316"/>
      <c r="AP11" s="314"/>
      <c r="AQ11" s="315"/>
      <c r="AR11" s="315"/>
      <c r="AS11" s="315"/>
      <c r="AT11" s="316"/>
      <c r="AU11" s="314"/>
      <c r="AV11" s="315" t="s">
        <v>147</v>
      </c>
      <c r="AW11" s="315" t="s">
        <v>147</v>
      </c>
      <c r="AX11" s="315" t="s">
        <v>147</v>
      </c>
      <c r="AY11" s="315" t="s">
        <v>147</v>
      </c>
      <c r="AZ11" s="315"/>
      <c r="BA11" s="315"/>
      <c r="BB11" s="316"/>
      <c r="BC11" s="314" t="s">
        <v>149</v>
      </c>
      <c r="BD11" s="315" t="s">
        <v>149</v>
      </c>
      <c r="BE11" s="315"/>
      <c r="BF11" s="315"/>
      <c r="BG11" s="316"/>
      <c r="BH11" s="314"/>
      <c r="BI11" s="315"/>
      <c r="BJ11" s="316"/>
      <c r="BK11" s="314"/>
      <c r="BL11" s="315"/>
      <c r="BM11" s="315"/>
      <c r="BN11" s="316"/>
      <c r="BO11" s="314"/>
      <c r="BP11" s="315"/>
      <c r="BQ11" s="315"/>
      <c r="BR11" s="315"/>
      <c r="BS11" s="315" t="s">
        <v>149</v>
      </c>
      <c r="BT11" s="315" t="s">
        <v>149</v>
      </c>
      <c r="BU11" s="315" t="s">
        <v>147</v>
      </c>
      <c r="BV11" s="316"/>
      <c r="BW11" s="314" t="s">
        <v>149</v>
      </c>
      <c r="BX11" s="315"/>
      <c r="BY11" s="315"/>
      <c r="BZ11" s="315" t="s">
        <v>149</v>
      </c>
      <c r="CA11" s="315"/>
      <c r="CB11" s="316"/>
      <c r="CC11" s="314"/>
      <c r="CD11" s="315" t="s">
        <v>147</v>
      </c>
      <c r="CE11" s="316"/>
      <c r="CF11" s="314"/>
      <c r="CG11" s="315"/>
      <c r="CH11" s="315"/>
      <c r="CI11" s="317"/>
      <c r="CK11" s="236">
        <f t="shared" si="0"/>
        <v>6</v>
      </c>
      <c r="CL11" s="237">
        <f t="shared" si="1"/>
        <v>6</v>
      </c>
      <c r="CM11" s="237" t="str">
        <f t="shared" si="2"/>
        <v/>
      </c>
      <c r="CN11" s="237" t="str">
        <f t="shared" si="3"/>
        <v/>
      </c>
      <c r="CO11" s="238" t="str">
        <f t="shared" si="4"/>
        <v/>
      </c>
      <c r="CQ11" s="236" t="str">
        <f>desired_skills(C11,"Systemen/Splunk","o")</f>
        <v/>
      </c>
      <c r="CR11" s="237" t="str">
        <f>desired_skills(C11,"Systemen/Splunk","j")</f>
        <v>7</v>
      </c>
      <c r="CS11" s="237" t="str">
        <f>desired_skills(C11,"Systemen/Splunk","m")</f>
        <v/>
      </c>
      <c r="CT11" s="237" t="str">
        <f>desired_skills(C11,"Systemen/Splunk","s")</f>
        <v/>
      </c>
      <c r="CU11" s="238" t="str">
        <f>desired_skills(C11,"Systemen/Splunk","e")</f>
        <v/>
      </c>
      <c r="CW11" s="236" t="str">
        <f>calc_gap('Matrix 171007_1827'!$CK$11,'Matrix 171007_1827'!$CQ$11)</f>
        <v/>
      </c>
      <c r="CX11" s="237" t="str">
        <f>calc_gap('Matrix 171007_1827'!$CL$11,'Matrix 171007_1827'!$CR$11)</f>
        <v>1</v>
      </c>
      <c r="CY11" s="237" t="str">
        <f>calc_gap('Matrix 171007_1827'!$CM$11,'Matrix 171007_1827'!$CS$11)</f>
        <v/>
      </c>
      <c r="CZ11" s="237" t="str">
        <f>calc_gap('Matrix 171007_1827'!$CN$11,'Matrix 171007_1827'!$CT$11)</f>
        <v/>
      </c>
      <c r="DA11" s="238" t="str">
        <f>calc_gap('Matrix 171007_1827'!$CO$11,'Matrix 171007_1827'!$CU$11)</f>
        <v/>
      </c>
    </row>
    <row r="12" spans="1:105" x14ac:dyDescent="0.25">
      <c r="B12" s="435"/>
      <c r="C12" s="291" t="s">
        <v>57</v>
      </c>
      <c r="D12" s="314"/>
      <c r="E12" s="315"/>
      <c r="F12" s="315"/>
      <c r="G12" s="315"/>
      <c r="H12" s="315"/>
      <c r="I12" s="315"/>
      <c r="J12" s="315"/>
      <c r="K12" s="316"/>
      <c r="L12" s="314"/>
      <c r="M12" s="315"/>
      <c r="N12" s="315"/>
      <c r="O12" s="316"/>
      <c r="P12" s="314"/>
      <c r="Q12" s="315"/>
      <c r="R12" s="315"/>
      <c r="S12" s="315"/>
      <c r="T12" s="315"/>
      <c r="U12" s="315"/>
      <c r="V12" s="315"/>
      <c r="W12" s="315"/>
      <c r="X12" s="315"/>
      <c r="Y12" s="315"/>
      <c r="Z12" s="315"/>
      <c r="AA12" s="315"/>
      <c r="AB12" s="315"/>
      <c r="AC12" s="315"/>
      <c r="AD12" s="315"/>
      <c r="AE12" s="315"/>
      <c r="AF12" s="315"/>
      <c r="AG12" s="315"/>
      <c r="AH12" s="315"/>
      <c r="AI12" s="316"/>
      <c r="AJ12" s="314"/>
      <c r="AK12" s="315"/>
      <c r="AL12" s="316"/>
      <c r="AM12" s="314"/>
      <c r="AN12" s="315"/>
      <c r="AO12" s="316"/>
      <c r="AP12" s="314"/>
      <c r="AQ12" s="315"/>
      <c r="AR12" s="315"/>
      <c r="AS12" s="315"/>
      <c r="AT12" s="316"/>
      <c r="AU12" s="314" t="s">
        <v>148</v>
      </c>
      <c r="AV12" s="315" t="s">
        <v>149</v>
      </c>
      <c r="AW12" s="315" t="s">
        <v>149</v>
      </c>
      <c r="AX12" s="315" t="s">
        <v>147</v>
      </c>
      <c r="AY12" s="315" t="s">
        <v>147</v>
      </c>
      <c r="AZ12" s="315"/>
      <c r="BA12" s="315"/>
      <c r="BB12" s="316" t="s">
        <v>147</v>
      </c>
      <c r="BC12" s="314" t="s">
        <v>149</v>
      </c>
      <c r="BD12" s="315" t="s">
        <v>149</v>
      </c>
      <c r="BE12" s="315"/>
      <c r="BF12" s="315"/>
      <c r="BG12" s="316"/>
      <c r="BH12" s="314"/>
      <c r="BI12" s="315"/>
      <c r="BJ12" s="316"/>
      <c r="BK12" s="314"/>
      <c r="BL12" s="315"/>
      <c r="BM12" s="315"/>
      <c r="BN12" s="316"/>
      <c r="BO12" s="314"/>
      <c r="BP12" s="315"/>
      <c r="BQ12" s="315"/>
      <c r="BR12" s="315"/>
      <c r="BS12" s="315"/>
      <c r="BT12" s="315"/>
      <c r="BU12" s="315" t="s">
        <v>147</v>
      </c>
      <c r="BV12" s="316"/>
      <c r="BW12" s="314" t="s">
        <v>149</v>
      </c>
      <c r="BX12" s="315"/>
      <c r="BY12" s="315"/>
      <c r="BZ12" s="315"/>
      <c r="CA12" s="315"/>
      <c r="CB12" s="316"/>
      <c r="CC12" s="314"/>
      <c r="CD12" s="315"/>
      <c r="CE12" s="316"/>
      <c r="CF12" s="314"/>
      <c r="CG12" s="315"/>
      <c r="CH12" s="315"/>
      <c r="CI12" s="317"/>
      <c r="CK12" s="236">
        <f t="shared" si="0"/>
        <v>5</v>
      </c>
      <c r="CL12" s="237">
        <f t="shared" si="1"/>
        <v>4</v>
      </c>
      <c r="CM12" s="237">
        <f t="shared" si="2"/>
        <v>1</v>
      </c>
      <c r="CN12" s="237" t="str">
        <f t="shared" si="3"/>
        <v/>
      </c>
      <c r="CO12" s="238" t="str">
        <f t="shared" si="4"/>
        <v/>
      </c>
      <c r="CQ12" s="236" t="str">
        <f>desired_skills(C12,"Systemen/Dell One Identity","o")</f>
        <v/>
      </c>
      <c r="CR12" s="237" t="str">
        <f>desired_skills(C12,"Systemen/Dell One Identity","j")</f>
        <v/>
      </c>
      <c r="CS12" s="237" t="str">
        <f>desired_skills(C12,"Systemen/Dell One Identity","m")</f>
        <v>8</v>
      </c>
      <c r="CT12" s="237" t="str">
        <f>desired_skills(C12,"Systemen/Dell One Identity","s")</f>
        <v/>
      </c>
      <c r="CU12" s="238" t="str">
        <f>desired_skills(C12,"Systemen/Dell One Identity","e")</f>
        <v/>
      </c>
      <c r="CW12" s="236" t="str">
        <f>calc_gap('Matrix 171007_1827'!$CK$12,'Matrix 171007_1827'!$CQ$12)</f>
        <v/>
      </c>
      <c r="CX12" s="237" t="str">
        <f>calc_gap('Matrix 171007_1827'!$CL$12,'Matrix 171007_1827'!$CR$12)</f>
        <v/>
      </c>
      <c r="CY12" s="237" t="str">
        <f>calc_gap('Matrix 171007_1827'!$CM$12,'Matrix 171007_1827'!$CS$12)</f>
        <v>7</v>
      </c>
      <c r="CZ12" s="237" t="str">
        <f>calc_gap('Matrix 171007_1827'!$CN$12,'Matrix 171007_1827'!$CT$12)</f>
        <v/>
      </c>
      <c r="DA12" s="238" t="str">
        <f>calc_gap('Matrix 171007_1827'!$CO$12,'Matrix 171007_1827'!$CU$12)</f>
        <v/>
      </c>
    </row>
    <row r="13" spans="1:105" x14ac:dyDescent="0.25">
      <c r="B13" s="435"/>
      <c r="C13" s="291" t="s">
        <v>58</v>
      </c>
      <c r="D13" s="314"/>
      <c r="E13" s="315"/>
      <c r="F13" s="315"/>
      <c r="G13" s="315"/>
      <c r="H13" s="315"/>
      <c r="I13" s="315"/>
      <c r="J13" s="315"/>
      <c r="K13" s="316"/>
      <c r="L13" s="314"/>
      <c r="M13" s="315"/>
      <c r="N13" s="315"/>
      <c r="O13" s="316"/>
      <c r="P13" s="314"/>
      <c r="Q13" s="315"/>
      <c r="R13" s="315"/>
      <c r="S13" s="315"/>
      <c r="T13" s="315"/>
      <c r="U13" s="315"/>
      <c r="V13" s="315"/>
      <c r="W13" s="315"/>
      <c r="X13" s="315"/>
      <c r="Y13" s="315"/>
      <c r="Z13" s="315"/>
      <c r="AA13" s="315"/>
      <c r="AB13" s="315"/>
      <c r="AC13" s="315"/>
      <c r="AD13" s="315"/>
      <c r="AE13" s="315"/>
      <c r="AF13" s="315"/>
      <c r="AG13" s="315"/>
      <c r="AH13" s="315"/>
      <c r="AI13" s="316"/>
      <c r="AJ13" s="314"/>
      <c r="AK13" s="315"/>
      <c r="AL13" s="316"/>
      <c r="AM13" s="314"/>
      <c r="AN13" s="315"/>
      <c r="AO13" s="316"/>
      <c r="AP13" s="314"/>
      <c r="AQ13" s="315"/>
      <c r="AR13" s="315"/>
      <c r="AS13" s="315"/>
      <c r="AT13" s="316"/>
      <c r="AU13" s="314" t="s">
        <v>150</v>
      </c>
      <c r="AV13" s="315" t="s">
        <v>148</v>
      </c>
      <c r="AW13" s="315" t="s">
        <v>147</v>
      </c>
      <c r="AX13" s="315" t="s">
        <v>150</v>
      </c>
      <c r="AY13" s="315" t="s">
        <v>147</v>
      </c>
      <c r="AZ13" s="315"/>
      <c r="BA13" s="315"/>
      <c r="BB13" s="316" t="s">
        <v>147</v>
      </c>
      <c r="BC13" s="314" t="s">
        <v>150</v>
      </c>
      <c r="BD13" s="315" t="s">
        <v>147</v>
      </c>
      <c r="BE13" s="315"/>
      <c r="BF13" s="315"/>
      <c r="BG13" s="316"/>
      <c r="BH13" s="314"/>
      <c r="BI13" s="315"/>
      <c r="BJ13" s="316"/>
      <c r="BK13" s="314"/>
      <c r="BL13" s="315"/>
      <c r="BM13" s="315"/>
      <c r="BN13" s="316"/>
      <c r="BO13" s="314"/>
      <c r="BP13" s="315"/>
      <c r="BQ13" s="315" t="s">
        <v>147</v>
      </c>
      <c r="BR13" s="315"/>
      <c r="BS13" s="315"/>
      <c r="BT13" s="315"/>
      <c r="BU13" s="315" t="s">
        <v>148</v>
      </c>
      <c r="BV13" s="316"/>
      <c r="BW13" s="314"/>
      <c r="BX13" s="315"/>
      <c r="BY13" s="315" t="s">
        <v>150</v>
      </c>
      <c r="BZ13" s="315"/>
      <c r="CA13" s="315" t="s">
        <v>150</v>
      </c>
      <c r="CB13" s="316" t="s">
        <v>150</v>
      </c>
      <c r="CC13" s="314"/>
      <c r="CD13" s="315"/>
      <c r="CE13" s="316"/>
      <c r="CF13" s="314"/>
      <c r="CG13" s="315"/>
      <c r="CH13" s="315"/>
      <c r="CI13" s="317"/>
      <c r="CK13" s="236" t="str">
        <f t="shared" si="0"/>
        <v/>
      </c>
      <c r="CL13" s="237">
        <f t="shared" si="1"/>
        <v>5</v>
      </c>
      <c r="CM13" s="237">
        <f t="shared" si="2"/>
        <v>2</v>
      </c>
      <c r="CN13" s="237">
        <f t="shared" si="3"/>
        <v>6</v>
      </c>
      <c r="CO13" s="238" t="str">
        <f t="shared" si="4"/>
        <v/>
      </c>
      <c r="CQ13" s="236" t="str">
        <f>desired_skills(C13,"Systemen/RSA","o")</f>
        <v/>
      </c>
      <c r="CR13" s="237" t="str">
        <f>desired_skills(C13,"Systemen/RSA","j")</f>
        <v/>
      </c>
      <c r="CS13" s="237" t="str">
        <f>desired_skills(C13,"Systemen/RSA","m")</f>
        <v/>
      </c>
      <c r="CT13" s="237" t="str">
        <f>desired_skills(C13,"Systemen/RSA","s")</f>
        <v>9</v>
      </c>
      <c r="CU13" s="238" t="str">
        <f>desired_skills(C13,"Systemen/RSA","e")</f>
        <v/>
      </c>
      <c r="CW13" s="236" t="str">
        <f>calc_gap('Matrix 171007_1827'!$CK$13,'Matrix 171007_1827'!$CQ$13)</f>
        <v/>
      </c>
      <c r="CX13" s="237" t="str">
        <f>calc_gap('Matrix 171007_1827'!$CL$13,'Matrix 171007_1827'!$CR$13)</f>
        <v/>
      </c>
      <c r="CY13" s="237" t="str">
        <f>calc_gap('Matrix 171007_1827'!$CM$13,'Matrix 171007_1827'!$CS$13)</f>
        <v/>
      </c>
      <c r="CZ13" s="237" t="str">
        <f>calc_gap('Matrix 171007_1827'!$CN$13,'Matrix 171007_1827'!$CT$13)</f>
        <v>3</v>
      </c>
      <c r="DA13" s="238" t="str">
        <f>calc_gap('Matrix 171007_1827'!$CO$13,'Matrix 171007_1827'!$CU$13)</f>
        <v/>
      </c>
    </row>
    <row r="14" spans="1:105" x14ac:dyDescent="0.25">
      <c r="B14" s="435"/>
      <c r="C14" s="291" t="s">
        <v>59</v>
      </c>
      <c r="D14" s="314"/>
      <c r="E14" s="315"/>
      <c r="F14" s="315"/>
      <c r="G14" s="315"/>
      <c r="H14" s="315"/>
      <c r="I14" s="315"/>
      <c r="J14" s="315"/>
      <c r="K14" s="316"/>
      <c r="L14" s="314"/>
      <c r="M14" s="315"/>
      <c r="N14" s="315"/>
      <c r="O14" s="316"/>
      <c r="P14" s="314"/>
      <c r="Q14" s="315"/>
      <c r="R14" s="315"/>
      <c r="S14" s="315"/>
      <c r="T14" s="315"/>
      <c r="U14" s="315"/>
      <c r="V14" s="315"/>
      <c r="W14" s="315"/>
      <c r="X14" s="315"/>
      <c r="Y14" s="315"/>
      <c r="Z14" s="315"/>
      <c r="AA14" s="315"/>
      <c r="AB14" s="315"/>
      <c r="AC14" s="315"/>
      <c r="AD14" s="315"/>
      <c r="AE14" s="315"/>
      <c r="AF14" s="315"/>
      <c r="AG14" s="315"/>
      <c r="AH14" s="315"/>
      <c r="AI14" s="316"/>
      <c r="AJ14" s="314"/>
      <c r="AK14" s="315"/>
      <c r="AL14" s="316"/>
      <c r="AM14" s="314"/>
      <c r="AN14" s="315"/>
      <c r="AO14" s="316"/>
      <c r="AP14" s="314"/>
      <c r="AQ14" s="315"/>
      <c r="AR14" s="315"/>
      <c r="AS14" s="315"/>
      <c r="AT14" s="316"/>
      <c r="AU14" s="314" t="s">
        <v>150</v>
      </c>
      <c r="AV14" s="315" t="s">
        <v>150</v>
      </c>
      <c r="AW14" s="315" t="s">
        <v>149</v>
      </c>
      <c r="AX14" s="315" t="s">
        <v>148</v>
      </c>
      <c r="AY14" s="315" t="s">
        <v>147</v>
      </c>
      <c r="AZ14" s="315"/>
      <c r="BA14" s="315"/>
      <c r="BB14" s="316"/>
      <c r="BC14" s="314" t="s">
        <v>148</v>
      </c>
      <c r="BD14" s="315" t="s">
        <v>148</v>
      </c>
      <c r="BE14" s="315"/>
      <c r="BF14" s="315"/>
      <c r="BG14" s="316"/>
      <c r="BH14" s="314"/>
      <c r="BI14" s="315"/>
      <c r="BJ14" s="316"/>
      <c r="BK14" s="314"/>
      <c r="BL14" s="315"/>
      <c r="BM14" s="315"/>
      <c r="BN14" s="316"/>
      <c r="BO14" s="314" t="s">
        <v>150</v>
      </c>
      <c r="BP14" s="315" t="s">
        <v>150</v>
      </c>
      <c r="BQ14" s="315" t="s">
        <v>150</v>
      </c>
      <c r="BR14" s="315"/>
      <c r="BS14" s="315" t="s">
        <v>148</v>
      </c>
      <c r="BT14" s="315" t="s">
        <v>47</v>
      </c>
      <c r="BU14" s="315" t="s">
        <v>148</v>
      </c>
      <c r="BV14" s="316"/>
      <c r="BW14" s="314" t="s">
        <v>150</v>
      </c>
      <c r="BX14" s="315"/>
      <c r="BY14" s="315" t="s">
        <v>150</v>
      </c>
      <c r="BZ14" s="315" t="s">
        <v>150</v>
      </c>
      <c r="CA14" s="315" t="s">
        <v>150</v>
      </c>
      <c r="CB14" s="316" t="s">
        <v>150</v>
      </c>
      <c r="CC14" s="314"/>
      <c r="CD14" s="315"/>
      <c r="CE14" s="316"/>
      <c r="CF14" s="314"/>
      <c r="CG14" s="315"/>
      <c r="CH14" s="315"/>
      <c r="CI14" s="317"/>
      <c r="CK14" s="236">
        <f t="shared" si="0"/>
        <v>1</v>
      </c>
      <c r="CL14" s="237">
        <f t="shared" si="1"/>
        <v>1</v>
      </c>
      <c r="CM14" s="237">
        <f t="shared" si="2"/>
        <v>5</v>
      </c>
      <c r="CN14" s="237">
        <f t="shared" si="3"/>
        <v>10</v>
      </c>
      <c r="CO14" s="238">
        <f t="shared" si="4"/>
        <v>1</v>
      </c>
      <c r="CQ14" s="236" t="str">
        <f>desired_skills(C14,"Systemen/RWA","o")</f>
        <v/>
      </c>
      <c r="CR14" s="237" t="str">
        <f>desired_skills(C14,"Systemen/RWA","j")</f>
        <v/>
      </c>
      <c r="CS14" s="237" t="str">
        <f>desired_skills(C14,"Systemen/RWA","m")</f>
        <v/>
      </c>
      <c r="CT14" s="237" t="str">
        <f>desired_skills(C14,"Systemen/RWA","s")</f>
        <v/>
      </c>
      <c r="CU14" s="238" t="str">
        <f>desired_skills(C14,"Systemen/RWA","e")</f>
        <v>10</v>
      </c>
      <c r="CW14" s="236" t="str">
        <f>calc_gap('Matrix 171007_1827'!$CK$14,'Matrix 171007_1827'!$CQ$14)</f>
        <v/>
      </c>
      <c r="CX14" s="237" t="str">
        <f>calc_gap('Matrix 171007_1827'!$CL$14,'Matrix 171007_1827'!$CR$14)</f>
        <v/>
      </c>
      <c r="CY14" s="237" t="str">
        <f>calc_gap('Matrix 171007_1827'!$CM$14,'Matrix 171007_1827'!$CS$14)</f>
        <v/>
      </c>
      <c r="CZ14" s="237" t="str">
        <f>calc_gap('Matrix 171007_1827'!$CN$14,'Matrix 171007_1827'!$CT$14)</f>
        <v/>
      </c>
      <c r="DA14" s="238" t="str">
        <f>calc_gap('Matrix 171007_1827'!$CO$14,'Matrix 171007_1827'!$CU$14)</f>
        <v>9</v>
      </c>
    </row>
    <row r="15" spans="1:105" x14ac:dyDescent="0.25">
      <c r="B15" s="435"/>
      <c r="C15" s="291" t="s">
        <v>60</v>
      </c>
      <c r="D15" s="314"/>
      <c r="E15" s="315"/>
      <c r="F15" s="315"/>
      <c r="G15" s="315"/>
      <c r="H15" s="315"/>
      <c r="I15" s="315"/>
      <c r="J15" s="315"/>
      <c r="K15" s="316"/>
      <c r="L15" s="314"/>
      <c r="M15" s="315"/>
      <c r="N15" s="315"/>
      <c r="O15" s="316"/>
      <c r="P15" s="314"/>
      <c r="Q15" s="315"/>
      <c r="R15" s="315"/>
      <c r="S15" s="315"/>
      <c r="T15" s="315"/>
      <c r="U15" s="315"/>
      <c r="V15" s="315"/>
      <c r="W15" s="315"/>
      <c r="X15" s="315"/>
      <c r="Y15" s="315"/>
      <c r="Z15" s="315"/>
      <c r="AA15" s="315"/>
      <c r="AB15" s="315"/>
      <c r="AC15" s="315"/>
      <c r="AD15" s="315"/>
      <c r="AE15" s="315"/>
      <c r="AF15" s="315"/>
      <c r="AG15" s="315"/>
      <c r="AH15" s="315"/>
      <c r="AI15" s="316"/>
      <c r="AJ15" s="314"/>
      <c r="AK15" s="315"/>
      <c r="AL15" s="316"/>
      <c r="AM15" s="314"/>
      <c r="AN15" s="315"/>
      <c r="AO15" s="316"/>
      <c r="AP15" s="314"/>
      <c r="AQ15" s="315"/>
      <c r="AR15" s="315"/>
      <c r="AS15" s="315"/>
      <c r="AT15" s="316"/>
      <c r="AU15" s="314" t="s">
        <v>150</v>
      </c>
      <c r="AV15" s="315" t="s">
        <v>148</v>
      </c>
      <c r="AW15" s="315" t="s">
        <v>148</v>
      </c>
      <c r="AX15" s="315" t="s">
        <v>148</v>
      </c>
      <c r="AY15" s="315" t="s">
        <v>148</v>
      </c>
      <c r="AZ15" s="315"/>
      <c r="BA15" s="315"/>
      <c r="BB15" s="316" t="s">
        <v>147</v>
      </c>
      <c r="BC15" s="314" t="s">
        <v>150</v>
      </c>
      <c r="BD15" s="315" t="s">
        <v>148</v>
      </c>
      <c r="BE15" s="315"/>
      <c r="BF15" s="315"/>
      <c r="BG15" s="316"/>
      <c r="BH15" s="314"/>
      <c r="BI15" s="315"/>
      <c r="BJ15" s="316"/>
      <c r="BK15" s="314"/>
      <c r="BL15" s="315"/>
      <c r="BM15" s="315"/>
      <c r="BN15" s="316"/>
      <c r="BO15" s="314" t="s">
        <v>148</v>
      </c>
      <c r="BP15" s="315"/>
      <c r="BQ15" s="315" t="s">
        <v>150</v>
      </c>
      <c r="BR15" s="315"/>
      <c r="BS15" s="315" t="s">
        <v>147</v>
      </c>
      <c r="BT15" s="315" t="s">
        <v>150</v>
      </c>
      <c r="BU15" s="315" t="s">
        <v>150</v>
      </c>
      <c r="BV15" s="316"/>
      <c r="BW15" s="314" t="s">
        <v>150</v>
      </c>
      <c r="BX15" s="315"/>
      <c r="BY15" s="315" t="s">
        <v>150</v>
      </c>
      <c r="BZ15" s="315" t="s">
        <v>150</v>
      </c>
      <c r="CA15" s="315" t="s">
        <v>150</v>
      </c>
      <c r="CB15" s="316" t="s">
        <v>150</v>
      </c>
      <c r="CC15" s="314"/>
      <c r="CD15" s="315"/>
      <c r="CE15" s="316"/>
      <c r="CF15" s="314"/>
      <c r="CG15" s="315"/>
      <c r="CH15" s="315"/>
      <c r="CI15" s="317"/>
      <c r="CK15" s="236" t="str">
        <f t="shared" si="0"/>
        <v/>
      </c>
      <c r="CL15" s="237">
        <f t="shared" si="1"/>
        <v>2</v>
      </c>
      <c r="CM15" s="237">
        <f t="shared" si="2"/>
        <v>6</v>
      </c>
      <c r="CN15" s="237">
        <f t="shared" si="3"/>
        <v>10</v>
      </c>
      <c r="CO15" s="238" t="str">
        <f t="shared" si="4"/>
        <v/>
      </c>
      <c r="CQ15" s="236" t="str">
        <f>desired_skills(C15,"Systemen/Integraal IAM landschap","o")</f>
        <v/>
      </c>
      <c r="CR15" s="237" t="str">
        <f>desired_skills(C15,"Systemen/Integraal IAM landschap","j")</f>
        <v/>
      </c>
      <c r="CS15" s="237" t="str">
        <f>desired_skills(C15,"Systemen/Integraal IAM landschap","m")</f>
        <v/>
      </c>
      <c r="CT15" s="237" t="str">
        <f>desired_skills(C15,"Systemen/Integraal IAM landschap","s")</f>
        <v/>
      </c>
      <c r="CU15" s="238" t="str">
        <f>desired_skills(C15,"Systemen/Integraal IAM landschap","e")</f>
        <v/>
      </c>
      <c r="CW15" s="236" t="str">
        <f>calc_gap('Matrix 171007_1827'!$CK$15,'Matrix 171007_1827'!$CQ$15)</f>
        <v/>
      </c>
      <c r="CX15" s="237" t="str">
        <f>calc_gap('Matrix 171007_1827'!$CL$15,'Matrix 171007_1827'!$CR$15)</f>
        <v/>
      </c>
      <c r="CY15" s="237" t="str">
        <f>calc_gap('Matrix 171007_1827'!$CM$15,'Matrix 171007_1827'!$CS$15)</f>
        <v/>
      </c>
      <c r="CZ15" s="237" t="str">
        <f>calc_gap('Matrix 171007_1827'!$CN$15,'Matrix 171007_1827'!$CT$15)</f>
        <v/>
      </c>
      <c r="DA15" s="238" t="str">
        <f>calc_gap('Matrix 171007_1827'!$CO$15,'Matrix 171007_1827'!$CU$15)</f>
        <v/>
      </c>
    </row>
    <row r="16" spans="1:105" ht="15.75" thickBot="1" x14ac:dyDescent="0.3">
      <c r="B16" s="435"/>
      <c r="C16" s="292" t="s">
        <v>61</v>
      </c>
      <c r="D16" s="318"/>
      <c r="E16" s="319"/>
      <c r="F16" s="319"/>
      <c r="G16" s="319"/>
      <c r="H16" s="319"/>
      <c r="I16" s="319"/>
      <c r="J16" s="319"/>
      <c r="K16" s="320"/>
      <c r="L16" s="318"/>
      <c r="M16" s="319"/>
      <c r="N16" s="319"/>
      <c r="O16" s="320"/>
      <c r="P16" s="318"/>
      <c r="Q16" s="319"/>
      <c r="R16" s="319"/>
      <c r="S16" s="319"/>
      <c r="T16" s="319"/>
      <c r="U16" s="319"/>
      <c r="V16" s="319"/>
      <c r="W16" s="319"/>
      <c r="X16" s="319"/>
      <c r="Y16" s="319"/>
      <c r="Z16" s="319"/>
      <c r="AA16" s="319"/>
      <c r="AB16" s="319"/>
      <c r="AC16" s="319"/>
      <c r="AD16" s="319"/>
      <c r="AE16" s="319"/>
      <c r="AF16" s="319"/>
      <c r="AG16" s="319"/>
      <c r="AH16" s="319"/>
      <c r="AI16" s="320"/>
      <c r="AJ16" s="318"/>
      <c r="AK16" s="319"/>
      <c r="AL16" s="320"/>
      <c r="AM16" s="318"/>
      <c r="AN16" s="319"/>
      <c r="AO16" s="320"/>
      <c r="AP16" s="318"/>
      <c r="AQ16" s="319"/>
      <c r="AR16" s="319"/>
      <c r="AS16" s="319"/>
      <c r="AT16" s="320"/>
      <c r="AU16" s="318" t="s">
        <v>147</v>
      </c>
      <c r="AV16" s="319" t="s">
        <v>147</v>
      </c>
      <c r="AW16" s="319" t="s">
        <v>147</v>
      </c>
      <c r="AX16" s="319" t="s">
        <v>147</v>
      </c>
      <c r="AY16" s="319" t="s">
        <v>147</v>
      </c>
      <c r="AZ16" s="319"/>
      <c r="BA16" s="319"/>
      <c r="BB16" s="320"/>
      <c r="BC16" s="318" t="s">
        <v>147</v>
      </c>
      <c r="BD16" s="319" t="s">
        <v>147</v>
      </c>
      <c r="BE16" s="319"/>
      <c r="BF16" s="319"/>
      <c r="BG16" s="320"/>
      <c r="BH16" s="318"/>
      <c r="BI16" s="319"/>
      <c r="BJ16" s="320"/>
      <c r="BK16" s="318" t="s">
        <v>148</v>
      </c>
      <c r="BL16" s="319"/>
      <c r="BM16" s="319"/>
      <c r="BN16" s="320"/>
      <c r="BO16" s="318" t="s">
        <v>148</v>
      </c>
      <c r="BP16" s="319" t="s">
        <v>150</v>
      </c>
      <c r="BQ16" s="319" t="s">
        <v>150</v>
      </c>
      <c r="BR16" s="319"/>
      <c r="BS16" s="319" t="s">
        <v>147</v>
      </c>
      <c r="BT16" s="319" t="s">
        <v>148</v>
      </c>
      <c r="BU16" s="319" t="s">
        <v>148</v>
      </c>
      <c r="BV16" s="320"/>
      <c r="BW16" s="318" t="s">
        <v>150</v>
      </c>
      <c r="BX16" s="319"/>
      <c r="BY16" s="319" t="s">
        <v>147</v>
      </c>
      <c r="BZ16" s="319" t="s">
        <v>150</v>
      </c>
      <c r="CA16" s="319" t="s">
        <v>147</v>
      </c>
      <c r="CB16" s="320" t="s">
        <v>147</v>
      </c>
      <c r="CC16" s="318"/>
      <c r="CD16" s="319"/>
      <c r="CE16" s="320"/>
      <c r="CF16" s="318"/>
      <c r="CG16" s="319"/>
      <c r="CH16" s="319"/>
      <c r="CI16" s="321"/>
      <c r="CK16" s="239" t="str">
        <f t="shared" si="0"/>
        <v/>
      </c>
      <c r="CL16" s="240">
        <f t="shared" si="1"/>
        <v>11</v>
      </c>
      <c r="CM16" s="240">
        <f t="shared" si="2"/>
        <v>4</v>
      </c>
      <c r="CN16" s="240">
        <f t="shared" si="3"/>
        <v>4</v>
      </c>
      <c r="CO16" s="241" t="str">
        <f t="shared" si="4"/>
        <v/>
      </c>
      <c r="CQ16" s="239" t="str">
        <f>desired_skills(C16,"Systemen/Disconnected applicaties","o")</f>
        <v/>
      </c>
      <c r="CR16" s="240" t="str">
        <f>desired_skills(C16,"Systemen/Disconnected applicaties","j")</f>
        <v/>
      </c>
      <c r="CS16" s="240" t="str">
        <f>desired_skills(C16,"Systemen/Disconnected applicaties","m")</f>
        <v/>
      </c>
      <c r="CT16" s="240" t="str">
        <f>desired_skills(C16,"Systemen/Disconnected applicaties","s")</f>
        <v/>
      </c>
      <c r="CU16" s="241" t="str">
        <f>desired_skills(C16,"Systemen/Disconnected applicaties","e")</f>
        <v/>
      </c>
      <c r="CW16" s="239" t="str">
        <f>calc_gap('Matrix 171007_1827'!$CK$16,'Matrix 171007_1827'!$CQ$16)</f>
        <v/>
      </c>
      <c r="CX16" s="240" t="str">
        <f>calc_gap('Matrix 171007_1827'!$CL$16,'Matrix 171007_1827'!$CR$16)</f>
        <v/>
      </c>
      <c r="CY16" s="240" t="str">
        <f>calc_gap('Matrix 171007_1827'!$CM$16,'Matrix 171007_1827'!$CS$16)</f>
        <v/>
      </c>
      <c r="CZ16" s="240" t="str">
        <f>calc_gap('Matrix 171007_1827'!$CN$16,'Matrix 171007_1827'!$CT$16)</f>
        <v/>
      </c>
      <c r="DA16" s="241" t="str">
        <f>calc_gap('Matrix 171007_1827'!$CO$16,'Matrix 171007_1827'!$CU$16)</f>
        <v/>
      </c>
    </row>
    <row r="17" spans="2:105" ht="12.75" customHeight="1" thickTop="1" thickBot="1" x14ac:dyDescent="0.3">
      <c r="B17" s="436"/>
      <c r="C17" s="248"/>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2"/>
      <c r="CH17" s="322"/>
      <c r="CI17" s="322"/>
      <c r="CK17" s="249"/>
      <c r="CL17" s="249"/>
      <c r="CM17" s="249"/>
      <c r="CN17" s="249"/>
      <c r="CO17" s="249"/>
      <c r="CQ17" s="249"/>
      <c r="CR17" s="249"/>
      <c r="CS17" s="249"/>
      <c r="CT17" s="249"/>
      <c r="CU17" s="249"/>
      <c r="CW17" s="249"/>
      <c r="CX17" s="249"/>
      <c r="CY17" s="249"/>
      <c r="CZ17" s="249"/>
      <c r="DA17" s="249"/>
    </row>
    <row r="18" spans="2:105" ht="15.75" thickTop="1" x14ac:dyDescent="0.25">
      <c r="B18" s="434" t="s">
        <v>62</v>
      </c>
      <c r="C18" s="290" t="s">
        <v>63</v>
      </c>
      <c r="D18" s="310"/>
      <c r="E18" s="311"/>
      <c r="F18" s="311"/>
      <c r="G18" s="311"/>
      <c r="H18" s="311"/>
      <c r="I18" s="311"/>
      <c r="J18" s="311"/>
      <c r="K18" s="312"/>
      <c r="L18" s="310"/>
      <c r="M18" s="311"/>
      <c r="N18" s="311"/>
      <c r="O18" s="312"/>
      <c r="P18" s="310"/>
      <c r="Q18" s="311"/>
      <c r="R18" s="311"/>
      <c r="S18" s="311"/>
      <c r="T18" s="311"/>
      <c r="U18" s="311"/>
      <c r="V18" s="311"/>
      <c r="W18" s="311"/>
      <c r="X18" s="311"/>
      <c r="Y18" s="311"/>
      <c r="Z18" s="311"/>
      <c r="AA18" s="311"/>
      <c r="AB18" s="311"/>
      <c r="AC18" s="311"/>
      <c r="AD18" s="311"/>
      <c r="AE18" s="311"/>
      <c r="AF18" s="311"/>
      <c r="AG18" s="311"/>
      <c r="AH18" s="311"/>
      <c r="AI18" s="312"/>
      <c r="AJ18" s="310"/>
      <c r="AK18" s="311"/>
      <c r="AL18" s="312"/>
      <c r="AM18" s="310"/>
      <c r="AN18" s="311"/>
      <c r="AO18" s="312"/>
      <c r="AP18" s="310"/>
      <c r="AQ18" s="311"/>
      <c r="AR18" s="311"/>
      <c r="AS18" s="311"/>
      <c r="AT18" s="312"/>
      <c r="AU18" s="310" t="s">
        <v>148</v>
      </c>
      <c r="AV18" s="311" t="s">
        <v>150</v>
      </c>
      <c r="AW18" s="311" t="s">
        <v>150</v>
      </c>
      <c r="AX18" s="311" t="s">
        <v>47</v>
      </c>
      <c r="AY18" s="311" t="s">
        <v>47</v>
      </c>
      <c r="AZ18" s="311" t="s">
        <v>148</v>
      </c>
      <c r="BA18" s="311" t="s">
        <v>150</v>
      </c>
      <c r="BB18" s="312" t="s">
        <v>150</v>
      </c>
      <c r="BC18" s="310" t="s">
        <v>148</v>
      </c>
      <c r="BD18" s="311" t="s">
        <v>148</v>
      </c>
      <c r="BE18" s="311"/>
      <c r="BF18" s="311" t="s">
        <v>147</v>
      </c>
      <c r="BG18" s="312"/>
      <c r="BH18" s="310"/>
      <c r="BI18" s="311" t="s">
        <v>148</v>
      </c>
      <c r="BJ18" s="312"/>
      <c r="BK18" s="310" t="s">
        <v>147</v>
      </c>
      <c r="BL18" s="311" t="s">
        <v>148</v>
      </c>
      <c r="BM18" s="311"/>
      <c r="BN18" s="312" t="s">
        <v>149</v>
      </c>
      <c r="BO18" s="310" t="s">
        <v>148</v>
      </c>
      <c r="BP18" s="311"/>
      <c r="BQ18" s="311" t="s">
        <v>148</v>
      </c>
      <c r="BR18" s="311"/>
      <c r="BS18" s="311" t="s">
        <v>149</v>
      </c>
      <c r="BT18" s="311" t="s">
        <v>148</v>
      </c>
      <c r="BU18" s="311" t="s">
        <v>148</v>
      </c>
      <c r="BV18" s="312"/>
      <c r="BW18" s="310" t="s">
        <v>148</v>
      </c>
      <c r="BX18" s="311" t="s">
        <v>148</v>
      </c>
      <c r="BY18" s="311" t="s">
        <v>148</v>
      </c>
      <c r="BZ18" s="311" t="s">
        <v>148</v>
      </c>
      <c r="CA18" s="311" t="s">
        <v>47</v>
      </c>
      <c r="CB18" s="312" t="s">
        <v>150</v>
      </c>
      <c r="CC18" s="310"/>
      <c r="CD18" s="311" t="s">
        <v>148</v>
      </c>
      <c r="CE18" s="312"/>
      <c r="CF18" s="310"/>
      <c r="CG18" s="311"/>
      <c r="CH18" s="311"/>
      <c r="CI18" s="313"/>
      <c r="CK18" s="233">
        <f t="shared" ref="CK18:CK26" si="5">IF(COUNTIF(D18:CI18,"o")&gt;0,COUNTIF(D18:CI18,"o"),"")</f>
        <v>2</v>
      </c>
      <c r="CL18" s="234">
        <f t="shared" ref="CL18:CL26" si="6">IF(COUNTIF(D18:CI18,"j")&gt;0,COUNTIF(D18:CI18,"j"),"")</f>
        <v>2</v>
      </c>
      <c r="CM18" s="234">
        <f t="shared" ref="CM18:CM26" si="7">IF(COUNTIF(D18:CI18,"m")&gt;0,COUNTIF(D18:CI18,"m"),"")</f>
        <v>15</v>
      </c>
      <c r="CN18" s="234">
        <f t="shared" ref="CN18:CN26" si="8">IF(COUNTIF(D18:CI18,"s")&gt;0,COUNTIF(D18:CI18,"s"),"")</f>
        <v>5</v>
      </c>
      <c r="CO18" s="235">
        <f t="shared" ref="CO18:CO26" si="9">IF(COUNTIF(D18:CI18,"e")&gt;0,COUNTIF(D18:CI18,"e"),"")</f>
        <v>3</v>
      </c>
      <c r="CQ18" s="233" t="str">
        <f>desired_skills(C18,"Specifieke Risico / IAM-kennis/IAM beleid","o")</f>
        <v>11</v>
      </c>
      <c r="CR18" s="234" t="str">
        <f>desired_skills(C18,"Specifieke Risico / IAM-kennis/IAM beleid","j")</f>
        <v/>
      </c>
      <c r="CS18" s="234" t="str">
        <f>desired_skills(C18,"Specifieke Risico / IAM-kennis/IAM beleid","m")</f>
        <v/>
      </c>
      <c r="CT18" s="234" t="str">
        <f>desired_skills(C18,"Specifieke Risico / IAM-kennis/IAM beleid","s")</f>
        <v/>
      </c>
      <c r="CU18" s="235" t="str">
        <f>desired_skills(C18,"Specifieke Risico / IAM-kennis/IAM beleid","e")</f>
        <v/>
      </c>
      <c r="CW18" s="233" t="str">
        <f>calc_gap('Matrix 171007_1827'!$CK$18,'Matrix 171007_1827'!$CQ$18)</f>
        <v>9</v>
      </c>
      <c r="CX18" s="234" t="str">
        <f>calc_gap('Matrix 171007_1827'!$CL$18,'Matrix 171007_1827'!$CR$18)</f>
        <v/>
      </c>
      <c r="CY18" s="234" t="str">
        <f>calc_gap('Matrix 171007_1827'!$CM$18,'Matrix 171007_1827'!$CS$18)</f>
        <v/>
      </c>
      <c r="CZ18" s="234" t="str">
        <f>calc_gap('Matrix 171007_1827'!$CN$18,'Matrix 171007_1827'!$CT$18)</f>
        <v/>
      </c>
      <c r="DA18" s="235" t="str">
        <f>calc_gap('Matrix 171007_1827'!$CO$18,'Matrix 171007_1827'!$CU$18)</f>
        <v/>
      </c>
    </row>
    <row r="19" spans="2:105" x14ac:dyDescent="0.25">
      <c r="B19" s="435"/>
      <c r="C19" s="291" t="s">
        <v>118</v>
      </c>
      <c r="D19" s="314"/>
      <c r="E19" s="315"/>
      <c r="F19" s="315"/>
      <c r="G19" s="315"/>
      <c r="H19" s="315"/>
      <c r="I19" s="315"/>
      <c r="J19" s="315"/>
      <c r="K19" s="316"/>
      <c r="L19" s="314"/>
      <c r="M19" s="315"/>
      <c r="N19" s="315"/>
      <c r="O19" s="316"/>
      <c r="P19" s="314"/>
      <c r="Q19" s="315"/>
      <c r="R19" s="315"/>
      <c r="S19" s="315"/>
      <c r="T19" s="315"/>
      <c r="U19" s="315"/>
      <c r="V19" s="315"/>
      <c r="W19" s="315"/>
      <c r="X19" s="315"/>
      <c r="Y19" s="315"/>
      <c r="Z19" s="315"/>
      <c r="AA19" s="315"/>
      <c r="AB19" s="315"/>
      <c r="AC19" s="315"/>
      <c r="AD19" s="315"/>
      <c r="AE19" s="315"/>
      <c r="AF19" s="315"/>
      <c r="AG19" s="315"/>
      <c r="AH19" s="315"/>
      <c r="AI19" s="316"/>
      <c r="AJ19" s="314"/>
      <c r="AK19" s="315"/>
      <c r="AL19" s="316"/>
      <c r="AM19" s="314"/>
      <c r="AN19" s="315"/>
      <c r="AO19" s="316"/>
      <c r="AP19" s="314"/>
      <c r="AQ19" s="315"/>
      <c r="AR19" s="315"/>
      <c r="AS19" s="315"/>
      <c r="AT19" s="316"/>
      <c r="AU19" s="314" t="s">
        <v>148</v>
      </c>
      <c r="AV19" s="315" t="s">
        <v>150</v>
      </c>
      <c r="AW19" s="315" t="s">
        <v>150</v>
      </c>
      <c r="AX19" s="315" t="s">
        <v>47</v>
      </c>
      <c r="AY19" s="315" t="s">
        <v>150</v>
      </c>
      <c r="AZ19" s="315" t="s">
        <v>147</v>
      </c>
      <c r="BA19" s="315" t="s">
        <v>150</v>
      </c>
      <c r="BB19" s="316" t="s">
        <v>150</v>
      </c>
      <c r="BC19" s="314" t="s">
        <v>148</v>
      </c>
      <c r="BD19" s="315" t="s">
        <v>148</v>
      </c>
      <c r="BE19" s="315"/>
      <c r="BF19" s="315" t="s">
        <v>148</v>
      </c>
      <c r="BG19" s="316"/>
      <c r="BH19" s="314"/>
      <c r="BI19" s="315" t="s">
        <v>148</v>
      </c>
      <c r="BJ19" s="316"/>
      <c r="BK19" s="314" t="s">
        <v>148</v>
      </c>
      <c r="BL19" s="315" t="s">
        <v>148</v>
      </c>
      <c r="BM19" s="315"/>
      <c r="BN19" s="316" t="s">
        <v>149</v>
      </c>
      <c r="BO19" s="314" t="s">
        <v>148</v>
      </c>
      <c r="BP19" s="315"/>
      <c r="BQ19" s="315" t="s">
        <v>148</v>
      </c>
      <c r="BR19" s="315"/>
      <c r="BS19" s="315" t="s">
        <v>149</v>
      </c>
      <c r="BT19" s="315" t="s">
        <v>148</v>
      </c>
      <c r="BU19" s="315" t="s">
        <v>150</v>
      </c>
      <c r="BV19" s="316"/>
      <c r="BW19" s="314" t="s">
        <v>47</v>
      </c>
      <c r="BX19" s="315" t="s">
        <v>148</v>
      </c>
      <c r="BY19" s="315" t="s">
        <v>150</v>
      </c>
      <c r="BZ19" s="315" t="s">
        <v>47</v>
      </c>
      <c r="CA19" s="315" t="s">
        <v>150</v>
      </c>
      <c r="CB19" s="316" t="s">
        <v>150</v>
      </c>
      <c r="CC19" s="314"/>
      <c r="CD19" s="315" t="s">
        <v>150</v>
      </c>
      <c r="CE19" s="316"/>
      <c r="CF19" s="314"/>
      <c r="CG19" s="315"/>
      <c r="CH19" s="315"/>
      <c r="CI19" s="317"/>
      <c r="CK19" s="236">
        <f t="shared" si="5"/>
        <v>2</v>
      </c>
      <c r="CL19" s="237">
        <f t="shared" si="6"/>
        <v>1</v>
      </c>
      <c r="CM19" s="237">
        <f t="shared" si="7"/>
        <v>11</v>
      </c>
      <c r="CN19" s="237">
        <f t="shared" si="8"/>
        <v>10</v>
      </c>
      <c r="CO19" s="238">
        <f t="shared" si="9"/>
        <v>3</v>
      </c>
      <c r="CQ19" s="236" t="str">
        <f>desired_skills(C19,"Specifieke Risico / IAM-kennis/IAM Processen/procedures","o")</f>
        <v/>
      </c>
      <c r="CR19" s="237" t="str">
        <f>desired_skills(C19,"Specifieke Risico / IAM-kennis/IAM Processen/procedures","j")</f>
        <v>12</v>
      </c>
      <c r="CS19" s="237" t="str">
        <f>desired_skills(C19,"Specifieke Risico / IAM-kennis/IAM Processen/procedures","m")</f>
        <v/>
      </c>
      <c r="CT19" s="237" t="str">
        <f>desired_skills(C19,"Specifieke Risico / IAM-kennis/IAM Processen/procedures","s")</f>
        <v/>
      </c>
      <c r="CU19" s="238" t="str">
        <f>desired_skills(C19,"Specifieke Risico / IAM-kennis/IAM Processen/procedures","e")</f>
        <v/>
      </c>
      <c r="CW19" s="236" t="str">
        <f>calc_gap('Matrix 171007_1827'!$CK$19,'Matrix 171007_1827'!$CQ$19)</f>
        <v/>
      </c>
      <c r="CX19" s="237" t="str">
        <f>calc_gap('Matrix 171007_1827'!$CL$19,'Matrix 171007_1827'!$CR$19)</f>
        <v>11</v>
      </c>
      <c r="CY19" s="237" t="str">
        <f>calc_gap('Matrix 171007_1827'!$CM$19,'Matrix 171007_1827'!$CS$19)</f>
        <v/>
      </c>
      <c r="CZ19" s="237" t="str">
        <f>calc_gap('Matrix 171007_1827'!$CN$19,'Matrix 171007_1827'!$CT$19)</f>
        <v/>
      </c>
      <c r="DA19" s="238" t="str">
        <f>calc_gap('Matrix 171007_1827'!$CO$19,'Matrix 171007_1827'!$CU$19)</f>
        <v/>
      </c>
    </row>
    <row r="20" spans="2:105" x14ac:dyDescent="0.25">
      <c r="B20" s="435"/>
      <c r="C20" s="291" t="s">
        <v>64</v>
      </c>
      <c r="D20" s="314"/>
      <c r="E20" s="315"/>
      <c r="F20" s="315"/>
      <c r="G20" s="315"/>
      <c r="H20" s="315"/>
      <c r="I20" s="315"/>
      <c r="J20" s="315"/>
      <c r="K20" s="316"/>
      <c r="L20" s="314"/>
      <c r="M20" s="315"/>
      <c r="N20" s="315"/>
      <c r="O20" s="316"/>
      <c r="P20" s="314"/>
      <c r="Q20" s="315"/>
      <c r="R20" s="315"/>
      <c r="S20" s="315"/>
      <c r="T20" s="315"/>
      <c r="U20" s="315"/>
      <c r="V20" s="315"/>
      <c r="W20" s="315"/>
      <c r="X20" s="315"/>
      <c r="Y20" s="315"/>
      <c r="Z20" s="315"/>
      <c r="AA20" s="315"/>
      <c r="AB20" s="315"/>
      <c r="AC20" s="315"/>
      <c r="AD20" s="315"/>
      <c r="AE20" s="315"/>
      <c r="AF20" s="315"/>
      <c r="AG20" s="315"/>
      <c r="AH20" s="315"/>
      <c r="AI20" s="316"/>
      <c r="AJ20" s="314"/>
      <c r="AK20" s="315"/>
      <c r="AL20" s="316"/>
      <c r="AM20" s="314"/>
      <c r="AN20" s="315"/>
      <c r="AO20" s="316"/>
      <c r="AP20" s="314"/>
      <c r="AQ20" s="315"/>
      <c r="AR20" s="315"/>
      <c r="AS20" s="315"/>
      <c r="AT20" s="316"/>
      <c r="AU20" s="314" t="s">
        <v>150</v>
      </c>
      <c r="AV20" s="315" t="s">
        <v>150</v>
      </c>
      <c r="AW20" s="315" t="s">
        <v>150</v>
      </c>
      <c r="AX20" s="315" t="s">
        <v>47</v>
      </c>
      <c r="AY20" s="315" t="s">
        <v>47</v>
      </c>
      <c r="AZ20" s="315" t="s">
        <v>149</v>
      </c>
      <c r="BA20" s="315" t="s">
        <v>148</v>
      </c>
      <c r="BB20" s="316" t="s">
        <v>150</v>
      </c>
      <c r="BC20" s="314" t="s">
        <v>147</v>
      </c>
      <c r="BD20" s="315" t="s">
        <v>149</v>
      </c>
      <c r="BE20" s="315"/>
      <c r="BF20" s="315" t="s">
        <v>148</v>
      </c>
      <c r="BG20" s="316"/>
      <c r="BH20" s="314"/>
      <c r="BI20" s="315" t="s">
        <v>148</v>
      </c>
      <c r="BJ20" s="316"/>
      <c r="BK20" s="314" t="s">
        <v>147</v>
      </c>
      <c r="BL20" s="315"/>
      <c r="BM20" s="315"/>
      <c r="BN20" s="316"/>
      <c r="BO20" s="314" t="s">
        <v>147</v>
      </c>
      <c r="BP20" s="315"/>
      <c r="BQ20" s="315" t="s">
        <v>147</v>
      </c>
      <c r="BR20" s="315"/>
      <c r="BS20" s="315"/>
      <c r="BT20" s="315" t="s">
        <v>148</v>
      </c>
      <c r="BU20" s="315" t="s">
        <v>150</v>
      </c>
      <c r="BV20" s="316"/>
      <c r="BW20" s="314" t="s">
        <v>148</v>
      </c>
      <c r="BX20" s="315" t="s">
        <v>148</v>
      </c>
      <c r="BY20" s="315" t="s">
        <v>150</v>
      </c>
      <c r="BZ20" s="315"/>
      <c r="CA20" s="315" t="s">
        <v>150</v>
      </c>
      <c r="CB20" s="316" t="s">
        <v>47</v>
      </c>
      <c r="CC20" s="314"/>
      <c r="CD20" s="315" t="s">
        <v>148</v>
      </c>
      <c r="CE20" s="316"/>
      <c r="CF20" s="314"/>
      <c r="CG20" s="315"/>
      <c r="CH20" s="315"/>
      <c r="CI20" s="317"/>
      <c r="CK20" s="236">
        <f t="shared" si="5"/>
        <v>2</v>
      </c>
      <c r="CL20" s="237">
        <f t="shared" si="6"/>
        <v>4</v>
      </c>
      <c r="CM20" s="237">
        <f t="shared" si="7"/>
        <v>7</v>
      </c>
      <c r="CN20" s="237">
        <f t="shared" si="8"/>
        <v>7</v>
      </c>
      <c r="CO20" s="238">
        <f t="shared" si="9"/>
        <v>3</v>
      </c>
      <c r="CQ20" s="236" t="str">
        <f>desired_skills(C20,"Specifieke Risico / IAM-kennis/Key Control Framework","o")</f>
        <v/>
      </c>
      <c r="CR20" s="237" t="str">
        <f>desired_skills(C20,"Specifieke Risico / IAM-kennis/Key Control Framework","j")</f>
        <v/>
      </c>
      <c r="CS20" s="237" t="str">
        <f>desired_skills(C20,"Specifieke Risico / IAM-kennis/Key Control Framework","m")</f>
        <v>13</v>
      </c>
      <c r="CT20" s="237" t="str">
        <f>desired_skills(C20,"Specifieke Risico / IAM-kennis/Key Control Framework","s")</f>
        <v/>
      </c>
      <c r="CU20" s="238" t="str">
        <f>desired_skills(C20,"Specifieke Risico / IAM-kennis/Key Control Framework","e")</f>
        <v/>
      </c>
      <c r="CW20" s="236" t="str">
        <f>calc_gap('Matrix 171007_1827'!$CK$20,'Matrix 171007_1827'!$CQ$20)</f>
        <v/>
      </c>
      <c r="CX20" s="237" t="str">
        <f>calc_gap('Matrix 171007_1827'!$CL$20,'Matrix 171007_1827'!$CR$20)</f>
        <v/>
      </c>
      <c r="CY20" s="237" t="str">
        <f>calc_gap('Matrix 171007_1827'!$CM$20,'Matrix 171007_1827'!$CS$20)</f>
        <v>6</v>
      </c>
      <c r="CZ20" s="237" t="str">
        <f>calc_gap('Matrix 171007_1827'!$CN$20,'Matrix 171007_1827'!$CT$20)</f>
        <v/>
      </c>
      <c r="DA20" s="238" t="str">
        <f>calc_gap('Matrix 171007_1827'!$CO$20,'Matrix 171007_1827'!$CU$20)</f>
        <v/>
      </c>
    </row>
    <row r="21" spans="2:105" x14ac:dyDescent="0.25">
      <c r="B21" s="435"/>
      <c r="C21" s="291" t="s">
        <v>65</v>
      </c>
      <c r="D21" s="314"/>
      <c r="E21" s="315"/>
      <c r="F21" s="315"/>
      <c r="G21" s="315"/>
      <c r="H21" s="315"/>
      <c r="I21" s="315"/>
      <c r="J21" s="315"/>
      <c r="K21" s="316"/>
      <c r="L21" s="314"/>
      <c r="M21" s="315"/>
      <c r="N21" s="315"/>
      <c r="O21" s="316"/>
      <c r="P21" s="314"/>
      <c r="Q21" s="315"/>
      <c r="R21" s="315"/>
      <c r="S21" s="315"/>
      <c r="T21" s="315"/>
      <c r="U21" s="315"/>
      <c r="V21" s="315"/>
      <c r="W21" s="315"/>
      <c r="X21" s="315"/>
      <c r="Y21" s="315"/>
      <c r="Z21" s="315"/>
      <c r="AA21" s="315"/>
      <c r="AB21" s="315"/>
      <c r="AC21" s="315"/>
      <c r="AD21" s="315"/>
      <c r="AE21" s="315"/>
      <c r="AF21" s="315"/>
      <c r="AG21" s="315"/>
      <c r="AH21" s="315"/>
      <c r="AI21" s="316"/>
      <c r="AJ21" s="314"/>
      <c r="AK21" s="315"/>
      <c r="AL21" s="316"/>
      <c r="AM21" s="314"/>
      <c r="AN21" s="315"/>
      <c r="AO21" s="316"/>
      <c r="AP21" s="314"/>
      <c r="AQ21" s="315"/>
      <c r="AR21" s="315"/>
      <c r="AS21" s="315"/>
      <c r="AT21" s="316"/>
      <c r="AU21" s="314" t="s">
        <v>148</v>
      </c>
      <c r="AV21" s="315" t="s">
        <v>148</v>
      </c>
      <c r="AW21" s="315" t="s">
        <v>148</v>
      </c>
      <c r="AX21" s="315" t="s">
        <v>147</v>
      </c>
      <c r="AY21" s="315" t="s">
        <v>147</v>
      </c>
      <c r="AZ21" s="315"/>
      <c r="BA21" s="315" t="s">
        <v>147</v>
      </c>
      <c r="BB21" s="316" t="s">
        <v>147</v>
      </c>
      <c r="BC21" s="314" t="s">
        <v>147</v>
      </c>
      <c r="BD21" s="315" t="s">
        <v>149</v>
      </c>
      <c r="BE21" s="315"/>
      <c r="BF21" s="315" t="s">
        <v>147</v>
      </c>
      <c r="BG21" s="316"/>
      <c r="BH21" s="314"/>
      <c r="BI21" s="315"/>
      <c r="BJ21" s="316"/>
      <c r="BK21" s="314"/>
      <c r="BL21" s="315" t="s">
        <v>150</v>
      </c>
      <c r="BM21" s="315"/>
      <c r="BN21" s="316" t="s">
        <v>147</v>
      </c>
      <c r="BO21" s="314"/>
      <c r="BP21" s="315"/>
      <c r="BQ21" s="315" t="s">
        <v>148</v>
      </c>
      <c r="BR21" s="315"/>
      <c r="BS21" s="315" t="s">
        <v>147</v>
      </c>
      <c r="BT21" s="315" t="s">
        <v>148</v>
      </c>
      <c r="BU21" s="315" t="s">
        <v>150</v>
      </c>
      <c r="BV21" s="316"/>
      <c r="BW21" s="314" t="s">
        <v>47</v>
      </c>
      <c r="BX21" s="315"/>
      <c r="BY21" s="315" t="s">
        <v>147</v>
      </c>
      <c r="BZ21" s="315"/>
      <c r="CA21" s="315" t="s">
        <v>150</v>
      </c>
      <c r="CB21" s="316" t="s">
        <v>147</v>
      </c>
      <c r="CC21" s="314"/>
      <c r="CD21" s="315" t="s">
        <v>147</v>
      </c>
      <c r="CE21" s="316"/>
      <c r="CF21" s="314"/>
      <c r="CG21" s="315"/>
      <c r="CH21" s="315"/>
      <c r="CI21" s="317"/>
      <c r="CK21" s="236">
        <f t="shared" si="5"/>
        <v>1</v>
      </c>
      <c r="CL21" s="237">
        <f t="shared" si="6"/>
        <v>11</v>
      </c>
      <c r="CM21" s="237">
        <f t="shared" si="7"/>
        <v>5</v>
      </c>
      <c r="CN21" s="237">
        <f t="shared" si="8"/>
        <v>3</v>
      </c>
      <c r="CO21" s="238">
        <f t="shared" si="9"/>
        <v>1</v>
      </c>
      <c r="CQ21" s="236" t="str">
        <f>desired_skills(C21,"Specifieke Risico / IAM-kennis/IT Security","o")</f>
        <v/>
      </c>
      <c r="CR21" s="237" t="str">
        <f>desired_skills(C21,"Specifieke Risico / IAM-kennis/IT Security","j")</f>
        <v/>
      </c>
      <c r="CS21" s="237" t="str">
        <f>desired_skills(C21,"Specifieke Risico / IAM-kennis/IT Security","m")</f>
        <v/>
      </c>
      <c r="CT21" s="237" t="str">
        <f>desired_skills(C21,"Specifieke Risico / IAM-kennis/IT Security","s")</f>
        <v>14</v>
      </c>
      <c r="CU21" s="238" t="str">
        <f>desired_skills(C21,"Specifieke Risico / IAM-kennis/IT Security","e")</f>
        <v/>
      </c>
      <c r="CW21" s="236" t="str">
        <f>calc_gap('Matrix 171007_1827'!$CK$21,'Matrix 171007_1827'!$CQ$21)</f>
        <v/>
      </c>
      <c r="CX21" s="237" t="str">
        <f>calc_gap('Matrix 171007_1827'!$CL$21,'Matrix 171007_1827'!$CR$21)</f>
        <v/>
      </c>
      <c r="CY21" s="237" t="str">
        <f>calc_gap('Matrix 171007_1827'!$CM$21,'Matrix 171007_1827'!$CS$21)</f>
        <v/>
      </c>
      <c r="CZ21" s="237" t="str">
        <f>calc_gap('Matrix 171007_1827'!$CN$21,'Matrix 171007_1827'!$CT$21)</f>
        <v>11</v>
      </c>
      <c r="DA21" s="238" t="str">
        <f>calc_gap('Matrix 171007_1827'!$CO$21,'Matrix 171007_1827'!$CU$21)</f>
        <v/>
      </c>
    </row>
    <row r="22" spans="2:105" x14ac:dyDescent="0.25">
      <c r="B22" s="435"/>
      <c r="C22" s="291" t="s">
        <v>66</v>
      </c>
      <c r="D22" s="314"/>
      <c r="E22" s="315"/>
      <c r="F22" s="315"/>
      <c r="G22" s="315"/>
      <c r="H22" s="315"/>
      <c r="I22" s="315"/>
      <c r="J22" s="315"/>
      <c r="K22" s="316"/>
      <c r="L22" s="314"/>
      <c r="M22" s="315"/>
      <c r="N22" s="315"/>
      <c r="O22" s="316"/>
      <c r="P22" s="314"/>
      <c r="Q22" s="315"/>
      <c r="R22" s="315"/>
      <c r="S22" s="315"/>
      <c r="T22" s="315"/>
      <c r="U22" s="315"/>
      <c r="V22" s="315"/>
      <c r="W22" s="315"/>
      <c r="X22" s="315"/>
      <c r="Y22" s="315"/>
      <c r="Z22" s="315"/>
      <c r="AA22" s="315"/>
      <c r="AB22" s="315"/>
      <c r="AC22" s="315"/>
      <c r="AD22" s="315"/>
      <c r="AE22" s="315"/>
      <c r="AF22" s="315"/>
      <c r="AG22" s="315"/>
      <c r="AH22" s="315"/>
      <c r="AI22" s="316"/>
      <c r="AJ22" s="314"/>
      <c r="AK22" s="315"/>
      <c r="AL22" s="316"/>
      <c r="AM22" s="314"/>
      <c r="AN22" s="315"/>
      <c r="AO22" s="316"/>
      <c r="AP22" s="314"/>
      <c r="AQ22" s="315"/>
      <c r="AR22" s="315"/>
      <c r="AS22" s="315"/>
      <c r="AT22" s="316"/>
      <c r="AU22" s="314" t="s">
        <v>47</v>
      </c>
      <c r="AV22" s="315" t="s">
        <v>150</v>
      </c>
      <c r="AW22" s="315" t="s">
        <v>148</v>
      </c>
      <c r="AX22" s="315" t="s">
        <v>150</v>
      </c>
      <c r="AY22" s="315" t="s">
        <v>147</v>
      </c>
      <c r="AZ22" s="315" t="s">
        <v>147</v>
      </c>
      <c r="BA22" s="315" t="s">
        <v>147</v>
      </c>
      <c r="BB22" s="316" t="s">
        <v>148</v>
      </c>
      <c r="BC22" s="314" t="s">
        <v>148</v>
      </c>
      <c r="BD22" s="315" t="s">
        <v>147</v>
      </c>
      <c r="BE22" s="315"/>
      <c r="BF22" s="315" t="s">
        <v>147</v>
      </c>
      <c r="BG22" s="316"/>
      <c r="BH22" s="314"/>
      <c r="BI22" s="315"/>
      <c r="BJ22" s="316"/>
      <c r="BK22" s="314" t="s">
        <v>147</v>
      </c>
      <c r="BL22" s="315"/>
      <c r="BM22" s="315"/>
      <c r="BN22" s="316" t="s">
        <v>149</v>
      </c>
      <c r="BO22" s="314" t="s">
        <v>147</v>
      </c>
      <c r="BP22" s="315"/>
      <c r="BQ22" s="315" t="s">
        <v>147</v>
      </c>
      <c r="BR22" s="315"/>
      <c r="BS22" s="315"/>
      <c r="BT22" s="315" t="s">
        <v>147</v>
      </c>
      <c r="BU22" s="315" t="s">
        <v>150</v>
      </c>
      <c r="BV22" s="316"/>
      <c r="BW22" s="314" t="s">
        <v>148</v>
      </c>
      <c r="BX22" s="315"/>
      <c r="BY22" s="315" t="s">
        <v>150</v>
      </c>
      <c r="BZ22" s="315" t="s">
        <v>47</v>
      </c>
      <c r="CA22" s="315" t="s">
        <v>150</v>
      </c>
      <c r="CB22" s="316" t="s">
        <v>150</v>
      </c>
      <c r="CC22" s="314"/>
      <c r="CD22" s="315" t="s">
        <v>147</v>
      </c>
      <c r="CE22" s="316"/>
      <c r="CF22" s="314"/>
      <c r="CG22" s="315"/>
      <c r="CH22" s="315"/>
      <c r="CI22" s="317"/>
      <c r="CK22" s="236">
        <f t="shared" si="5"/>
        <v>1</v>
      </c>
      <c r="CL22" s="237">
        <f t="shared" si="6"/>
        <v>10</v>
      </c>
      <c r="CM22" s="237">
        <f t="shared" si="7"/>
        <v>4</v>
      </c>
      <c r="CN22" s="237">
        <f t="shared" si="8"/>
        <v>6</v>
      </c>
      <c r="CO22" s="238">
        <f t="shared" si="9"/>
        <v>2</v>
      </c>
      <c r="CQ22" s="236" t="str">
        <f>desired_skills(C22,"Specifieke Risico / IAM-kennis/Cross domain","o")</f>
        <v/>
      </c>
      <c r="CR22" s="237" t="str">
        <f>desired_skills(C22,"Specifieke Risico / IAM-kennis/Cross domain","j")</f>
        <v/>
      </c>
      <c r="CS22" s="237" t="str">
        <f>desired_skills(C22,"Specifieke Risico / IAM-kennis/Cross domain","m")</f>
        <v/>
      </c>
      <c r="CT22" s="237" t="str">
        <f>desired_skills(C22,"Specifieke Risico / IAM-kennis/Cross domain","s")</f>
        <v/>
      </c>
      <c r="CU22" s="238" t="str">
        <f>desired_skills(C22,"Specifieke Risico / IAM-kennis/Cross domain","e")</f>
        <v>15</v>
      </c>
      <c r="CW22" s="236" t="str">
        <f>calc_gap('Matrix 171007_1827'!$CK$22,'Matrix 171007_1827'!$CQ$22)</f>
        <v/>
      </c>
      <c r="CX22" s="237" t="str">
        <f>calc_gap('Matrix 171007_1827'!$CL$22,'Matrix 171007_1827'!$CR$22)</f>
        <v/>
      </c>
      <c r="CY22" s="237" t="str">
        <f>calc_gap('Matrix 171007_1827'!$CM$22,'Matrix 171007_1827'!$CS$22)</f>
        <v/>
      </c>
      <c r="CZ22" s="237" t="str">
        <f>calc_gap('Matrix 171007_1827'!$CN$22,'Matrix 171007_1827'!$CT$22)</f>
        <v/>
      </c>
      <c r="DA22" s="238" t="str">
        <f>calc_gap('Matrix 171007_1827'!$CO$22,'Matrix 171007_1827'!$CU$22)</f>
        <v>13</v>
      </c>
    </row>
    <row r="23" spans="2:105" x14ac:dyDescent="0.25">
      <c r="B23" s="435"/>
      <c r="C23" s="291" t="s">
        <v>67</v>
      </c>
      <c r="D23" s="314"/>
      <c r="E23" s="315"/>
      <c r="F23" s="315"/>
      <c r="G23" s="315"/>
      <c r="H23" s="315"/>
      <c r="I23" s="315"/>
      <c r="J23" s="315"/>
      <c r="K23" s="316"/>
      <c r="L23" s="314"/>
      <c r="M23" s="315"/>
      <c r="N23" s="315"/>
      <c r="O23" s="316"/>
      <c r="P23" s="314"/>
      <c r="Q23" s="315"/>
      <c r="R23" s="315"/>
      <c r="S23" s="315"/>
      <c r="T23" s="315"/>
      <c r="U23" s="315"/>
      <c r="V23" s="315"/>
      <c r="W23" s="315"/>
      <c r="X23" s="315"/>
      <c r="Y23" s="315"/>
      <c r="Z23" s="315"/>
      <c r="AA23" s="315"/>
      <c r="AB23" s="315"/>
      <c r="AC23" s="315"/>
      <c r="AD23" s="315"/>
      <c r="AE23" s="315"/>
      <c r="AF23" s="315"/>
      <c r="AG23" s="315"/>
      <c r="AH23" s="315"/>
      <c r="AI23" s="316"/>
      <c r="AJ23" s="314"/>
      <c r="AK23" s="315"/>
      <c r="AL23" s="316"/>
      <c r="AM23" s="314"/>
      <c r="AN23" s="315"/>
      <c r="AO23" s="316"/>
      <c r="AP23" s="314"/>
      <c r="AQ23" s="315"/>
      <c r="AR23" s="315"/>
      <c r="AS23" s="315"/>
      <c r="AT23" s="316"/>
      <c r="AU23" s="314" t="s">
        <v>148</v>
      </c>
      <c r="AV23" s="315" t="s">
        <v>148</v>
      </c>
      <c r="AW23" s="315" t="s">
        <v>148</v>
      </c>
      <c r="AX23" s="315" t="s">
        <v>148</v>
      </c>
      <c r="AY23" s="315" t="s">
        <v>150</v>
      </c>
      <c r="AZ23" s="315"/>
      <c r="BA23" s="315"/>
      <c r="BB23" s="316" t="s">
        <v>148</v>
      </c>
      <c r="BC23" s="314" t="s">
        <v>148</v>
      </c>
      <c r="BD23" s="315" t="s">
        <v>147</v>
      </c>
      <c r="BE23" s="315"/>
      <c r="BF23" s="315" t="s">
        <v>147</v>
      </c>
      <c r="BG23" s="316"/>
      <c r="BH23" s="314"/>
      <c r="BI23" s="315"/>
      <c r="BJ23" s="316"/>
      <c r="BK23" s="314"/>
      <c r="BL23" s="315"/>
      <c r="BM23" s="315"/>
      <c r="BN23" s="316"/>
      <c r="BO23" s="314"/>
      <c r="BP23" s="315"/>
      <c r="BQ23" s="315" t="s">
        <v>148</v>
      </c>
      <c r="BR23" s="315"/>
      <c r="BS23" s="315"/>
      <c r="BT23" s="315" t="s">
        <v>147</v>
      </c>
      <c r="BU23" s="315" t="s">
        <v>150</v>
      </c>
      <c r="BV23" s="316"/>
      <c r="BW23" s="314" t="s">
        <v>150</v>
      </c>
      <c r="BX23" s="315"/>
      <c r="BY23" s="315" t="s">
        <v>148</v>
      </c>
      <c r="BZ23" s="315" t="s">
        <v>150</v>
      </c>
      <c r="CA23" s="315" t="s">
        <v>150</v>
      </c>
      <c r="CB23" s="316" t="s">
        <v>148</v>
      </c>
      <c r="CC23" s="314"/>
      <c r="CD23" s="315" t="s">
        <v>147</v>
      </c>
      <c r="CE23" s="316"/>
      <c r="CF23" s="314"/>
      <c r="CG23" s="315"/>
      <c r="CH23" s="315"/>
      <c r="CI23" s="317"/>
      <c r="CK23" s="236" t="str">
        <f t="shared" si="5"/>
        <v/>
      </c>
      <c r="CL23" s="237">
        <f t="shared" si="6"/>
        <v>4</v>
      </c>
      <c r="CM23" s="237">
        <f t="shared" si="7"/>
        <v>9</v>
      </c>
      <c r="CN23" s="237">
        <f t="shared" si="8"/>
        <v>5</v>
      </c>
      <c r="CO23" s="238" t="str">
        <f t="shared" si="9"/>
        <v/>
      </c>
      <c r="CQ23" s="236" t="str">
        <f>desired_skills(C23,"Specifieke Risico / IAM-kennis/FSE's","o")</f>
        <v/>
      </c>
      <c r="CR23" s="237" t="str">
        <f>desired_skills(C23,"Specifieke Risico / IAM-kennis/FSE's","j")</f>
        <v/>
      </c>
      <c r="CS23" s="237" t="str">
        <f>desired_skills(C23,"Specifieke Risico / IAM-kennis/FSE's","m")</f>
        <v/>
      </c>
      <c r="CT23" s="237" t="str">
        <f>desired_skills(C23,"Specifieke Risico / IAM-kennis/FSE's","s")</f>
        <v/>
      </c>
      <c r="CU23" s="238" t="str">
        <f>desired_skills(C23,"Specifieke Risico / IAM-kennis/FSE's","e")</f>
        <v/>
      </c>
      <c r="CW23" s="236" t="str">
        <f>calc_gap('Matrix 171007_1827'!$CK$23,'Matrix 171007_1827'!$CQ$23)</f>
        <v/>
      </c>
      <c r="CX23" s="237" t="str">
        <f>calc_gap('Matrix 171007_1827'!$CL$23,'Matrix 171007_1827'!$CR$23)</f>
        <v/>
      </c>
      <c r="CY23" s="237" t="str">
        <f>calc_gap('Matrix 171007_1827'!$CM$23,'Matrix 171007_1827'!$CS$23)</f>
        <v/>
      </c>
      <c r="CZ23" s="237" t="str">
        <f>calc_gap('Matrix 171007_1827'!$CN$23,'Matrix 171007_1827'!$CT$23)</f>
        <v/>
      </c>
      <c r="DA23" s="238" t="str">
        <f>calc_gap('Matrix 171007_1827'!$CO$23,'Matrix 171007_1827'!$CU$23)</f>
        <v/>
      </c>
    </row>
    <row r="24" spans="2:105" x14ac:dyDescent="0.25">
      <c r="B24" s="435"/>
      <c r="C24" s="291" t="s">
        <v>68</v>
      </c>
      <c r="D24" s="314"/>
      <c r="E24" s="315"/>
      <c r="F24" s="315"/>
      <c r="G24" s="315"/>
      <c r="H24" s="315"/>
      <c r="I24" s="315"/>
      <c r="J24" s="315"/>
      <c r="K24" s="316"/>
      <c r="L24" s="314"/>
      <c r="M24" s="315"/>
      <c r="N24" s="315"/>
      <c r="O24" s="316"/>
      <c r="P24" s="314"/>
      <c r="Q24" s="315"/>
      <c r="R24" s="315"/>
      <c r="S24" s="315"/>
      <c r="T24" s="315"/>
      <c r="U24" s="315"/>
      <c r="V24" s="315"/>
      <c r="W24" s="315"/>
      <c r="X24" s="315"/>
      <c r="Y24" s="315"/>
      <c r="Z24" s="315"/>
      <c r="AA24" s="315"/>
      <c r="AB24" s="315"/>
      <c r="AC24" s="315"/>
      <c r="AD24" s="315"/>
      <c r="AE24" s="315"/>
      <c r="AF24" s="315"/>
      <c r="AG24" s="315"/>
      <c r="AH24" s="315"/>
      <c r="AI24" s="316"/>
      <c r="AJ24" s="314"/>
      <c r="AK24" s="315"/>
      <c r="AL24" s="316"/>
      <c r="AM24" s="314"/>
      <c r="AN24" s="315"/>
      <c r="AO24" s="316"/>
      <c r="AP24" s="314"/>
      <c r="AQ24" s="315"/>
      <c r="AR24" s="315"/>
      <c r="AS24" s="315"/>
      <c r="AT24" s="316"/>
      <c r="AU24" s="314" t="s">
        <v>148</v>
      </c>
      <c r="AV24" s="315" t="s">
        <v>148</v>
      </c>
      <c r="AW24" s="315" t="s">
        <v>150</v>
      </c>
      <c r="AX24" s="315" t="s">
        <v>47</v>
      </c>
      <c r="AY24" s="315" t="s">
        <v>150</v>
      </c>
      <c r="AZ24" s="315"/>
      <c r="BA24" s="315"/>
      <c r="BB24" s="316" t="s">
        <v>150</v>
      </c>
      <c r="BC24" s="314" t="s">
        <v>147</v>
      </c>
      <c r="BD24" s="315"/>
      <c r="BE24" s="315"/>
      <c r="BF24" s="315" t="s">
        <v>147</v>
      </c>
      <c r="BG24" s="316"/>
      <c r="BH24" s="314"/>
      <c r="BI24" s="315"/>
      <c r="BJ24" s="316"/>
      <c r="BK24" s="314" t="s">
        <v>150</v>
      </c>
      <c r="BL24" s="315" t="s">
        <v>147</v>
      </c>
      <c r="BM24" s="315"/>
      <c r="BN24" s="316" t="s">
        <v>149</v>
      </c>
      <c r="BO24" s="314" t="s">
        <v>148</v>
      </c>
      <c r="BP24" s="315" t="s">
        <v>47</v>
      </c>
      <c r="BQ24" s="315" t="s">
        <v>147</v>
      </c>
      <c r="BR24" s="315"/>
      <c r="BS24" s="315" t="s">
        <v>148</v>
      </c>
      <c r="BT24" s="315" t="s">
        <v>147</v>
      </c>
      <c r="BU24" s="315" t="s">
        <v>150</v>
      </c>
      <c r="BV24" s="316"/>
      <c r="BW24" s="314" t="s">
        <v>150</v>
      </c>
      <c r="BX24" s="315"/>
      <c r="BY24" s="315" t="s">
        <v>148</v>
      </c>
      <c r="BZ24" s="315" t="s">
        <v>47</v>
      </c>
      <c r="CA24" s="315" t="s">
        <v>148</v>
      </c>
      <c r="CB24" s="316" t="s">
        <v>148</v>
      </c>
      <c r="CC24" s="314"/>
      <c r="CD24" s="315" t="s">
        <v>148</v>
      </c>
      <c r="CE24" s="316"/>
      <c r="CF24" s="314"/>
      <c r="CG24" s="315"/>
      <c r="CH24" s="315"/>
      <c r="CI24" s="317"/>
      <c r="CK24" s="236">
        <f t="shared" si="5"/>
        <v>1</v>
      </c>
      <c r="CL24" s="237">
        <f t="shared" si="6"/>
        <v>5</v>
      </c>
      <c r="CM24" s="237">
        <f t="shared" si="7"/>
        <v>8</v>
      </c>
      <c r="CN24" s="237">
        <f t="shared" si="8"/>
        <v>6</v>
      </c>
      <c r="CO24" s="238">
        <f t="shared" si="9"/>
        <v>3</v>
      </c>
      <c r="CQ24" s="236" t="str">
        <f>desired_skills(C24,"Specifieke Risico / IAM-kennis/Toerusten","o")</f>
        <v/>
      </c>
      <c r="CR24" s="237" t="str">
        <f>desired_skills(C24,"Specifieke Risico / IAM-kennis/Toerusten","j")</f>
        <v/>
      </c>
      <c r="CS24" s="237" t="str">
        <f>desired_skills(C24,"Specifieke Risico / IAM-kennis/Toerusten","m")</f>
        <v/>
      </c>
      <c r="CT24" s="237" t="str">
        <f>desired_skills(C24,"Specifieke Risico / IAM-kennis/Toerusten","s")</f>
        <v/>
      </c>
      <c r="CU24" s="238" t="str">
        <f>desired_skills(C24,"Specifieke Risico / IAM-kennis/Toerusten","e")</f>
        <v/>
      </c>
      <c r="CW24" s="236" t="str">
        <f>calc_gap('Matrix 171007_1827'!$CK$24,'Matrix 171007_1827'!$CQ$24)</f>
        <v/>
      </c>
      <c r="CX24" s="237" t="str">
        <f>calc_gap('Matrix 171007_1827'!$CL$24,'Matrix 171007_1827'!$CR$24)</f>
        <v/>
      </c>
      <c r="CY24" s="237" t="str">
        <f>calc_gap('Matrix 171007_1827'!$CM$24,'Matrix 171007_1827'!$CS$24)</f>
        <v/>
      </c>
      <c r="CZ24" s="237" t="str">
        <f>calc_gap('Matrix 171007_1827'!$CN$24,'Matrix 171007_1827'!$CT$24)</f>
        <v/>
      </c>
      <c r="DA24" s="238" t="str">
        <f>calc_gap('Matrix 171007_1827'!$CO$24,'Matrix 171007_1827'!$CU$24)</f>
        <v/>
      </c>
    </row>
    <row r="25" spans="2:105" x14ac:dyDescent="0.25">
      <c r="B25" s="435"/>
      <c r="C25" s="291" t="s">
        <v>69</v>
      </c>
      <c r="D25" s="314"/>
      <c r="E25" s="315"/>
      <c r="F25" s="315"/>
      <c r="G25" s="315"/>
      <c r="H25" s="315"/>
      <c r="I25" s="315"/>
      <c r="J25" s="315"/>
      <c r="K25" s="316"/>
      <c r="L25" s="314"/>
      <c r="M25" s="315"/>
      <c r="N25" s="315"/>
      <c r="O25" s="316"/>
      <c r="P25" s="314"/>
      <c r="Q25" s="315"/>
      <c r="R25" s="315"/>
      <c r="S25" s="315"/>
      <c r="T25" s="315"/>
      <c r="U25" s="315"/>
      <c r="V25" s="315"/>
      <c r="W25" s="315"/>
      <c r="X25" s="315"/>
      <c r="Y25" s="315"/>
      <c r="Z25" s="315"/>
      <c r="AA25" s="315"/>
      <c r="AB25" s="315"/>
      <c r="AC25" s="315"/>
      <c r="AD25" s="315"/>
      <c r="AE25" s="315"/>
      <c r="AF25" s="315"/>
      <c r="AG25" s="315"/>
      <c r="AH25" s="315"/>
      <c r="AI25" s="316"/>
      <c r="AJ25" s="314"/>
      <c r="AK25" s="315"/>
      <c r="AL25" s="316"/>
      <c r="AM25" s="314"/>
      <c r="AN25" s="315"/>
      <c r="AO25" s="316"/>
      <c r="AP25" s="314"/>
      <c r="AQ25" s="315"/>
      <c r="AR25" s="315"/>
      <c r="AS25" s="315"/>
      <c r="AT25" s="316"/>
      <c r="AU25" s="314" t="s">
        <v>148</v>
      </c>
      <c r="AV25" s="315" t="s">
        <v>148</v>
      </c>
      <c r="AW25" s="315" t="s">
        <v>148</v>
      </c>
      <c r="AX25" s="315" t="s">
        <v>150</v>
      </c>
      <c r="AY25" s="315" t="s">
        <v>150</v>
      </c>
      <c r="AZ25" s="315"/>
      <c r="BA25" s="315"/>
      <c r="BB25" s="316" t="s">
        <v>148</v>
      </c>
      <c r="BC25" s="314" t="s">
        <v>147</v>
      </c>
      <c r="BD25" s="315"/>
      <c r="BE25" s="315"/>
      <c r="BF25" s="315" t="s">
        <v>147</v>
      </c>
      <c r="BG25" s="316"/>
      <c r="BH25" s="314"/>
      <c r="BI25" s="315"/>
      <c r="BJ25" s="316"/>
      <c r="BK25" s="314" t="s">
        <v>147</v>
      </c>
      <c r="BL25" s="315" t="s">
        <v>147</v>
      </c>
      <c r="BM25" s="315"/>
      <c r="BN25" s="316" t="s">
        <v>147</v>
      </c>
      <c r="BO25" s="314"/>
      <c r="BP25" s="315" t="s">
        <v>150</v>
      </c>
      <c r="BQ25" s="315" t="s">
        <v>147</v>
      </c>
      <c r="BR25" s="315"/>
      <c r="BS25" s="315"/>
      <c r="BT25" s="315" t="s">
        <v>147</v>
      </c>
      <c r="BU25" s="315" t="s">
        <v>150</v>
      </c>
      <c r="BV25" s="316"/>
      <c r="BW25" s="314" t="s">
        <v>148</v>
      </c>
      <c r="BX25" s="315"/>
      <c r="BY25" s="315" t="s">
        <v>147</v>
      </c>
      <c r="BZ25" s="315" t="s">
        <v>150</v>
      </c>
      <c r="CA25" s="315" t="s">
        <v>147</v>
      </c>
      <c r="CB25" s="316" t="s">
        <v>147</v>
      </c>
      <c r="CC25" s="314"/>
      <c r="CD25" s="315" t="s">
        <v>147</v>
      </c>
      <c r="CE25" s="316"/>
      <c r="CF25" s="314"/>
      <c r="CG25" s="315"/>
      <c r="CH25" s="315"/>
      <c r="CI25" s="317"/>
      <c r="CK25" s="236" t="str">
        <f t="shared" si="5"/>
        <v/>
      </c>
      <c r="CL25" s="237">
        <f t="shared" si="6"/>
        <v>11</v>
      </c>
      <c r="CM25" s="237">
        <f t="shared" si="7"/>
        <v>5</v>
      </c>
      <c r="CN25" s="237">
        <f t="shared" si="8"/>
        <v>5</v>
      </c>
      <c r="CO25" s="238" t="str">
        <f t="shared" si="9"/>
        <v/>
      </c>
      <c r="CQ25" s="236" t="str">
        <f>desired_skills(C25,"Specifieke Risico / IAM-kennis/Authenthiseren","o")</f>
        <v/>
      </c>
      <c r="CR25" s="237" t="str">
        <f>desired_skills(C25,"Specifieke Risico / IAM-kennis/Authenthiseren","j")</f>
        <v/>
      </c>
      <c r="CS25" s="237" t="str">
        <f>desired_skills(C25,"Specifieke Risico / IAM-kennis/Authenthiseren","m")</f>
        <v/>
      </c>
      <c r="CT25" s="237" t="str">
        <f>desired_skills(C25,"Specifieke Risico / IAM-kennis/Authenthiseren","s")</f>
        <v/>
      </c>
      <c r="CU25" s="238" t="str">
        <f>desired_skills(C25,"Specifieke Risico / IAM-kennis/Authenthiseren","e")</f>
        <v/>
      </c>
      <c r="CW25" s="236" t="str">
        <f>calc_gap('Matrix 171007_1827'!$CK$25,'Matrix 171007_1827'!$CQ$25)</f>
        <v/>
      </c>
      <c r="CX25" s="237" t="str">
        <f>calc_gap('Matrix 171007_1827'!$CL$25,'Matrix 171007_1827'!$CR$25)</f>
        <v/>
      </c>
      <c r="CY25" s="237" t="str">
        <f>calc_gap('Matrix 171007_1827'!$CM$25,'Matrix 171007_1827'!$CS$25)</f>
        <v/>
      </c>
      <c r="CZ25" s="237" t="str">
        <f>calc_gap('Matrix 171007_1827'!$CN$25,'Matrix 171007_1827'!$CT$25)</f>
        <v/>
      </c>
      <c r="DA25" s="238" t="str">
        <f>calc_gap('Matrix 171007_1827'!$CO$25,'Matrix 171007_1827'!$CU$25)</f>
        <v/>
      </c>
    </row>
    <row r="26" spans="2:105" ht="15.75" thickBot="1" x14ac:dyDescent="0.3">
      <c r="B26" s="435"/>
      <c r="C26" s="292" t="s">
        <v>75</v>
      </c>
      <c r="D26" s="318"/>
      <c r="E26" s="319"/>
      <c r="F26" s="319"/>
      <c r="G26" s="319"/>
      <c r="H26" s="319"/>
      <c r="I26" s="319"/>
      <c r="J26" s="319"/>
      <c r="K26" s="320"/>
      <c r="L26" s="318"/>
      <c r="M26" s="319"/>
      <c r="N26" s="319"/>
      <c r="O26" s="320"/>
      <c r="P26" s="318"/>
      <c r="Q26" s="319"/>
      <c r="R26" s="319"/>
      <c r="S26" s="319"/>
      <c r="T26" s="319"/>
      <c r="U26" s="319"/>
      <c r="V26" s="319"/>
      <c r="W26" s="319"/>
      <c r="X26" s="319"/>
      <c r="Y26" s="319"/>
      <c r="Z26" s="319"/>
      <c r="AA26" s="319"/>
      <c r="AB26" s="319"/>
      <c r="AC26" s="319"/>
      <c r="AD26" s="319"/>
      <c r="AE26" s="319"/>
      <c r="AF26" s="319"/>
      <c r="AG26" s="319"/>
      <c r="AH26" s="319"/>
      <c r="AI26" s="320"/>
      <c r="AJ26" s="318"/>
      <c r="AK26" s="319"/>
      <c r="AL26" s="320"/>
      <c r="AM26" s="318"/>
      <c r="AN26" s="319"/>
      <c r="AO26" s="320"/>
      <c r="AP26" s="318"/>
      <c r="AQ26" s="319"/>
      <c r="AR26" s="319"/>
      <c r="AS26" s="319"/>
      <c r="AT26" s="320"/>
      <c r="AU26" s="318" t="s">
        <v>148</v>
      </c>
      <c r="AV26" s="319" t="s">
        <v>47</v>
      </c>
      <c r="AW26" s="319" t="s">
        <v>150</v>
      </c>
      <c r="AX26" s="319" t="s">
        <v>150</v>
      </c>
      <c r="AY26" s="319" t="s">
        <v>150</v>
      </c>
      <c r="AZ26" s="319"/>
      <c r="BA26" s="319" t="s">
        <v>150</v>
      </c>
      <c r="BB26" s="320" t="s">
        <v>150</v>
      </c>
      <c r="BC26" s="318" t="s">
        <v>147</v>
      </c>
      <c r="BD26" s="319"/>
      <c r="BE26" s="319"/>
      <c r="BF26" s="319" t="s">
        <v>147</v>
      </c>
      <c r="BG26" s="320"/>
      <c r="BH26" s="318"/>
      <c r="BI26" s="319" t="s">
        <v>147</v>
      </c>
      <c r="BJ26" s="320"/>
      <c r="BK26" s="318" t="s">
        <v>148</v>
      </c>
      <c r="BL26" s="319" t="s">
        <v>148</v>
      </c>
      <c r="BM26" s="319"/>
      <c r="BN26" s="320" t="s">
        <v>147</v>
      </c>
      <c r="BO26" s="318" t="s">
        <v>150</v>
      </c>
      <c r="BP26" s="319"/>
      <c r="BQ26" s="319" t="s">
        <v>150</v>
      </c>
      <c r="BR26" s="319"/>
      <c r="BS26" s="319" t="s">
        <v>147</v>
      </c>
      <c r="BT26" s="319" t="s">
        <v>47</v>
      </c>
      <c r="BU26" s="319" t="s">
        <v>47</v>
      </c>
      <c r="BV26" s="320"/>
      <c r="BW26" s="318" t="s">
        <v>47</v>
      </c>
      <c r="BX26" s="319" t="s">
        <v>148</v>
      </c>
      <c r="BY26" s="319" t="s">
        <v>47</v>
      </c>
      <c r="BZ26" s="319" t="s">
        <v>150</v>
      </c>
      <c r="CA26" s="319" t="s">
        <v>47</v>
      </c>
      <c r="CB26" s="320" t="s">
        <v>47</v>
      </c>
      <c r="CC26" s="318"/>
      <c r="CD26" s="319" t="s">
        <v>148</v>
      </c>
      <c r="CE26" s="320"/>
      <c r="CF26" s="318"/>
      <c r="CG26" s="319"/>
      <c r="CH26" s="319"/>
      <c r="CI26" s="321"/>
      <c r="CK26" s="239" t="str">
        <f t="shared" si="5"/>
        <v/>
      </c>
      <c r="CL26" s="240">
        <f t="shared" si="6"/>
        <v>5</v>
      </c>
      <c r="CM26" s="240">
        <f t="shared" si="7"/>
        <v>5</v>
      </c>
      <c r="CN26" s="240">
        <f t="shared" si="8"/>
        <v>8</v>
      </c>
      <c r="CO26" s="241">
        <f t="shared" si="9"/>
        <v>7</v>
      </c>
      <c r="CQ26" s="239" t="str">
        <f>desired_skills(C26,"Specifieke Risico / IAM-kennis/Rolmodellen (RBAC)","o")</f>
        <v/>
      </c>
      <c r="CR26" s="240" t="str">
        <f>desired_skills(C26,"Specifieke Risico / IAM-kennis/Rolmodellen (RBAC)","j")</f>
        <v/>
      </c>
      <c r="CS26" s="240" t="str">
        <f>desired_skills(C26,"Specifieke Risico / IAM-kennis/Rolmodellen (RBAC)","m")</f>
        <v/>
      </c>
      <c r="CT26" s="240" t="str">
        <f>desired_skills(C26,"Specifieke Risico / IAM-kennis/Rolmodellen (RBAC)","s")</f>
        <v/>
      </c>
      <c r="CU26" s="241" t="str">
        <f>desired_skills(C26,"Specifieke Risico / IAM-kennis/Rolmodellen (RBAC)","e")</f>
        <v/>
      </c>
      <c r="CW26" s="239" t="str">
        <f>calc_gap('Matrix 171007_1827'!$CK$26,'Matrix 171007_1827'!$CQ$26)</f>
        <v/>
      </c>
      <c r="CX26" s="240" t="str">
        <f>calc_gap('Matrix 171007_1827'!$CL$26,'Matrix 171007_1827'!$CR$26)</f>
        <v/>
      </c>
      <c r="CY26" s="240" t="str">
        <f>calc_gap('Matrix 171007_1827'!$CM$26,'Matrix 171007_1827'!$CS$26)</f>
        <v/>
      </c>
      <c r="CZ26" s="240" t="str">
        <f>calc_gap('Matrix 171007_1827'!$CN$26,'Matrix 171007_1827'!$CT$26)</f>
        <v/>
      </c>
      <c r="DA26" s="241" t="str">
        <f>calc_gap('Matrix 171007_1827'!$CO$26,'Matrix 171007_1827'!$CU$26)</f>
        <v/>
      </c>
    </row>
    <row r="27" spans="2:105" ht="12.75" customHeight="1" thickTop="1" thickBot="1" x14ac:dyDescent="0.3">
      <c r="B27" s="436"/>
      <c r="C27" s="248"/>
      <c r="D27" s="322"/>
      <c r="E27" s="322"/>
      <c r="F27" s="322"/>
      <c r="G27" s="322"/>
      <c r="H27" s="322"/>
      <c r="I27" s="322"/>
      <c r="J27" s="322"/>
      <c r="K27" s="322"/>
      <c r="L27" s="322"/>
      <c r="M27" s="322"/>
      <c r="N27" s="322"/>
      <c r="O27" s="322"/>
      <c r="P27" s="322"/>
      <c r="Q27" s="322"/>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K27" s="249"/>
      <c r="CL27" s="249"/>
      <c r="CM27" s="249"/>
      <c r="CN27" s="249"/>
      <c r="CO27" s="249"/>
      <c r="CQ27" s="249"/>
      <c r="CR27" s="249"/>
      <c r="CS27" s="249"/>
      <c r="CT27" s="249"/>
      <c r="CU27" s="249"/>
      <c r="CW27" s="249"/>
      <c r="CX27" s="249"/>
      <c r="CY27" s="249"/>
      <c r="CZ27" s="249"/>
      <c r="DA27" s="249"/>
    </row>
    <row r="28" spans="2:105" ht="15.75" thickTop="1" x14ac:dyDescent="0.25">
      <c r="B28" s="434" t="s">
        <v>70</v>
      </c>
      <c r="C28" s="290" t="s">
        <v>71</v>
      </c>
      <c r="D28" s="310"/>
      <c r="E28" s="311"/>
      <c r="F28" s="311"/>
      <c r="G28" s="311"/>
      <c r="H28" s="311"/>
      <c r="I28" s="311"/>
      <c r="J28" s="311"/>
      <c r="K28" s="312"/>
      <c r="L28" s="310"/>
      <c r="M28" s="311"/>
      <c r="N28" s="311"/>
      <c r="O28" s="312"/>
      <c r="P28" s="310"/>
      <c r="Q28" s="311"/>
      <c r="R28" s="311"/>
      <c r="S28" s="311"/>
      <c r="T28" s="311"/>
      <c r="U28" s="311"/>
      <c r="V28" s="311"/>
      <c r="W28" s="311"/>
      <c r="X28" s="311"/>
      <c r="Y28" s="311"/>
      <c r="Z28" s="311"/>
      <c r="AA28" s="311"/>
      <c r="AB28" s="311"/>
      <c r="AC28" s="311"/>
      <c r="AD28" s="311"/>
      <c r="AE28" s="311"/>
      <c r="AF28" s="311"/>
      <c r="AG28" s="311"/>
      <c r="AH28" s="311"/>
      <c r="AI28" s="312"/>
      <c r="AJ28" s="310"/>
      <c r="AK28" s="311"/>
      <c r="AL28" s="312"/>
      <c r="AM28" s="310"/>
      <c r="AN28" s="311"/>
      <c r="AO28" s="312"/>
      <c r="AP28" s="310"/>
      <c r="AQ28" s="311"/>
      <c r="AR28" s="311"/>
      <c r="AS28" s="311"/>
      <c r="AT28" s="312"/>
      <c r="AU28" s="310" t="s">
        <v>148</v>
      </c>
      <c r="AV28" s="311" t="s">
        <v>150</v>
      </c>
      <c r="AW28" s="311" t="s">
        <v>150</v>
      </c>
      <c r="AX28" s="311" t="s">
        <v>150</v>
      </c>
      <c r="AY28" s="311" t="s">
        <v>150</v>
      </c>
      <c r="AZ28" s="311" t="s">
        <v>148</v>
      </c>
      <c r="BA28" s="311" t="s">
        <v>148</v>
      </c>
      <c r="BB28" s="312" t="s">
        <v>47</v>
      </c>
      <c r="BC28" s="310" t="s">
        <v>148</v>
      </c>
      <c r="BD28" s="311" t="s">
        <v>148</v>
      </c>
      <c r="BE28" s="311"/>
      <c r="BF28" s="311" t="s">
        <v>150</v>
      </c>
      <c r="BG28" s="312"/>
      <c r="BH28" s="310"/>
      <c r="BI28" s="311" t="s">
        <v>148</v>
      </c>
      <c r="BJ28" s="312"/>
      <c r="BK28" s="310" t="s">
        <v>147</v>
      </c>
      <c r="BL28" s="311" t="s">
        <v>150</v>
      </c>
      <c r="BM28" s="311"/>
      <c r="BN28" s="312" t="s">
        <v>149</v>
      </c>
      <c r="BO28" s="310" t="s">
        <v>147</v>
      </c>
      <c r="BP28" s="311" t="s">
        <v>150</v>
      </c>
      <c r="BQ28" s="311" t="s">
        <v>147</v>
      </c>
      <c r="BR28" s="311"/>
      <c r="BS28" s="311"/>
      <c r="BT28" s="311" t="s">
        <v>150</v>
      </c>
      <c r="BU28" s="311" t="s">
        <v>148</v>
      </c>
      <c r="BV28" s="312"/>
      <c r="BW28" s="310" t="s">
        <v>148</v>
      </c>
      <c r="BX28" s="311" t="s">
        <v>148</v>
      </c>
      <c r="BY28" s="311" t="s">
        <v>150</v>
      </c>
      <c r="BZ28" s="311" t="s">
        <v>150</v>
      </c>
      <c r="CA28" s="311" t="s">
        <v>150</v>
      </c>
      <c r="CB28" s="312" t="s">
        <v>150</v>
      </c>
      <c r="CC28" s="310" t="s">
        <v>147</v>
      </c>
      <c r="CD28" s="311" t="s">
        <v>148</v>
      </c>
      <c r="CE28" s="312"/>
      <c r="CF28" s="310"/>
      <c r="CG28" s="311"/>
      <c r="CH28" s="311"/>
      <c r="CI28" s="313"/>
      <c r="CK28" s="233">
        <f t="shared" ref="CK28:CK37" si="10">IF(COUNTIF(D28:CI28,"o")&gt;0,COUNTIF(D28:CI28,"o"),"")</f>
        <v>1</v>
      </c>
      <c r="CL28" s="234">
        <f t="shared" ref="CL28:CL37" si="11">IF(COUNTIF(D28:CI28,"j")&gt;0,COUNTIF(D28:CI28,"j"),"")</f>
        <v>4</v>
      </c>
      <c r="CM28" s="234">
        <f t="shared" ref="CM28:CM37" si="12">IF(COUNTIF(D28:CI28,"m")&gt;0,COUNTIF(D28:CI28,"m"),"")</f>
        <v>10</v>
      </c>
      <c r="CN28" s="234">
        <f t="shared" ref="CN28:CN37" si="13">IF(COUNTIF(D28:CI28,"s")&gt;0,COUNTIF(D28:CI28,"s"),"")</f>
        <v>12</v>
      </c>
      <c r="CO28" s="235">
        <f t="shared" ref="CO28:CO37" si="14">IF(COUNTIF(D28:CI28,"e")&gt;0,COUNTIF(D28:CI28,"e"),"")</f>
        <v>1</v>
      </c>
      <c r="CQ28" s="233" t="str">
        <f>desired_skills(C28,"Methodieken/Lean","o")</f>
        <v>16</v>
      </c>
      <c r="CR28" s="234" t="str">
        <f>desired_skills(C28,"Methodieken/Lean","j")</f>
        <v/>
      </c>
      <c r="CS28" s="234" t="str">
        <f>desired_skills(C28,"Methodieken/Lean","m")</f>
        <v/>
      </c>
      <c r="CT28" s="234" t="str">
        <f>desired_skills(C28,"Methodieken/Lean","s")</f>
        <v/>
      </c>
      <c r="CU28" s="235" t="str">
        <f>desired_skills(C28,"Methodieken/Lean","e")</f>
        <v/>
      </c>
      <c r="CW28" s="233" t="str">
        <f>calc_gap('Matrix 171007_1827'!$CK$28,'Matrix 171007_1827'!$CQ$28)</f>
        <v>15</v>
      </c>
      <c r="CX28" s="234" t="str">
        <f>calc_gap('Matrix 171007_1827'!$CL$28,'Matrix 171007_1827'!$CR$28)</f>
        <v/>
      </c>
      <c r="CY28" s="234" t="str">
        <f>calc_gap('Matrix 171007_1827'!$CM$28,'Matrix 171007_1827'!$CS$28)</f>
        <v/>
      </c>
      <c r="CZ28" s="234" t="str">
        <f>calc_gap('Matrix 171007_1827'!$CN$28,'Matrix 171007_1827'!$CT$28)</f>
        <v/>
      </c>
      <c r="DA28" s="235" t="str">
        <f>calc_gap('Matrix 171007_1827'!$CO$28,'Matrix 171007_1827'!$CU$28)</f>
        <v/>
      </c>
    </row>
    <row r="29" spans="2:105" x14ac:dyDescent="0.25">
      <c r="B29" s="435"/>
      <c r="C29" s="291" t="s">
        <v>72</v>
      </c>
      <c r="D29" s="314"/>
      <c r="E29" s="315"/>
      <c r="F29" s="315"/>
      <c r="G29" s="315"/>
      <c r="H29" s="315"/>
      <c r="I29" s="315"/>
      <c r="J29" s="315"/>
      <c r="K29" s="316"/>
      <c r="L29" s="314"/>
      <c r="M29" s="315"/>
      <c r="N29" s="315"/>
      <c r="O29" s="316"/>
      <c r="P29" s="314"/>
      <c r="Q29" s="315"/>
      <c r="R29" s="315"/>
      <c r="S29" s="315"/>
      <c r="T29" s="315"/>
      <c r="U29" s="315"/>
      <c r="V29" s="315"/>
      <c r="W29" s="315"/>
      <c r="X29" s="315"/>
      <c r="Y29" s="315"/>
      <c r="Z29" s="315"/>
      <c r="AA29" s="315"/>
      <c r="AB29" s="315"/>
      <c r="AC29" s="315"/>
      <c r="AD29" s="315"/>
      <c r="AE29" s="315"/>
      <c r="AF29" s="315"/>
      <c r="AG29" s="315"/>
      <c r="AH29" s="315"/>
      <c r="AI29" s="316"/>
      <c r="AJ29" s="314"/>
      <c r="AK29" s="315"/>
      <c r="AL29" s="316"/>
      <c r="AM29" s="314"/>
      <c r="AN29" s="315"/>
      <c r="AO29" s="316"/>
      <c r="AP29" s="314"/>
      <c r="AQ29" s="315"/>
      <c r="AR29" s="315"/>
      <c r="AS29" s="315"/>
      <c r="AT29" s="316"/>
      <c r="AU29" s="314" t="s">
        <v>147</v>
      </c>
      <c r="AV29" s="315" t="s">
        <v>147</v>
      </c>
      <c r="AW29" s="315" t="s">
        <v>149</v>
      </c>
      <c r="AX29" s="315" t="s">
        <v>148</v>
      </c>
      <c r="AY29" s="315" t="s">
        <v>148</v>
      </c>
      <c r="AZ29" s="315"/>
      <c r="BA29" s="315" t="s">
        <v>147</v>
      </c>
      <c r="BB29" s="316" t="s">
        <v>148</v>
      </c>
      <c r="BC29" s="314" t="s">
        <v>150</v>
      </c>
      <c r="BD29" s="315" t="s">
        <v>147</v>
      </c>
      <c r="BE29" s="315"/>
      <c r="BF29" s="315" t="s">
        <v>147</v>
      </c>
      <c r="BG29" s="316"/>
      <c r="BH29" s="314"/>
      <c r="BI29" s="315"/>
      <c r="BJ29" s="316"/>
      <c r="BK29" s="314"/>
      <c r="BL29" s="315" t="s">
        <v>150</v>
      </c>
      <c r="BM29" s="315"/>
      <c r="BN29" s="316"/>
      <c r="BO29" s="314" t="s">
        <v>147</v>
      </c>
      <c r="BP29" s="315" t="s">
        <v>148</v>
      </c>
      <c r="BQ29" s="315"/>
      <c r="BR29" s="315"/>
      <c r="BS29" s="315"/>
      <c r="BT29" s="315"/>
      <c r="BU29" s="315" t="s">
        <v>148</v>
      </c>
      <c r="BV29" s="316"/>
      <c r="BW29" s="314" t="s">
        <v>147</v>
      </c>
      <c r="BX29" s="315"/>
      <c r="BY29" s="315"/>
      <c r="BZ29" s="315" t="s">
        <v>148</v>
      </c>
      <c r="CA29" s="315"/>
      <c r="CB29" s="316"/>
      <c r="CC29" s="314"/>
      <c r="CD29" s="315" t="s">
        <v>147</v>
      </c>
      <c r="CE29" s="316"/>
      <c r="CF29" s="314"/>
      <c r="CG29" s="315"/>
      <c r="CH29" s="315"/>
      <c r="CI29" s="317"/>
      <c r="CK29" s="236">
        <f t="shared" si="10"/>
        <v>1</v>
      </c>
      <c r="CL29" s="237">
        <f t="shared" si="11"/>
        <v>8</v>
      </c>
      <c r="CM29" s="237">
        <f t="shared" si="12"/>
        <v>6</v>
      </c>
      <c r="CN29" s="237">
        <f t="shared" si="13"/>
        <v>2</v>
      </c>
      <c r="CO29" s="238" t="str">
        <f t="shared" si="14"/>
        <v/>
      </c>
      <c r="CQ29" s="236" t="str">
        <f>desired_skills(C29,"Methodieken/DevOps","o")</f>
        <v/>
      </c>
      <c r="CR29" s="237" t="str">
        <f>desired_skills(C29,"Methodieken/DevOps","j")</f>
        <v>17</v>
      </c>
      <c r="CS29" s="237" t="str">
        <f>desired_skills(C29,"Methodieken/DevOps","m")</f>
        <v/>
      </c>
      <c r="CT29" s="237" t="str">
        <f>desired_skills(C29,"Methodieken/DevOps","s")</f>
        <v/>
      </c>
      <c r="CU29" s="238" t="str">
        <f>desired_skills(C29,"Methodieken/DevOps","e")</f>
        <v/>
      </c>
      <c r="CW29" s="236" t="str">
        <f>calc_gap('Matrix 171007_1827'!$CK$29,'Matrix 171007_1827'!$CQ$29)</f>
        <v/>
      </c>
      <c r="CX29" s="237" t="str">
        <f>calc_gap('Matrix 171007_1827'!$CL$29,'Matrix 171007_1827'!$CR$29)</f>
        <v>9</v>
      </c>
      <c r="CY29" s="237" t="str">
        <f>calc_gap('Matrix 171007_1827'!$CM$29,'Matrix 171007_1827'!$CS$29)</f>
        <v/>
      </c>
      <c r="CZ29" s="237" t="str">
        <f>calc_gap('Matrix 171007_1827'!$CN$29,'Matrix 171007_1827'!$CT$29)</f>
        <v/>
      </c>
      <c r="DA29" s="238" t="str">
        <f>calc_gap('Matrix 171007_1827'!$CO$29,'Matrix 171007_1827'!$CU$29)</f>
        <v/>
      </c>
    </row>
    <row r="30" spans="2:105" x14ac:dyDescent="0.25">
      <c r="B30" s="435"/>
      <c r="C30" s="291" t="s">
        <v>73</v>
      </c>
      <c r="D30" s="314"/>
      <c r="E30" s="315"/>
      <c r="F30" s="315"/>
      <c r="G30" s="315"/>
      <c r="H30" s="315"/>
      <c r="I30" s="315"/>
      <c r="J30" s="315"/>
      <c r="K30" s="316"/>
      <c r="L30" s="314"/>
      <c r="M30" s="315"/>
      <c r="N30" s="315"/>
      <c r="O30" s="316"/>
      <c r="P30" s="314"/>
      <c r="Q30" s="315"/>
      <c r="R30" s="315"/>
      <c r="S30" s="315"/>
      <c r="T30" s="315"/>
      <c r="U30" s="315"/>
      <c r="V30" s="315"/>
      <c r="W30" s="315"/>
      <c r="X30" s="315"/>
      <c r="Y30" s="315"/>
      <c r="Z30" s="315"/>
      <c r="AA30" s="315"/>
      <c r="AB30" s="315"/>
      <c r="AC30" s="315"/>
      <c r="AD30" s="315"/>
      <c r="AE30" s="315"/>
      <c r="AF30" s="315"/>
      <c r="AG30" s="315"/>
      <c r="AH30" s="315"/>
      <c r="AI30" s="316"/>
      <c r="AJ30" s="314"/>
      <c r="AK30" s="315"/>
      <c r="AL30" s="316"/>
      <c r="AM30" s="314"/>
      <c r="AN30" s="315"/>
      <c r="AO30" s="316"/>
      <c r="AP30" s="314"/>
      <c r="AQ30" s="315"/>
      <c r="AR30" s="315"/>
      <c r="AS30" s="315"/>
      <c r="AT30" s="316"/>
      <c r="AU30" s="314" t="s">
        <v>148</v>
      </c>
      <c r="AV30" s="315" t="s">
        <v>148</v>
      </c>
      <c r="AW30" s="315" t="s">
        <v>150</v>
      </c>
      <c r="AX30" s="315" t="s">
        <v>150</v>
      </c>
      <c r="AY30" s="315" t="s">
        <v>150</v>
      </c>
      <c r="AZ30" s="315" t="s">
        <v>147</v>
      </c>
      <c r="BA30" s="315" t="s">
        <v>150</v>
      </c>
      <c r="BB30" s="316" t="s">
        <v>148</v>
      </c>
      <c r="BC30" s="314" t="s">
        <v>47</v>
      </c>
      <c r="BD30" s="315" t="s">
        <v>147</v>
      </c>
      <c r="BE30" s="315"/>
      <c r="BF30" s="315" t="s">
        <v>148</v>
      </c>
      <c r="BG30" s="316"/>
      <c r="BH30" s="314"/>
      <c r="BI30" s="315" t="s">
        <v>148</v>
      </c>
      <c r="BJ30" s="316"/>
      <c r="BK30" s="314"/>
      <c r="BL30" s="315" t="s">
        <v>150</v>
      </c>
      <c r="BM30" s="315"/>
      <c r="BN30" s="316" t="s">
        <v>149</v>
      </c>
      <c r="BO30" s="314"/>
      <c r="BP30" s="315"/>
      <c r="BQ30" s="315"/>
      <c r="BR30" s="315"/>
      <c r="BS30" s="315"/>
      <c r="BT30" s="315" t="s">
        <v>147</v>
      </c>
      <c r="BU30" s="315" t="s">
        <v>148</v>
      </c>
      <c r="BV30" s="316"/>
      <c r="BW30" s="314" t="s">
        <v>147</v>
      </c>
      <c r="BX30" s="315"/>
      <c r="BY30" s="315" t="s">
        <v>147</v>
      </c>
      <c r="BZ30" s="315" t="s">
        <v>147</v>
      </c>
      <c r="CA30" s="315" t="s">
        <v>147</v>
      </c>
      <c r="CB30" s="316" t="s">
        <v>147</v>
      </c>
      <c r="CC30" s="314"/>
      <c r="CD30" s="315" t="s">
        <v>147</v>
      </c>
      <c r="CE30" s="316"/>
      <c r="CF30" s="314"/>
      <c r="CG30" s="315"/>
      <c r="CH30" s="315"/>
      <c r="CI30" s="317"/>
      <c r="CK30" s="236">
        <f t="shared" si="10"/>
        <v>1</v>
      </c>
      <c r="CL30" s="237">
        <f t="shared" si="11"/>
        <v>9</v>
      </c>
      <c r="CM30" s="237">
        <f t="shared" si="12"/>
        <v>6</v>
      </c>
      <c r="CN30" s="237">
        <f t="shared" si="13"/>
        <v>5</v>
      </c>
      <c r="CO30" s="238">
        <f t="shared" si="14"/>
        <v>1</v>
      </c>
      <c r="CQ30" s="236" t="str">
        <f>desired_skills(C30,"Methodieken/Agile/scrum","o")</f>
        <v/>
      </c>
      <c r="CR30" s="237" t="str">
        <f>desired_skills(C30,"Methodieken/Agile/scrum","j")</f>
        <v/>
      </c>
      <c r="CS30" s="237" t="str">
        <f>desired_skills(C30,"Methodieken/Agile/scrum","m")</f>
        <v>18</v>
      </c>
      <c r="CT30" s="237" t="str">
        <f>desired_skills(C30,"Methodieken/Agile/scrum","s")</f>
        <v/>
      </c>
      <c r="CU30" s="238" t="str">
        <f>desired_skills(C30,"Methodieken/Agile/scrum","e")</f>
        <v/>
      </c>
      <c r="CW30" s="236" t="str">
        <f>calc_gap('Matrix 171007_1827'!$CK$30,'Matrix 171007_1827'!$CQ$30)</f>
        <v/>
      </c>
      <c r="CX30" s="237" t="str">
        <f>calc_gap('Matrix 171007_1827'!$CL$30,'Matrix 171007_1827'!$CR$30)</f>
        <v/>
      </c>
      <c r="CY30" s="237" t="str">
        <f>calc_gap('Matrix 171007_1827'!$CM$30,'Matrix 171007_1827'!$CS$30)</f>
        <v>12</v>
      </c>
      <c r="CZ30" s="237" t="str">
        <f>calc_gap('Matrix 171007_1827'!$CN$30,'Matrix 171007_1827'!$CT$30)</f>
        <v/>
      </c>
      <c r="DA30" s="238" t="str">
        <f>calc_gap('Matrix 171007_1827'!$CO$30,'Matrix 171007_1827'!$CU$30)</f>
        <v/>
      </c>
    </row>
    <row r="31" spans="2:105" x14ac:dyDescent="0.25">
      <c r="B31" s="435"/>
      <c r="C31" s="291" t="s">
        <v>74</v>
      </c>
      <c r="D31" s="314"/>
      <c r="E31" s="315"/>
      <c r="F31" s="315"/>
      <c r="G31" s="315"/>
      <c r="H31" s="315"/>
      <c r="I31" s="315"/>
      <c r="J31" s="315"/>
      <c r="K31" s="316"/>
      <c r="L31" s="314"/>
      <c r="M31" s="315"/>
      <c r="N31" s="315"/>
      <c r="O31" s="316"/>
      <c r="P31" s="314"/>
      <c r="Q31" s="315"/>
      <c r="R31" s="315"/>
      <c r="S31" s="315"/>
      <c r="T31" s="315"/>
      <c r="U31" s="315"/>
      <c r="V31" s="315"/>
      <c r="W31" s="315"/>
      <c r="X31" s="315"/>
      <c r="Y31" s="315"/>
      <c r="Z31" s="315"/>
      <c r="AA31" s="315"/>
      <c r="AB31" s="315"/>
      <c r="AC31" s="315"/>
      <c r="AD31" s="315"/>
      <c r="AE31" s="315"/>
      <c r="AF31" s="315"/>
      <c r="AG31" s="315"/>
      <c r="AH31" s="315"/>
      <c r="AI31" s="316"/>
      <c r="AJ31" s="314"/>
      <c r="AK31" s="315"/>
      <c r="AL31" s="316"/>
      <c r="AM31" s="314"/>
      <c r="AN31" s="315"/>
      <c r="AO31" s="316"/>
      <c r="AP31" s="314"/>
      <c r="AQ31" s="315"/>
      <c r="AR31" s="315"/>
      <c r="AS31" s="315"/>
      <c r="AT31" s="316"/>
      <c r="AU31" s="314" t="s">
        <v>147</v>
      </c>
      <c r="AV31" s="315" t="s">
        <v>147</v>
      </c>
      <c r="AW31" s="315" t="s">
        <v>147</v>
      </c>
      <c r="AX31" s="315" t="s">
        <v>148</v>
      </c>
      <c r="AY31" s="315" t="s">
        <v>147</v>
      </c>
      <c r="AZ31" s="315"/>
      <c r="BA31" s="315" t="s">
        <v>149</v>
      </c>
      <c r="BB31" s="316" t="s">
        <v>148</v>
      </c>
      <c r="BC31" s="314" t="s">
        <v>147</v>
      </c>
      <c r="BD31" s="315" t="s">
        <v>147</v>
      </c>
      <c r="BE31" s="315"/>
      <c r="BF31" s="315" t="s">
        <v>150</v>
      </c>
      <c r="BG31" s="316"/>
      <c r="BH31" s="314"/>
      <c r="BI31" s="315" t="s">
        <v>148</v>
      </c>
      <c r="BJ31" s="316"/>
      <c r="BK31" s="314"/>
      <c r="BL31" s="315" t="s">
        <v>147</v>
      </c>
      <c r="BM31" s="315"/>
      <c r="BN31" s="316" t="s">
        <v>148</v>
      </c>
      <c r="BO31" s="314"/>
      <c r="BP31" s="315"/>
      <c r="BQ31" s="315"/>
      <c r="BR31" s="315"/>
      <c r="BS31" s="315" t="s">
        <v>147</v>
      </c>
      <c r="BT31" s="315" t="s">
        <v>148</v>
      </c>
      <c r="BU31" s="315" t="s">
        <v>150</v>
      </c>
      <c r="BV31" s="316"/>
      <c r="BW31" s="314"/>
      <c r="BX31" s="315"/>
      <c r="BY31" s="315" t="s">
        <v>148</v>
      </c>
      <c r="BZ31" s="315"/>
      <c r="CA31" s="315" t="s">
        <v>147</v>
      </c>
      <c r="CB31" s="316" t="s">
        <v>147</v>
      </c>
      <c r="CC31" s="314"/>
      <c r="CD31" s="315" t="s">
        <v>147</v>
      </c>
      <c r="CE31" s="316"/>
      <c r="CF31" s="314"/>
      <c r="CG31" s="315"/>
      <c r="CH31" s="315"/>
      <c r="CI31" s="317"/>
      <c r="CK31" s="236">
        <f t="shared" si="10"/>
        <v>1</v>
      </c>
      <c r="CL31" s="237">
        <f t="shared" si="11"/>
        <v>11</v>
      </c>
      <c r="CM31" s="237">
        <f t="shared" si="12"/>
        <v>6</v>
      </c>
      <c r="CN31" s="237">
        <f t="shared" si="13"/>
        <v>2</v>
      </c>
      <c r="CO31" s="238" t="str">
        <f t="shared" si="14"/>
        <v/>
      </c>
      <c r="CQ31" s="236" t="str">
        <f>desired_skills(C31,"Methodieken/BiSL","o")</f>
        <v/>
      </c>
      <c r="CR31" s="237" t="str">
        <f>desired_skills(C31,"Methodieken/BiSL","j")</f>
        <v/>
      </c>
      <c r="CS31" s="237" t="str">
        <f>desired_skills(C31,"Methodieken/BiSL","m")</f>
        <v/>
      </c>
      <c r="CT31" s="237" t="str">
        <f>desired_skills(C31,"Methodieken/BiSL","s")</f>
        <v>19</v>
      </c>
      <c r="CU31" s="238" t="str">
        <f>desired_skills(C31,"Methodieken/BiSL","e")</f>
        <v/>
      </c>
      <c r="CW31" s="236" t="str">
        <f>calc_gap('Matrix 171007_1827'!$CK$31,'Matrix 171007_1827'!$CQ$31)</f>
        <v/>
      </c>
      <c r="CX31" s="237" t="str">
        <f>calc_gap('Matrix 171007_1827'!$CL$31,'Matrix 171007_1827'!$CR$31)</f>
        <v/>
      </c>
      <c r="CY31" s="237" t="str">
        <f>calc_gap('Matrix 171007_1827'!$CM$31,'Matrix 171007_1827'!$CS$31)</f>
        <v/>
      </c>
      <c r="CZ31" s="237" t="str">
        <f>calc_gap('Matrix 171007_1827'!$CN$31,'Matrix 171007_1827'!$CT$31)</f>
        <v>17</v>
      </c>
      <c r="DA31" s="238" t="str">
        <f>calc_gap('Matrix 171007_1827'!$CO$31,'Matrix 171007_1827'!$CU$31)</f>
        <v/>
      </c>
    </row>
    <row r="32" spans="2:105" x14ac:dyDescent="0.25">
      <c r="B32" s="435"/>
      <c r="C32" s="291" t="s">
        <v>76</v>
      </c>
      <c r="D32" s="314"/>
      <c r="E32" s="315"/>
      <c r="F32" s="315"/>
      <c r="G32" s="315"/>
      <c r="H32" s="315"/>
      <c r="I32" s="315"/>
      <c r="J32" s="315"/>
      <c r="K32" s="316"/>
      <c r="L32" s="314"/>
      <c r="M32" s="315"/>
      <c r="N32" s="315"/>
      <c r="O32" s="316"/>
      <c r="P32" s="314"/>
      <c r="Q32" s="315"/>
      <c r="R32" s="315"/>
      <c r="S32" s="315"/>
      <c r="T32" s="315"/>
      <c r="U32" s="315"/>
      <c r="V32" s="315"/>
      <c r="W32" s="315"/>
      <c r="X32" s="315"/>
      <c r="Y32" s="315"/>
      <c r="Z32" s="315"/>
      <c r="AA32" s="315"/>
      <c r="AB32" s="315"/>
      <c r="AC32" s="315"/>
      <c r="AD32" s="315"/>
      <c r="AE32" s="315"/>
      <c r="AF32" s="315"/>
      <c r="AG32" s="315"/>
      <c r="AH32" s="315"/>
      <c r="AI32" s="316"/>
      <c r="AJ32" s="314"/>
      <c r="AK32" s="315"/>
      <c r="AL32" s="316"/>
      <c r="AM32" s="314"/>
      <c r="AN32" s="315"/>
      <c r="AO32" s="316"/>
      <c r="AP32" s="314"/>
      <c r="AQ32" s="315"/>
      <c r="AR32" s="315"/>
      <c r="AS32" s="315"/>
      <c r="AT32" s="316"/>
      <c r="AU32" s="314" t="s">
        <v>150</v>
      </c>
      <c r="AV32" s="315" t="s">
        <v>148</v>
      </c>
      <c r="AW32" s="315" t="s">
        <v>148</v>
      </c>
      <c r="AX32" s="315" t="s">
        <v>150</v>
      </c>
      <c r="AY32" s="315" t="s">
        <v>150</v>
      </c>
      <c r="AZ32" s="315"/>
      <c r="BA32" s="315" t="s">
        <v>150</v>
      </c>
      <c r="BB32" s="316" t="s">
        <v>150</v>
      </c>
      <c r="BC32" s="314" t="s">
        <v>147</v>
      </c>
      <c r="BD32" s="315" t="s">
        <v>149</v>
      </c>
      <c r="BE32" s="315"/>
      <c r="BF32" s="315" t="s">
        <v>147</v>
      </c>
      <c r="BG32" s="316"/>
      <c r="BH32" s="314"/>
      <c r="BI32" s="315"/>
      <c r="BJ32" s="316"/>
      <c r="BK32" s="314"/>
      <c r="BL32" s="315" t="s">
        <v>149</v>
      </c>
      <c r="BM32" s="315"/>
      <c r="BN32" s="316" t="s">
        <v>149</v>
      </c>
      <c r="BO32" s="314"/>
      <c r="BP32" s="315"/>
      <c r="BQ32" s="315"/>
      <c r="BR32" s="315"/>
      <c r="BS32" s="315"/>
      <c r="BT32" s="315"/>
      <c r="BU32" s="315" t="s">
        <v>148</v>
      </c>
      <c r="BV32" s="316"/>
      <c r="BW32" s="314" t="s">
        <v>147</v>
      </c>
      <c r="BX32" s="315"/>
      <c r="BY32" s="315" t="s">
        <v>147</v>
      </c>
      <c r="BZ32" s="315"/>
      <c r="CA32" s="315" t="s">
        <v>147</v>
      </c>
      <c r="CB32" s="316" t="s">
        <v>148</v>
      </c>
      <c r="CC32" s="314"/>
      <c r="CD32" s="315"/>
      <c r="CE32" s="316"/>
      <c r="CF32" s="314"/>
      <c r="CG32" s="315"/>
      <c r="CH32" s="315"/>
      <c r="CI32" s="317"/>
      <c r="CK32" s="236">
        <f t="shared" si="10"/>
        <v>3</v>
      </c>
      <c r="CL32" s="237">
        <f t="shared" si="11"/>
        <v>5</v>
      </c>
      <c r="CM32" s="237">
        <f t="shared" si="12"/>
        <v>4</v>
      </c>
      <c r="CN32" s="237">
        <f t="shared" si="13"/>
        <v>5</v>
      </c>
      <c r="CO32" s="238" t="str">
        <f t="shared" si="14"/>
        <v/>
      </c>
      <c r="CQ32" s="236" t="str">
        <f>desired_skills(C32,"Methodieken/Opstellen (KC)Frameworks","o")</f>
        <v/>
      </c>
      <c r="CR32" s="237" t="str">
        <f>desired_skills(C32,"Methodieken/Opstellen (KC)Frameworks","j")</f>
        <v/>
      </c>
      <c r="CS32" s="237" t="str">
        <f>desired_skills(C32,"Methodieken/Opstellen (KC)Frameworks","m")</f>
        <v/>
      </c>
      <c r="CT32" s="237" t="str">
        <f>desired_skills(C32,"Methodieken/Opstellen (KC)Frameworks","s")</f>
        <v/>
      </c>
      <c r="CU32" s="238" t="str">
        <f>desired_skills(C32,"Methodieken/Opstellen (KC)Frameworks","e")</f>
        <v>20</v>
      </c>
      <c r="CW32" s="236" t="str">
        <f>calc_gap('Matrix 171007_1827'!$CK$32,'Matrix 171007_1827'!$CQ$32)</f>
        <v/>
      </c>
      <c r="CX32" s="237" t="str">
        <f>calc_gap('Matrix 171007_1827'!$CL$32,'Matrix 171007_1827'!$CR$32)</f>
        <v/>
      </c>
      <c r="CY32" s="237" t="str">
        <f>calc_gap('Matrix 171007_1827'!$CM$32,'Matrix 171007_1827'!$CS$32)</f>
        <v/>
      </c>
      <c r="CZ32" s="237" t="str">
        <f>calc_gap('Matrix 171007_1827'!$CN$32,'Matrix 171007_1827'!$CT$32)</f>
        <v/>
      </c>
      <c r="DA32" s="238" t="str">
        <f>calc_gap('Matrix 171007_1827'!$CO$32,'Matrix 171007_1827'!$CU$32)</f>
        <v/>
      </c>
    </row>
    <row r="33" spans="2:105" x14ac:dyDescent="0.25">
      <c r="B33" s="435"/>
      <c r="C33" s="291" t="s">
        <v>77</v>
      </c>
      <c r="D33" s="314"/>
      <c r="E33" s="315"/>
      <c r="F33" s="315"/>
      <c r="G33" s="315"/>
      <c r="H33" s="315"/>
      <c r="I33" s="315"/>
      <c r="J33" s="315"/>
      <c r="K33" s="316"/>
      <c r="L33" s="314"/>
      <c r="M33" s="315"/>
      <c r="N33" s="315"/>
      <c r="O33" s="316"/>
      <c r="P33" s="314"/>
      <c r="Q33" s="315"/>
      <c r="R33" s="315"/>
      <c r="S33" s="315"/>
      <c r="T33" s="315"/>
      <c r="U33" s="315"/>
      <c r="V33" s="315"/>
      <c r="W33" s="315"/>
      <c r="X33" s="315"/>
      <c r="Y33" s="315"/>
      <c r="Z33" s="315"/>
      <c r="AA33" s="315"/>
      <c r="AB33" s="315"/>
      <c r="AC33" s="315"/>
      <c r="AD33" s="315"/>
      <c r="AE33" s="315"/>
      <c r="AF33" s="315"/>
      <c r="AG33" s="315"/>
      <c r="AH33" s="315"/>
      <c r="AI33" s="316"/>
      <c r="AJ33" s="314"/>
      <c r="AK33" s="315"/>
      <c r="AL33" s="316"/>
      <c r="AM33" s="314"/>
      <c r="AN33" s="315"/>
      <c r="AO33" s="316"/>
      <c r="AP33" s="314"/>
      <c r="AQ33" s="315"/>
      <c r="AR33" s="315"/>
      <c r="AS33" s="315"/>
      <c r="AT33" s="316"/>
      <c r="AU33" s="314" t="s">
        <v>148</v>
      </c>
      <c r="AV33" s="315" t="s">
        <v>147</v>
      </c>
      <c r="AW33" s="315" t="s">
        <v>149</v>
      </c>
      <c r="AX33" s="315" t="s">
        <v>148</v>
      </c>
      <c r="AY33" s="315" t="s">
        <v>147</v>
      </c>
      <c r="AZ33" s="315"/>
      <c r="BA33" s="315" t="s">
        <v>149</v>
      </c>
      <c r="BB33" s="316" t="s">
        <v>147</v>
      </c>
      <c r="BC33" s="314" t="s">
        <v>147</v>
      </c>
      <c r="BD33" s="315" t="s">
        <v>150</v>
      </c>
      <c r="BE33" s="315"/>
      <c r="BF33" s="315" t="s">
        <v>150</v>
      </c>
      <c r="BG33" s="316"/>
      <c r="BH33" s="314"/>
      <c r="BI33" s="315" t="s">
        <v>148</v>
      </c>
      <c r="BJ33" s="316"/>
      <c r="BK33" s="314" t="s">
        <v>147</v>
      </c>
      <c r="BL33" s="315" t="s">
        <v>150</v>
      </c>
      <c r="BM33" s="315"/>
      <c r="BN33" s="316" t="s">
        <v>47</v>
      </c>
      <c r="BO33" s="314" t="s">
        <v>148</v>
      </c>
      <c r="BP33" s="315" t="s">
        <v>150</v>
      </c>
      <c r="BQ33" s="315" t="s">
        <v>148</v>
      </c>
      <c r="BR33" s="315"/>
      <c r="BS33" s="315" t="s">
        <v>147</v>
      </c>
      <c r="BT33" s="315" t="s">
        <v>147</v>
      </c>
      <c r="BU33" s="315" t="s">
        <v>150</v>
      </c>
      <c r="BV33" s="316"/>
      <c r="BW33" s="314" t="s">
        <v>148</v>
      </c>
      <c r="BX33" s="315"/>
      <c r="BY33" s="315" t="s">
        <v>150</v>
      </c>
      <c r="BZ33" s="315" t="s">
        <v>150</v>
      </c>
      <c r="CA33" s="315" t="s">
        <v>150</v>
      </c>
      <c r="CB33" s="316" t="s">
        <v>148</v>
      </c>
      <c r="CC33" s="314"/>
      <c r="CD33" s="315"/>
      <c r="CE33" s="316"/>
      <c r="CF33" s="314"/>
      <c r="CG33" s="315"/>
      <c r="CH33" s="315"/>
      <c r="CI33" s="317"/>
      <c r="CK33" s="236">
        <f t="shared" si="10"/>
        <v>2</v>
      </c>
      <c r="CL33" s="237">
        <f t="shared" si="11"/>
        <v>7</v>
      </c>
      <c r="CM33" s="237">
        <f t="shared" si="12"/>
        <v>7</v>
      </c>
      <c r="CN33" s="237">
        <f t="shared" si="13"/>
        <v>8</v>
      </c>
      <c r="CO33" s="238">
        <f t="shared" si="14"/>
        <v>1</v>
      </c>
      <c r="CQ33" s="236" t="str">
        <f>desired_skills(C33,"Methodieken/ITIL","o")</f>
        <v/>
      </c>
      <c r="CR33" s="237" t="str">
        <f>desired_skills(C33,"Methodieken/ITIL","j")</f>
        <v/>
      </c>
      <c r="CS33" s="237" t="str">
        <f>desired_skills(C33,"Methodieken/ITIL","m")</f>
        <v/>
      </c>
      <c r="CT33" s="237" t="str">
        <f>desired_skills(C33,"Methodieken/ITIL","s")</f>
        <v/>
      </c>
      <c r="CU33" s="238" t="str">
        <f>desired_skills(C33,"Methodieken/ITIL","e")</f>
        <v/>
      </c>
      <c r="CW33" s="236" t="str">
        <f>calc_gap('Matrix 171007_1827'!$CK$33,'Matrix 171007_1827'!$CQ$33)</f>
        <v/>
      </c>
      <c r="CX33" s="237" t="str">
        <f>calc_gap('Matrix 171007_1827'!$CL$33,'Matrix 171007_1827'!$CR$33)</f>
        <v/>
      </c>
      <c r="CY33" s="237" t="str">
        <f>calc_gap('Matrix 171007_1827'!$CM$33,'Matrix 171007_1827'!$CS$33)</f>
        <v/>
      </c>
      <c r="CZ33" s="237" t="str">
        <f>calc_gap('Matrix 171007_1827'!$CN$33,'Matrix 171007_1827'!$CT$33)</f>
        <v/>
      </c>
      <c r="DA33" s="238" t="str">
        <f>calc_gap('Matrix 171007_1827'!$CO$33,'Matrix 171007_1827'!$CU$33)</f>
        <v/>
      </c>
    </row>
    <row r="34" spans="2:105" x14ac:dyDescent="0.25">
      <c r="B34" s="435"/>
      <c r="C34" s="291" t="s">
        <v>78</v>
      </c>
      <c r="D34" s="314"/>
      <c r="E34" s="315"/>
      <c r="F34" s="315"/>
      <c r="G34" s="315"/>
      <c r="H34" s="315"/>
      <c r="I34" s="315"/>
      <c r="J34" s="315"/>
      <c r="K34" s="316"/>
      <c r="L34" s="314"/>
      <c r="M34" s="315"/>
      <c r="N34" s="315"/>
      <c r="O34" s="316"/>
      <c r="P34" s="314"/>
      <c r="Q34" s="315"/>
      <c r="R34" s="315"/>
      <c r="S34" s="315"/>
      <c r="T34" s="315"/>
      <c r="U34" s="315"/>
      <c r="V34" s="315"/>
      <c r="W34" s="315"/>
      <c r="X34" s="315"/>
      <c r="Y34" s="315"/>
      <c r="Z34" s="315"/>
      <c r="AA34" s="315"/>
      <c r="AB34" s="315"/>
      <c r="AC34" s="315"/>
      <c r="AD34" s="315"/>
      <c r="AE34" s="315"/>
      <c r="AF34" s="315"/>
      <c r="AG34" s="315"/>
      <c r="AH34" s="315"/>
      <c r="AI34" s="316"/>
      <c r="AJ34" s="314"/>
      <c r="AK34" s="315"/>
      <c r="AL34" s="316"/>
      <c r="AM34" s="314"/>
      <c r="AN34" s="315"/>
      <c r="AO34" s="316"/>
      <c r="AP34" s="314"/>
      <c r="AQ34" s="315"/>
      <c r="AR34" s="315"/>
      <c r="AS34" s="315"/>
      <c r="AT34" s="316"/>
      <c r="AU34" s="314" t="s">
        <v>150</v>
      </c>
      <c r="AV34" s="315" t="s">
        <v>147</v>
      </c>
      <c r="AW34" s="315" t="s">
        <v>148</v>
      </c>
      <c r="AX34" s="315" t="s">
        <v>150</v>
      </c>
      <c r="AY34" s="315" t="s">
        <v>148</v>
      </c>
      <c r="AZ34" s="315" t="s">
        <v>150</v>
      </c>
      <c r="BA34" s="315" t="s">
        <v>47</v>
      </c>
      <c r="BB34" s="316" t="s">
        <v>148</v>
      </c>
      <c r="BC34" s="314" t="s">
        <v>147</v>
      </c>
      <c r="BD34" s="315" t="s">
        <v>149</v>
      </c>
      <c r="BE34" s="315"/>
      <c r="BF34" s="315" t="s">
        <v>150</v>
      </c>
      <c r="BG34" s="316"/>
      <c r="BH34" s="314"/>
      <c r="BI34" s="315" t="s">
        <v>148</v>
      </c>
      <c r="BJ34" s="316"/>
      <c r="BK34" s="314" t="s">
        <v>147</v>
      </c>
      <c r="BL34" s="315" t="s">
        <v>150</v>
      </c>
      <c r="BM34" s="315"/>
      <c r="BN34" s="316" t="s">
        <v>148</v>
      </c>
      <c r="BO34" s="314" t="s">
        <v>148</v>
      </c>
      <c r="BP34" s="315" t="s">
        <v>150</v>
      </c>
      <c r="BQ34" s="315" t="s">
        <v>148</v>
      </c>
      <c r="BR34" s="315"/>
      <c r="BS34" s="315"/>
      <c r="BT34" s="315" t="s">
        <v>148</v>
      </c>
      <c r="BU34" s="315" t="s">
        <v>148</v>
      </c>
      <c r="BV34" s="316"/>
      <c r="BW34" s="314" t="s">
        <v>150</v>
      </c>
      <c r="BX34" s="315" t="s">
        <v>148</v>
      </c>
      <c r="BY34" s="315" t="s">
        <v>150</v>
      </c>
      <c r="BZ34" s="315" t="s">
        <v>148</v>
      </c>
      <c r="CA34" s="315" t="s">
        <v>150</v>
      </c>
      <c r="CB34" s="316" t="s">
        <v>150</v>
      </c>
      <c r="CC34" s="314"/>
      <c r="CD34" s="315" t="s">
        <v>148</v>
      </c>
      <c r="CE34" s="316"/>
      <c r="CF34" s="314"/>
      <c r="CG34" s="315"/>
      <c r="CH34" s="315"/>
      <c r="CI34" s="317"/>
      <c r="CK34" s="236">
        <f t="shared" si="10"/>
        <v>1</v>
      </c>
      <c r="CL34" s="237">
        <f t="shared" si="11"/>
        <v>3</v>
      </c>
      <c r="CM34" s="237">
        <f t="shared" si="12"/>
        <v>12</v>
      </c>
      <c r="CN34" s="237">
        <f t="shared" si="13"/>
        <v>10</v>
      </c>
      <c r="CO34" s="238">
        <f t="shared" si="14"/>
        <v>1</v>
      </c>
      <c r="CQ34" s="236" t="str">
        <f>desired_skills(C34,"Methodieken/Prince 2","o")</f>
        <v/>
      </c>
      <c r="CR34" s="237" t="str">
        <f>desired_skills(C34,"Methodieken/Prince 2","j")</f>
        <v/>
      </c>
      <c r="CS34" s="237" t="str">
        <f>desired_skills(C34,"Methodieken/Prince 2","m")</f>
        <v/>
      </c>
      <c r="CT34" s="237" t="str">
        <f>desired_skills(C34,"Methodieken/Prince 2","s")</f>
        <v/>
      </c>
      <c r="CU34" s="238" t="str">
        <f>desired_skills(C34,"Methodieken/Prince 2","e")</f>
        <v/>
      </c>
      <c r="CW34" s="236" t="str">
        <f>calc_gap('Matrix 171007_1827'!$CK$34,'Matrix 171007_1827'!$CQ$34)</f>
        <v/>
      </c>
      <c r="CX34" s="237" t="str">
        <f>calc_gap('Matrix 171007_1827'!$CL$34,'Matrix 171007_1827'!$CR$34)</f>
        <v/>
      </c>
      <c r="CY34" s="237" t="str">
        <f>calc_gap('Matrix 171007_1827'!$CM$34,'Matrix 171007_1827'!$CS$34)</f>
        <v/>
      </c>
      <c r="CZ34" s="237" t="str">
        <f>calc_gap('Matrix 171007_1827'!$CN$34,'Matrix 171007_1827'!$CT$34)</f>
        <v/>
      </c>
      <c r="DA34" s="238" t="str">
        <f>calc_gap('Matrix 171007_1827'!$CO$34,'Matrix 171007_1827'!$CU$34)</f>
        <v/>
      </c>
    </row>
    <row r="35" spans="2:105" x14ac:dyDescent="0.25">
      <c r="B35" s="435"/>
      <c r="C35" s="291" t="s">
        <v>79</v>
      </c>
      <c r="D35" s="314"/>
      <c r="E35" s="315"/>
      <c r="F35" s="315"/>
      <c r="G35" s="315"/>
      <c r="H35" s="315"/>
      <c r="I35" s="315"/>
      <c r="J35" s="315"/>
      <c r="K35" s="316"/>
      <c r="L35" s="314"/>
      <c r="M35" s="315"/>
      <c r="N35" s="315"/>
      <c r="O35" s="316"/>
      <c r="P35" s="314"/>
      <c r="Q35" s="315"/>
      <c r="R35" s="315"/>
      <c r="S35" s="315"/>
      <c r="T35" s="315"/>
      <c r="U35" s="315"/>
      <c r="V35" s="315"/>
      <c r="W35" s="315"/>
      <c r="X35" s="315"/>
      <c r="Y35" s="315"/>
      <c r="Z35" s="315"/>
      <c r="AA35" s="315"/>
      <c r="AB35" s="315"/>
      <c r="AC35" s="315"/>
      <c r="AD35" s="315"/>
      <c r="AE35" s="315"/>
      <c r="AF35" s="315"/>
      <c r="AG35" s="315"/>
      <c r="AH35" s="315"/>
      <c r="AI35" s="316"/>
      <c r="AJ35" s="314"/>
      <c r="AK35" s="315"/>
      <c r="AL35" s="316"/>
      <c r="AM35" s="314"/>
      <c r="AN35" s="315"/>
      <c r="AO35" s="316"/>
      <c r="AP35" s="314"/>
      <c r="AQ35" s="315"/>
      <c r="AR35" s="315"/>
      <c r="AS35" s="315"/>
      <c r="AT35" s="316"/>
      <c r="AU35" s="314" t="s">
        <v>150</v>
      </c>
      <c r="AV35" s="315" t="s">
        <v>150</v>
      </c>
      <c r="AW35" s="315" t="s">
        <v>150</v>
      </c>
      <c r="AX35" s="315" t="s">
        <v>47</v>
      </c>
      <c r="AY35" s="315" t="s">
        <v>47</v>
      </c>
      <c r="AZ35" s="315"/>
      <c r="BA35" s="315" t="s">
        <v>150</v>
      </c>
      <c r="BB35" s="316" t="s">
        <v>148</v>
      </c>
      <c r="BC35" s="314" t="s">
        <v>147</v>
      </c>
      <c r="BD35" s="315" t="s">
        <v>149</v>
      </c>
      <c r="BE35" s="315"/>
      <c r="BF35" s="315"/>
      <c r="BG35" s="316"/>
      <c r="BH35" s="314"/>
      <c r="BI35" s="315"/>
      <c r="BJ35" s="316"/>
      <c r="BK35" s="314"/>
      <c r="BL35" s="315" t="s">
        <v>150</v>
      </c>
      <c r="BM35" s="315"/>
      <c r="BN35" s="316"/>
      <c r="BO35" s="314"/>
      <c r="BP35" s="315" t="s">
        <v>148</v>
      </c>
      <c r="BQ35" s="315" t="s">
        <v>147</v>
      </c>
      <c r="BR35" s="315"/>
      <c r="BS35" s="315"/>
      <c r="BT35" s="315" t="s">
        <v>148</v>
      </c>
      <c r="BU35" s="315" t="s">
        <v>148</v>
      </c>
      <c r="BV35" s="316"/>
      <c r="BW35" s="314" t="s">
        <v>148</v>
      </c>
      <c r="BX35" s="315" t="s">
        <v>148</v>
      </c>
      <c r="BY35" s="315" t="s">
        <v>150</v>
      </c>
      <c r="BZ35" s="315" t="s">
        <v>147</v>
      </c>
      <c r="CA35" s="315" t="s">
        <v>150</v>
      </c>
      <c r="CB35" s="316" t="s">
        <v>150</v>
      </c>
      <c r="CC35" s="314"/>
      <c r="CD35" s="315"/>
      <c r="CE35" s="316"/>
      <c r="CF35" s="314"/>
      <c r="CG35" s="315"/>
      <c r="CH35" s="315"/>
      <c r="CI35" s="317"/>
      <c r="CK35" s="236">
        <f t="shared" si="10"/>
        <v>1</v>
      </c>
      <c r="CL35" s="237">
        <f t="shared" si="11"/>
        <v>3</v>
      </c>
      <c r="CM35" s="237">
        <f t="shared" si="12"/>
        <v>6</v>
      </c>
      <c r="CN35" s="237">
        <f t="shared" si="13"/>
        <v>8</v>
      </c>
      <c r="CO35" s="238">
        <f t="shared" si="14"/>
        <v>2</v>
      </c>
      <c r="CQ35" s="236" t="str">
        <f>desired_skills(C35,"Methodieken/Sox","o")</f>
        <v/>
      </c>
      <c r="CR35" s="237" t="str">
        <f>desired_skills(C35,"Methodieken/Sox","j")</f>
        <v/>
      </c>
      <c r="CS35" s="237" t="str">
        <f>desired_skills(C35,"Methodieken/Sox","m")</f>
        <v/>
      </c>
      <c r="CT35" s="237" t="str">
        <f>desired_skills(C35,"Methodieken/Sox","s")</f>
        <v/>
      </c>
      <c r="CU35" s="238" t="str">
        <f>desired_skills(C35,"Methodieken/Sox","e")</f>
        <v/>
      </c>
      <c r="CW35" s="236" t="str">
        <f>calc_gap('Matrix 171007_1827'!$CK$35,'Matrix 171007_1827'!$CQ$35)</f>
        <v/>
      </c>
      <c r="CX35" s="237" t="str">
        <f>calc_gap('Matrix 171007_1827'!$CL$35,'Matrix 171007_1827'!$CR$35)</f>
        <v/>
      </c>
      <c r="CY35" s="237" t="str">
        <f>calc_gap('Matrix 171007_1827'!$CM$35,'Matrix 171007_1827'!$CS$35)</f>
        <v/>
      </c>
      <c r="CZ35" s="237" t="str">
        <f>calc_gap('Matrix 171007_1827'!$CN$35,'Matrix 171007_1827'!$CT$35)</f>
        <v/>
      </c>
      <c r="DA35" s="238" t="str">
        <f>calc_gap('Matrix 171007_1827'!$CO$35,'Matrix 171007_1827'!$CU$35)</f>
        <v/>
      </c>
    </row>
    <row r="36" spans="2:105" x14ac:dyDescent="0.25">
      <c r="B36" s="435"/>
      <c r="C36" s="291" t="s">
        <v>80</v>
      </c>
      <c r="D36" s="314"/>
      <c r="E36" s="315"/>
      <c r="F36" s="315"/>
      <c r="G36" s="315"/>
      <c r="H36" s="315"/>
      <c r="I36" s="315"/>
      <c r="J36" s="315"/>
      <c r="K36" s="316"/>
      <c r="L36" s="314"/>
      <c r="M36" s="315"/>
      <c r="N36" s="315"/>
      <c r="O36" s="316"/>
      <c r="P36" s="314"/>
      <c r="Q36" s="315"/>
      <c r="R36" s="315"/>
      <c r="S36" s="315"/>
      <c r="T36" s="315"/>
      <c r="U36" s="315"/>
      <c r="V36" s="315"/>
      <c r="W36" s="315"/>
      <c r="X36" s="315"/>
      <c r="Y36" s="315"/>
      <c r="Z36" s="315"/>
      <c r="AA36" s="315"/>
      <c r="AB36" s="315"/>
      <c r="AC36" s="315"/>
      <c r="AD36" s="315"/>
      <c r="AE36" s="315"/>
      <c r="AF36" s="315"/>
      <c r="AG36" s="315"/>
      <c r="AH36" s="315"/>
      <c r="AI36" s="316"/>
      <c r="AJ36" s="314"/>
      <c r="AK36" s="315"/>
      <c r="AL36" s="316"/>
      <c r="AM36" s="314"/>
      <c r="AN36" s="315"/>
      <c r="AO36" s="316"/>
      <c r="AP36" s="314"/>
      <c r="AQ36" s="315"/>
      <c r="AR36" s="315"/>
      <c r="AS36" s="315"/>
      <c r="AT36" s="316"/>
      <c r="AU36" s="314" t="s">
        <v>150</v>
      </c>
      <c r="AV36" s="315" t="s">
        <v>148</v>
      </c>
      <c r="AW36" s="315" t="s">
        <v>150</v>
      </c>
      <c r="AX36" s="315" t="s">
        <v>150</v>
      </c>
      <c r="AY36" s="315" t="s">
        <v>150</v>
      </c>
      <c r="AZ36" s="315"/>
      <c r="BA36" s="315" t="s">
        <v>147</v>
      </c>
      <c r="BB36" s="316" t="s">
        <v>148</v>
      </c>
      <c r="BC36" s="314" t="s">
        <v>147</v>
      </c>
      <c r="BD36" s="315"/>
      <c r="BE36" s="315"/>
      <c r="BF36" s="315"/>
      <c r="BG36" s="316"/>
      <c r="BH36" s="314"/>
      <c r="BI36" s="315" t="s">
        <v>148</v>
      </c>
      <c r="BJ36" s="316"/>
      <c r="BK36" s="314"/>
      <c r="BL36" s="315" t="s">
        <v>149</v>
      </c>
      <c r="BM36" s="315"/>
      <c r="BN36" s="316"/>
      <c r="BO36" s="314"/>
      <c r="BP36" s="315" t="s">
        <v>147</v>
      </c>
      <c r="BQ36" s="315"/>
      <c r="BR36" s="315"/>
      <c r="BS36" s="315"/>
      <c r="BT36" s="315"/>
      <c r="BU36" s="315" t="s">
        <v>148</v>
      </c>
      <c r="BV36" s="316"/>
      <c r="BW36" s="314" t="s">
        <v>148</v>
      </c>
      <c r="BX36" s="315"/>
      <c r="BY36" s="315" t="s">
        <v>147</v>
      </c>
      <c r="BZ36" s="315"/>
      <c r="CA36" s="315" t="s">
        <v>150</v>
      </c>
      <c r="CB36" s="316" t="s">
        <v>148</v>
      </c>
      <c r="CC36" s="314"/>
      <c r="CD36" s="315"/>
      <c r="CE36" s="316"/>
      <c r="CF36" s="314"/>
      <c r="CG36" s="315"/>
      <c r="CH36" s="315"/>
      <c r="CI36" s="317"/>
      <c r="CK36" s="236">
        <f t="shared" si="10"/>
        <v>1</v>
      </c>
      <c r="CL36" s="237">
        <f t="shared" si="11"/>
        <v>4</v>
      </c>
      <c r="CM36" s="237">
        <f t="shared" si="12"/>
        <v>6</v>
      </c>
      <c r="CN36" s="237">
        <f t="shared" si="13"/>
        <v>5</v>
      </c>
      <c r="CO36" s="238" t="str">
        <f t="shared" si="14"/>
        <v/>
      </c>
      <c r="CQ36" s="236" t="str">
        <f>desired_skills(C36,"Methodieken/Cobit","o")</f>
        <v/>
      </c>
      <c r="CR36" s="237" t="str">
        <f>desired_skills(C36,"Methodieken/Cobit","j")</f>
        <v/>
      </c>
      <c r="CS36" s="237" t="str">
        <f>desired_skills(C36,"Methodieken/Cobit","m")</f>
        <v/>
      </c>
      <c r="CT36" s="237" t="str">
        <f>desired_skills(C36,"Methodieken/Cobit","s")</f>
        <v/>
      </c>
      <c r="CU36" s="238" t="str">
        <f>desired_skills(C36,"Methodieken/Cobit","e")</f>
        <v/>
      </c>
      <c r="CW36" s="236" t="str">
        <f>calc_gap('Matrix 171007_1827'!$CK$36,'Matrix 171007_1827'!$CQ$36)</f>
        <v/>
      </c>
      <c r="CX36" s="237" t="str">
        <f>calc_gap('Matrix 171007_1827'!$CL$36,'Matrix 171007_1827'!$CR$36)</f>
        <v/>
      </c>
      <c r="CY36" s="237" t="str">
        <f>calc_gap('Matrix 171007_1827'!$CM$36,'Matrix 171007_1827'!$CS$36)</f>
        <v/>
      </c>
      <c r="CZ36" s="237" t="str">
        <f>calc_gap('Matrix 171007_1827'!$CN$36,'Matrix 171007_1827'!$CT$36)</f>
        <v/>
      </c>
      <c r="DA36" s="238" t="str">
        <f>calc_gap('Matrix 171007_1827'!$CO$36,'Matrix 171007_1827'!$CU$36)</f>
        <v/>
      </c>
    </row>
    <row r="37" spans="2:105" ht="15.75" thickBot="1" x14ac:dyDescent="0.3">
      <c r="B37" s="435"/>
      <c r="C37" s="292" t="s">
        <v>225</v>
      </c>
      <c r="D37" s="318"/>
      <c r="E37" s="319"/>
      <c r="F37" s="319"/>
      <c r="G37" s="319"/>
      <c r="H37" s="319"/>
      <c r="I37" s="319"/>
      <c r="J37" s="319"/>
      <c r="K37" s="320"/>
      <c r="L37" s="318"/>
      <c r="M37" s="319"/>
      <c r="N37" s="319"/>
      <c r="O37" s="320"/>
      <c r="P37" s="318"/>
      <c r="Q37" s="319"/>
      <c r="R37" s="319"/>
      <c r="S37" s="319"/>
      <c r="T37" s="319"/>
      <c r="U37" s="319"/>
      <c r="V37" s="319"/>
      <c r="W37" s="319"/>
      <c r="X37" s="319"/>
      <c r="Y37" s="319"/>
      <c r="Z37" s="319"/>
      <c r="AA37" s="319"/>
      <c r="AB37" s="319"/>
      <c r="AC37" s="319"/>
      <c r="AD37" s="319"/>
      <c r="AE37" s="319"/>
      <c r="AF37" s="319"/>
      <c r="AG37" s="319"/>
      <c r="AH37" s="319"/>
      <c r="AI37" s="320"/>
      <c r="AJ37" s="318"/>
      <c r="AK37" s="319"/>
      <c r="AL37" s="320"/>
      <c r="AM37" s="318"/>
      <c r="AN37" s="319"/>
      <c r="AO37" s="320"/>
      <c r="AP37" s="318"/>
      <c r="AQ37" s="319"/>
      <c r="AR37" s="319"/>
      <c r="AS37" s="319"/>
      <c r="AT37" s="320"/>
      <c r="AU37" s="318"/>
      <c r="AV37" s="319"/>
      <c r="AW37" s="319"/>
      <c r="AX37" s="319"/>
      <c r="AY37" s="319"/>
      <c r="AZ37" s="319"/>
      <c r="BA37" s="319"/>
      <c r="BB37" s="320"/>
      <c r="BC37" s="318"/>
      <c r="BD37" s="319"/>
      <c r="BE37" s="319"/>
      <c r="BF37" s="319"/>
      <c r="BG37" s="320"/>
      <c r="BH37" s="318"/>
      <c r="BI37" s="319"/>
      <c r="BJ37" s="320"/>
      <c r="BK37" s="318"/>
      <c r="BL37" s="319"/>
      <c r="BM37" s="319"/>
      <c r="BN37" s="320"/>
      <c r="BO37" s="318"/>
      <c r="BP37" s="319"/>
      <c r="BQ37" s="319"/>
      <c r="BR37" s="319"/>
      <c r="BS37" s="319"/>
      <c r="BT37" s="319"/>
      <c r="BU37" s="319"/>
      <c r="BV37" s="320"/>
      <c r="BW37" s="318"/>
      <c r="BX37" s="319"/>
      <c r="BY37" s="319"/>
      <c r="BZ37" s="319"/>
      <c r="CA37" s="319"/>
      <c r="CB37" s="320"/>
      <c r="CC37" s="318"/>
      <c r="CD37" s="319"/>
      <c r="CE37" s="320"/>
      <c r="CF37" s="318"/>
      <c r="CG37" s="319"/>
      <c r="CH37" s="319"/>
      <c r="CI37" s="321"/>
      <c r="CK37" s="239" t="str">
        <f t="shared" si="10"/>
        <v/>
      </c>
      <c r="CL37" s="240" t="str">
        <f t="shared" si="11"/>
        <v/>
      </c>
      <c r="CM37" s="240" t="str">
        <f t="shared" si="12"/>
        <v/>
      </c>
      <c r="CN37" s="240" t="str">
        <f t="shared" si="13"/>
        <v/>
      </c>
      <c r="CO37" s="241" t="str">
        <f t="shared" si="14"/>
        <v/>
      </c>
      <c r="CQ37" s="239" t="str">
        <f>desired_skills(C37,"Methodieken/CISM/CISSP","o")</f>
        <v/>
      </c>
      <c r="CR37" s="240" t="str">
        <f>desired_skills(C37,"Methodieken/CISM/CISSP","j")</f>
        <v/>
      </c>
      <c r="CS37" s="240" t="str">
        <f>desired_skills(C37,"Methodieken/CISM/CISSP","m")</f>
        <v/>
      </c>
      <c r="CT37" s="240" t="str">
        <f>desired_skills(C37,"Methodieken/CISM/CISSP","s")</f>
        <v/>
      </c>
      <c r="CU37" s="241" t="str">
        <f>desired_skills(C37,"Methodieken/CISM/CISSP","e")</f>
        <v/>
      </c>
      <c r="CW37" s="239" t="str">
        <f>calc_gap('Matrix 171007_1827'!$CK$37,'Matrix 171007_1827'!$CQ$37)</f>
        <v/>
      </c>
      <c r="CX37" s="240" t="str">
        <f>calc_gap('Matrix 171007_1827'!$CL$37,'Matrix 171007_1827'!$CR$37)</f>
        <v/>
      </c>
      <c r="CY37" s="240" t="str">
        <f>calc_gap('Matrix 171007_1827'!$CM$37,'Matrix 171007_1827'!$CS$37)</f>
        <v/>
      </c>
      <c r="CZ37" s="240" t="str">
        <f>calc_gap('Matrix 171007_1827'!$CN$37,'Matrix 171007_1827'!$CT$37)</f>
        <v/>
      </c>
      <c r="DA37" s="241" t="str">
        <f>calc_gap('Matrix 171007_1827'!$CO$37,'Matrix 171007_1827'!$CU$37)</f>
        <v/>
      </c>
    </row>
    <row r="38" spans="2:105" ht="12.75" customHeight="1" thickTop="1" thickBot="1" x14ac:dyDescent="0.3">
      <c r="B38" s="436"/>
      <c r="C38" s="248"/>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c r="BA38" s="322"/>
      <c r="BB38" s="322"/>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2"/>
      <c r="CH38" s="322"/>
      <c r="CI38" s="322"/>
      <c r="CK38" s="249"/>
      <c r="CL38" s="249"/>
      <c r="CM38" s="249"/>
      <c r="CN38" s="249"/>
      <c r="CO38" s="249"/>
      <c r="CQ38" s="249"/>
      <c r="CR38" s="249"/>
      <c r="CS38" s="249"/>
      <c r="CT38" s="249"/>
      <c r="CU38" s="249"/>
      <c r="CW38" s="249"/>
      <c r="CX38" s="249"/>
      <c r="CY38" s="249"/>
      <c r="CZ38" s="249"/>
      <c r="DA38" s="249"/>
    </row>
    <row r="39" spans="2:105" ht="15.75" thickTop="1" x14ac:dyDescent="0.25">
      <c r="B39" s="434" t="s">
        <v>81</v>
      </c>
      <c r="C39" s="290" t="s">
        <v>82</v>
      </c>
      <c r="D39" s="310"/>
      <c r="E39" s="311"/>
      <c r="F39" s="311"/>
      <c r="G39" s="311"/>
      <c r="H39" s="311"/>
      <c r="I39" s="311"/>
      <c r="J39" s="311"/>
      <c r="K39" s="312"/>
      <c r="L39" s="310"/>
      <c r="M39" s="311"/>
      <c r="N39" s="311"/>
      <c r="O39" s="312"/>
      <c r="P39" s="310"/>
      <c r="Q39" s="311"/>
      <c r="R39" s="311"/>
      <c r="S39" s="311"/>
      <c r="T39" s="311"/>
      <c r="U39" s="311"/>
      <c r="V39" s="311"/>
      <c r="W39" s="311"/>
      <c r="X39" s="311"/>
      <c r="Y39" s="311"/>
      <c r="Z39" s="311"/>
      <c r="AA39" s="311"/>
      <c r="AB39" s="311"/>
      <c r="AC39" s="311"/>
      <c r="AD39" s="311"/>
      <c r="AE39" s="311"/>
      <c r="AF39" s="311"/>
      <c r="AG39" s="311"/>
      <c r="AH39" s="311"/>
      <c r="AI39" s="312"/>
      <c r="AJ39" s="310"/>
      <c r="AK39" s="311"/>
      <c r="AL39" s="312"/>
      <c r="AM39" s="310"/>
      <c r="AN39" s="311"/>
      <c r="AO39" s="312"/>
      <c r="AP39" s="310"/>
      <c r="AQ39" s="311"/>
      <c r="AR39" s="311"/>
      <c r="AS39" s="311"/>
      <c r="AT39" s="312"/>
      <c r="AU39" s="310" t="s">
        <v>150</v>
      </c>
      <c r="AV39" s="311" t="s">
        <v>148</v>
      </c>
      <c r="AW39" s="311" t="s">
        <v>150</v>
      </c>
      <c r="AX39" s="311" t="s">
        <v>150</v>
      </c>
      <c r="AY39" s="311" t="s">
        <v>148</v>
      </c>
      <c r="AZ39" s="311" t="s">
        <v>148</v>
      </c>
      <c r="BA39" s="311" t="s">
        <v>148</v>
      </c>
      <c r="BB39" s="312" t="s">
        <v>150</v>
      </c>
      <c r="BC39" s="310" t="s">
        <v>148</v>
      </c>
      <c r="BD39" s="311" t="s">
        <v>148</v>
      </c>
      <c r="BE39" s="311"/>
      <c r="BF39" s="311" t="s">
        <v>150</v>
      </c>
      <c r="BG39" s="312"/>
      <c r="BH39" s="310"/>
      <c r="BI39" s="311" t="s">
        <v>147</v>
      </c>
      <c r="BJ39" s="312"/>
      <c r="BK39" s="310" t="s">
        <v>148</v>
      </c>
      <c r="BL39" s="311" t="s">
        <v>150</v>
      </c>
      <c r="BM39" s="311"/>
      <c r="BN39" s="312" t="s">
        <v>148</v>
      </c>
      <c r="BO39" s="310" t="s">
        <v>148</v>
      </c>
      <c r="BP39" s="311" t="s">
        <v>47</v>
      </c>
      <c r="BQ39" s="311" t="s">
        <v>148</v>
      </c>
      <c r="BR39" s="311"/>
      <c r="BS39" s="311"/>
      <c r="BT39" s="311" t="s">
        <v>150</v>
      </c>
      <c r="BU39" s="311" t="s">
        <v>148</v>
      </c>
      <c r="BV39" s="312"/>
      <c r="BW39" s="310" t="s">
        <v>147</v>
      </c>
      <c r="BX39" s="311" t="s">
        <v>148</v>
      </c>
      <c r="BY39" s="311" t="s">
        <v>148</v>
      </c>
      <c r="BZ39" s="311" t="s">
        <v>150</v>
      </c>
      <c r="CA39" s="311" t="s">
        <v>150</v>
      </c>
      <c r="CB39" s="312" t="s">
        <v>150</v>
      </c>
      <c r="CC39" s="310" t="s">
        <v>148</v>
      </c>
      <c r="CD39" s="311" t="s">
        <v>150</v>
      </c>
      <c r="CE39" s="312"/>
      <c r="CF39" s="310"/>
      <c r="CG39" s="311"/>
      <c r="CH39" s="311"/>
      <c r="CI39" s="313"/>
      <c r="CK39" s="233" t="str">
        <f t="shared" ref="CK39:CK50" si="15">IF(COUNTIF(D39:CI39,"o")&gt;0,COUNTIF(D39:CI39,"o"),"")</f>
        <v/>
      </c>
      <c r="CL39" s="234">
        <f t="shared" ref="CL39:CL50" si="16">IF(COUNTIF(D39:CI39,"j")&gt;0,COUNTIF(D39:CI39,"j"),"")</f>
        <v>2</v>
      </c>
      <c r="CM39" s="234">
        <f t="shared" ref="CM39:CM50" si="17">IF(COUNTIF(D39:CI39,"m")&gt;0,COUNTIF(D39:CI39,"m"),"")</f>
        <v>14</v>
      </c>
      <c r="CN39" s="234">
        <f t="shared" ref="CN39:CN50" si="18">IF(COUNTIF(D39:CI39,"s")&gt;0,COUNTIF(D39:CI39,"s"),"")</f>
        <v>11</v>
      </c>
      <c r="CO39" s="235">
        <f t="shared" ref="CO39:CO50" si="19">IF(COUNTIF(D39:CI39,"e")&gt;0,COUNTIF(D39:CI39,"e"),"")</f>
        <v>1</v>
      </c>
      <c r="CQ39" s="233" t="str">
        <f>desired_skills(C39,"Competenties/Overtuigingskracht","o")</f>
        <v>21</v>
      </c>
      <c r="CR39" s="234" t="str">
        <f>desired_skills(C39,"Competenties/Overtuigingskracht","j")</f>
        <v/>
      </c>
      <c r="CS39" s="234" t="str">
        <f>desired_skills(C39,"Competenties/Overtuigingskracht","m")</f>
        <v/>
      </c>
      <c r="CT39" s="234" t="str">
        <f>desired_skills(C39,"Competenties/Overtuigingskracht","s")</f>
        <v/>
      </c>
      <c r="CU39" s="235" t="str">
        <f>desired_skills(C39,"Competenties/Overtuigingskracht","e")</f>
        <v/>
      </c>
      <c r="CW39" s="233" t="str">
        <f>calc_gap('Matrix 171007_1827'!$CK$39,'Matrix 171007_1827'!$CQ$39)</f>
        <v/>
      </c>
      <c r="CX39" s="234" t="str">
        <f>calc_gap('Matrix 171007_1827'!$CL$39,'Matrix 171007_1827'!$CR$39)</f>
        <v/>
      </c>
      <c r="CY39" s="234" t="str">
        <f>calc_gap('Matrix 171007_1827'!$CM$39,'Matrix 171007_1827'!$CS$39)</f>
        <v/>
      </c>
      <c r="CZ39" s="234" t="str">
        <f>calc_gap('Matrix 171007_1827'!$CN$39,'Matrix 171007_1827'!$CT$39)</f>
        <v/>
      </c>
      <c r="DA39" s="235" t="str">
        <f>calc_gap('Matrix 171007_1827'!$CO$39,'Matrix 171007_1827'!$CU$39)</f>
        <v/>
      </c>
    </row>
    <row r="40" spans="2:105" x14ac:dyDescent="0.25">
      <c r="B40" s="435"/>
      <c r="C40" s="291" t="s">
        <v>83</v>
      </c>
      <c r="D40" s="314"/>
      <c r="E40" s="315"/>
      <c r="F40" s="315"/>
      <c r="G40" s="315"/>
      <c r="H40" s="315"/>
      <c r="I40" s="315"/>
      <c r="J40" s="315"/>
      <c r="K40" s="316"/>
      <c r="L40" s="314"/>
      <c r="M40" s="315"/>
      <c r="N40" s="315"/>
      <c r="O40" s="316"/>
      <c r="P40" s="314"/>
      <c r="Q40" s="315"/>
      <c r="R40" s="315"/>
      <c r="S40" s="315"/>
      <c r="T40" s="315"/>
      <c r="U40" s="315"/>
      <c r="V40" s="315"/>
      <c r="W40" s="315"/>
      <c r="X40" s="315"/>
      <c r="Y40" s="315"/>
      <c r="Z40" s="315"/>
      <c r="AA40" s="315"/>
      <c r="AB40" s="315"/>
      <c r="AC40" s="315"/>
      <c r="AD40" s="315"/>
      <c r="AE40" s="315"/>
      <c r="AF40" s="315"/>
      <c r="AG40" s="315"/>
      <c r="AH40" s="315"/>
      <c r="AI40" s="316"/>
      <c r="AJ40" s="314"/>
      <c r="AK40" s="315"/>
      <c r="AL40" s="316"/>
      <c r="AM40" s="314"/>
      <c r="AN40" s="315"/>
      <c r="AO40" s="316"/>
      <c r="AP40" s="314"/>
      <c r="AQ40" s="315"/>
      <c r="AR40" s="315"/>
      <c r="AS40" s="315"/>
      <c r="AT40" s="316"/>
      <c r="AU40" s="314" t="s">
        <v>47</v>
      </c>
      <c r="AV40" s="315" t="s">
        <v>150</v>
      </c>
      <c r="AW40" s="315" t="s">
        <v>150</v>
      </c>
      <c r="AX40" s="315" t="s">
        <v>150</v>
      </c>
      <c r="AY40" s="315" t="s">
        <v>150</v>
      </c>
      <c r="AZ40" s="315" t="s">
        <v>47</v>
      </c>
      <c r="BA40" s="315" t="s">
        <v>47</v>
      </c>
      <c r="BB40" s="316" t="s">
        <v>47</v>
      </c>
      <c r="BC40" s="314" t="s">
        <v>150</v>
      </c>
      <c r="BD40" s="315" t="s">
        <v>148</v>
      </c>
      <c r="BE40" s="315"/>
      <c r="BF40" s="315" t="s">
        <v>47</v>
      </c>
      <c r="BG40" s="316"/>
      <c r="BH40" s="314"/>
      <c r="BI40" s="315" t="s">
        <v>150</v>
      </c>
      <c r="BJ40" s="316"/>
      <c r="BK40" s="314" t="s">
        <v>147</v>
      </c>
      <c r="BL40" s="315" t="s">
        <v>148</v>
      </c>
      <c r="BM40" s="315"/>
      <c r="BN40" s="316" t="s">
        <v>149</v>
      </c>
      <c r="BO40" s="314" t="s">
        <v>148</v>
      </c>
      <c r="BP40" s="315" t="s">
        <v>150</v>
      </c>
      <c r="BQ40" s="315" t="s">
        <v>150</v>
      </c>
      <c r="BR40" s="315"/>
      <c r="BS40" s="315"/>
      <c r="BT40" s="315" t="s">
        <v>150</v>
      </c>
      <c r="BU40" s="315" t="s">
        <v>150</v>
      </c>
      <c r="BV40" s="316"/>
      <c r="BW40" s="314" t="s">
        <v>150</v>
      </c>
      <c r="BX40" s="315" t="s">
        <v>148</v>
      </c>
      <c r="BY40" s="315" t="s">
        <v>150</v>
      </c>
      <c r="BZ40" s="315" t="s">
        <v>150</v>
      </c>
      <c r="CA40" s="315" t="s">
        <v>150</v>
      </c>
      <c r="CB40" s="316" t="s">
        <v>150</v>
      </c>
      <c r="CC40" s="314" t="s">
        <v>147</v>
      </c>
      <c r="CD40" s="315" t="s">
        <v>150</v>
      </c>
      <c r="CE40" s="316"/>
      <c r="CF40" s="314"/>
      <c r="CG40" s="315"/>
      <c r="CH40" s="315"/>
      <c r="CI40" s="317"/>
      <c r="CK40" s="236">
        <f t="shared" si="15"/>
        <v>1</v>
      </c>
      <c r="CL40" s="237">
        <f t="shared" si="16"/>
        <v>2</v>
      </c>
      <c r="CM40" s="237">
        <f t="shared" si="17"/>
        <v>4</v>
      </c>
      <c r="CN40" s="237">
        <f t="shared" si="18"/>
        <v>16</v>
      </c>
      <c r="CO40" s="238">
        <f t="shared" si="19"/>
        <v>5</v>
      </c>
      <c r="CQ40" s="236" t="str">
        <f>desired_skills(C40,"Competenties/Ketendenken/helicopterview","o")</f>
        <v/>
      </c>
      <c r="CR40" s="237" t="str">
        <f>desired_skills(C40,"Competenties/Ketendenken/helicopterview","j")</f>
        <v>22</v>
      </c>
      <c r="CS40" s="237" t="str">
        <f>desired_skills(C40,"Competenties/Ketendenken/helicopterview","m")</f>
        <v/>
      </c>
      <c r="CT40" s="237" t="str">
        <f>desired_skills(C40,"Competenties/Ketendenken/helicopterview","s")</f>
        <v/>
      </c>
      <c r="CU40" s="238" t="str">
        <f>desired_skills(C40,"Competenties/Ketendenken/helicopterview","e")</f>
        <v/>
      </c>
      <c r="CW40" s="236" t="str">
        <f>calc_gap('Matrix 171007_1827'!$CK$40,'Matrix 171007_1827'!$CQ$40)</f>
        <v/>
      </c>
      <c r="CX40" s="237" t="str">
        <f>calc_gap('Matrix 171007_1827'!$CL$40,'Matrix 171007_1827'!$CR$40)</f>
        <v>20</v>
      </c>
      <c r="CY40" s="237" t="str">
        <f>calc_gap('Matrix 171007_1827'!$CM$40,'Matrix 171007_1827'!$CS$40)</f>
        <v/>
      </c>
      <c r="CZ40" s="237" t="str">
        <f>calc_gap('Matrix 171007_1827'!$CN$40,'Matrix 171007_1827'!$CT$40)</f>
        <v/>
      </c>
      <c r="DA40" s="238" t="str">
        <f>calc_gap('Matrix 171007_1827'!$CO$40,'Matrix 171007_1827'!$CU$40)</f>
        <v/>
      </c>
    </row>
    <row r="41" spans="2:105" x14ac:dyDescent="0.25">
      <c r="B41" s="435"/>
      <c r="C41" s="291" t="s">
        <v>84</v>
      </c>
      <c r="D41" s="314"/>
      <c r="E41" s="315"/>
      <c r="F41" s="315"/>
      <c r="G41" s="315"/>
      <c r="H41" s="315"/>
      <c r="I41" s="315"/>
      <c r="J41" s="315"/>
      <c r="K41" s="316"/>
      <c r="L41" s="314"/>
      <c r="M41" s="315"/>
      <c r="N41" s="315"/>
      <c r="O41" s="316"/>
      <c r="P41" s="314"/>
      <c r="Q41" s="315"/>
      <c r="R41" s="315"/>
      <c r="S41" s="315"/>
      <c r="T41" s="315"/>
      <c r="U41" s="315"/>
      <c r="V41" s="315"/>
      <c r="W41" s="315"/>
      <c r="X41" s="315"/>
      <c r="Y41" s="315"/>
      <c r="Z41" s="315"/>
      <c r="AA41" s="315"/>
      <c r="AB41" s="315"/>
      <c r="AC41" s="315"/>
      <c r="AD41" s="315"/>
      <c r="AE41" s="315"/>
      <c r="AF41" s="315"/>
      <c r="AG41" s="315"/>
      <c r="AH41" s="315"/>
      <c r="AI41" s="316"/>
      <c r="AJ41" s="314"/>
      <c r="AK41" s="315"/>
      <c r="AL41" s="316"/>
      <c r="AM41" s="314"/>
      <c r="AN41" s="315"/>
      <c r="AO41" s="316"/>
      <c r="AP41" s="314"/>
      <c r="AQ41" s="315"/>
      <c r="AR41" s="315"/>
      <c r="AS41" s="315"/>
      <c r="AT41" s="316"/>
      <c r="AU41" s="314" t="s">
        <v>150</v>
      </c>
      <c r="AV41" s="315" t="s">
        <v>150</v>
      </c>
      <c r="AW41" s="315" t="s">
        <v>150</v>
      </c>
      <c r="AX41" s="315" t="s">
        <v>150</v>
      </c>
      <c r="AY41" s="315" t="s">
        <v>148</v>
      </c>
      <c r="AZ41" s="315" t="s">
        <v>150</v>
      </c>
      <c r="BA41" s="315" t="s">
        <v>148</v>
      </c>
      <c r="BB41" s="316" t="s">
        <v>150</v>
      </c>
      <c r="BC41" s="314" t="s">
        <v>47</v>
      </c>
      <c r="BD41" s="315" t="s">
        <v>148</v>
      </c>
      <c r="BE41" s="315"/>
      <c r="BF41" s="315" t="s">
        <v>150</v>
      </c>
      <c r="BG41" s="316"/>
      <c r="BH41" s="314"/>
      <c r="BI41" s="315" t="s">
        <v>148</v>
      </c>
      <c r="BJ41" s="316"/>
      <c r="BK41" s="314" t="s">
        <v>147</v>
      </c>
      <c r="BL41" s="315" t="s">
        <v>150</v>
      </c>
      <c r="BM41" s="315"/>
      <c r="BN41" s="316" t="s">
        <v>148</v>
      </c>
      <c r="BO41" s="314" t="s">
        <v>147</v>
      </c>
      <c r="BP41" s="315" t="s">
        <v>148</v>
      </c>
      <c r="BQ41" s="315" t="s">
        <v>148</v>
      </c>
      <c r="BR41" s="315"/>
      <c r="BS41" s="315"/>
      <c r="BT41" s="315" t="s">
        <v>148</v>
      </c>
      <c r="BU41" s="315" t="s">
        <v>148</v>
      </c>
      <c r="BV41" s="316"/>
      <c r="BW41" s="314" t="s">
        <v>148</v>
      </c>
      <c r="BX41" s="315" t="s">
        <v>148</v>
      </c>
      <c r="BY41" s="315" t="s">
        <v>148</v>
      </c>
      <c r="BZ41" s="315" t="s">
        <v>150</v>
      </c>
      <c r="CA41" s="315" t="s">
        <v>148</v>
      </c>
      <c r="CB41" s="316" t="s">
        <v>148</v>
      </c>
      <c r="CC41" s="314" t="s">
        <v>147</v>
      </c>
      <c r="CD41" s="315" t="s">
        <v>148</v>
      </c>
      <c r="CE41" s="316"/>
      <c r="CF41" s="314"/>
      <c r="CG41" s="315"/>
      <c r="CH41" s="315"/>
      <c r="CI41" s="317"/>
      <c r="CK41" s="236" t="str">
        <f t="shared" si="15"/>
        <v/>
      </c>
      <c r="CL41" s="237">
        <f t="shared" si="16"/>
        <v>3</v>
      </c>
      <c r="CM41" s="237">
        <f t="shared" si="17"/>
        <v>15</v>
      </c>
      <c r="CN41" s="237">
        <f t="shared" si="18"/>
        <v>9</v>
      </c>
      <c r="CO41" s="238">
        <f t="shared" si="19"/>
        <v>1</v>
      </c>
      <c r="CQ41" s="236" t="str">
        <f>desired_skills(C41,"Competenties/Presentatievaardigheden","o")</f>
        <v/>
      </c>
      <c r="CR41" s="237" t="str">
        <f>desired_skills(C41,"Competenties/Presentatievaardigheden","j")</f>
        <v/>
      </c>
      <c r="CS41" s="237" t="str">
        <f>desired_skills(C41,"Competenties/Presentatievaardigheden","m")</f>
        <v>23</v>
      </c>
      <c r="CT41" s="237" t="str">
        <f>desired_skills(C41,"Competenties/Presentatievaardigheden","s")</f>
        <v/>
      </c>
      <c r="CU41" s="238" t="str">
        <f>desired_skills(C41,"Competenties/Presentatievaardigheden","e")</f>
        <v/>
      </c>
      <c r="CW41" s="236" t="str">
        <f>calc_gap('Matrix 171007_1827'!$CK$41,'Matrix 171007_1827'!$CQ$41)</f>
        <v/>
      </c>
      <c r="CX41" s="237" t="str">
        <f>calc_gap('Matrix 171007_1827'!$CL$41,'Matrix 171007_1827'!$CR$41)</f>
        <v/>
      </c>
      <c r="CY41" s="237" t="str">
        <f>calc_gap('Matrix 171007_1827'!$CM$41,'Matrix 171007_1827'!$CS$41)</f>
        <v>8</v>
      </c>
      <c r="CZ41" s="237" t="str">
        <f>calc_gap('Matrix 171007_1827'!$CN$41,'Matrix 171007_1827'!$CT$41)</f>
        <v/>
      </c>
      <c r="DA41" s="238" t="str">
        <f>calc_gap('Matrix 171007_1827'!$CO$41,'Matrix 171007_1827'!$CU$41)</f>
        <v/>
      </c>
    </row>
    <row r="42" spans="2:105" x14ac:dyDescent="0.25">
      <c r="B42" s="435"/>
      <c r="C42" s="291" t="s">
        <v>85</v>
      </c>
      <c r="D42" s="314"/>
      <c r="E42" s="315"/>
      <c r="F42" s="315"/>
      <c r="G42" s="315"/>
      <c r="H42" s="315"/>
      <c r="I42" s="315"/>
      <c r="J42" s="315"/>
      <c r="K42" s="316"/>
      <c r="L42" s="314"/>
      <c r="M42" s="315"/>
      <c r="N42" s="315"/>
      <c r="O42" s="316"/>
      <c r="P42" s="314"/>
      <c r="Q42" s="315"/>
      <c r="R42" s="315"/>
      <c r="S42" s="315"/>
      <c r="T42" s="315"/>
      <c r="U42" s="315"/>
      <c r="V42" s="315"/>
      <c r="W42" s="315"/>
      <c r="X42" s="315"/>
      <c r="Y42" s="315"/>
      <c r="Z42" s="315"/>
      <c r="AA42" s="315"/>
      <c r="AB42" s="315"/>
      <c r="AC42" s="315"/>
      <c r="AD42" s="315"/>
      <c r="AE42" s="315"/>
      <c r="AF42" s="315"/>
      <c r="AG42" s="315"/>
      <c r="AH42" s="315"/>
      <c r="AI42" s="316"/>
      <c r="AJ42" s="314"/>
      <c r="AK42" s="315"/>
      <c r="AL42" s="316"/>
      <c r="AM42" s="314"/>
      <c r="AN42" s="315"/>
      <c r="AO42" s="316"/>
      <c r="AP42" s="314"/>
      <c r="AQ42" s="315"/>
      <c r="AR42" s="315"/>
      <c r="AS42" s="315"/>
      <c r="AT42" s="316"/>
      <c r="AU42" s="314" t="s">
        <v>150</v>
      </c>
      <c r="AV42" s="315" t="s">
        <v>148</v>
      </c>
      <c r="AW42" s="315" t="s">
        <v>150</v>
      </c>
      <c r="AX42" s="315" t="s">
        <v>150</v>
      </c>
      <c r="AY42" s="315" t="s">
        <v>150</v>
      </c>
      <c r="AZ42" s="315" t="s">
        <v>150</v>
      </c>
      <c r="BA42" s="315" t="s">
        <v>150</v>
      </c>
      <c r="BB42" s="316" t="s">
        <v>150</v>
      </c>
      <c r="BC42" s="314" t="s">
        <v>150</v>
      </c>
      <c r="BD42" s="315" t="s">
        <v>148</v>
      </c>
      <c r="BE42" s="315"/>
      <c r="BF42" s="315" t="s">
        <v>150</v>
      </c>
      <c r="BG42" s="316"/>
      <c r="BH42" s="314"/>
      <c r="BI42" s="315" t="s">
        <v>149</v>
      </c>
      <c r="BJ42" s="316"/>
      <c r="BK42" s="314" t="s">
        <v>148</v>
      </c>
      <c r="BL42" s="315" t="s">
        <v>148</v>
      </c>
      <c r="BM42" s="315"/>
      <c r="BN42" s="316"/>
      <c r="BO42" s="314" t="s">
        <v>147</v>
      </c>
      <c r="BP42" s="315" t="s">
        <v>150</v>
      </c>
      <c r="BQ42" s="315" t="s">
        <v>148</v>
      </c>
      <c r="BR42" s="315"/>
      <c r="BS42" s="315"/>
      <c r="BT42" s="315" t="s">
        <v>148</v>
      </c>
      <c r="BU42" s="315" t="s">
        <v>148</v>
      </c>
      <c r="BV42" s="316"/>
      <c r="BW42" s="314" t="s">
        <v>148</v>
      </c>
      <c r="BX42" s="315"/>
      <c r="BY42" s="315" t="s">
        <v>150</v>
      </c>
      <c r="BZ42" s="315" t="s">
        <v>150</v>
      </c>
      <c r="CA42" s="315" t="s">
        <v>47</v>
      </c>
      <c r="CB42" s="316" t="s">
        <v>150</v>
      </c>
      <c r="CC42" s="314"/>
      <c r="CD42" s="315" t="s">
        <v>150</v>
      </c>
      <c r="CE42" s="316"/>
      <c r="CF42" s="314"/>
      <c r="CG42" s="315"/>
      <c r="CH42" s="315"/>
      <c r="CI42" s="317"/>
      <c r="CK42" s="236">
        <f t="shared" si="15"/>
        <v>1</v>
      </c>
      <c r="CL42" s="237">
        <f t="shared" si="16"/>
        <v>1</v>
      </c>
      <c r="CM42" s="237">
        <f t="shared" si="17"/>
        <v>8</v>
      </c>
      <c r="CN42" s="237">
        <f t="shared" si="18"/>
        <v>14</v>
      </c>
      <c r="CO42" s="238">
        <f t="shared" si="19"/>
        <v>1</v>
      </c>
      <c r="CQ42" s="236" t="str">
        <f>desired_skills(C42,"Competenties/Stakeholdermanagement","o")</f>
        <v/>
      </c>
      <c r="CR42" s="237" t="str">
        <f>desired_skills(C42,"Competenties/Stakeholdermanagement","j")</f>
        <v/>
      </c>
      <c r="CS42" s="237" t="str">
        <f>desired_skills(C42,"Competenties/Stakeholdermanagement","m")</f>
        <v/>
      </c>
      <c r="CT42" s="237" t="str">
        <f>desired_skills(C42,"Competenties/Stakeholdermanagement","s")</f>
        <v>24</v>
      </c>
      <c r="CU42" s="238" t="str">
        <f>desired_skills(C42,"Competenties/Stakeholdermanagement","e")</f>
        <v/>
      </c>
      <c r="CW42" s="236" t="str">
        <f>calc_gap('Matrix 171007_1827'!$CK$42,'Matrix 171007_1827'!$CQ$42)</f>
        <v/>
      </c>
      <c r="CX42" s="237" t="str">
        <f>calc_gap('Matrix 171007_1827'!$CL$42,'Matrix 171007_1827'!$CR$42)</f>
        <v/>
      </c>
      <c r="CY42" s="237" t="str">
        <f>calc_gap('Matrix 171007_1827'!$CM$42,'Matrix 171007_1827'!$CS$42)</f>
        <v/>
      </c>
      <c r="CZ42" s="237" t="str">
        <f>calc_gap('Matrix 171007_1827'!$CN$42,'Matrix 171007_1827'!$CT$42)</f>
        <v>10</v>
      </c>
      <c r="DA42" s="238" t="str">
        <f>calc_gap('Matrix 171007_1827'!$CO$42,'Matrix 171007_1827'!$CU$42)</f>
        <v/>
      </c>
    </row>
    <row r="43" spans="2:105" x14ac:dyDescent="0.25">
      <c r="B43" s="435"/>
      <c r="C43" s="291" t="s">
        <v>86</v>
      </c>
      <c r="D43" s="314"/>
      <c r="E43" s="315"/>
      <c r="F43" s="315"/>
      <c r="G43" s="315"/>
      <c r="H43" s="315"/>
      <c r="I43" s="315"/>
      <c r="J43" s="315"/>
      <c r="K43" s="316"/>
      <c r="L43" s="314"/>
      <c r="M43" s="315"/>
      <c r="N43" s="315"/>
      <c r="O43" s="316"/>
      <c r="P43" s="314"/>
      <c r="Q43" s="315"/>
      <c r="R43" s="315"/>
      <c r="S43" s="315"/>
      <c r="T43" s="315"/>
      <c r="U43" s="315"/>
      <c r="V43" s="315"/>
      <c r="W43" s="315"/>
      <c r="X43" s="315"/>
      <c r="Y43" s="315"/>
      <c r="Z43" s="315"/>
      <c r="AA43" s="315"/>
      <c r="AB43" s="315"/>
      <c r="AC43" s="315"/>
      <c r="AD43" s="315"/>
      <c r="AE43" s="315"/>
      <c r="AF43" s="315"/>
      <c r="AG43" s="315"/>
      <c r="AH43" s="315"/>
      <c r="AI43" s="316"/>
      <c r="AJ43" s="314"/>
      <c r="AK43" s="315"/>
      <c r="AL43" s="316"/>
      <c r="AM43" s="314"/>
      <c r="AN43" s="315"/>
      <c r="AO43" s="316"/>
      <c r="AP43" s="314"/>
      <c r="AQ43" s="315"/>
      <c r="AR43" s="315"/>
      <c r="AS43" s="315"/>
      <c r="AT43" s="316"/>
      <c r="AU43" s="314" t="s">
        <v>150</v>
      </c>
      <c r="AV43" s="315" t="s">
        <v>150</v>
      </c>
      <c r="AW43" s="315" t="s">
        <v>150</v>
      </c>
      <c r="AX43" s="315" t="s">
        <v>150</v>
      </c>
      <c r="AY43" s="315" t="s">
        <v>150</v>
      </c>
      <c r="AZ43" s="315" t="s">
        <v>150</v>
      </c>
      <c r="BA43" s="315" t="s">
        <v>148</v>
      </c>
      <c r="BB43" s="316" t="s">
        <v>150</v>
      </c>
      <c r="BC43" s="314" t="s">
        <v>150</v>
      </c>
      <c r="BD43" s="315" t="s">
        <v>148</v>
      </c>
      <c r="BE43" s="315"/>
      <c r="BF43" s="315" t="s">
        <v>47</v>
      </c>
      <c r="BG43" s="316"/>
      <c r="BH43" s="314"/>
      <c r="BI43" s="315" t="s">
        <v>150</v>
      </c>
      <c r="BJ43" s="316"/>
      <c r="BK43" s="314" t="s">
        <v>147</v>
      </c>
      <c r="BL43" s="315" t="s">
        <v>148</v>
      </c>
      <c r="BM43" s="315"/>
      <c r="BN43" s="316" t="s">
        <v>148</v>
      </c>
      <c r="BO43" s="314" t="s">
        <v>150</v>
      </c>
      <c r="BP43" s="315" t="s">
        <v>150</v>
      </c>
      <c r="BQ43" s="315" t="s">
        <v>150</v>
      </c>
      <c r="BR43" s="315"/>
      <c r="BS43" s="315" t="s">
        <v>147</v>
      </c>
      <c r="BT43" s="315" t="s">
        <v>150</v>
      </c>
      <c r="BU43" s="315" t="s">
        <v>150</v>
      </c>
      <c r="BV43" s="316"/>
      <c r="BW43" s="314" t="s">
        <v>150</v>
      </c>
      <c r="BX43" s="315" t="s">
        <v>148</v>
      </c>
      <c r="BY43" s="315" t="s">
        <v>47</v>
      </c>
      <c r="BZ43" s="315" t="s">
        <v>150</v>
      </c>
      <c r="CA43" s="315" t="s">
        <v>47</v>
      </c>
      <c r="CB43" s="316" t="s">
        <v>47</v>
      </c>
      <c r="CC43" s="314"/>
      <c r="CD43" s="315" t="s">
        <v>150</v>
      </c>
      <c r="CE43" s="316"/>
      <c r="CF43" s="314"/>
      <c r="CG43" s="315"/>
      <c r="CH43" s="315"/>
      <c r="CI43" s="317"/>
      <c r="CK43" s="236" t="str">
        <f t="shared" si="15"/>
        <v/>
      </c>
      <c r="CL43" s="237">
        <f t="shared" si="16"/>
        <v>2</v>
      </c>
      <c r="CM43" s="237">
        <f t="shared" si="17"/>
        <v>5</v>
      </c>
      <c r="CN43" s="237">
        <f t="shared" si="18"/>
        <v>17</v>
      </c>
      <c r="CO43" s="238">
        <f t="shared" si="19"/>
        <v>4</v>
      </c>
      <c r="CQ43" s="236" t="str">
        <f>desired_skills(C43,"Competenties/Analyse &amp; advies","o")</f>
        <v/>
      </c>
      <c r="CR43" s="237" t="str">
        <f>desired_skills(C43,"Competenties/Analyse &amp; advies","j")</f>
        <v/>
      </c>
      <c r="CS43" s="237" t="str">
        <f>desired_skills(C43,"Competenties/Analyse &amp; advies","m")</f>
        <v/>
      </c>
      <c r="CT43" s="237" t="str">
        <f>desired_skills(C43,"Competenties/Analyse &amp; advies","s")</f>
        <v/>
      </c>
      <c r="CU43" s="238" t="str">
        <f>desired_skills(C43,"Competenties/Analyse &amp; advies","e")</f>
        <v>25</v>
      </c>
      <c r="CW43" s="236" t="str">
        <f>calc_gap('Matrix 171007_1827'!$CK$43,'Matrix 171007_1827'!$CQ$43)</f>
        <v/>
      </c>
      <c r="CX43" s="237" t="str">
        <f>calc_gap('Matrix 171007_1827'!$CL$43,'Matrix 171007_1827'!$CR$43)</f>
        <v/>
      </c>
      <c r="CY43" s="237" t="str">
        <f>calc_gap('Matrix 171007_1827'!$CM$43,'Matrix 171007_1827'!$CS$43)</f>
        <v/>
      </c>
      <c r="CZ43" s="237" t="str">
        <f>calc_gap('Matrix 171007_1827'!$CN$43,'Matrix 171007_1827'!$CT$43)</f>
        <v/>
      </c>
      <c r="DA43" s="238" t="str">
        <f>calc_gap('Matrix 171007_1827'!$CO$43,'Matrix 171007_1827'!$CU$43)</f>
        <v>21</v>
      </c>
    </row>
    <row r="44" spans="2:105" x14ac:dyDescent="0.25">
      <c r="B44" s="435"/>
      <c r="C44" s="291" t="s">
        <v>87</v>
      </c>
      <c r="D44" s="314"/>
      <c r="E44" s="315"/>
      <c r="F44" s="315"/>
      <c r="G44" s="315"/>
      <c r="H44" s="315"/>
      <c r="I44" s="315"/>
      <c r="J44" s="315"/>
      <c r="K44" s="316"/>
      <c r="L44" s="314"/>
      <c r="M44" s="315"/>
      <c r="N44" s="315"/>
      <c r="O44" s="316"/>
      <c r="P44" s="314"/>
      <c r="Q44" s="315"/>
      <c r="R44" s="315"/>
      <c r="S44" s="315"/>
      <c r="T44" s="315"/>
      <c r="U44" s="315"/>
      <c r="V44" s="315"/>
      <c r="W44" s="315"/>
      <c r="X44" s="315"/>
      <c r="Y44" s="315"/>
      <c r="Z44" s="315"/>
      <c r="AA44" s="315"/>
      <c r="AB44" s="315"/>
      <c r="AC44" s="315"/>
      <c r="AD44" s="315"/>
      <c r="AE44" s="315"/>
      <c r="AF44" s="315"/>
      <c r="AG44" s="315"/>
      <c r="AH44" s="315"/>
      <c r="AI44" s="316"/>
      <c r="AJ44" s="314"/>
      <c r="AK44" s="315"/>
      <c r="AL44" s="316"/>
      <c r="AM44" s="314"/>
      <c r="AN44" s="315"/>
      <c r="AO44" s="316"/>
      <c r="AP44" s="314"/>
      <c r="AQ44" s="315"/>
      <c r="AR44" s="315"/>
      <c r="AS44" s="315"/>
      <c r="AT44" s="316"/>
      <c r="AU44" s="314" t="s">
        <v>150</v>
      </c>
      <c r="AV44" s="315" t="s">
        <v>148</v>
      </c>
      <c r="AW44" s="315" t="s">
        <v>150</v>
      </c>
      <c r="AX44" s="315" t="s">
        <v>150</v>
      </c>
      <c r="AY44" s="315" t="s">
        <v>150</v>
      </c>
      <c r="AZ44" s="315" t="s">
        <v>150</v>
      </c>
      <c r="BA44" s="315" t="s">
        <v>150</v>
      </c>
      <c r="BB44" s="316" t="s">
        <v>150</v>
      </c>
      <c r="BC44" s="314" t="s">
        <v>148</v>
      </c>
      <c r="BD44" s="315" t="s">
        <v>148</v>
      </c>
      <c r="BE44" s="315"/>
      <c r="BF44" s="315" t="s">
        <v>150</v>
      </c>
      <c r="BG44" s="316"/>
      <c r="BH44" s="314"/>
      <c r="BI44" s="315" t="s">
        <v>149</v>
      </c>
      <c r="BJ44" s="316"/>
      <c r="BK44" s="314" t="s">
        <v>148</v>
      </c>
      <c r="BL44" s="315" t="s">
        <v>148</v>
      </c>
      <c r="BM44" s="315"/>
      <c r="BN44" s="316" t="s">
        <v>150</v>
      </c>
      <c r="BO44" s="314" t="s">
        <v>148</v>
      </c>
      <c r="BP44" s="315" t="s">
        <v>150</v>
      </c>
      <c r="BQ44" s="315" t="s">
        <v>148</v>
      </c>
      <c r="BR44" s="315"/>
      <c r="BS44" s="315"/>
      <c r="BT44" s="315" t="s">
        <v>150</v>
      </c>
      <c r="BU44" s="315" t="s">
        <v>148</v>
      </c>
      <c r="BV44" s="316"/>
      <c r="BW44" s="314" t="s">
        <v>148</v>
      </c>
      <c r="BX44" s="315" t="s">
        <v>148</v>
      </c>
      <c r="BY44" s="315" t="s">
        <v>47</v>
      </c>
      <c r="BZ44" s="315" t="s">
        <v>148</v>
      </c>
      <c r="CA44" s="315" t="s">
        <v>150</v>
      </c>
      <c r="CB44" s="316" t="s">
        <v>150</v>
      </c>
      <c r="CC44" s="314"/>
      <c r="CD44" s="315" t="s">
        <v>47</v>
      </c>
      <c r="CE44" s="316"/>
      <c r="CF44" s="314"/>
      <c r="CG44" s="315"/>
      <c r="CH44" s="315"/>
      <c r="CI44" s="317"/>
      <c r="CK44" s="236">
        <f t="shared" si="15"/>
        <v>1</v>
      </c>
      <c r="CL44" s="237" t="str">
        <f t="shared" si="16"/>
        <v/>
      </c>
      <c r="CM44" s="237">
        <f t="shared" si="17"/>
        <v>11</v>
      </c>
      <c r="CN44" s="237">
        <f t="shared" si="18"/>
        <v>13</v>
      </c>
      <c r="CO44" s="238">
        <f t="shared" si="19"/>
        <v>2</v>
      </c>
      <c r="CQ44" s="236" t="str">
        <f>desired_skills(C44,"Competenties/Veranderkracht","o")</f>
        <v/>
      </c>
      <c r="CR44" s="237" t="str">
        <f>desired_skills(C44,"Competenties/Veranderkracht","j")</f>
        <v/>
      </c>
      <c r="CS44" s="237" t="str">
        <f>desired_skills(C44,"Competenties/Veranderkracht","m")</f>
        <v/>
      </c>
      <c r="CT44" s="237" t="str">
        <f>desired_skills(C44,"Competenties/Veranderkracht","s")</f>
        <v/>
      </c>
      <c r="CU44" s="238" t="str">
        <f>desired_skills(C44,"Competenties/Veranderkracht","e")</f>
        <v/>
      </c>
      <c r="CW44" s="236" t="str">
        <f>calc_gap('Matrix 171007_1827'!$CK$44,'Matrix 171007_1827'!$CQ$44)</f>
        <v/>
      </c>
      <c r="CX44" s="237" t="str">
        <f>calc_gap('Matrix 171007_1827'!$CL$44,'Matrix 171007_1827'!$CR$44)</f>
        <v/>
      </c>
      <c r="CY44" s="237" t="str">
        <f>calc_gap('Matrix 171007_1827'!$CM$44,'Matrix 171007_1827'!$CS$44)</f>
        <v/>
      </c>
      <c r="CZ44" s="237" t="str">
        <f>calc_gap('Matrix 171007_1827'!$CN$44,'Matrix 171007_1827'!$CT$44)</f>
        <v/>
      </c>
      <c r="DA44" s="238" t="str">
        <f>calc_gap('Matrix 171007_1827'!$CO$44,'Matrix 171007_1827'!$CU$44)</f>
        <v/>
      </c>
    </row>
    <row r="45" spans="2:105" x14ac:dyDescent="0.25">
      <c r="B45" s="435"/>
      <c r="C45" s="291" t="s">
        <v>88</v>
      </c>
      <c r="D45" s="314"/>
      <c r="E45" s="315"/>
      <c r="F45" s="315"/>
      <c r="G45" s="315"/>
      <c r="H45" s="315"/>
      <c r="I45" s="315"/>
      <c r="J45" s="315"/>
      <c r="K45" s="316"/>
      <c r="L45" s="314"/>
      <c r="M45" s="315"/>
      <c r="N45" s="315"/>
      <c r="O45" s="316"/>
      <c r="P45" s="314"/>
      <c r="Q45" s="315"/>
      <c r="R45" s="315"/>
      <c r="S45" s="315"/>
      <c r="T45" s="315"/>
      <c r="U45" s="315"/>
      <c r="V45" s="315"/>
      <c r="W45" s="315"/>
      <c r="X45" s="315"/>
      <c r="Y45" s="315"/>
      <c r="Z45" s="315"/>
      <c r="AA45" s="315"/>
      <c r="AB45" s="315"/>
      <c r="AC45" s="315"/>
      <c r="AD45" s="315"/>
      <c r="AE45" s="315"/>
      <c r="AF45" s="315"/>
      <c r="AG45" s="315"/>
      <c r="AH45" s="315"/>
      <c r="AI45" s="316"/>
      <c r="AJ45" s="314"/>
      <c r="AK45" s="315"/>
      <c r="AL45" s="316"/>
      <c r="AM45" s="314"/>
      <c r="AN45" s="315"/>
      <c r="AO45" s="316"/>
      <c r="AP45" s="314"/>
      <c r="AQ45" s="315"/>
      <c r="AR45" s="315"/>
      <c r="AS45" s="315"/>
      <c r="AT45" s="316"/>
      <c r="AU45" s="314" t="s">
        <v>47</v>
      </c>
      <c r="AV45" s="315" t="s">
        <v>150</v>
      </c>
      <c r="AW45" s="315" t="s">
        <v>150</v>
      </c>
      <c r="AX45" s="315" t="s">
        <v>150</v>
      </c>
      <c r="AY45" s="315" t="s">
        <v>150</v>
      </c>
      <c r="AZ45" s="315" t="s">
        <v>150</v>
      </c>
      <c r="BA45" s="315" t="s">
        <v>150</v>
      </c>
      <c r="BB45" s="316" t="s">
        <v>150</v>
      </c>
      <c r="BC45" s="314" t="s">
        <v>150</v>
      </c>
      <c r="BD45" s="315" t="s">
        <v>150</v>
      </c>
      <c r="BE45" s="315"/>
      <c r="BF45" s="315" t="s">
        <v>150</v>
      </c>
      <c r="BG45" s="316"/>
      <c r="BH45" s="314"/>
      <c r="BI45" s="315" t="s">
        <v>148</v>
      </c>
      <c r="BJ45" s="316"/>
      <c r="BK45" s="314" t="s">
        <v>148</v>
      </c>
      <c r="BL45" s="315" t="s">
        <v>148</v>
      </c>
      <c r="BM45" s="315"/>
      <c r="BN45" s="316" t="s">
        <v>150</v>
      </c>
      <c r="BO45" s="314" t="s">
        <v>150</v>
      </c>
      <c r="BP45" s="315" t="s">
        <v>150</v>
      </c>
      <c r="BQ45" s="315" t="s">
        <v>150</v>
      </c>
      <c r="BR45" s="315"/>
      <c r="BS45" s="315" t="s">
        <v>147</v>
      </c>
      <c r="BT45" s="315" t="s">
        <v>150</v>
      </c>
      <c r="BU45" s="315" t="s">
        <v>150</v>
      </c>
      <c r="BV45" s="316"/>
      <c r="BW45" s="314" t="s">
        <v>150</v>
      </c>
      <c r="BX45" s="315" t="s">
        <v>148</v>
      </c>
      <c r="BY45" s="315" t="s">
        <v>150</v>
      </c>
      <c r="BZ45" s="315" t="s">
        <v>150</v>
      </c>
      <c r="CA45" s="315" t="s">
        <v>47</v>
      </c>
      <c r="CB45" s="316" t="s">
        <v>47</v>
      </c>
      <c r="CC45" s="314" t="s">
        <v>150</v>
      </c>
      <c r="CD45" s="315" t="s">
        <v>150</v>
      </c>
      <c r="CE45" s="316"/>
      <c r="CF45" s="314"/>
      <c r="CG45" s="315"/>
      <c r="CH45" s="315"/>
      <c r="CI45" s="317"/>
      <c r="CK45" s="236" t="str">
        <f t="shared" si="15"/>
        <v/>
      </c>
      <c r="CL45" s="237">
        <f t="shared" si="16"/>
        <v>1</v>
      </c>
      <c r="CM45" s="237">
        <f t="shared" si="17"/>
        <v>4</v>
      </c>
      <c r="CN45" s="237">
        <f t="shared" si="18"/>
        <v>21</v>
      </c>
      <c r="CO45" s="238">
        <f t="shared" si="19"/>
        <v>3</v>
      </c>
      <c r="CQ45" s="236" t="str">
        <f>desired_skills(C45,"Competenties/Zelfsturend","o")</f>
        <v/>
      </c>
      <c r="CR45" s="237" t="str">
        <f>desired_skills(C45,"Competenties/Zelfsturend","j")</f>
        <v/>
      </c>
      <c r="CS45" s="237" t="str">
        <f>desired_skills(C45,"Competenties/Zelfsturend","m")</f>
        <v/>
      </c>
      <c r="CT45" s="237" t="str">
        <f>desired_skills(C45,"Competenties/Zelfsturend","s")</f>
        <v/>
      </c>
      <c r="CU45" s="238" t="str">
        <f>desired_skills(C45,"Competenties/Zelfsturend","e")</f>
        <v/>
      </c>
      <c r="CW45" s="236" t="str">
        <f>calc_gap('Matrix 171007_1827'!$CK$45,'Matrix 171007_1827'!$CQ$45)</f>
        <v/>
      </c>
      <c r="CX45" s="237" t="str">
        <f>calc_gap('Matrix 171007_1827'!$CL$45,'Matrix 171007_1827'!$CR$45)</f>
        <v/>
      </c>
      <c r="CY45" s="237" t="str">
        <f>calc_gap('Matrix 171007_1827'!$CM$45,'Matrix 171007_1827'!$CS$45)</f>
        <v/>
      </c>
      <c r="CZ45" s="237" t="str">
        <f>calc_gap('Matrix 171007_1827'!$CN$45,'Matrix 171007_1827'!$CT$45)</f>
        <v/>
      </c>
      <c r="DA45" s="238" t="str">
        <f>calc_gap('Matrix 171007_1827'!$CO$45,'Matrix 171007_1827'!$CU$45)</f>
        <v/>
      </c>
    </row>
    <row r="46" spans="2:105" x14ac:dyDescent="0.25">
      <c r="B46" s="435"/>
      <c r="C46" s="291" t="s">
        <v>89</v>
      </c>
      <c r="D46" s="314"/>
      <c r="E46" s="315"/>
      <c r="F46" s="315"/>
      <c r="G46" s="315"/>
      <c r="H46" s="315"/>
      <c r="I46" s="315"/>
      <c r="J46" s="315"/>
      <c r="K46" s="316"/>
      <c r="L46" s="314"/>
      <c r="M46" s="315"/>
      <c r="N46" s="315"/>
      <c r="O46" s="316"/>
      <c r="P46" s="314"/>
      <c r="Q46" s="315"/>
      <c r="R46" s="315"/>
      <c r="S46" s="315"/>
      <c r="T46" s="315"/>
      <c r="U46" s="315"/>
      <c r="V46" s="315"/>
      <c r="W46" s="315"/>
      <c r="X46" s="315"/>
      <c r="Y46" s="315"/>
      <c r="Z46" s="315"/>
      <c r="AA46" s="315"/>
      <c r="AB46" s="315"/>
      <c r="AC46" s="315"/>
      <c r="AD46" s="315"/>
      <c r="AE46" s="315"/>
      <c r="AF46" s="315"/>
      <c r="AG46" s="315"/>
      <c r="AH46" s="315"/>
      <c r="AI46" s="316"/>
      <c r="AJ46" s="314"/>
      <c r="AK46" s="315"/>
      <c r="AL46" s="316"/>
      <c r="AM46" s="314"/>
      <c r="AN46" s="315"/>
      <c r="AO46" s="316"/>
      <c r="AP46" s="314"/>
      <c r="AQ46" s="315"/>
      <c r="AR46" s="315"/>
      <c r="AS46" s="315"/>
      <c r="AT46" s="316"/>
      <c r="AU46" s="314" t="s">
        <v>150</v>
      </c>
      <c r="AV46" s="315" t="s">
        <v>148</v>
      </c>
      <c r="AW46" s="315" t="s">
        <v>150</v>
      </c>
      <c r="AX46" s="315" t="s">
        <v>150</v>
      </c>
      <c r="AY46" s="315" t="s">
        <v>148</v>
      </c>
      <c r="AZ46" s="315" t="s">
        <v>150</v>
      </c>
      <c r="BA46" s="315" t="s">
        <v>150</v>
      </c>
      <c r="BB46" s="316" t="s">
        <v>150</v>
      </c>
      <c r="BC46" s="314" t="s">
        <v>150</v>
      </c>
      <c r="BD46" s="315" t="s">
        <v>148</v>
      </c>
      <c r="BE46" s="315"/>
      <c r="BF46" s="315" t="s">
        <v>148</v>
      </c>
      <c r="BG46" s="316"/>
      <c r="BH46" s="314"/>
      <c r="BI46" s="315" t="s">
        <v>147</v>
      </c>
      <c r="BJ46" s="316"/>
      <c r="BK46" s="314" t="s">
        <v>147</v>
      </c>
      <c r="BL46" s="315" t="s">
        <v>148</v>
      </c>
      <c r="BM46" s="315"/>
      <c r="BN46" s="316" t="s">
        <v>148</v>
      </c>
      <c r="BO46" s="314" t="s">
        <v>148</v>
      </c>
      <c r="BP46" s="315" t="s">
        <v>150</v>
      </c>
      <c r="BQ46" s="315" t="s">
        <v>148</v>
      </c>
      <c r="BR46" s="315"/>
      <c r="BS46" s="315"/>
      <c r="BT46" s="315" t="s">
        <v>148</v>
      </c>
      <c r="BU46" s="315" t="s">
        <v>150</v>
      </c>
      <c r="BV46" s="316"/>
      <c r="BW46" s="314" t="s">
        <v>148</v>
      </c>
      <c r="BX46" s="315" t="s">
        <v>148</v>
      </c>
      <c r="BY46" s="315" t="s">
        <v>148</v>
      </c>
      <c r="BZ46" s="315" t="s">
        <v>150</v>
      </c>
      <c r="CA46" s="315" t="s">
        <v>150</v>
      </c>
      <c r="CB46" s="316" t="s">
        <v>148</v>
      </c>
      <c r="CC46" s="314" t="s">
        <v>148</v>
      </c>
      <c r="CD46" s="315" t="s">
        <v>47</v>
      </c>
      <c r="CE46" s="316"/>
      <c r="CF46" s="314"/>
      <c r="CG46" s="315"/>
      <c r="CH46" s="315"/>
      <c r="CI46" s="317"/>
      <c r="CK46" s="236" t="str">
        <f t="shared" si="15"/>
        <v/>
      </c>
      <c r="CL46" s="237">
        <f t="shared" si="16"/>
        <v>2</v>
      </c>
      <c r="CM46" s="237">
        <f t="shared" si="17"/>
        <v>14</v>
      </c>
      <c r="CN46" s="237">
        <f t="shared" si="18"/>
        <v>11</v>
      </c>
      <c r="CO46" s="238">
        <f t="shared" si="19"/>
        <v>1</v>
      </c>
      <c r="CQ46" s="236" t="str">
        <f>desired_skills(C46,"Competenties/Inspireren &amp; beïnvloeden","o")</f>
        <v/>
      </c>
      <c r="CR46" s="237" t="str">
        <f>desired_skills(C46,"Competenties/Inspireren &amp; beïnvloeden","j")</f>
        <v/>
      </c>
      <c r="CS46" s="237" t="str">
        <f>desired_skills(C46,"Competenties/Inspireren &amp; beïnvloeden","m")</f>
        <v/>
      </c>
      <c r="CT46" s="237" t="str">
        <f>desired_skills(C46,"Competenties/Inspireren &amp; beïnvloeden","s")</f>
        <v/>
      </c>
      <c r="CU46" s="238" t="str">
        <f>desired_skills(C46,"Competenties/Inspireren &amp; beïnvloeden","e")</f>
        <v/>
      </c>
      <c r="CW46" s="236" t="str">
        <f>calc_gap('Matrix 171007_1827'!$CK$46,'Matrix 171007_1827'!$CQ$46)</f>
        <v/>
      </c>
      <c r="CX46" s="237" t="str">
        <f>calc_gap('Matrix 171007_1827'!$CL$46,'Matrix 171007_1827'!$CR$46)</f>
        <v/>
      </c>
      <c r="CY46" s="237" t="str">
        <f>calc_gap('Matrix 171007_1827'!$CM$46,'Matrix 171007_1827'!$CS$46)</f>
        <v/>
      </c>
      <c r="CZ46" s="237" t="str">
        <f>calc_gap('Matrix 171007_1827'!$CN$46,'Matrix 171007_1827'!$CT$46)</f>
        <v/>
      </c>
      <c r="DA46" s="238" t="str">
        <f>calc_gap('Matrix 171007_1827'!$CO$46,'Matrix 171007_1827'!$CU$46)</f>
        <v/>
      </c>
    </row>
    <row r="47" spans="2:105" x14ac:dyDescent="0.25">
      <c r="B47" s="435"/>
      <c r="C47" s="291" t="s">
        <v>90</v>
      </c>
      <c r="D47" s="314"/>
      <c r="E47" s="315"/>
      <c r="F47" s="315"/>
      <c r="G47" s="315"/>
      <c r="H47" s="315"/>
      <c r="I47" s="315"/>
      <c r="J47" s="315"/>
      <c r="K47" s="316"/>
      <c r="L47" s="314"/>
      <c r="M47" s="315"/>
      <c r="N47" s="315"/>
      <c r="O47" s="316"/>
      <c r="P47" s="314"/>
      <c r="Q47" s="315"/>
      <c r="R47" s="315"/>
      <c r="S47" s="315"/>
      <c r="T47" s="315"/>
      <c r="U47" s="315"/>
      <c r="V47" s="315"/>
      <c r="W47" s="315"/>
      <c r="X47" s="315"/>
      <c r="Y47" s="315"/>
      <c r="Z47" s="315"/>
      <c r="AA47" s="315"/>
      <c r="AB47" s="315"/>
      <c r="AC47" s="315"/>
      <c r="AD47" s="315"/>
      <c r="AE47" s="315"/>
      <c r="AF47" s="315"/>
      <c r="AG47" s="315"/>
      <c r="AH47" s="315"/>
      <c r="AI47" s="316"/>
      <c r="AJ47" s="314"/>
      <c r="AK47" s="315"/>
      <c r="AL47" s="316"/>
      <c r="AM47" s="314"/>
      <c r="AN47" s="315"/>
      <c r="AO47" s="316"/>
      <c r="AP47" s="314"/>
      <c r="AQ47" s="315"/>
      <c r="AR47" s="315"/>
      <c r="AS47" s="315"/>
      <c r="AT47" s="316"/>
      <c r="AU47" s="314" t="s">
        <v>47</v>
      </c>
      <c r="AV47" s="315" t="s">
        <v>150</v>
      </c>
      <c r="AW47" s="315" t="s">
        <v>150</v>
      </c>
      <c r="AX47" s="315" t="s">
        <v>150</v>
      </c>
      <c r="AY47" s="315" t="s">
        <v>150</v>
      </c>
      <c r="AZ47" s="315" t="s">
        <v>150</v>
      </c>
      <c r="BA47" s="315" t="s">
        <v>150</v>
      </c>
      <c r="BB47" s="316" t="s">
        <v>150</v>
      </c>
      <c r="BC47" s="314" t="s">
        <v>150</v>
      </c>
      <c r="BD47" s="315" t="s">
        <v>148</v>
      </c>
      <c r="BE47" s="315"/>
      <c r="BF47" s="315" t="s">
        <v>150</v>
      </c>
      <c r="BG47" s="316"/>
      <c r="BH47" s="314"/>
      <c r="BI47" s="315" t="s">
        <v>148</v>
      </c>
      <c r="BJ47" s="316"/>
      <c r="BK47" s="314" t="s">
        <v>148</v>
      </c>
      <c r="BL47" s="315" t="s">
        <v>148</v>
      </c>
      <c r="BM47" s="315"/>
      <c r="BN47" s="316" t="s">
        <v>150</v>
      </c>
      <c r="BO47" s="314" t="s">
        <v>148</v>
      </c>
      <c r="BP47" s="315" t="s">
        <v>150</v>
      </c>
      <c r="BQ47" s="315" t="s">
        <v>150</v>
      </c>
      <c r="BR47" s="315"/>
      <c r="BS47" s="315"/>
      <c r="BT47" s="315" t="s">
        <v>150</v>
      </c>
      <c r="BU47" s="315" t="s">
        <v>150</v>
      </c>
      <c r="BV47" s="316"/>
      <c r="BW47" s="314" t="s">
        <v>150</v>
      </c>
      <c r="BX47" s="315" t="s">
        <v>150</v>
      </c>
      <c r="BY47" s="315" t="s">
        <v>47</v>
      </c>
      <c r="BZ47" s="315" t="s">
        <v>148</v>
      </c>
      <c r="CA47" s="315" t="s">
        <v>47</v>
      </c>
      <c r="CB47" s="316" t="s">
        <v>150</v>
      </c>
      <c r="CC47" s="314" t="s">
        <v>147</v>
      </c>
      <c r="CD47" s="315" t="s">
        <v>150</v>
      </c>
      <c r="CE47" s="316"/>
      <c r="CF47" s="314"/>
      <c r="CG47" s="315"/>
      <c r="CH47" s="315"/>
      <c r="CI47" s="317"/>
      <c r="CK47" s="236" t="str">
        <f t="shared" si="15"/>
        <v/>
      </c>
      <c r="CL47" s="237">
        <f t="shared" si="16"/>
        <v>1</v>
      </c>
      <c r="CM47" s="237">
        <f t="shared" si="17"/>
        <v>6</v>
      </c>
      <c r="CN47" s="237">
        <f t="shared" si="18"/>
        <v>18</v>
      </c>
      <c r="CO47" s="238">
        <f t="shared" si="19"/>
        <v>3</v>
      </c>
      <c r="CQ47" s="236" t="str">
        <f>desired_skills(C47,"Competenties/Resultaatgerichtheid","o")</f>
        <v/>
      </c>
      <c r="CR47" s="237" t="str">
        <f>desired_skills(C47,"Competenties/Resultaatgerichtheid","j")</f>
        <v/>
      </c>
      <c r="CS47" s="237" t="str">
        <f>desired_skills(C47,"Competenties/Resultaatgerichtheid","m")</f>
        <v/>
      </c>
      <c r="CT47" s="237" t="str">
        <f>desired_skills(C47,"Competenties/Resultaatgerichtheid","s")</f>
        <v/>
      </c>
      <c r="CU47" s="238" t="str">
        <f>desired_skills(C47,"Competenties/Resultaatgerichtheid","e")</f>
        <v/>
      </c>
      <c r="CW47" s="236" t="str">
        <f>calc_gap('Matrix 171007_1827'!$CK$47,'Matrix 171007_1827'!$CQ$47)</f>
        <v/>
      </c>
      <c r="CX47" s="237" t="str">
        <f>calc_gap('Matrix 171007_1827'!$CL$47,'Matrix 171007_1827'!$CR$47)</f>
        <v/>
      </c>
      <c r="CY47" s="237" t="str">
        <f>calc_gap('Matrix 171007_1827'!$CM$47,'Matrix 171007_1827'!$CS$47)</f>
        <v/>
      </c>
      <c r="CZ47" s="237" t="str">
        <f>calc_gap('Matrix 171007_1827'!$CN$47,'Matrix 171007_1827'!$CT$47)</f>
        <v/>
      </c>
      <c r="DA47" s="238" t="str">
        <f>calc_gap('Matrix 171007_1827'!$CO$47,'Matrix 171007_1827'!$CU$47)</f>
        <v/>
      </c>
    </row>
    <row r="48" spans="2:105" x14ac:dyDescent="0.25">
      <c r="B48" s="435"/>
      <c r="C48" s="291" t="s">
        <v>91</v>
      </c>
      <c r="D48" s="314"/>
      <c r="E48" s="315"/>
      <c r="F48" s="315"/>
      <c r="G48" s="315"/>
      <c r="H48" s="315"/>
      <c r="I48" s="315"/>
      <c r="J48" s="315"/>
      <c r="K48" s="316"/>
      <c r="L48" s="314"/>
      <c r="M48" s="315"/>
      <c r="N48" s="315"/>
      <c r="O48" s="316"/>
      <c r="P48" s="314"/>
      <c r="Q48" s="315"/>
      <c r="R48" s="315"/>
      <c r="S48" s="315"/>
      <c r="T48" s="315"/>
      <c r="U48" s="315"/>
      <c r="V48" s="315"/>
      <c r="W48" s="315"/>
      <c r="X48" s="315"/>
      <c r="Y48" s="315"/>
      <c r="Z48" s="315"/>
      <c r="AA48" s="315"/>
      <c r="AB48" s="315"/>
      <c r="AC48" s="315"/>
      <c r="AD48" s="315"/>
      <c r="AE48" s="315"/>
      <c r="AF48" s="315"/>
      <c r="AG48" s="315"/>
      <c r="AH48" s="315"/>
      <c r="AI48" s="316"/>
      <c r="AJ48" s="314"/>
      <c r="AK48" s="315"/>
      <c r="AL48" s="316"/>
      <c r="AM48" s="314"/>
      <c r="AN48" s="315"/>
      <c r="AO48" s="316"/>
      <c r="AP48" s="314"/>
      <c r="AQ48" s="315"/>
      <c r="AR48" s="315"/>
      <c r="AS48" s="315"/>
      <c r="AT48" s="316"/>
      <c r="AU48" s="314" t="s">
        <v>148</v>
      </c>
      <c r="AV48" s="315" t="s">
        <v>150</v>
      </c>
      <c r="AW48" s="315" t="s">
        <v>150</v>
      </c>
      <c r="AX48" s="315" t="s">
        <v>148</v>
      </c>
      <c r="AY48" s="315" t="s">
        <v>148</v>
      </c>
      <c r="AZ48" s="315" t="s">
        <v>150</v>
      </c>
      <c r="BA48" s="315" t="s">
        <v>150</v>
      </c>
      <c r="BB48" s="316" t="s">
        <v>150</v>
      </c>
      <c r="BC48" s="314" t="s">
        <v>150</v>
      </c>
      <c r="BD48" s="315" t="s">
        <v>148</v>
      </c>
      <c r="BE48" s="315"/>
      <c r="BF48" s="315" t="s">
        <v>150</v>
      </c>
      <c r="BG48" s="316"/>
      <c r="BH48" s="314"/>
      <c r="BI48" s="315" t="s">
        <v>148</v>
      </c>
      <c r="BJ48" s="316"/>
      <c r="BK48" s="314" t="s">
        <v>147</v>
      </c>
      <c r="BL48" s="315" t="s">
        <v>148</v>
      </c>
      <c r="BM48" s="315"/>
      <c r="BN48" s="316" t="s">
        <v>150</v>
      </c>
      <c r="BO48" s="314" t="s">
        <v>148</v>
      </c>
      <c r="BP48" s="315" t="s">
        <v>150</v>
      </c>
      <c r="BQ48" s="315" t="s">
        <v>148</v>
      </c>
      <c r="BR48" s="315"/>
      <c r="BS48" s="315" t="s">
        <v>147</v>
      </c>
      <c r="BT48" s="315" t="s">
        <v>150</v>
      </c>
      <c r="BU48" s="315" t="s">
        <v>148</v>
      </c>
      <c r="BV48" s="316"/>
      <c r="BW48" s="314" t="s">
        <v>150</v>
      </c>
      <c r="BX48" s="315" t="s">
        <v>150</v>
      </c>
      <c r="BY48" s="315" t="s">
        <v>150</v>
      </c>
      <c r="BZ48" s="315" t="s">
        <v>148</v>
      </c>
      <c r="CA48" s="315" t="s">
        <v>47</v>
      </c>
      <c r="CB48" s="316" t="s">
        <v>150</v>
      </c>
      <c r="CC48" s="314" t="s">
        <v>148</v>
      </c>
      <c r="CD48" s="315" t="s">
        <v>150</v>
      </c>
      <c r="CE48" s="316"/>
      <c r="CF48" s="314"/>
      <c r="CG48" s="315"/>
      <c r="CH48" s="315"/>
      <c r="CI48" s="317"/>
      <c r="CK48" s="236" t="str">
        <f t="shared" si="15"/>
        <v/>
      </c>
      <c r="CL48" s="237">
        <f t="shared" si="16"/>
        <v>2</v>
      </c>
      <c r="CM48" s="237">
        <f t="shared" si="17"/>
        <v>11</v>
      </c>
      <c r="CN48" s="237">
        <f t="shared" si="18"/>
        <v>15</v>
      </c>
      <c r="CO48" s="238">
        <f t="shared" si="19"/>
        <v>1</v>
      </c>
      <c r="CQ48" s="236" t="str">
        <f>desired_skills(C48,"Competenties/Organisatiesensitiviteit","o")</f>
        <v/>
      </c>
      <c r="CR48" s="237" t="str">
        <f>desired_skills(C48,"Competenties/Organisatiesensitiviteit","j")</f>
        <v/>
      </c>
      <c r="CS48" s="237" t="str">
        <f>desired_skills(C48,"Competenties/Organisatiesensitiviteit","m")</f>
        <v/>
      </c>
      <c r="CT48" s="237" t="str">
        <f>desired_skills(C48,"Competenties/Organisatiesensitiviteit","s")</f>
        <v/>
      </c>
      <c r="CU48" s="238" t="str">
        <f>desired_skills(C48,"Competenties/Organisatiesensitiviteit","e")</f>
        <v/>
      </c>
      <c r="CW48" s="236" t="str">
        <f>calc_gap('Matrix 171007_1827'!$CK$48,'Matrix 171007_1827'!$CQ$48)</f>
        <v/>
      </c>
      <c r="CX48" s="237" t="str">
        <f>calc_gap('Matrix 171007_1827'!$CL$48,'Matrix 171007_1827'!$CR$48)</f>
        <v/>
      </c>
      <c r="CY48" s="237" t="str">
        <f>calc_gap('Matrix 171007_1827'!$CM$48,'Matrix 171007_1827'!$CS$48)</f>
        <v/>
      </c>
      <c r="CZ48" s="237" t="str">
        <f>calc_gap('Matrix 171007_1827'!$CN$48,'Matrix 171007_1827'!$CT$48)</f>
        <v/>
      </c>
      <c r="DA48" s="238" t="str">
        <f>calc_gap('Matrix 171007_1827'!$CO$48,'Matrix 171007_1827'!$CU$48)</f>
        <v/>
      </c>
    </row>
    <row r="49" spans="2:105" x14ac:dyDescent="0.25">
      <c r="B49" s="435"/>
      <c r="C49" s="291" t="s">
        <v>226</v>
      </c>
      <c r="D49" s="314"/>
      <c r="E49" s="315"/>
      <c r="F49" s="315"/>
      <c r="G49" s="315"/>
      <c r="H49" s="315"/>
      <c r="I49" s="315"/>
      <c r="J49" s="315"/>
      <c r="K49" s="316"/>
      <c r="L49" s="314"/>
      <c r="M49" s="315"/>
      <c r="N49" s="315"/>
      <c r="O49" s="316"/>
      <c r="P49" s="314"/>
      <c r="Q49" s="315"/>
      <c r="R49" s="315"/>
      <c r="S49" s="315"/>
      <c r="T49" s="315"/>
      <c r="U49" s="315"/>
      <c r="V49" s="315"/>
      <c r="W49" s="315"/>
      <c r="X49" s="315"/>
      <c r="Y49" s="315"/>
      <c r="Z49" s="315"/>
      <c r="AA49" s="315"/>
      <c r="AB49" s="315"/>
      <c r="AC49" s="315"/>
      <c r="AD49" s="315"/>
      <c r="AE49" s="315"/>
      <c r="AF49" s="315"/>
      <c r="AG49" s="315"/>
      <c r="AH49" s="315"/>
      <c r="AI49" s="316"/>
      <c r="AJ49" s="314"/>
      <c r="AK49" s="315"/>
      <c r="AL49" s="316"/>
      <c r="AM49" s="314"/>
      <c r="AN49" s="315"/>
      <c r="AO49" s="316"/>
      <c r="AP49" s="314"/>
      <c r="AQ49" s="315"/>
      <c r="AR49" s="315"/>
      <c r="AS49" s="315"/>
      <c r="AT49" s="316"/>
      <c r="AU49" s="314"/>
      <c r="AV49" s="315"/>
      <c r="AW49" s="315"/>
      <c r="AX49" s="315"/>
      <c r="AY49" s="315"/>
      <c r="AZ49" s="315"/>
      <c r="BA49" s="315"/>
      <c r="BB49" s="316"/>
      <c r="BC49" s="314"/>
      <c r="BD49" s="315"/>
      <c r="BE49" s="315"/>
      <c r="BF49" s="315"/>
      <c r="BG49" s="316"/>
      <c r="BH49" s="314"/>
      <c r="BI49" s="315"/>
      <c r="BJ49" s="316"/>
      <c r="BK49" s="314"/>
      <c r="BL49" s="315"/>
      <c r="BM49" s="315"/>
      <c r="BN49" s="316"/>
      <c r="BO49" s="314"/>
      <c r="BP49" s="315"/>
      <c r="BQ49" s="315"/>
      <c r="BR49" s="315"/>
      <c r="BS49" s="315"/>
      <c r="BT49" s="315"/>
      <c r="BU49" s="315"/>
      <c r="BV49" s="316"/>
      <c r="BW49" s="314"/>
      <c r="BX49" s="315"/>
      <c r="BY49" s="315"/>
      <c r="BZ49" s="315"/>
      <c r="CA49" s="315"/>
      <c r="CB49" s="316"/>
      <c r="CC49" s="314"/>
      <c r="CD49" s="315"/>
      <c r="CE49" s="316"/>
      <c r="CF49" s="314"/>
      <c r="CG49" s="315"/>
      <c r="CH49" s="315"/>
      <c r="CI49" s="317"/>
      <c r="CK49" s="236" t="str">
        <f t="shared" si="15"/>
        <v/>
      </c>
      <c r="CL49" s="237" t="str">
        <f t="shared" si="16"/>
        <v/>
      </c>
      <c r="CM49" s="237" t="str">
        <f t="shared" si="17"/>
        <v/>
      </c>
      <c r="CN49" s="237" t="str">
        <f t="shared" si="18"/>
        <v/>
      </c>
      <c r="CO49" s="238" t="str">
        <f t="shared" si="19"/>
        <v/>
      </c>
      <c r="CQ49" s="236" t="str">
        <f>desired_skills(C49,"Competenties/Netwerken en contacten onderhouden en uitbouwen","o")</f>
        <v/>
      </c>
      <c r="CR49" s="237" t="str">
        <f>desired_skills(C49,"Competenties/Netwerken en contacten onderhouden en uitbouwen","j")</f>
        <v/>
      </c>
      <c r="CS49" s="237" t="str">
        <f>desired_skills(C49,"Competenties/Netwerken en contacten onderhouden en uitbouwen","m")</f>
        <v/>
      </c>
      <c r="CT49" s="237" t="str">
        <f>desired_skills(C49,"Competenties/Netwerken en contacten onderhouden en uitbouwen","s")</f>
        <v/>
      </c>
      <c r="CU49" s="238" t="str">
        <f>desired_skills(C49,"Competenties/Netwerken en contacten onderhouden en uitbouwen","e")</f>
        <v/>
      </c>
      <c r="CW49" s="236" t="str">
        <f>calc_gap('Matrix 171007_1827'!$CK$49,'Matrix 171007_1827'!$CQ$49)</f>
        <v/>
      </c>
      <c r="CX49" s="237" t="str">
        <f>calc_gap('Matrix 171007_1827'!$CL$49,'Matrix 171007_1827'!$CR$49)</f>
        <v/>
      </c>
      <c r="CY49" s="237" t="str">
        <f>calc_gap('Matrix 171007_1827'!$CM$49,'Matrix 171007_1827'!$CS$49)</f>
        <v/>
      </c>
      <c r="CZ49" s="237" t="str">
        <f>calc_gap('Matrix 171007_1827'!$CN$49,'Matrix 171007_1827'!$CT$49)</f>
        <v/>
      </c>
      <c r="DA49" s="238" t="str">
        <f>calc_gap('Matrix 171007_1827'!$CO$49,'Matrix 171007_1827'!$CU$49)</f>
        <v/>
      </c>
    </row>
    <row r="50" spans="2:105" ht="15.75" thickBot="1" x14ac:dyDescent="0.3">
      <c r="B50" s="435"/>
      <c r="C50" s="292" t="s">
        <v>227</v>
      </c>
      <c r="D50" s="318"/>
      <c r="E50" s="319"/>
      <c r="F50" s="319"/>
      <c r="G50" s="319"/>
      <c r="H50" s="319"/>
      <c r="I50" s="319"/>
      <c r="J50" s="319"/>
      <c r="K50" s="320"/>
      <c r="L50" s="318"/>
      <c r="M50" s="319"/>
      <c r="N50" s="319"/>
      <c r="O50" s="320"/>
      <c r="P50" s="318"/>
      <c r="Q50" s="319"/>
      <c r="R50" s="319"/>
      <c r="S50" s="319"/>
      <c r="T50" s="319"/>
      <c r="U50" s="319"/>
      <c r="V50" s="319"/>
      <c r="W50" s="319"/>
      <c r="X50" s="319"/>
      <c r="Y50" s="319"/>
      <c r="Z50" s="319"/>
      <c r="AA50" s="319"/>
      <c r="AB50" s="319"/>
      <c r="AC50" s="319"/>
      <c r="AD50" s="319"/>
      <c r="AE50" s="319"/>
      <c r="AF50" s="319"/>
      <c r="AG50" s="319"/>
      <c r="AH50" s="319"/>
      <c r="AI50" s="320"/>
      <c r="AJ50" s="318"/>
      <c r="AK50" s="319"/>
      <c r="AL50" s="320"/>
      <c r="AM50" s="318"/>
      <c r="AN50" s="319"/>
      <c r="AO50" s="320"/>
      <c r="AP50" s="318"/>
      <c r="AQ50" s="319"/>
      <c r="AR50" s="319"/>
      <c r="AS50" s="319"/>
      <c r="AT50" s="320"/>
      <c r="AU50" s="318"/>
      <c r="AV50" s="319"/>
      <c r="AW50" s="319"/>
      <c r="AX50" s="319"/>
      <c r="AY50" s="319"/>
      <c r="AZ50" s="319"/>
      <c r="BA50" s="319"/>
      <c r="BB50" s="320"/>
      <c r="BC50" s="318"/>
      <c r="BD50" s="319"/>
      <c r="BE50" s="319"/>
      <c r="BF50" s="319"/>
      <c r="BG50" s="320"/>
      <c r="BH50" s="318"/>
      <c r="BI50" s="319"/>
      <c r="BJ50" s="320"/>
      <c r="BK50" s="318"/>
      <c r="BL50" s="319"/>
      <c r="BM50" s="319"/>
      <c r="BN50" s="320"/>
      <c r="BO50" s="318"/>
      <c r="BP50" s="319"/>
      <c r="BQ50" s="319"/>
      <c r="BR50" s="319"/>
      <c r="BS50" s="319"/>
      <c r="BT50" s="319"/>
      <c r="BU50" s="319"/>
      <c r="BV50" s="320"/>
      <c r="BW50" s="318"/>
      <c r="BX50" s="319"/>
      <c r="BY50" s="319"/>
      <c r="BZ50" s="319"/>
      <c r="CA50" s="319"/>
      <c r="CB50" s="320"/>
      <c r="CC50" s="318"/>
      <c r="CD50" s="319"/>
      <c r="CE50" s="320"/>
      <c r="CF50" s="318"/>
      <c r="CG50" s="319"/>
      <c r="CH50" s="319"/>
      <c r="CI50" s="321"/>
      <c r="CK50" s="239" t="str">
        <f t="shared" si="15"/>
        <v/>
      </c>
      <c r="CL50" s="240" t="str">
        <f t="shared" si="16"/>
        <v/>
      </c>
      <c r="CM50" s="240" t="str">
        <f t="shared" si="17"/>
        <v/>
      </c>
      <c r="CN50" s="240" t="str">
        <f t="shared" si="18"/>
        <v/>
      </c>
      <c r="CO50" s="241" t="str">
        <f t="shared" si="19"/>
        <v/>
      </c>
      <c r="CQ50" s="239" t="str">
        <f>desired_skills(C50,"Competenties/Werken in zelfsturend team","o")</f>
        <v/>
      </c>
      <c r="CR50" s="240" t="str">
        <f>desired_skills(C50,"Competenties/Werken in zelfsturend team","j")</f>
        <v/>
      </c>
      <c r="CS50" s="240" t="str">
        <f>desired_skills(C50,"Competenties/Werken in zelfsturend team","m")</f>
        <v/>
      </c>
      <c r="CT50" s="240" t="str">
        <f>desired_skills(C50,"Competenties/Werken in zelfsturend team","s")</f>
        <v/>
      </c>
      <c r="CU50" s="241" t="str">
        <f>desired_skills(C50,"Competenties/Werken in zelfsturend team","e")</f>
        <v/>
      </c>
      <c r="CW50" s="239" t="str">
        <f>calc_gap('Matrix 171007_1827'!$CK$50,'Matrix 171007_1827'!$CQ$50)</f>
        <v/>
      </c>
      <c r="CX50" s="240" t="str">
        <f>calc_gap('Matrix 171007_1827'!$CL$50,'Matrix 171007_1827'!$CR$50)</f>
        <v/>
      </c>
      <c r="CY50" s="240" t="str">
        <f>calc_gap('Matrix 171007_1827'!$CM$50,'Matrix 171007_1827'!$CS$50)</f>
        <v/>
      </c>
      <c r="CZ50" s="240" t="str">
        <f>calc_gap('Matrix 171007_1827'!$CN$50,'Matrix 171007_1827'!$CT$50)</f>
        <v/>
      </c>
      <c r="DA50" s="241" t="str">
        <f>calc_gap('Matrix 171007_1827'!$CO$50,'Matrix 171007_1827'!$CU$50)</f>
        <v/>
      </c>
    </row>
    <row r="51" spans="2:105" ht="12.75" customHeight="1" thickTop="1" thickBot="1" x14ac:dyDescent="0.3">
      <c r="B51" s="436"/>
      <c r="C51" s="248"/>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2"/>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2"/>
      <c r="CH51" s="322"/>
      <c r="CI51" s="322"/>
      <c r="CK51" s="249"/>
      <c r="CL51" s="249"/>
      <c r="CM51" s="249"/>
      <c r="CN51" s="249"/>
      <c r="CO51" s="249"/>
      <c r="CQ51" s="249"/>
      <c r="CR51" s="249"/>
      <c r="CS51" s="249"/>
      <c r="CT51" s="249"/>
      <c r="CU51" s="249"/>
      <c r="CW51" s="249"/>
      <c r="CX51" s="249"/>
      <c r="CY51" s="249"/>
      <c r="CZ51" s="249"/>
      <c r="DA51" s="249"/>
    </row>
    <row r="52" spans="2:105" ht="15.75" thickTop="1" x14ac:dyDescent="0.25">
      <c r="B52" s="434" t="s">
        <v>122</v>
      </c>
      <c r="C52" s="290" t="s">
        <v>92</v>
      </c>
      <c r="D52" s="310"/>
      <c r="E52" s="311"/>
      <c r="F52" s="311"/>
      <c r="G52" s="311"/>
      <c r="H52" s="311"/>
      <c r="I52" s="311"/>
      <c r="J52" s="311"/>
      <c r="K52" s="312"/>
      <c r="L52" s="310"/>
      <c r="M52" s="311"/>
      <c r="N52" s="311"/>
      <c r="O52" s="312"/>
      <c r="P52" s="310"/>
      <c r="Q52" s="311"/>
      <c r="R52" s="311"/>
      <c r="S52" s="311"/>
      <c r="T52" s="311"/>
      <c r="U52" s="311"/>
      <c r="V52" s="311"/>
      <c r="W52" s="311"/>
      <c r="X52" s="311"/>
      <c r="Y52" s="311"/>
      <c r="Z52" s="311"/>
      <c r="AA52" s="311"/>
      <c r="AB52" s="311"/>
      <c r="AC52" s="311"/>
      <c r="AD52" s="311"/>
      <c r="AE52" s="311"/>
      <c r="AF52" s="311"/>
      <c r="AG52" s="311"/>
      <c r="AH52" s="311"/>
      <c r="AI52" s="312"/>
      <c r="AJ52" s="310"/>
      <c r="AK52" s="311"/>
      <c r="AL52" s="312"/>
      <c r="AM52" s="310"/>
      <c r="AN52" s="311"/>
      <c r="AO52" s="312"/>
      <c r="AP52" s="310"/>
      <c r="AQ52" s="311"/>
      <c r="AR52" s="311"/>
      <c r="AS52" s="311"/>
      <c r="AT52" s="312"/>
      <c r="AU52" s="310" t="s">
        <v>148</v>
      </c>
      <c r="AV52" s="311" t="s">
        <v>148</v>
      </c>
      <c r="AW52" s="311" t="s">
        <v>147</v>
      </c>
      <c r="AX52" s="311" t="s">
        <v>148</v>
      </c>
      <c r="AY52" s="311" t="s">
        <v>148</v>
      </c>
      <c r="AZ52" s="311" t="s">
        <v>147</v>
      </c>
      <c r="BA52" s="311" t="s">
        <v>147</v>
      </c>
      <c r="BB52" s="312" t="s">
        <v>148</v>
      </c>
      <c r="BC52" s="310" t="s">
        <v>147</v>
      </c>
      <c r="BD52" s="311" t="s">
        <v>148</v>
      </c>
      <c r="BE52" s="311"/>
      <c r="BF52" s="311" t="s">
        <v>150</v>
      </c>
      <c r="BG52" s="312"/>
      <c r="BH52" s="310"/>
      <c r="BI52" s="311" t="s">
        <v>148</v>
      </c>
      <c r="BJ52" s="312"/>
      <c r="BK52" s="310" t="s">
        <v>147</v>
      </c>
      <c r="BL52" s="311" t="s">
        <v>148</v>
      </c>
      <c r="BM52" s="311"/>
      <c r="BN52" s="312" t="s">
        <v>150</v>
      </c>
      <c r="BO52" s="310" t="s">
        <v>148</v>
      </c>
      <c r="BP52" s="311" t="s">
        <v>148</v>
      </c>
      <c r="BQ52" s="311" t="s">
        <v>150</v>
      </c>
      <c r="BR52" s="311"/>
      <c r="BS52" s="311" t="s">
        <v>147</v>
      </c>
      <c r="BT52" s="311" t="s">
        <v>148</v>
      </c>
      <c r="BU52" s="311" t="s">
        <v>148</v>
      </c>
      <c r="BV52" s="312"/>
      <c r="BW52" s="310" t="s">
        <v>150</v>
      </c>
      <c r="BX52" s="311" t="s">
        <v>148</v>
      </c>
      <c r="BY52" s="311" t="s">
        <v>150</v>
      </c>
      <c r="BZ52" s="311" t="s">
        <v>148</v>
      </c>
      <c r="CA52" s="311" t="s">
        <v>150</v>
      </c>
      <c r="CB52" s="312" t="s">
        <v>150</v>
      </c>
      <c r="CC52" s="310" t="s">
        <v>150</v>
      </c>
      <c r="CD52" s="311" t="s">
        <v>148</v>
      </c>
      <c r="CE52" s="312"/>
      <c r="CF52" s="310"/>
      <c r="CG52" s="311"/>
      <c r="CH52" s="311"/>
      <c r="CI52" s="313"/>
      <c r="CK52" s="233" t="str">
        <f t="shared" ref="CK52:CK59" si="20">IF(COUNTIF(D52:CI52,"o")&gt;0,COUNTIF(D52:CI52,"o"),"")</f>
        <v/>
      </c>
      <c r="CL52" s="234">
        <f t="shared" ref="CL52:CL59" si="21">IF(COUNTIF(D52:CI52,"j")&gt;0,COUNTIF(D52:CI52,"j"),"")</f>
        <v>6</v>
      </c>
      <c r="CM52" s="234">
        <f t="shared" ref="CM52:CM59" si="22">IF(COUNTIF(D52:CI52,"m")&gt;0,COUNTIF(D52:CI52,"m"),"")</f>
        <v>15</v>
      </c>
      <c r="CN52" s="234">
        <f t="shared" ref="CN52:CN59" si="23">IF(COUNTIF(D52:CI52,"s")&gt;0,COUNTIF(D52:CI52,"s"),"")</f>
        <v>8</v>
      </c>
      <c r="CO52" s="235" t="str">
        <f t="shared" ref="CO52:CO59" si="24">IF(COUNTIF(D52:CI52,"e")&gt;0,COUNTIF(D52:CI52,"e"),"")</f>
        <v/>
      </c>
      <c r="CQ52" s="233" t="str">
        <f>desired_skills(C52,"Vaardigheden/Excel/VBA","o")</f>
        <v>26</v>
      </c>
      <c r="CR52" s="234" t="str">
        <f>desired_skills(C52,"Vaardigheden/Excel/VBA","j")</f>
        <v/>
      </c>
      <c r="CS52" s="234" t="str">
        <f>desired_skills(C52,"Vaardigheden/Excel/VBA","m")</f>
        <v/>
      </c>
      <c r="CT52" s="234" t="str">
        <f>desired_skills(C52,"Vaardigheden/Excel/VBA","s")</f>
        <v/>
      </c>
      <c r="CU52" s="235" t="str">
        <f>desired_skills(C52,"Vaardigheden/Excel/VBA","e")</f>
        <v/>
      </c>
      <c r="CW52" s="233" t="str">
        <f>calc_gap('Matrix 171007_1827'!$CK$52,'Matrix 171007_1827'!$CQ$52)</f>
        <v/>
      </c>
      <c r="CX52" s="234" t="str">
        <f>calc_gap('Matrix 171007_1827'!$CL$52,'Matrix 171007_1827'!$CR$52)</f>
        <v/>
      </c>
      <c r="CY52" s="234" t="str">
        <f>calc_gap('Matrix 171007_1827'!$CM$52,'Matrix 171007_1827'!$CS$52)</f>
        <v/>
      </c>
      <c r="CZ52" s="234" t="str">
        <f>calc_gap('Matrix 171007_1827'!$CN$52,'Matrix 171007_1827'!$CT$52)</f>
        <v/>
      </c>
      <c r="DA52" s="235" t="str">
        <f>calc_gap('Matrix 171007_1827'!$CO$52,'Matrix 171007_1827'!$CU$52)</f>
        <v/>
      </c>
    </row>
    <row r="53" spans="2:105" x14ac:dyDescent="0.25">
      <c r="B53" s="435"/>
      <c r="C53" s="291" t="s">
        <v>93</v>
      </c>
      <c r="D53" s="314"/>
      <c r="E53" s="315"/>
      <c r="F53" s="315"/>
      <c r="G53" s="315"/>
      <c r="H53" s="315"/>
      <c r="I53" s="315"/>
      <c r="J53" s="315"/>
      <c r="K53" s="316"/>
      <c r="L53" s="314"/>
      <c r="M53" s="315"/>
      <c r="N53" s="315"/>
      <c r="O53" s="316"/>
      <c r="P53" s="314"/>
      <c r="Q53" s="315"/>
      <c r="R53" s="315"/>
      <c r="S53" s="315"/>
      <c r="T53" s="315"/>
      <c r="U53" s="315"/>
      <c r="V53" s="315"/>
      <c r="W53" s="315"/>
      <c r="X53" s="315"/>
      <c r="Y53" s="315"/>
      <c r="Z53" s="315"/>
      <c r="AA53" s="315"/>
      <c r="AB53" s="315"/>
      <c r="AC53" s="315"/>
      <c r="AD53" s="315"/>
      <c r="AE53" s="315"/>
      <c r="AF53" s="315"/>
      <c r="AG53" s="315"/>
      <c r="AH53" s="315"/>
      <c r="AI53" s="316"/>
      <c r="AJ53" s="314"/>
      <c r="AK53" s="315"/>
      <c r="AL53" s="316"/>
      <c r="AM53" s="314"/>
      <c r="AN53" s="315"/>
      <c r="AO53" s="316"/>
      <c r="AP53" s="314"/>
      <c r="AQ53" s="315"/>
      <c r="AR53" s="315"/>
      <c r="AS53" s="315"/>
      <c r="AT53" s="316"/>
      <c r="AU53" s="314" t="s">
        <v>147</v>
      </c>
      <c r="AV53" s="315" t="s">
        <v>148</v>
      </c>
      <c r="AW53" s="315" t="s">
        <v>150</v>
      </c>
      <c r="AX53" s="315" t="s">
        <v>150</v>
      </c>
      <c r="AY53" s="315" t="s">
        <v>150</v>
      </c>
      <c r="AZ53" s="315" t="s">
        <v>148</v>
      </c>
      <c r="BA53" s="315"/>
      <c r="BB53" s="316" t="s">
        <v>150</v>
      </c>
      <c r="BC53" s="314" t="s">
        <v>47</v>
      </c>
      <c r="BD53" s="315" t="s">
        <v>149</v>
      </c>
      <c r="BE53" s="315"/>
      <c r="BF53" s="315" t="s">
        <v>150</v>
      </c>
      <c r="BG53" s="316"/>
      <c r="BH53" s="314"/>
      <c r="BI53" s="315"/>
      <c r="BJ53" s="316"/>
      <c r="BK53" s="314"/>
      <c r="BL53" s="315" t="s">
        <v>148</v>
      </c>
      <c r="BM53" s="315"/>
      <c r="BN53" s="316" t="s">
        <v>148</v>
      </c>
      <c r="BO53" s="314"/>
      <c r="BP53" s="315" t="s">
        <v>148</v>
      </c>
      <c r="BQ53" s="315"/>
      <c r="BR53" s="315"/>
      <c r="BS53" s="315"/>
      <c r="BT53" s="315"/>
      <c r="BU53" s="315" t="s">
        <v>150</v>
      </c>
      <c r="BV53" s="316"/>
      <c r="BW53" s="314" t="s">
        <v>147</v>
      </c>
      <c r="BX53" s="315"/>
      <c r="BY53" s="315"/>
      <c r="BZ53" s="315"/>
      <c r="CA53" s="315" t="s">
        <v>147</v>
      </c>
      <c r="CB53" s="316"/>
      <c r="CC53" s="314"/>
      <c r="CD53" s="315" t="s">
        <v>148</v>
      </c>
      <c r="CE53" s="316"/>
      <c r="CF53" s="314"/>
      <c r="CG53" s="315"/>
      <c r="CH53" s="315"/>
      <c r="CI53" s="317"/>
      <c r="CK53" s="236">
        <f t="shared" si="20"/>
        <v>1</v>
      </c>
      <c r="CL53" s="237">
        <f t="shared" si="21"/>
        <v>3</v>
      </c>
      <c r="CM53" s="237">
        <f t="shared" si="22"/>
        <v>6</v>
      </c>
      <c r="CN53" s="237">
        <f t="shared" si="23"/>
        <v>6</v>
      </c>
      <c r="CO53" s="238">
        <f t="shared" si="24"/>
        <v>1</v>
      </c>
      <c r="CQ53" s="236" t="str">
        <f>desired_skills(C53,"Vaardigheden/Product ownership","o")</f>
        <v/>
      </c>
      <c r="CR53" s="237" t="str">
        <f>desired_skills(C53,"Vaardigheden/Product ownership","j")</f>
        <v>27</v>
      </c>
      <c r="CS53" s="237" t="str">
        <f>desired_skills(C53,"Vaardigheden/Product ownership","m")</f>
        <v/>
      </c>
      <c r="CT53" s="237" t="str">
        <f>desired_skills(C53,"Vaardigheden/Product ownership","s")</f>
        <v/>
      </c>
      <c r="CU53" s="238" t="str">
        <f>desired_skills(C53,"Vaardigheden/Product ownership","e")</f>
        <v/>
      </c>
      <c r="CW53" s="236" t="str">
        <f>calc_gap('Matrix 171007_1827'!$CK$53,'Matrix 171007_1827'!$CQ$53)</f>
        <v/>
      </c>
      <c r="CX53" s="237" t="str">
        <f>calc_gap('Matrix 171007_1827'!$CL$53,'Matrix 171007_1827'!$CR$53)</f>
        <v>24</v>
      </c>
      <c r="CY53" s="237" t="str">
        <f>calc_gap('Matrix 171007_1827'!$CM$53,'Matrix 171007_1827'!$CS$53)</f>
        <v/>
      </c>
      <c r="CZ53" s="237" t="str">
        <f>calc_gap('Matrix 171007_1827'!$CN$53,'Matrix 171007_1827'!$CT$53)</f>
        <v/>
      </c>
      <c r="DA53" s="238" t="str">
        <f>calc_gap('Matrix 171007_1827'!$CO$53,'Matrix 171007_1827'!$CU$53)</f>
        <v/>
      </c>
    </row>
    <row r="54" spans="2:105" x14ac:dyDescent="0.25">
      <c r="B54" s="435"/>
      <c r="C54" s="291" t="s">
        <v>94</v>
      </c>
      <c r="D54" s="314"/>
      <c r="E54" s="315"/>
      <c r="F54" s="315"/>
      <c r="G54" s="315"/>
      <c r="H54" s="315"/>
      <c r="I54" s="315"/>
      <c r="J54" s="315"/>
      <c r="K54" s="316"/>
      <c r="L54" s="314"/>
      <c r="M54" s="315"/>
      <c r="N54" s="315"/>
      <c r="O54" s="316"/>
      <c r="P54" s="314"/>
      <c r="Q54" s="315"/>
      <c r="R54" s="315"/>
      <c r="S54" s="315"/>
      <c r="T54" s="315"/>
      <c r="U54" s="315"/>
      <c r="V54" s="315"/>
      <c r="W54" s="315"/>
      <c r="X54" s="315"/>
      <c r="Y54" s="315"/>
      <c r="Z54" s="315"/>
      <c r="AA54" s="315"/>
      <c r="AB54" s="315"/>
      <c r="AC54" s="315"/>
      <c r="AD54" s="315"/>
      <c r="AE54" s="315"/>
      <c r="AF54" s="315"/>
      <c r="AG54" s="315"/>
      <c r="AH54" s="315"/>
      <c r="AI54" s="316"/>
      <c r="AJ54" s="314"/>
      <c r="AK54" s="315"/>
      <c r="AL54" s="316"/>
      <c r="AM54" s="314"/>
      <c r="AN54" s="315"/>
      <c r="AO54" s="316"/>
      <c r="AP54" s="314"/>
      <c r="AQ54" s="315"/>
      <c r="AR54" s="315"/>
      <c r="AS54" s="315"/>
      <c r="AT54" s="316"/>
      <c r="AU54" s="314" t="s">
        <v>147</v>
      </c>
      <c r="AV54" s="315" t="s">
        <v>148</v>
      </c>
      <c r="AW54" s="315" t="s">
        <v>149</v>
      </c>
      <c r="AX54" s="315" t="s">
        <v>148</v>
      </c>
      <c r="AY54" s="315" t="s">
        <v>148</v>
      </c>
      <c r="AZ54" s="315" t="s">
        <v>47</v>
      </c>
      <c r="BA54" s="315"/>
      <c r="BB54" s="316" t="s">
        <v>147</v>
      </c>
      <c r="BC54" s="314" t="s">
        <v>147</v>
      </c>
      <c r="BD54" s="315" t="s">
        <v>149</v>
      </c>
      <c r="BE54" s="315"/>
      <c r="BF54" s="315" t="s">
        <v>148</v>
      </c>
      <c r="BG54" s="316"/>
      <c r="BH54" s="314"/>
      <c r="BI54" s="315" t="s">
        <v>47</v>
      </c>
      <c r="BJ54" s="316"/>
      <c r="BK54" s="314"/>
      <c r="BL54" s="315"/>
      <c r="BM54" s="315"/>
      <c r="BN54" s="316"/>
      <c r="BO54" s="314"/>
      <c r="BP54" s="315"/>
      <c r="BQ54" s="315"/>
      <c r="BR54" s="315"/>
      <c r="BS54" s="315"/>
      <c r="BT54" s="315"/>
      <c r="BU54" s="315" t="s">
        <v>150</v>
      </c>
      <c r="BV54" s="316"/>
      <c r="BW54" s="314" t="s">
        <v>148</v>
      </c>
      <c r="BX54" s="315"/>
      <c r="BY54" s="315" t="s">
        <v>147</v>
      </c>
      <c r="BZ54" s="315" t="s">
        <v>148</v>
      </c>
      <c r="CA54" s="315" t="s">
        <v>147</v>
      </c>
      <c r="CB54" s="316"/>
      <c r="CC54" s="314"/>
      <c r="CD54" s="315"/>
      <c r="CE54" s="316"/>
      <c r="CF54" s="314"/>
      <c r="CG54" s="315"/>
      <c r="CH54" s="315"/>
      <c r="CI54" s="317"/>
      <c r="CK54" s="236">
        <f t="shared" si="20"/>
        <v>2</v>
      </c>
      <c r="CL54" s="237">
        <f t="shared" si="21"/>
        <v>5</v>
      </c>
      <c r="CM54" s="237">
        <f t="shared" si="22"/>
        <v>6</v>
      </c>
      <c r="CN54" s="237">
        <f t="shared" si="23"/>
        <v>1</v>
      </c>
      <c r="CO54" s="238">
        <f t="shared" si="24"/>
        <v>2</v>
      </c>
      <c r="CQ54" s="236" t="str">
        <f>desired_skills(C54,"Vaardigheden/Proces mining","o")</f>
        <v/>
      </c>
      <c r="CR54" s="237" t="str">
        <f>desired_skills(C54,"Vaardigheden/Proces mining","j")</f>
        <v/>
      </c>
      <c r="CS54" s="237" t="str">
        <f>desired_skills(C54,"Vaardigheden/Proces mining","m")</f>
        <v>28</v>
      </c>
      <c r="CT54" s="237" t="str">
        <f>desired_skills(C54,"Vaardigheden/Proces mining","s")</f>
        <v/>
      </c>
      <c r="CU54" s="238" t="str">
        <f>desired_skills(C54,"Vaardigheden/Proces mining","e")</f>
        <v/>
      </c>
      <c r="CW54" s="236" t="str">
        <f>calc_gap('Matrix 171007_1827'!$CK$54,'Matrix 171007_1827'!$CQ$54)</f>
        <v/>
      </c>
      <c r="CX54" s="237" t="str">
        <f>calc_gap('Matrix 171007_1827'!$CL$54,'Matrix 171007_1827'!$CR$54)</f>
        <v/>
      </c>
      <c r="CY54" s="237" t="str">
        <f>calc_gap('Matrix 171007_1827'!$CM$54,'Matrix 171007_1827'!$CS$54)</f>
        <v>22</v>
      </c>
      <c r="CZ54" s="237" t="str">
        <f>calc_gap('Matrix 171007_1827'!$CN$54,'Matrix 171007_1827'!$CT$54)</f>
        <v/>
      </c>
      <c r="DA54" s="238" t="str">
        <f>calc_gap('Matrix 171007_1827'!$CO$54,'Matrix 171007_1827'!$CU$54)</f>
        <v/>
      </c>
    </row>
    <row r="55" spans="2:105" x14ac:dyDescent="0.25">
      <c r="B55" s="435"/>
      <c r="C55" s="291" t="s">
        <v>95</v>
      </c>
      <c r="D55" s="314"/>
      <c r="E55" s="315"/>
      <c r="F55" s="315"/>
      <c r="G55" s="315"/>
      <c r="H55" s="315"/>
      <c r="I55" s="315"/>
      <c r="J55" s="315"/>
      <c r="K55" s="316"/>
      <c r="L55" s="314"/>
      <c r="M55" s="315"/>
      <c r="N55" s="315"/>
      <c r="O55" s="316"/>
      <c r="P55" s="314"/>
      <c r="Q55" s="315"/>
      <c r="R55" s="315"/>
      <c r="S55" s="315"/>
      <c r="T55" s="315"/>
      <c r="U55" s="315"/>
      <c r="V55" s="315"/>
      <c r="W55" s="315"/>
      <c r="X55" s="315"/>
      <c r="Y55" s="315"/>
      <c r="Z55" s="315"/>
      <c r="AA55" s="315"/>
      <c r="AB55" s="315"/>
      <c r="AC55" s="315"/>
      <c r="AD55" s="315"/>
      <c r="AE55" s="315"/>
      <c r="AF55" s="315"/>
      <c r="AG55" s="315"/>
      <c r="AH55" s="315"/>
      <c r="AI55" s="316"/>
      <c r="AJ55" s="314"/>
      <c r="AK55" s="315"/>
      <c r="AL55" s="316"/>
      <c r="AM55" s="314"/>
      <c r="AN55" s="315"/>
      <c r="AO55" s="316"/>
      <c r="AP55" s="314"/>
      <c r="AQ55" s="315"/>
      <c r="AR55" s="315"/>
      <c r="AS55" s="315"/>
      <c r="AT55" s="316"/>
      <c r="AU55" s="314"/>
      <c r="AV55" s="315" t="s">
        <v>149</v>
      </c>
      <c r="AW55" s="315" t="s">
        <v>149</v>
      </c>
      <c r="AX55" s="315" t="s">
        <v>148</v>
      </c>
      <c r="AY55" s="315" t="s">
        <v>147</v>
      </c>
      <c r="AZ55" s="315"/>
      <c r="BA55" s="315"/>
      <c r="BB55" s="316" t="s">
        <v>147</v>
      </c>
      <c r="BC55" s="314" t="s">
        <v>147</v>
      </c>
      <c r="BD55" s="315" t="s">
        <v>149</v>
      </c>
      <c r="BE55" s="315"/>
      <c r="BF55" s="315" t="s">
        <v>147</v>
      </c>
      <c r="BG55" s="316"/>
      <c r="BH55" s="314"/>
      <c r="BI55" s="315" t="s">
        <v>147</v>
      </c>
      <c r="BJ55" s="316"/>
      <c r="BK55" s="314"/>
      <c r="BL55" s="315"/>
      <c r="BM55" s="315"/>
      <c r="BN55" s="316"/>
      <c r="BO55" s="314"/>
      <c r="BP55" s="315"/>
      <c r="BQ55" s="315" t="s">
        <v>148</v>
      </c>
      <c r="BR55" s="315"/>
      <c r="BS55" s="315" t="s">
        <v>149</v>
      </c>
      <c r="BT55" s="315" t="s">
        <v>147</v>
      </c>
      <c r="BU55" s="315" t="s">
        <v>150</v>
      </c>
      <c r="BV55" s="316"/>
      <c r="BW55" s="314" t="s">
        <v>148</v>
      </c>
      <c r="BX55" s="315"/>
      <c r="BY55" s="315" t="s">
        <v>147</v>
      </c>
      <c r="BZ55" s="315" t="s">
        <v>147</v>
      </c>
      <c r="CA55" s="315" t="s">
        <v>147</v>
      </c>
      <c r="CB55" s="316" t="s">
        <v>147</v>
      </c>
      <c r="CC55" s="314"/>
      <c r="CD55" s="315"/>
      <c r="CE55" s="316"/>
      <c r="CF55" s="314"/>
      <c r="CG55" s="315"/>
      <c r="CH55" s="315"/>
      <c r="CI55" s="317"/>
      <c r="CK55" s="236">
        <f t="shared" si="20"/>
        <v>4</v>
      </c>
      <c r="CL55" s="237">
        <f t="shared" si="21"/>
        <v>10</v>
      </c>
      <c r="CM55" s="237">
        <f t="shared" si="22"/>
        <v>3</v>
      </c>
      <c r="CN55" s="237">
        <f t="shared" si="23"/>
        <v>1</v>
      </c>
      <c r="CO55" s="238" t="str">
        <f t="shared" si="24"/>
        <v/>
      </c>
      <c r="CQ55" s="236" t="str">
        <f>desired_skills(C55,"Vaardigheden/Data mining / big data","o")</f>
        <v/>
      </c>
      <c r="CR55" s="237" t="str">
        <f>desired_skills(C55,"Vaardigheden/Data mining / big data","j")</f>
        <v/>
      </c>
      <c r="CS55" s="237" t="str">
        <f>desired_skills(C55,"Vaardigheden/Data mining / big data","m")</f>
        <v/>
      </c>
      <c r="CT55" s="237" t="str">
        <f>desired_skills(C55,"Vaardigheden/Data mining / big data","s")</f>
        <v>29</v>
      </c>
      <c r="CU55" s="238" t="str">
        <f>desired_skills(C55,"Vaardigheden/Data mining / big data","e")</f>
        <v/>
      </c>
      <c r="CW55" s="236" t="str">
        <f>calc_gap('Matrix 171007_1827'!$CK$55,'Matrix 171007_1827'!$CQ$55)</f>
        <v/>
      </c>
      <c r="CX55" s="237" t="str">
        <f>calc_gap('Matrix 171007_1827'!$CL$55,'Matrix 171007_1827'!$CR$55)</f>
        <v/>
      </c>
      <c r="CY55" s="237" t="str">
        <f>calc_gap('Matrix 171007_1827'!$CM$55,'Matrix 171007_1827'!$CS$55)</f>
        <v/>
      </c>
      <c r="CZ55" s="237" t="str">
        <f>calc_gap('Matrix 171007_1827'!$CN$55,'Matrix 171007_1827'!$CT$55)</f>
        <v>28</v>
      </c>
      <c r="DA55" s="238" t="str">
        <f>calc_gap('Matrix 171007_1827'!$CO$55,'Matrix 171007_1827'!$CU$55)</f>
        <v/>
      </c>
    </row>
    <row r="56" spans="2:105" x14ac:dyDescent="0.25">
      <c r="B56" s="435"/>
      <c r="C56" s="291" t="s">
        <v>96</v>
      </c>
      <c r="D56" s="314"/>
      <c r="E56" s="315"/>
      <c r="F56" s="315"/>
      <c r="G56" s="315"/>
      <c r="H56" s="315"/>
      <c r="I56" s="315"/>
      <c r="J56" s="315"/>
      <c r="K56" s="316"/>
      <c r="L56" s="314"/>
      <c r="M56" s="315"/>
      <c r="N56" s="315"/>
      <c r="O56" s="316"/>
      <c r="P56" s="314"/>
      <c r="Q56" s="315"/>
      <c r="R56" s="315"/>
      <c r="S56" s="315"/>
      <c r="T56" s="315"/>
      <c r="U56" s="315"/>
      <c r="V56" s="315"/>
      <c r="W56" s="315"/>
      <c r="X56" s="315"/>
      <c r="Y56" s="315"/>
      <c r="Z56" s="315"/>
      <c r="AA56" s="315"/>
      <c r="AB56" s="315"/>
      <c r="AC56" s="315"/>
      <c r="AD56" s="315"/>
      <c r="AE56" s="315"/>
      <c r="AF56" s="315"/>
      <c r="AG56" s="315"/>
      <c r="AH56" s="315"/>
      <c r="AI56" s="316"/>
      <c r="AJ56" s="314"/>
      <c r="AK56" s="315"/>
      <c r="AL56" s="316"/>
      <c r="AM56" s="314"/>
      <c r="AN56" s="315"/>
      <c r="AO56" s="316"/>
      <c r="AP56" s="314"/>
      <c r="AQ56" s="315"/>
      <c r="AR56" s="315"/>
      <c r="AS56" s="315"/>
      <c r="AT56" s="316"/>
      <c r="AU56" s="314" t="s">
        <v>148</v>
      </c>
      <c r="AV56" s="315" t="s">
        <v>149</v>
      </c>
      <c r="AW56" s="315" t="s">
        <v>148</v>
      </c>
      <c r="AX56" s="315" t="s">
        <v>148</v>
      </c>
      <c r="AY56" s="315" t="s">
        <v>148</v>
      </c>
      <c r="AZ56" s="315" t="s">
        <v>150</v>
      </c>
      <c r="BA56" s="315"/>
      <c r="BB56" s="316" t="s">
        <v>147</v>
      </c>
      <c r="BC56" s="314" t="s">
        <v>148</v>
      </c>
      <c r="BD56" s="315" t="s">
        <v>149</v>
      </c>
      <c r="BE56" s="315"/>
      <c r="BF56" s="315" t="s">
        <v>148</v>
      </c>
      <c r="BG56" s="316"/>
      <c r="BH56" s="314"/>
      <c r="BI56" s="315" t="s">
        <v>147</v>
      </c>
      <c r="BJ56" s="316"/>
      <c r="BK56" s="314"/>
      <c r="BL56" s="315" t="s">
        <v>149</v>
      </c>
      <c r="BM56" s="315"/>
      <c r="BN56" s="316" t="s">
        <v>147</v>
      </c>
      <c r="BO56" s="314"/>
      <c r="BP56" s="315"/>
      <c r="BQ56" s="315"/>
      <c r="BR56" s="315"/>
      <c r="BS56" s="315"/>
      <c r="BT56" s="315"/>
      <c r="BU56" s="315" t="s">
        <v>148</v>
      </c>
      <c r="BV56" s="316"/>
      <c r="BW56" s="314" t="s">
        <v>148</v>
      </c>
      <c r="BX56" s="315"/>
      <c r="BY56" s="315"/>
      <c r="BZ56" s="315" t="s">
        <v>150</v>
      </c>
      <c r="CA56" s="315" t="s">
        <v>147</v>
      </c>
      <c r="CB56" s="316" t="s">
        <v>147</v>
      </c>
      <c r="CC56" s="314"/>
      <c r="CD56" s="315"/>
      <c r="CE56" s="316"/>
      <c r="CF56" s="314"/>
      <c r="CG56" s="315"/>
      <c r="CH56" s="315"/>
      <c r="CI56" s="317"/>
      <c r="CK56" s="236">
        <f t="shared" si="20"/>
        <v>3</v>
      </c>
      <c r="CL56" s="237">
        <f t="shared" si="21"/>
        <v>5</v>
      </c>
      <c r="CM56" s="237">
        <f t="shared" si="22"/>
        <v>8</v>
      </c>
      <c r="CN56" s="237">
        <f t="shared" si="23"/>
        <v>2</v>
      </c>
      <c r="CO56" s="238" t="str">
        <f t="shared" si="24"/>
        <v/>
      </c>
      <c r="CQ56" s="236" t="str">
        <f>desired_skills(C56,"Vaardigheden/Business Intelligence","o")</f>
        <v/>
      </c>
      <c r="CR56" s="237" t="str">
        <f>desired_skills(C56,"Vaardigheden/Business Intelligence","j")</f>
        <v/>
      </c>
      <c r="CS56" s="237" t="str">
        <f>desired_skills(C56,"Vaardigheden/Business Intelligence","m")</f>
        <v/>
      </c>
      <c r="CT56" s="237" t="str">
        <f>desired_skills(C56,"Vaardigheden/Business Intelligence","s")</f>
        <v/>
      </c>
      <c r="CU56" s="238" t="str">
        <f>desired_skills(C56,"Vaardigheden/Business Intelligence","e")</f>
        <v>30</v>
      </c>
      <c r="CW56" s="236" t="str">
        <f>calc_gap('Matrix 171007_1827'!$CK$56,'Matrix 171007_1827'!$CQ$56)</f>
        <v/>
      </c>
      <c r="CX56" s="237" t="str">
        <f>calc_gap('Matrix 171007_1827'!$CL$56,'Matrix 171007_1827'!$CR$56)</f>
        <v/>
      </c>
      <c r="CY56" s="237" t="str">
        <f>calc_gap('Matrix 171007_1827'!$CM$56,'Matrix 171007_1827'!$CS$56)</f>
        <v/>
      </c>
      <c r="CZ56" s="237" t="str">
        <f>calc_gap('Matrix 171007_1827'!$CN$56,'Matrix 171007_1827'!$CT$56)</f>
        <v/>
      </c>
      <c r="DA56" s="238" t="str">
        <f>calc_gap('Matrix 171007_1827'!$CO$56,'Matrix 171007_1827'!$CU$56)</f>
        <v/>
      </c>
    </row>
    <row r="57" spans="2:105" x14ac:dyDescent="0.25">
      <c r="B57" s="435"/>
      <c r="C57" s="291" t="s">
        <v>97</v>
      </c>
      <c r="D57" s="314"/>
      <c r="E57" s="315"/>
      <c r="F57" s="315"/>
      <c r="G57" s="315"/>
      <c r="H57" s="315"/>
      <c r="I57" s="315"/>
      <c r="J57" s="315"/>
      <c r="K57" s="316"/>
      <c r="L57" s="314"/>
      <c r="M57" s="315"/>
      <c r="N57" s="315"/>
      <c r="O57" s="316"/>
      <c r="P57" s="314"/>
      <c r="Q57" s="315"/>
      <c r="R57" s="315"/>
      <c r="S57" s="315"/>
      <c r="T57" s="315"/>
      <c r="U57" s="315"/>
      <c r="V57" s="315"/>
      <c r="W57" s="315"/>
      <c r="X57" s="315"/>
      <c r="Y57" s="315"/>
      <c r="Z57" s="315"/>
      <c r="AA57" s="315"/>
      <c r="AB57" s="315"/>
      <c r="AC57" s="315"/>
      <c r="AD57" s="315"/>
      <c r="AE57" s="315"/>
      <c r="AF57" s="315"/>
      <c r="AG57" s="315"/>
      <c r="AH57" s="315"/>
      <c r="AI57" s="316"/>
      <c r="AJ57" s="314"/>
      <c r="AK57" s="315"/>
      <c r="AL57" s="316"/>
      <c r="AM57" s="314"/>
      <c r="AN57" s="315"/>
      <c r="AO57" s="316"/>
      <c r="AP57" s="314"/>
      <c r="AQ57" s="315"/>
      <c r="AR57" s="315"/>
      <c r="AS57" s="315"/>
      <c r="AT57" s="316"/>
      <c r="AU57" s="314" t="s">
        <v>47</v>
      </c>
      <c r="AV57" s="315" t="s">
        <v>150</v>
      </c>
      <c r="AW57" s="315" t="s">
        <v>150</v>
      </c>
      <c r="AX57" s="315" t="s">
        <v>150</v>
      </c>
      <c r="AY57" s="315" t="s">
        <v>47</v>
      </c>
      <c r="AZ57" s="315" t="s">
        <v>150</v>
      </c>
      <c r="BA57" s="315" t="s">
        <v>150</v>
      </c>
      <c r="BB57" s="316" t="s">
        <v>150</v>
      </c>
      <c r="BC57" s="314" t="s">
        <v>148</v>
      </c>
      <c r="BD57" s="315" t="s">
        <v>148</v>
      </c>
      <c r="BE57" s="315"/>
      <c r="BF57" s="315" t="s">
        <v>150</v>
      </c>
      <c r="BG57" s="316"/>
      <c r="BH57" s="314"/>
      <c r="BI57" s="315" t="s">
        <v>148</v>
      </c>
      <c r="BJ57" s="316"/>
      <c r="BK57" s="314" t="s">
        <v>148</v>
      </c>
      <c r="BL57" s="315"/>
      <c r="BM57" s="315"/>
      <c r="BN57" s="316"/>
      <c r="BO57" s="314"/>
      <c r="BP57" s="315"/>
      <c r="BQ57" s="315"/>
      <c r="BR57" s="315"/>
      <c r="BS57" s="315"/>
      <c r="BT57" s="315"/>
      <c r="BU57" s="315" t="s">
        <v>148</v>
      </c>
      <c r="BV57" s="316"/>
      <c r="BW57" s="314" t="s">
        <v>148</v>
      </c>
      <c r="BX57" s="315" t="s">
        <v>150</v>
      </c>
      <c r="BY57" s="315" t="s">
        <v>150</v>
      </c>
      <c r="BZ57" s="315" t="s">
        <v>148</v>
      </c>
      <c r="CA57" s="315" t="s">
        <v>150</v>
      </c>
      <c r="CB57" s="316" t="s">
        <v>150</v>
      </c>
      <c r="CC57" s="314"/>
      <c r="CD57" s="315" t="s">
        <v>150</v>
      </c>
      <c r="CE57" s="316"/>
      <c r="CF57" s="314"/>
      <c r="CG57" s="315"/>
      <c r="CH57" s="315"/>
      <c r="CI57" s="317"/>
      <c r="CK57" s="236" t="str">
        <f t="shared" si="20"/>
        <v/>
      </c>
      <c r="CL57" s="237" t="str">
        <f t="shared" si="21"/>
        <v/>
      </c>
      <c r="CM57" s="237">
        <f t="shared" si="22"/>
        <v>7</v>
      </c>
      <c r="CN57" s="237">
        <f t="shared" si="23"/>
        <v>12</v>
      </c>
      <c r="CO57" s="238">
        <f t="shared" si="24"/>
        <v>2</v>
      </c>
      <c r="CQ57" s="236" t="str">
        <f>desired_skills(C57,"Vaardigheden/PDCA (in het algemeen)","o")</f>
        <v/>
      </c>
      <c r="CR57" s="237" t="str">
        <f>desired_skills(C57,"Vaardigheden/PDCA (in het algemeen)","j")</f>
        <v/>
      </c>
      <c r="CS57" s="237" t="str">
        <f>desired_skills(C57,"Vaardigheden/PDCA (in het algemeen)","m")</f>
        <v/>
      </c>
      <c r="CT57" s="237" t="str">
        <f>desired_skills(C57,"Vaardigheden/PDCA (in het algemeen)","s")</f>
        <v/>
      </c>
      <c r="CU57" s="238" t="str">
        <f>desired_skills(C57,"Vaardigheden/PDCA (in het algemeen)","e")</f>
        <v/>
      </c>
      <c r="CW57" s="236" t="str">
        <f>calc_gap('Matrix 171007_1827'!$CK$57,'Matrix 171007_1827'!$CQ$57)</f>
        <v/>
      </c>
      <c r="CX57" s="237" t="str">
        <f>calc_gap('Matrix 171007_1827'!$CL$57,'Matrix 171007_1827'!$CR$57)</f>
        <v/>
      </c>
      <c r="CY57" s="237" t="str">
        <f>calc_gap('Matrix 171007_1827'!$CM$57,'Matrix 171007_1827'!$CS$57)</f>
        <v/>
      </c>
      <c r="CZ57" s="237" t="str">
        <f>calc_gap('Matrix 171007_1827'!$CN$57,'Matrix 171007_1827'!$CT$57)</f>
        <v/>
      </c>
      <c r="DA57" s="238" t="str">
        <f>calc_gap('Matrix 171007_1827'!$CO$57,'Matrix 171007_1827'!$CU$57)</f>
        <v/>
      </c>
    </row>
    <row r="58" spans="2:105" x14ac:dyDescent="0.25">
      <c r="B58" s="435"/>
      <c r="C58" s="291" t="s">
        <v>228</v>
      </c>
      <c r="D58" s="314"/>
      <c r="E58" s="315"/>
      <c r="F58" s="315"/>
      <c r="G58" s="315"/>
      <c r="H58" s="315"/>
      <c r="I58" s="315"/>
      <c r="J58" s="315"/>
      <c r="K58" s="316"/>
      <c r="L58" s="314"/>
      <c r="M58" s="315"/>
      <c r="N58" s="315"/>
      <c r="O58" s="316"/>
      <c r="P58" s="314"/>
      <c r="Q58" s="315"/>
      <c r="R58" s="315"/>
      <c r="S58" s="315"/>
      <c r="T58" s="315"/>
      <c r="U58" s="315"/>
      <c r="V58" s="315"/>
      <c r="W58" s="315"/>
      <c r="X58" s="315"/>
      <c r="Y58" s="315"/>
      <c r="Z58" s="315"/>
      <c r="AA58" s="315"/>
      <c r="AB58" s="315"/>
      <c r="AC58" s="315"/>
      <c r="AD58" s="315"/>
      <c r="AE58" s="315"/>
      <c r="AF58" s="315"/>
      <c r="AG58" s="315"/>
      <c r="AH58" s="315"/>
      <c r="AI58" s="316"/>
      <c r="AJ58" s="314"/>
      <c r="AK58" s="315"/>
      <c r="AL58" s="316"/>
      <c r="AM58" s="314"/>
      <c r="AN58" s="315"/>
      <c r="AO58" s="316"/>
      <c r="AP58" s="314"/>
      <c r="AQ58" s="315"/>
      <c r="AR58" s="315"/>
      <c r="AS58" s="315"/>
      <c r="AT58" s="316"/>
      <c r="AU58" s="314"/>
      <c r="AV58" s="315"/>
      <c r="AW58" s="315"/>
      <c r="AX58" s="315"/>
      <c r="AY58" s="315"/>
      <c r="AZ58" s="315"/>
      <c r="BA58" s="315"/>
      <c r="BB58" s="316"/>
      <c r="BC58" s="314"/>
      <c r="BD58" s="315"/>
      <c r="BE58" s="315"/>
      <c r="BF58" s="315"/>
      <c r="BG58" s="316"/>
      <c r="BH58" s="314"/>
      <c r="BI58" s="315"/>
      <c r="BJ58" s="316"/>
      <c r="BK58" s="314"/>
      <c r="BL58" s="315"/>
      <c r="BM58" s="315"/>
      <c r="BN58" s="316"/>
      <c r="BO58" s="314"/>
      <c r="BP58" s="315"/>
      <c r="BQ58" s="315"/>
      <c r="BR58" s="315"/>
      <c r="BS58" s="315"/>
      <c r="BT58" s="315"/>
      <c r="BU58" s="315"/>
      <c r="BV58" s="316"/>
      <c r="BW58" s="314"/>
      <c r="BX58" s="315"/>
      <c r="BY58" s="315"/>
      <c r="BZ58" s="315"/>
      <c r="CA58" s="315"/>
      <c r="CB58" s="316"/>
      <c r="CC58" s="314"/>
      <c r="CD58" s="315"/>
      <c r="CE58" s="316"/>
      <c r="CF58" s="314"/>
      <c r="CG58" s="315"/>
      <c r="CH58" s="315"/>
      <c r="CI58" s="317"/>
      <c r="CK58" s="236" t="str">
        <f t="shared" si="20"/>
        <v/>
      </c>
      <c r="CL58" s="237" t="str">
        <f t="shared" si="21"/>
        <v/>
      </c>
      <c r="CM58" s="237" t="str">
        <f t="shared" si="22"/>
        <v/>
      </c>
      <c r="CN58" s="237" t="str">
        <f t="shared" si="23"/>
        <v/>
      </c>
      <c r="CO58" s="238" t="str">
        <f t="shared" si="24"/>
        <v/>
      </c>
      <c r="CQ58" s="236" t="str">
        <f>desired_skills(C58,"Vaardigheden/PowerPoint (Presentaties)","o")</f>
        <v/>
      </c>
      <c r="CR58" s="237" t="str">
        <f>desired_skills(C58,"Vaardigheden/PowerPoint (Presentaties)","j")</f>
        <v/>
      </c>
      <c r="CS58" s="237" t="str">
        <f>desired_skills(C58,"Vaardigheden/PowerPoint (Presentaties)","m")</f>
        <v/>
      </c>
      <c r="CT58" s="237" t="str">
        <f>desired_skills(C58,"Vaardigheden/PowerPoint (Presentaties)","s")</f>
        <v/>
      </c>
      <c r="CU58" s="238" t="str">
        <f>desired_skills(C58,"Vaardigheden/PowerPoint (Presentaties)","e")</f>
        <v/>
      </c>
      <c r="CW58" s="236" t="str">
        <f>calc_gap('Matrix 171007_1827'!$CK$58,'Matrix 171007_1827'!$CQ$58)</f>
        <v/>
      </c>
      <c r="CX58" s="237" t="str">
        <f>calc_gap('Matrix 171007_1827'!$CL$58,'Matrix 171007_1827'!$CR$58)</f>
        <v/>
      </c>
      <c r="CY58" s="237" t="str">
        <f>calc_gap('Matrix 171007_1827'!$CM$58,'Matrix 171007_1827'!$CS$58)</f>
        <v/>
      </c>
      <c r="CZ58" s="237" t="str">
        <f>calc_gap('Matrix 171007_1827'!$CN$58,'Matrix 171007_1827'!$CT$58)</f>
        <v/>
      </c>
      <c r="DA58" s="238" t="str">
        <f>calc_gap('Matrix 171007_1827'!$CO$58,'Matrix 171007_1827'!$CU$58)</f>
        <v/>
      </c>
    </row>
    <row r="59" spans="2:105" ht="15.75" thickBot="1" x14ac:dyDescent="0.3">
      <c r="B59" s="435"/>
      <c r="C59" s="292" t="s">
        <v>229</v>
      </c>
      <c r="D59" s="318"/>
      <c r="E59" s="319"/>
      <c r="F59" s="319"/>
      <c r="G59" s="319"/>
      <c r="H59" s="319"/>
      <c r="I59" s="319"/>
      <c r="J59" s="319"/>
      <c r="K59" s="320"/>
      <c r="L59" s="318"/>
      <c r="M59" s="319"/>
      <c r="N59" s="319"/>
      <c r="O59" s="320"/>
      <c r="P59" s="318"/>
      <c r="Q59" s="319"/>
      <c r="R59" s="319"/>
      <c r="S59" s="319"/>
      <c r="T59" s="319"/>
      <c r="U59" s="319"/>
      <c r="V59" s="319"/>
      <c r="W59" s="319"/>
      <c r="X59" s="319"/>
      <c r="Y59" s="319"/>
      <c r="Z59" s="319"/>
      <c r="AA59" s="319"/>
      <c r="AB59" s="319"/>
      <c r="AC59" s="319"/>
      <c r="AD59" s="319"/>
      <c r="AE59" s="319"/>
      <c r="AF59" s="319"/>
      <c r="AG59" s="319"/>
      <c r="AH59" s="319"/>
      <c r="AI59" s="320"/>
      <c r="AJ59" s="318"/>
      <c r="AK59" s="319"/>
      <c r="AL59" s="320"/>
      <c r="AM59" s="318"/>
      <c r="AN59" s="319"/>
      <c r="AO59" s="320"/>
      <c r="AP59" s="318"/>
      <c r="AQ59" s="319"/>
      <c r="AR59" s="319"/>
      <c r="AS59" s="319"/>
      <c r="AT59" s="320"/>
      <c r="AU59" s="318"/>
      <c r="AV59" s="319"/>
      <c r="AW59" s="319"/>
      <c r="AX59" s="319"/>
      <c r="AY59" s="319"/>
      <c r="AZ59" s="319"/>
      <c r="BA59" s="319"/>
      <c r="BB59" s="320"/>
      <c r="BC59" s="318"/>
      <c r="BD59" s="319"/>
      <c r="BE59" s="319"/>
      <c r="BF59" s="319"/>
      <c r="BG59" s="320"/>
      <c r="BH59" s="318"/>
      <c r="BI59" s="319"/>
      <c r="BJ59" s="320"/>
      <c r="BK59" s="318"/>
      <c r="BL59" s="319"/>
      <c r="BM59" s="319"/>
      <c r="BN59" s="320"/>
      <c r="BO59" s="318"/>
      <c r="BP59" s="319"/>
      <c r="BQ59" s="319"/>
      <c r="BR59" s="319"/>
      <c r="BS59" s="319"/>
      <c r="BT59" s="319"/>
      <c r="BU59" s="319"/>
      <c r="BV59" s="320"/>
      <c r="BW59" s="318"/>
      <c r="BX59" s="319"/>
      <c r="BY59" s="319"/>
      <c r="BZ59" s="319"/>
      <c r="CA59" s="319"/>
      <c r="CB59" s="320"/>
      <c r="CC59" s="318"/>
      <c r="CD59" s="319"/>
      <c r="CE59" s="320"/>
      <c r="CF59" s="318"/>
      <c r="CG59" s="319"/>
      <c r="CH59" s="319"/>
      <c r="CI59" s="321"/>
      <c r="CK59" s="239" t="str">
        <f t="shared" si="20"/>
        <v/>
      </c>
      <c r="CL59" s="240" t="str">
        <f t="shared" si="21"/>
        <v/>
      </c>
      <c r="CM59" s="240" t="str">
        <f t="shared" si="22"/>
        <v/>
      </c>
      <c r="CN59" s="240" t="str">
        <f t="shared" si="23"/>
        <v/>
      </c>
      <c r="CO59" s="241" t="str">
        <f t="shared" si="24"/>
        <v/>
      </c>
      <c r="CQ59" s="239" t="str">
        <f>desired_skills(C59,"Vaardigheden/Uitvoeren impactanalyse","o")</f>
        <v/>
      </c>
      <c r="CR59" s="240" t="str">
        <f>desired_skills(C59,"Vaardigheden/Uitvoeren impactanalyse","j")</f>
        <v/>
      </c>
      <c r="CS59" s="240" t="str">
        <f>desired_skills(C59,"Vaardigheden/Uitvoeren impactanalyse","m")</f>
        <v/>
      </c>
      <c r="CT59" s="240" t="str">
        <f>desired_skills(C59,"Vaardigheden/Uitvoeren impactanalyse","s")</f>
        <v/>
      </c>
      <c r="CU59" s="241" t="str">
        <f>desired_skills(C59,"Vaardigheden/Uitvoeren impactanalyse","e")</f>
        <v/>
      </c>
      <c r="CW59" s="239" t="str">
        <f>calc_gap('Matrix 171007_1827'!$CK$59,'Matrix 171007_1827'!$CQ$59)</f>
        <v/>
      </c>
      <c r="CX59" s="240" t="str">
        <f>calc_gap('Matrix 171007_1827'!$CL$59,'Matrix 171007_1827'!$CR$59)</f>
        <v/>
      </c>
      <c r="CY59" s="240" t="str">
        <f>calc_gap('Matrix 171007_1827'!$CM$59,'Matrix 171007_1827'!$CS$59)</f>
        <v/>
      </c>
      <c r="CZ59" s="240" t="str">
        <f>calc_gap('Matrix 171007_1827'!$CN$59,'Matrix 171007_1827'!$CT$59)</f>
        <v/>
      </c>
      <c r="DA59" s="241" t="str">
        <f>calc_gap('Matrix 171007_1827'!$CO$59,'Matrix 171007_1827'!$CU$59)</f>
        <v/>
      </c>
    </row>
    <row r="60" spans="2:105" ht="12.75" customHeight="1" thickTop="1" thickBot="1" x14ac:dyDescent="0.3">
      <c r="B60" s="436"/>
      <c r="C60" s="248"/>
      <c r="D60" s="322"/>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c r="BA60" s="322"/>
      <c r="BB60" s="322"/>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2"/>
      <c r="CH60" s="322"/>
      <c r="CI60" s="322"/>
      <c r="CK60" s="249"/>
      <c r="CL60" s="249"/>
      <c r="CM60" s="249"/>
      <c r="CN60" s="249"/>
      <c r="CO60" s="249"/>
      <c r="CQ60" s="249"/>
      <c r="CR60" s="249"/>
      <c r="CS60" s="249"/>
      <c r="CT60" s="249"/>
      <c r="CU60" s="249"/>
      <c r="CW60" s="249"/>
      <c r="CX60" s="249"/>
      <c r="CY60" s="249"/>
      <c r="CZ60" s="249"/>
      <c r="DA60" s="249"/>
    </row>
    <row r="61" spans="2:105" ht="15.75" thickTop="1" x14ac:dyDescent="0.25">
      <c r="B61" s="434" t="s">
        <v>98</v>
      </c>
      <c r="C61" s="290" t="s">
        <v>99</v>
      </c>
      <c r="D61" s="310"/>
      <c r="E61" s="311"/>
      <c r="F61" s="311"/>
      <c r="G61" s="311"/>
      <c r="H61" s="311"/>
      <c r="I61" s="311"/>
      <c r="J61" s="311"/>
      <c r="K61" s="312"/>
      <c r="L61" s="310"/>
      <c r="M61" s="311"/>
      <c r="N61" s="311"/>
      <c r="O61" s="312"/>
      <c r="P61" s="310"/>
      <c r="Q61" s="311"/>
      <c r="R61" s="311"/>
      <c r="S61" s="311"/>
      <c r="T61" s="311"/>
      <c r="U61" s="311"/>
      <c r="V61" s="311"/>
      <c r="W61" s="311"/>
      <c r="X61" s="311"/>
      <c r="Y61" s="311"/>
      <c r="Z61" s="311"/>
      <c r="AA61" s="311"/>
      <c r="AB61" s="311"/>
      <c r="AC61" s="311"/>
      <c r="AD61" s="311"/>
      <c r="AE61" s="311"/>
      <c r="AF61" s="311"/>
      <c r="AG61" s="311"/>
      <c r="AH61" s="311"/>
      <c r="AI61" s="312"/>
      <c r="AJ61" s="310"/>
      <c r="AK61" s="311"/>
      <c r="AL61" s="312"/>
      <c r="AM61" s="310"/>
      <c r="AN61" s="311"/>
      <c r="AO61" s="312"/>
      <c r="AP61" s="310"/>
      <c r="AQ61" s="311"/>
      <c r="AR61" s="311"/>
      <c r="AS61" s="311"/>
      <c r="AT61" s="312"/>
      <c r="AU61" s="310" t="s">
        <v>147</v>
      </c>
      <c r="AV61" s="311" t="s">
        <v>47</v>
      </c>
      <c r="AW61" s="311" t="s">
        <v>148</v>
      </c>
      <c r="AX61" s="311" t="s">
        <v>150</v>
      </c>
      <c r="AY61" s="311" t="s">
        <v>148</v>
      </c>
      <c r="AZ61" s="311" t="s">
        <v>147</v>
      </c>
      <c r="BA61" s="311"/>
      <c r="BB61" s="312" t="s">
        <v>148</v>
      </c>
      <c r="BC61" s="310" t="s">
        <v>149</v>
      </c>
      <c r="BD61" s="311" t="s">
        <v>147</v>
      </c>
      <c r="BE61" s="311"/>
      <c r="BF61" s="311" t="s">
        <v>147</v>
      </c>
      <c r="BG61" s="312"/>
      <c r="BH61" s="310"/>
      <c r="BI61" s="311"/>
      <c r="BJ61" s="312"/>
      <c r="BK61" s="310"/>
      <c r="BL61" s="311"/>
      <c r="BM61" s="311"/>
      <c r="BN61" s="312"/>
      <c r="BO61" s="310"/>
      <c r="BP61" s="311"/>
      <c r="BQ61" s="311"/>
      <c r="BR61" s="311"/>
      <c r="BS61" s="311" t="s">
        <v>149</v>
      </c>
      <c r="BT61" s="311"/>
      <c r="BU61" s="311" t="s">
        <v>150</v>
      </c>
      <c r="BV61" s="312"/>
      <c r="BW61" s="310" t="s">
        <v>147</v>
      </c>
      <c r="BX61" s="311" t="s">
        <v>148</v>
      </c>
      <c r="BY61" s="311" t="s">
        <v>150</v>
      </c>
      <c r="BZ61" s="311" t="s">
        <v>147</v>
      </c>
      <c r="CA61" s="311" t="s">
        <v>47</v>
      </c>
      <c r="CB61" s="312" t="s">
        <v>47</v>
      </c>
      <c r="CC61" s="310"/>
      <c r="CD61" s="311" t="s">
        <v>148</v>
      </c>
      <c r="CE61" s="312"/>
      <c r="CF61" s="310"/>
      <c r="CG61" s="311"/>
      <c r="CH61" s="311"/>
      <c r="CI61" s="313"/>
      <c r="CK61" s="233">
        <f t="shared" ref="CK61:CK78" si="25">IF(COUNTIF(D61:CI61,"o")&gt;0,COUNTIF(D61:CI61,"o"),"")</f>
        <v>2</v>
      </c>
      <c r="CL61" s="234">
        <f t="shared" ref="CL61:CL78" si="26">IF(COUNTIF(D61:CI61,"j")&gt;0,COUNTIF(D61:CI61,"j"),"")</f>
        <v>6</v>
      </c>
      <c r="CM61" s="234">
        <f t="shared" ref="CM61:CM78" si="27">IF(COUNTIF(D61:CI61,"m")&gt;0,COUNTIF(D61:CI61,"m"),"")</f>
        <v>5</v>
      </c>
      <c r="CN61" s="234">
        <f t="shared" ref="CN61:CN78" si="28">IF(COUNTIF(D61:CI61,"s")&gt;0,COUNTIF(D61:CI61,"s"),"")</f>
        <v>3</v>
      </c>
      <c r="CO61" s="235">
        <f t="shared" ref="CO61:CO78" si="29">IF(COUNTIF(D61:CI61,"e")&gt;0,COUNTIF(D61:CI61,"e"),"")</f>
        <v>3</v>
      </c>
      <c r="CQ61" s="233" t="str">
        <f>desired_skills(C61,"Organisatie / klantomgeving/LB - PPB","o")</f>
        <v>31</v>
      </c>
      <c r="CR61" s="234" t="str">
        <f>desired_skills(C61,"Organisatie / klantomgeving/LB - PPB","j")</f>
        <v/>
      </c>
      <c r="CS61" s="234" t="str">
        <f>desired_skills(C61,"Organisatie / klantomgeving/LB - PPB","m")</f>
        <v/>
      </c>
      <c r="CT61" s="234" t="str">
        <f>desired_skills(C61,"Organisatie / klantomgeving/LB - PPB","s")</f>
        <v/>
      </c>
      <c r="CU61" s="235" t="str">
        <f>desired_skills(C61,"Organisatie / klantomgeving/LB - PPB","e")</f>
        <v/>
      </c>
      <c r="CW61" s="233" t="str">
        <f>calc_gap('Matrix 171007_1827'!$CK$61,'Matrix 171007_1827'!$CQ$61)</f>
        <v>29</v>
      </c>
      <c r="CX61" s="234" t="str">
        <f>calc_gap('Matrix 171007_1827'!$CL$61,'Matrix 171007_1827'!$CR$61)</f>
        <v/>
      </c>
      <c r="CY61" s="234" t="str">
        <f>calc_gap('Matrix 171007_1827'!$CM$61,'Matrix 171007_1827'!$CS$61)</f>
        <v/>
      </c>
      <c r="CZ61" s="234" t="str">
        <f>calc_gap('Matrix 171007_1827'!$CN$61,'Matrix 171007_1827'!$CT$61)</f>
        <v/>
      </c>
      <c r="DA61" s="235" t="str">
        <f>calc_gap('Matrix 171007_1827'!$CO$61,'Matrix 171007_1827'!$CU$61)</f>
        <v/>
      </c>
    </row>
    <row r="62" spans="2:105" x14ac:dyDescent="0.25">
      <c r="B62" s="435"/>
      <c r="C62" s="291" t="s">
        <v>100</v>
      </c>
      <c r="D62" s="314"/>
      <c r="E62" s="315"/>
      <c r="F62" s="315"/>
      <c r="G62" s="315"/>
      <c r="H62" s="315"/>
      <c r="I62" s="315"/>
      <c r="J62" s="315"/>
      <c r="K62" s="316"/>
      <c r="L62" s="314"/>
      <c r="M62" s="315"/>
      <c r="N62" s="315"/>
      <c r="O62" s="316"/>
      <c r="P62" s="314"/>
      <c r="Q62" s="315"/>
      <c r="R62" s="315"/>
      <c r="S62" s="315"/>
      <c r="T62" s="315"/>
      <c r="U62" s="315"/>
      <c r="V62" s="315"/>
      <c r="W62" s="315"/>
      <c r="X62" s="315"/>
      <c r="Y62" s="315"/>
      <c r="Z62" s="315"/>
      <c r="AA62" s="315"/>
      <c r="AB62" s="315"/>
      <c r="AC62" s="315"/>
      <c r="AD62" s="315"/>
      <c r="AE62" s="315"/>
      <c r="AF62" s="315"/>
      <c r="AG62" s="315"/>
      <c r="AH62" s="315"/>
      <c r="AI62" s="316"/>
      <c r="AJ62" s="314"/>
      <c r="AK62" s="315"/>
      <c r="AL62" s="316"/>
      <c r="AM62" s="314"/>
      <c r="AN62" s="315"/>
      <c r="AO62" s="316"/>
      <c r="AP62" s="314"/>
      <c r="AQ62" s="315"/>
      <c r="AR62" s="315"/>
      <c r="AS62" s="315"/>
      <c r="AT62" s="316"/>
      <c r="AU62" s="314" t="s">
        <v>147</v>
      </c>
      <c r="AV62" s="315" t="s">
        <v>150</v>
      </c>
      <c r="AW62" s="315" t="s">
        <v>148</v>
      </c>
      <c r="AX62" s="315" t="s">
        <v>150</v>
      </c>
      <c r="AY62" s="315" t="s">
        <v>148</v>
      </c>
      <c r="AZ62" s="315" t="s">
        <v>147</v>
      </c>
      <c r="BA62" s="315"/>
      <c r="BB62" s="316" t="s">
        <v>148</v>
      </c>
      <c r="BC62" s="314" t="s">
        <v>149</v>
      </c>
      <c r="BD62" s="315" t="s">
        <v>147</v>
      </c>
      <c r="BE62" s="315"/>
      <c r="BF62" s="315" t="s">
        <v>147</v>
      </c>
      <c r="BG62" s="316"/>
      <c r="BH62" s="314"/>
      <c r="BI62" s="315"/>
      <c r="BJ62" s="316"/>
      <c r="BK62" s="314"/>
      <c r="BL62" s="315"/>
      <c r="BM62" s="315"/>
      <c r="BN62" s="316"/>
      <c r="BO62" s="314"/>
      <c r="BP62" s="315"/>
      <c r="BQ62" s="315"/>
      <c r="BR62" s="315"/>
      <c r="BS62" s="315" t="s">
        <v>149</v>
      </c>
      <c r="BT62" s="315"/>
      <c r="BU62" s="315" t="s">
        <v>150</v>
      </c>
      <c r="BV62" s="316"/>
      <c r="BW62" s="314" t="s">
        <v>147</v>
      </c>
      <c r="BX62" s="315" t="s">
        <v>148</v>
      </c>
      <c r="BY62" s="315" t="s">
        <v>150</v>
      </c>
      <c r="BZ62" s="315" t="s">
        <v>147</v>
      </c>
      <c r="CA62" s="315" t="s">
        <v>47</v>
      </c>
      <c r="CB62" s="316" t="s">
        <v>150</v>
      </c>
      <c r="CC62" s="314"/>
      <c r="CD62" s="315" t="s">
        <v>148</v>
      </c>
      <c r="CE62" s="316"/>
      <c r="CF62" s="314"/>
      <c r="CG62" s="315"/>
      <c r="CH62" s="315"/>
      <c r="CI62" s="317"/>
      <c r="CK62" s="236">
        <f t="shared" si="25"/>
        <v>2</v>
      </c>
      <c r="CL62" s="237">
        <f t="shared" si="26"/>
        <v>6</v>
      </c>
      <c r="CM62" s="237">
        <f t="shared" si="27"/>
        <v>5</v>
      </c>
      <c r="CN62" s="237">
        <f t="shared" si="28"/>
        <v>5</v>
      </c>
      <c r="CO62" s="238">
        <f t="shared" si="29"/>
        <v>1</v>
      </c>
      <c r="CQ62" s="236" t="str">
        <f>desired_skills(C62,"Organisatie / klantomgeving/LB - Bedrijven","o")</f>
        <v/>
      </c>
      <c r="CR62" s="237" t="str">
        <f>desired_skills(C62,"Organisatie / klantomgeving/LB - Bedrijven","j")</f>
        <v>32</v>
      </c>
      <c r="CS62" s="237" t="str">
        <f>desired_skills(C62,"Organisatie / klantomgeving/LB - Bedrijven","m")</f>
        <v/>
      </c>
      <c r="CT62" s="237" t="str">
        <f>desired_skills(C62,"Organisatie / klantomgeving/LB - Bedrijven","s")</f>
        <v/>
      </c>
      <c r="CU62" s="238" t="str">
        <f>desired_skills(C62,"Organisatie / klantomgeving/LB - Bedrijven","e")</f>
        <v/>
      </c>
      <c r="CW62" s="236" t="str">
        <f>calc_gap('Matrix 171007_1827'!$CK$62,'Matrix 171007_1827'!$CQ$62)</f>
        <v/>
      </c>
      <c r="CX62" s="237" t="str">
        <f>calc_gap('Matrix 171007_1827'!$CL$62,'Matrix 171007_1827'!$CR$62)</f>
        <v>26</v>
      </c>
      <c r="CY62" s="237" t="str">
        <f>calc_gap('Matrix 171007_1827'!$CM$62,'Matrix 171007_1827'!$CS$62)</f>
        <v/>
      </c>
      <c r="CZ62" s="237" t="str">
        <f>calc_gap('Matrix 171007_1827'!$CN$62,'Matrix 171007_1827'!$CT$62)</f>
        <v/>
      </c>
      <c r="DA62" s="238" t="str">
        <f>calc_gap('Matrix 171007_1827'!$CO$62,'Matrix 171007_1827'!$CU$62)</f>
        <v/>
      </c>
    </row>
    <row r="63" spans="2:105" x14ac:dyDescent="0.25">
      <c r="B63" s="435"/>
      <c r="C63" s="291" t="s">
        <v>101</v>
      </c>
      <c r="D63" s="314"/>
      <c r="E63" s="315"/>
      <c r="F63" s="315"/>
      <c r="G63" s="315"/>
      <c r="H63" s="315"/>
      <c r="I63" s="315"/>
      <c r="J63" s="315"/>
      <c r="K63" s="316"/>
      <c r="L63" s="314"/>
      <c r="M63" s="315"/>
      <c r="N63" s="315"/>
      <c r="O63" s="316"/>
      <c r="P63" s="314"/>
      <c r="Q63" s="315"/>
      <c r="R63" s="315"/>
      <c r="S63" s="315"/>
      <c r="T63" s="315"/>
      <c r="U63" s="315"/>
      <c r="V63" s="315"/>
      <c r="W63" s="315"/>
      <c r="X63" s="315"/>
      <c r="Y63" s="315"/>
      <c r="Z63" s="315"/>
      <c r="AA63" s="315"/>
      <c r="AB63" s="315"/>
      <c r="AC63" s="315"/>
      <c r="AD63" s="315"/>
      <c r="AE63" s="315"/>
      <c r="AF63" s="315"/>
      <c r="AG63" s="315"/>
      <c r="AH63" s="315"/>
      <c r="AI63" s="316"/>
      <c r="AJ63" s="314"/>
      <c r="AK63" s="315"/>
      <c r="AL63" s="316"/>
      <c r="AM63" s="314"/>
      <c r="AN63" s="315"/>
      <c r="AO63" s="316"/>
      <c r="AP63" s="314"/>
      <c r="AQ63" s="315"/>
      <c r="AR63" s="315"/>
      <c r="AS63" s="315"/>
      <c r="AT63" s="316"/>
      <c r="AU63" s="314" t="s">
        <v>150</v>
      </c>
      <c r="AV63" s="315" t="s">
        <v>47</v>
      </c>
      <c r="AW63" s="315" t="s">
        <v>148</v>
      </c>
      <c r="AX63" s="315" t="s">
        <v>150</v>
      </c>
      <c r="AY63" s="315" t="s">
        <v>148</v>
      </c>
      <c r="AZ63" s="315"/>
      <c r="BA63" s="315"/>
      <c r="BB63" s="316" t="s">
        <v>148</v>
      </c>
      <c r="BC63" s="314" t="s">
        <v>149</v>
      </c>
      <c r="BD63" s="315" t="s">
        <v>147</v>
      </c>
      <c r="BE63" s="315"/>
      <c r="BF63" s="315" t="s">
        <v>150</v>
      </c>
      <c r="BG63" s="316"/>
      <c r="BH63" s="314"/>
      <c r="BI63" s="315"/>
      <c r="BJ63" s="316"/>
      <c r="BK63" s="314"/>
      <c r="BL63" s="315"/>
      <c r="BM63" s="315"/>
      <c r="BN63" s="316"/>
      <c r="BO63" s="314"/>
      <c r="BP63" s="315"/>
      <c r="BQ63" s="315"/>
      <c r="BR63" s="315"/>
      <c r="BS63" s="315" t="s">
        <v>149</v>
      </c>
      <c r="BT63" s="315"/>
      <c r="BU63" s="315" t="s">
        <v>150</v>
      </c>
      <c r="BV63" s="316"/>
      <c r="BW63" s="314" t="s">
        <v>147</v>
      </c>
      <c r="BX63" s="315" t="s">
        <v>148</v>
      </c>
      <c r="BY63" s="315" t="s">
        <v>47</v>
      </c>
      <c r="BZ63" s="315" t="s">
        <v>147</v>
      </c>
      <c r="CA63" s="315" t="s">
        <v>150</v>
      </c>
      <c r="CB63" s="316" t="s">
        <v>47</v>
      </c>
      <c r="CC63" s="314"/>
      <c r="CD63" s="315" t="s">
        <v>148</v>
      </c>
      <c r="CE63" s="316"/>
      <c r="CF63" s="314"/>
      <c r="CG63" s="315"/>
      <c r="CH63" s="315"/>
      <c r="CI63" s="317"/>
      <c r="CK63" s="236">
        <f t="shared" si="25"/>
        <v>2</v>
      </c>
      <c r="CL63" s="237">
        <f t="shared" si="26"/>
        <v>3</v>
      </c>
      <c r="CM63" s="237">
        <f t="shared" si="27"/>
        <v>5</v>
      </c>
      <c r="CN63" s="237">
        <f t="shared" si="28"/>
        <v>5</v>
      </c>
      <c r="CO63" s="238">
        <f t="shared" si="29"/>
        <v>3</v>
      </c>
      <c r="CQ63" s="236" t="str">
        <f>desired_skills(C63,"Organisatie / klantomgeving/LB - Business Support","o")</f>
        <v/>
      </c>
      <c r="CR63" s="237" t="str">
        <f>desired_skills(C63,"Organisatie / klantomgeving/LB - Business Support","j")</f>
        <v/>
      </c>
      <c r="CS63" s="237" t="str">
        <f>desired_skills(C63,"Organisatie / klantomgeving/LB - Business Support","m")</f>
        <v>33</v>
      </c>
      <c r="CT63" s="237" t="str">
        <f>desired_skills(C63,"Organisatie / klantomgeving/LB - Business Support","s")</f>
        <v/>
      </c>
      <c r="CU63" s="238" t="str">
        <f>desired_skills(C63,"Organisatie / klantomgeving/LB - Business Support","e")</f>
        <v/>
      </c>
      <c r="CW63" s="236" t="str">
        <f>calc_gap('Matrix 171007_1827'!$CK$63,'Matrix 171007_1827'!$CQ$63)</f>
        <v/>
      </c>
      <c r="CX63" s="237" t="str">
        <f>calc_gap('Matrix 171007_1827'!$CL$63,'Matrix 171007_1827'!$CR$63)</f>
        <v/>
      </c>
      <c r="CY63" s="237" t="str">
        <f>calc_gap('Matrix 171007_1827'!$CM$63,'Matrix 171007_1827'!$CS$63)</f>
        <v>28</v>
      </c>
      <c r="CZ63" s="237" t="str">
        <f>calc_gap('Matrix 171007_1827'!$CN$63,'Matrix 171007_1827'!$CT$63)</f>
        <v/>
      </c>
      <c r="DA63" s="238" t="str">
        <f>calc_gap('Matrix 171007_1827'!$CO$63,'Matrix 171007_1827'!$CU$63)</f>
        <v/>
      </c>
    </row>
    <row r="64" spans="2:105" x14ac:dyDescent="0.25">
      <c r="B64" s="435"/>
      <c r="C64" s="291" t="s">
        <v>102</v>
      </c>
      <c r="D64" s="314"/>
      <c r="E64" s="315"/>
      <c r="F64" s="315"/>
      <c r="G64" s="315"/>
      <c r="H64" s="315"/>
      <c r="I64" s="315"/>
      <c r="J64" s="315"/>
      <c r="K64" s="316"/>
      <c r="L64" s="314"/>
      <c r="M64" s="315"/>
      <c r="N64" s="315"/>
      <c r="O64" s="316"/>
      <c r="P64" s="314"/>
      <c r="Q64" s="315"/>
      <c r="R64" s="315"/>
      <c r="S64" s="315"/>
      <c r="T64" s="315"/>
      <c r="U64" s="315"/>
      <c r="V64" s="315"/>
      <c r="W64" s="315"/>
      <c r="X64" s="315"/>
      <c r="Y64" s="315"/>
      <c r="Z64" s="315"/>
      <c r="AA64" s="315"/>
      <c r="AB64" s="315"/>
      <c r="AC64" s="315"/>
      <c r="AD64" s="315"/>
      <c r="AE64" s="315"/>
      <c r="AF64" s="315"/>
      <c r="AG64" s="315"/>
      <c r="AH64" s="315"/>
      <c r="AI64" s="316"/>
      <c r="AJ64" s="314"/>
      <c r="AK64" s="315"/>
      <c r="AL64" s="316"/>
      <c r="AM64" s="314"/>
      <c r="AN64" s="315"/>
      <c r="AO64" s="316"/>
      <c r="AP64" s="314"/>
      <c r="AQ64" s="315"/>
      <c r="AR64" s="315"/>
      <c r="AS64" s="315"/>
      <c r="AT64" s="316"/>
      <c r="AU64" s="314" t="s">
        <v>147</v>
      </c>
      <c r="AV64" s="315" t="s">
        <v>47</v>
      </c>
      <c r="AW64" s="315" t="s">
        <v>148</v>
      </c>
      <c r="AX64" s="315" t="s">
        <v>150</v>
      </c>
      <c r="AY64" s="315" t="s">
        <v>148</v>
      </c>
      <c r="AZ64" s="315"/>
      <c r="BA64" s="315"/>
      <c r="BB64" s="316" t="s">
        <v>148</v>
      </c>
      <c r="BC64" s="314" t="s">
        <v>149</v>
      </c>
      <c r="BD64" s="315" t="s">
        <v>147</v>
      </c>
      <c r="BE64" s="315"/>
      <c r="BF64" s="315" t="s">
        <v>147</v>
      </c>
      <c r="BG64" s="316"/>
      <c r="BH64" s="314"/>
      <c r="BI64" s="315"/>
      <c r="BJ64" s="316"/>
      <c r="BK64" s="314"/>
      <c r="BL64" s="315"/>
      <c r="BM64" s="315"/>
      <c r="BN64" s="316"/>
      <c r="BO64" s="314" t="s">
        <v>148</v>
      </c>
      <c r="BP64" s="315" t="s">
        <v>150</v>
      </c>
      <c r="BQ64" s="315"/>
      <c r="BR64" s="315"/>
      <c r="BS64" s="315" t="s">
        <v>149</v>
      </c>
      <c r="BT64" s="315"/>
      <c r="BU64" s="315" t="s">
        <v>150</v>
      </c>
      <c r="BV64" s="316"/>
      <c r="BW64" s="314" t="s">
        <v>148</v>
      </c>
      <c r="BX64" s="315" t="s">
        <v>147</v>
      </c>
      <c r="BY64" s="315" t="s">
        <v>147</v>
      </c>
      <c r="BZ64" s="315" t="s">
        <v>148</v>
      </c>
      <c r="CA64" s="315" t="s">
        <v>150</v>
      </c>
      <c r="CB64" s="316" t="s">
        <v>47</v>
      </c>
      <c r="CC64" s="314"/>
      <c r="CD64" s="315" t="s">
        <v>148</v>
      </c>
      <c r="CE64" s="316"/>
      <c r="CF64" s="314"/>
      <c r="CG64" s="315"/>
      <c r="CH64" s="315"/>
      <c r="CI64" s="317"/>
      <c r="CK64" s="236">
        <f t="shared" si="25"/>
        <v>2</v>
      </c>
      <c r="CL64" s="237">
        <f t="shared" si="26"/>
        <v>5</v>
      </c>
      <c r="CM64" s="237">
        <f t="shared" si="27"/>
        <v>7</v>
      </c>
      <c r="CN64" s="237">
        <f t="shared" si="28"/>
        <v>4</v>
      </c>
      <c r="CO64" s="238">
        <f t="shared" si="29"/>
        <v>2</v>
      </c>
      <c r="CQ64" s="236" t="str">
        <f>desired_skills(C64,"Organisatie / klantomgeving/PPB","o")</f>
        <v/>
      </c>
      <c r="CR64" s="237" t="str">
        <f>desired_skills(C64,"Organisatie / klantomgeving/PPB","j")</f>
        <v/>
      </c>
      <c r="CS64" s="237" t="str">
        <f>desired_skills(C64,"Organisatie / klantomgeving/PPB","m")</f>
        <v/>
      </c>
      <c r="CT64" s="237" t="str">
        <f>desired_skills(C64,"Organisatie / klantomgeving/PPB","s")</f>
        <v>34</v>
      </c>
      <c r="CU64" s="238" t="str">
        <f>desired_skills(C64,"Organisatie / klantomgeving/PPB","e")</f>
        <v/>
      </c>
      <c r="CW64" s="236" t="str">
        <f>calc_gap('Matrix 171007_1827'!$CK$64,'Matrix 171007_1827'!$CQ$64)</f>
        <v/>
      </c>
      <c r="CX64" s="237" t="str">
        <f>calc_gap('Matrix 171007_1827'!$CL$64,'Matrix 171007_1827'!$CR$64)</f>
        <v/>
      </c>
      <c r="CY64" s="237" t="str">
        <f>calc_gap('Matrix 171007_1827'!$CM$64,'Matrix 171007_1827'!$CS$64)</f>
        <v/>
      </c>
      <c r="CZ64" s="237" t="str">
        <f>calc_gap('Matrix 171007_1827'!$CN$64,'Matrix 171007_1827'!$CT$64)</f>
        <v>30</v>
      </c>
      <c r="DA64" s="238" t="str">
        <f>calc_gap('Matrix 171007_1827'!$CO$64,'Matrix 171007_1827'!$CU$64)</f>
        <v/>
      </c>
    </row>
    <row r="65" spans="2:105" x14ac:dyDescent="0.25">
      <c r="B65" s="435"/>
      <c r="C65" s="291" t="s">
        <v>103</v>
      </c>
      <c r="D65" s="314"/>
      <c r="E65" s="315"/>
      <c r="F65" s="315"/>
      <c r="G65" s="315"/>
      <c r="H65" s="315"/>
      <c r="I65" s="315"/>
      <c r="J65" s="315"/>
      <c r="K65" s="316"/>
      <c r="L65" s="314"/>
      <c r="M65" s="315"/>
      <c r="N65" s="315"/>
      <c r="O65" s="316"/>
      <c r="P65" s="314"/>
      <c r="Q65" s="315"/>
      <c r="R65" s="315"/>
      <c r="S65" s="315"/>
      <c r="T65" s="315"/>
      <c r="U65" s="315"/>
      <c r="V65" s="315"/>
      <c r="W65" s="315"/>
      <c r="X65" s="315"/>
      <c r="Y65" s="315"/>
      <c r="Z65" s="315"/>
      <c r="AA65" s="315"/>
      <c r="AB65" s="315"/>
      <c r="AC65" s="315"/>
      <c r="AD65" s="315"/>
      <c r="AE65" s="315"/>
      <c r="AF65" s="315"/>
      <c r="AG65" s="315"/>
      <c r="AH65" s="315"/>
      <c r="AI65" s="316"/>
      <c r="AJ65" s="314"/>
      <c r="AK65" s="315"/>
      <c r="AL65" s="316"/>
      <c r="AM65" s="314"/>
      <c r="AN65" s="315"/>
      <c r="AO65" s="316"/>
      <c r="AP65" s="314"/>
      <c r="AQ65" s="315"/>
      <c r="AR65" s="315"/>
      <c r="AS65" s="315"/>
      <c r="AT65" s="316"/>
      <c r="AU65" s="314" t="s">
        <v>148</v>
      </c>
      <c r="AV65" s="315" t="s">
        <v>148</v>
      </c>
      <c r="AW65" s="315" t="s">
        <v>148</v>
      </c>
      <c r="AX65" s="315" t="s">
        <v>150</v>
      </c>
      <c r="AY65" s="315" t="s">
        <v>148</v>
      </c>
      <c r="AZ65" s="315"/>
      <c r="BA65" s="315"/>
      <c r="BB65" s="316" t="s">
        <v>148</v>
      </c>
      <c r="BC65" s="314" t="s">
        <v>149</v>
      </c>
      <c r="BD65" s="315" t="s">
        <v>147</v>
      </c>
      <c r="BE65" s="315"/>
      <c r="BF65" s="315" t="s">
        <v>147</v>
      </c>
      <c r="BG65" s="316"/>
      <c r="BH65" s="314"/>
      <c r="BI65" s="315"/>
      <c r="BJ65" s="316"/>
      <c r="BK65" s="314"/>
      <c r="BL65" s="315"/>
      <c r="BM65" s="315"/>
      <c r="BN65" s="316"/>
      <c r="BO65" s="314" t="s">
        <v>148</v>
      </c>
      <c r="BP65" s="315" t="s">
        <v>150</v>
      </c>
      <c r="BQ65" s="315"/>
      <c r="BR65" s="315"/>
      <c r="BS65" s="315" t="s">
        <v>149</v>
      </c>
      <c r="BT65" s="315"/>
      <c r="BU65" s="315" t="s">
        <v>150</v>
      </c>
      <c r="BV65" s="316"/>
      <c r="BW65" s="314" t="s">
        <v>148</v>
      </c>
      <c r="BX65" s="315" t="s">
        <v>147</v>
      </c>
      <c r="BY65" s="315" t="s">
        <v>147</v>
      </c>
      <c r="BZ65" s="315" t="s">
        <v>148</v>
      </c>
      <c r="CA65" s="315" t="s">
        <v>47</v>
      </c>
      <c r="CB65" s="316" t="s">
        <v>148</v>
      </c>
      <c r="CC65" s="314"/>
      <c r="CD65" s="315" t="s">
        <v>148</v>
      </c>
      <c r="CE65" s="316"/>
      <c r="CF65" s="314"/>
      <c r="CG65" s="315"/>
      <c r="CH65" s="315"/>
      <c r="CI65" s="317"/>
      <c r="CK65" s="236">
        <f t="shared" si="25"/>
        <v>2</v>
      </c>
      <c r="CL65" s="237">
        <f t="shared" si="26"/>
        <v>4</v>
      </c>
      <c r="CM65" s="237">
        <f t="shared" si="27"/>
        <v>10</v>
      </c>
      <c r="CN65" s="237">
        <f t="shared" si="28"/>
        <v>3</v>
      </c>
      <c r="CO65" s="238">
        <f t="shared" si="29"/>
        <v>1</v>
      </c>
      <c r="CQ65" s="236" t="str">
        <f>desired_skills(C65,"Organisatie / klantomgeving/Bedrijven","o")</f>
        <v/>
      </c>
      <c r="CR65" s="237" t="str">
        <f>desired_skills(C65,"Organisatie / klantomgeving/Bedrijven","j")</f>
        <v/>
      </c>
      <c r="CS65" s="237" t="str">
        <f>desired_skills(C65,"Organisatie / klantomgeving/Bedrijven","m")</f>
        <v/>
      </c>
      <c r="CT65" s="237" t="str">
        <f>desired_skills(C65,"Organisatie / klantomgeving/Bedrijven","s")</f>
        <v/>
      </c>
      <c r="CU65" s="238" t="str">
        <f>desired_skills(C65,"Organisatie / klantomgeving/Bedrijven","e")</f>
        <v>35</v>
      </c>
      <c r="CW65" s="236" t="str">
        <f>calc_gap('Matrix 171007_1827'!$CK$65,'Matrix 171007_1827'!$CQ$65)</f>
        <v/>
      </c>
      <c r="CX65" s="237" t="str">
        <f>calc_gap('Matrix 171007_1827'!$CL$65,'Matrix 171007_1827'!$CR$65)</f>
        <v/>
      </c>
      <c r="CY65" s="237" t="str">
        <f>calc_gap('Matrix 171007_1827'!$CM$65,'Matrix 171007_1827'!$CS$65)</f>
        <v/>
      </c>
      <c r="CZ65" s="237" t="str">
        <f>calc_gap('Matrix 171007_1827'!$CN$65,'Matrix 171007_1827'!$CT$65)</f>
        <v/>
      </c>
      <c r="DA65" s="238" t="str">
        <f>calc_gap('Matrix 171007_1827'!$CO$65,'Matrix 171007_1827'!$CU$65)</f>
        <v>34</v>
      </c>
    </row>
    <row r="66" spans="2:105" x14ac:dyDescent="0.25">
      <c r="B66" s="435"/>
      <c r="C66" s="291" t="s">
        <v>104</v>
      </c>
      <c r="D66" s="314"/>
      <c r="E66" s="315"/>
      <c r="F66" s="315"/>
      <c r="G66" s="315"/>
      <c r="H66" s="315"/>
      <c r="I66" s="315"/>
      <c r="J66" s="315"/>
      <c r="K66" s="316"/>
      <c r="L66" s="314"/>
      <c r="M66" s="315"/>
      <c r="N66" s="315"/>
      <c r="O66" s="316"/>
      <c r="P66" s="314"/>
      <c r="Q66" s="315"/>
      <c r="R66" s="315"/>
      <c r="S66" s="315"/>
      <c r="T66" s="315"/>
      <c r="U66" s="315"/>
      <c r="V66" s="315"/>
      <c r="W66" s="315"/>
      <c r="X66" s="315"/>
      <c r="Y66" s="315"/>
      <c r="Z66" s="315"/>
      <c r="AA66" s="315"/>
      <c r="AB66" s="315"/>
      <c r="AC66" s="315"/>
      <c r="AD66" s="315"/>
      <c r="AE66" s="315"/>
      <c r="AF66" s="315"/>
      <c r="AG66" s="315"/>
      <c r="AH66" s="315"/>
      <c r="AI66" s="316"/>
      <c r="AJ66" s="314"/>
      <c r="AK66" s="315"/>
      <c r="AL66" s="316"/>
      <c r="AM66" s="314"/>
      <c r="AN66" s="315"/>
      <c r="AO66" s="316"/>
      <c r="AP66" s="314"/>
      <c r="AQ66" s="315"/>
      <c r="AR66" s="315"/>
      <c r="AS66" s="315"/>
      <c r="AT66" s="316"/>
      <c r="AU66" s="314" t="s">
        <v>147</v>
      </c>
      <c r="AV66" s="315" t="s">
        <v>148</v>
      </c>
      <c r="AW66" s="315" t="s">
        <v>147</v>
      </c>
      <c r="AX66" s="315" t="s">
        <v>150</v>
      </c>
      <c r="AY66" s="315" t="s">
        <v>148</v>
      </c>
      <c r="AZ66" s="315"/>
      <c r="BA66" s="315"/>
      <c r="BB66" s="316" t="s">
        <v>148</v>
      </c>
      <c r="BC66" s="314" t="s">
        <v>149</v>
      </c>
      <c r="BD66" s="315" t="s">
        <v>147</v>
      </c>
      <c r="BE66" s="315"/>
      <c r="BF66" s="315" t="s">
        <v>147</v>
      </c>
      <c r="BG66" s="316"/>
      <c r="BH66" s="314"/>
      <c r="BI66" s="315"/>
      <c r="BJ66" s="316"/>
      <c r="BK66" s="314"/>
      <c r="BL66" s="315"/>
      <c r="BM66" s="315"/>
      <c r="BN66" s="316"/>
      <c r="BO66" s="314" t="s">
        <v>147</v>
      </c>
      <c r="BP66" s="315" t="s">
        <v>147</v>
      </c>
      <c r="BQ66" s="315"/>
      <c r="BR66" s="315"/>
      <c r="BS66" s="315" t="s">
        <v>149</v>
      </c>
      <c r="BT66" s="315"/>
      <c r="BU66" s="315" t="s">
        <v>148</v>
      </c>
      <c r="BV66" s="316"/>
      <c r="BW66" s="314" t="s">
        <v>148</v>
      </c>
      <c r="BX66" s="315"/>
      <c r="BY66" s="315" t="s">
        <v>150</v>
      </c>
      <c r="BZ66" s="315" t="s">
        <v>148</v>
      </c>
      <c r="CA66" s="315" t="s">
        <v>47</v>
      </c>
      <c r="CB66" s="316" t="s">
        <v>150</v>
      </c>
      <c r="CC66" s="314"/>
      <c r="CD66" s="315" t="s">
        <v>148</v>
      </c>
      <c r="CE66" s="316"/>
      <c r="CF66" s="314"/>
      <c r="CG66" s="315"/>
      <c r="CH66" s="315"/>
      <c r="CI66" s="317"/>
      <c r="CK66" s="236">
        <f t="shared" si="25"/>
        <v>2</v>
      </c>
      <c r="CL66" s="237">
        <f t="shared" si="26"/>
        <v>6</v>
      </c>
      <c r="CM66" s="237">
        <f t="shared" si="27"/>
        <v>7</v>
      </c>
      <c r="CN66" s="237">
        <f t="shared" si="28"/>
        <v>3</v>
      </c>
      <c r="CO66" s="238">
        <f t="shared" si="29"/>
        <v>1</v>
      </c>
      <c r="CQ66" s="236" t="str">
        <f>desired_skills(C66,"Organisatie / klantomgeving/Digitale Bank","o")</f>
        <v/>
      </c>
      <c r="CR66" s="237" t="str">
        <f>desired_skills(C66,"Organisatie / klantomgeving/Digitale Bank","j")</f>
        <v/>
      </c>
      <c r="CS66" s="237" t="str">
        <f>desired_skills(C66,"Organisatie / klantomgeving/Digitale Bank","m")</f>
        <v/>
      </c>
      <c r="CT66" s="237" t="str">
        <f>desired_skills(C66,"Organisatie / klantomgeving/Digitale Bank","s")</f>
        <v/>
      </c>
      <c r="CU66" s="238" t="str">
        <f>desired_skills(C66,"Organisatie / klantomgeving/Digitale Bank","e")</f>
        <v/>
      </c>
      <c r="CW66" s="236" t="str">
        <f>calc_gap('Matrix 171007_1827'!$CK$66,'Matrix 171007_1827'!$CQ$66)</f>
        <v/>
      </c>
      <c r="CX66" s="237" t="str">
        <f>calc_gap('Matrix 171007_1827'!$CL$66,'Matrix 171007_1827'!$CR$66)</f>
        <v/>
      </c>
      <c r="CY66" s="237" t="str">
        <f>calc_gap('Matrix 171007_1827'!$CM$66,'Matrix 171007_1827'!$CS$66)</f>
        <v/>
      </c>
      <c r="CZ66" s="237" t="str">
        <f>calc_gap('Matrix 171007_1827'!$CN$66,'Matrix 171007_1827'!$CT$66)</f>
        <v/>
      </c>
      <c r="DA66" s="238" t="str">
        <f>calc_gap('Matrix 171007_1827'!$CO$66,'Matrix 171007_1827'!$CU$66)</f>
        <v/>
      </c>
    </row>
    <row r="67" spans="2:105" x14ac:dyDescent="0.25">
      <c r="B67" s="435"/>
      <c r="C67" s="291" t="s">
        <v>105</v>
      </c>
      <c r="D67" s="314"/>
      <c r="E67" s="315"/>
      <c r="F67" s="315"/>
      <c r="G67" s="315"/>
      <c r="H67" s="315"/>
      <c r="I67" s="315"/>
      <c r="J67" s="315"/>
      <c r="K67" s="316"/>
      <c r="L67" s="314"/>
      <c r="M67" s="315"/>
      <c r="N67" s="315"/>
      <c r="O67" s="316"/>
      <c r="P67" s="314"/>
      <c r="Q67" s="315"/>
      <c r="R67" s="315"/>
      <c r="S67" s="315"/>
      <c r="T67" s="315"/>
      <c r="U67" s="315"/>
      <c r="V67" s="315"/>
      <c r="W67" s="315"/>
      <c r="X67" s="315"/>
      <c r="Y67" s="315"/>
      <c r="Z67" s="315"/>
      <c r="AA67" s="315"/>
      <c r="AB67" s="315"/>
      <c r="AC67" s="315"/>
      <c r="AD67" s="315"/>
      <c r="AE67" s="315"/>
      <c r="AF67" s="315"/>
      <c r="AG67" s="315"/>
      <c r="AH67" s="315"/>
      <c r="AI67" s="316"/>
      <c r="AJ67" s="314"/>
      <c r="AK67" s="315"/>
      <c r="AL67" s="316"/>
      <c r="AM67" s="314"/>
      <c r="AN67" s="315"/>
      <c r="AO67" s="316"/>
      <c r="AP67" s="314"/>
      <c r="AQ67" s="315"/>
      <c r="AR67" s="315"/>
      <c r="AS67" s="315"/>
      <c r="AT67" s="316"/>
      <c r="AU67" s="314" t="s">
        <v>150</v>
      </c>
      <c r="AV67" s="315" t="s">
        <v>150</v>
      </c>
      <c r="AW67" s="315" t="s">
        <v>147</v>
      </c>
      <c r="AX67" s="315" t="s">
        <v>150</v>
      </c>
      <c r="AY67" s="315" t="s">
        <v>150</v>
      </c>
      <c r="AZ67" s="315"/>
      <c r="BA67" s="315"/>
      <c r="BB67" s="316" t="s">
        <v>147</v>
      </c>
      <c r="BC67" s="314" t="s">
        <v>149</v>
      </c>
      <c r="BD67" s="315" t="s">
        <v>147</v>
      </c>
      <c r="BE67" s="315"/>
      <c r="BF67" s="315" t="s">
        <v>147</v>
      </c>
      <c r="BG67" s="316"/>
      <c r="BH67" s="314"/>
      <c r="BI67" s="315"/>
      <c r="BJ67" s="316"/>
      <c r="BK67" s="314"/>
      <c r="BL67" s="315"/>
      <c r="BM67" s="315"/>
      <c r="BN67" s="316"/>
      <c r="BO67" s="314" t="s">
        <v>148</v>
      </c>
      <c r="BP67" s="315" t="s">
        <v>148</v>
      </c>
      <c r="BQ67" s="315"/>
      <c r="BR67" s="315"/>
      <c r="BS67" s="315" t="s">
        <v>149</v>
      </c>
      <c r="BT67" s="315"/>
      <c r="BU67" s="315" t="s">
        <v>150</v>
      </c>
      <c r="BV67" s="316"/>
      <c r="BW67" s="314" t="s">
        <v>148</v>
      </c>
      <c r="BX67" s="315"/>
      <c r="BY67" s="315"/>
      <c r="BZ67" s="315" t="s">
        <v>148</v>
      </c>
      <c r="CA67" s="315" t="s">
        <v>147</v>
      </c>
      <c r="CB67" s="316" t="s">
        <v>147</v>
      </c>
      <c r="CC67" s="314"/>
      <c r="CD67" s="315" t="s">
        <v>147</v>
      </c>
      <c r="CE67" s="316"/>
      <c r="CF67" s="314"/>
      <c r="CG67" s="315"/>
      <c r="CH67" s="315"/>
      <c r="CI67" s="317"/>
      <c r="CK67" s="236">
        <f t="shared" si="25"/>
        <v>2</v>
      </c>
      <c r="CL67" s="237">
        <f t="shared" si="26"/>
        <v>7</v>
      </c>
      <c r="CM67" s="237">
        <f t="shared" si="27"/>
        <v>4</v>
      </c>
      <c r="CN67" s="237">
        <f t="shared" si="28"/>
        <v>5</v>
      </c>
      <c r="CO67" s="238" t="str">
        <f t="shared" si="29"/>
        <v/>
      </c>
      <c r="CQ67" s="236" t="str">
        <f>desired_skills(C67,"Organisatie / klantomgeving/CRO","o")</f>
        <v/>
      </c>
      <c r="CR67" s="237" t="str">
        <f>desired_skills(C67,"Organisatie / klantomgeving/CRO","j")</f>
        <v/>
      </c>
      <c r="CS67" s="237" t="str">
        <f>desired_skills(C67,"Organisatie / klantomgeving/CRO","m")</f>
        <v/>
      </c>
      <c r="CT67" s="237" t="str">
        <f>desired_skills(C67,"Organisatie / klantomgeving/CRO","s")</f>
        <v/>
      </c>
      <c r="CU67" s="238" t="str">
        <f>desired_skills(C67,"Organisatie / klantomgeving/CRO","e")</f>
        <v/>
      </c>
      <c r="CW67" s="236" t="str">
        <f>calc_gap('Matrix 171007_1827'!$CK$67,'Matrix 171007_1827'!$CQ$67)</f>
        <v/>
      </c>
      <c r="CX67" s="237" t="str">
        <f>calc_gap('Matrix 171007_1827'!$CL$67,'Matrix 171007_1827'!$CR$67)</f>
        <v/>
      </c>
      <c r="CY67" s="237" t="str">
        <f>calc_gap('Matrix 171007_1827'!$CM$67,'Matrix 171007_1827'!$CS$67)</f>
        <v/>
      </c>
      <c r="CZ67" s="237" t="str">
        <f>calc_gap('Matrix 171007_1827'!$CN$67,'Matrix 171007_1827'!$CT$67)</f>
        <v/>
      </c>
      <c r="DA67" s="238" t="str">
        <f>calc_gap('Matrix 171007_1827'!$CO$67,'Matrix 171007_1827'!$CU$67)</f>
        <v/>
      </c>
    </row>
    <row r="68" spans="2:105" x14ac:dyDescent="0.25">
      <c r="B68" s="435"/>
      <c r="C68" s="291" t="s">
        <v>106</v>
      </c>
      <c r="D68" s="314"/>
      <c r="E68" s="315"/>
      <c r="F68" s="315"/>
      <c r="G68" s="315"/>
      <c r="H68" s="315"/>
      <c r="I68" s="315"/>
      <c r="J68" s="315"/>
      <c r="K68" s="316"/>
      <c r="L68" s="314"/>
      <c r="M68" s="315"/>
      <c r="N68" s="315"/>
      <c r="O68" s="316"/>
      <c r="P68" s="314"/>
      <c r="Q68" s="315"/>
      <c r="R68" s="315"/>
      <c r="S68" s="315"/>
      <c r="T68" s="315"/>
      <c r="U68" s="315"/>
      <c r="V68" s="315"/>
      <c r="W68" s="315"/>
      <c r="X68" s="315"/>
      <c r="Y68" s="315"/>
      <c r="Z68" s="315"/>
      <c r="AA68" s="315"/>
      <c r="AB68" s="315"/>
      <c r="AC68" s="315"/>
      <c r="AD68" s="315"/>
      <c r="AE68" s="315"/>
      <c r="AF68" s="315"/>
      <c r="AG68" s="315"/>
      <c r="AH68" s="315"/>
      <c r="AI68" s="316"/>
      <c r="AJ68" s="314"/>
      <c r="AK68" s="315"/>
      <c r="AL68" s="316"/>
      <c r="AM68" s="314"/>
      <c r="AN68" s="315"/>
      <c r="AO68" s="316"/>
      <c r="AP68" s="314"/>
      <c r="AQ68" s="315"/>
      <c r="AR68" s="315"/>
      <c r="AS68" s="315"/>
      <c r="AT68" s="316"/>
      <c r="AU68" s="314" t="s">
        <v>148</v>
      </c>
      <c r="AV68" s="315" t="s">
        <v>148</v>
      </c>
      <c r="AW68" s="315" t="s">
        <v>147</v>
      </c>
      <c r="AX68" s="315" t="s">
        <v>150</v>
      </c>
      <c r="AY68" s="315" t="s">
        <v>150</v>
      </c>
      <c r="AZ68" s="315"/>
      <c r="BA68" s="315"/>
      <c r="BB68" s="316" t="s">
        <v>148</v>
      </c>
      <c r="BC68" s="314" t="s">
        <v>149</v>
      </c>
      <c r="BD68" s="315" t="s">
        <v>147</v>
      </c>
      <c r="BE68" s="315"/>
      <c r="BF68" s="315"/>
      <c r="BG68" s="316"/>
      <c r="BH68" s="314"/>
      <c r="BI68" s="315"/>
      <c r="BJ68" s="316"/>
      <c r="BK68" s="314"/>
      <c r="BL68" s="315"/>
      <c r="BM68" s="315"/>
      <c r="BN68" s="316"/>
      <c r="BO68" s="314" t="s">
        <v>148</v>
      </c>
      <c r="BP68" s="315" t="s">
        <v>148</v>
      </c>
      <c r="BQ68" s="315"/>
      <c r="BR68" s="315"/>
      <c r="BS68" s="315" t="s">
        <v>149</v>
      </c>
      <c r="BT68" s="315"/>
      <c r="BU68" s="315" t="s">
        <v>150</v>
      </c>
      <c r="BV68" s="316"/>
      <c r="BW68" s="314" t="s">
        <v>148</v>
      </c>
      <c r="BX68" s="315"/>
      <c r="BY68" s="315"/>
      <c r="BZ68" s="315" t="s">
        <v>148</v>
      </c>
      <c r="CA68" s="315" t="s">
        <v>147</v>
      </c>
      <c r="CB68" s="316" t="s">
        <v>147</v>
      </c>
      <c r="CC68" s="314"/>
      <c r="CD68" s="315" t="s">
        <v>147</v>
      </c>
      <c r="CE68" s="316"/>
      <c r="CF68" s="314"/>
      <c r="CG68" s="315"/>
      <c r="CH68" s="315"/>
      <c r="CI68" s="317"/>
      <c r="CK68" s="236">
        <f t="shared" si="25"/>
        <v>2</v>
      </c>
      <c r="CL68" s="237">
        <f t="shared" si="26"/>
        <v>5</v>
      </c>
      <c r="CM68" s="237">
        <f t="shared" si="27"/>
        <v>7</v>
      </c>
      <c r="CN68" s="237">
        <f t="shared" si="28"/>
        <v>3</v>
      </c>
      <c r="CO68" s="238" t="str">
        <f t="shared" si="29"/>
        <v/>
      </c>
      <c r="CQ68" s="236" t="str">
        <f>desired_skills(C68,"Organisatie / klantomgeving/CFO","o")</f>
        <v/>
      </c>
      <c r="CR68" s="237" t="str">
        <f>desired_skills(C68,"Organisatie / klantomgeving/CFO","j")</f>
        <v/>
      </c>
      <c r="CS68" s="237" t="str">
        <f>desired_skills(C68,"Organisatie / klantomgeving/CFO","m")</f>
        <v/>
      </c>
      <c r="CT68" s="237" t="str">
        <f>desired_skills(C68,"Organisatie / klantomgeving/CFO","s")</f>
        <v/>
      </c>
      <c r="CU68" s="238" t="str">
        <f>desired_skills(C68,"Organisatie / klantomgeving/CFO","e")</f>
        <v/>
      </c>
      <c r="CW68" s="236" t="str">
        <f>calc_gap('Matrix 171007_1827'!$CK$68,'Matrix 171007_1827'!$CQ$68)</f>
        <v/>
      </c>
      <c r="CX68" s="237" t="str">
        <f>calc_gap('Matrix 171007_1827'!$CL$68,'Matrix 171007_1827'!$CR$68)</f>
        <v/>
      </c>
      <c r="CY68" s="237" t="str">
        <f>calc_gap('Matrix 171007_1827'!$CM$68,'Matrix 171007_1827'!$CS$68)</f>
        <v/>
      </c>
      <c r="CZ68" s="237" t="str">
        <f>calc_gap('Matrix 171007_1827'!$CN$68,'Matrix 171007_1827'!$CT$68)</f>
        <v/>
      </c>
      <c r="DA68" s="238" t="str">
        <f>calc_gap('Matrix 171007_1827'!$CO$68,'Matrix 171007_1827'!$CU$68)</f>
        <v/>
      </c>
    </row>
    <row r="69" spans="2:105" x14ac:dyDescent="0.25">
      <c r="B69" s="435"/>
      <c r="C69" s="291" t="s">
        <v>107</v>
      </c>
      <c r="D69" s="314"/>
      <c r="E69" s="315"/>
      <c r="F69" s="315"/>
      <c r="G69" s="315"/>
      <c r="H69" s="315"/>
      <c r="I69" s="315"/>
      <c r="J69" s="315"/>
      <c r="K69" s="316"/>
      <c r="L69" s="314"/>
      <c r="M69" s="315"/>
      <c r="N69" s="315"/>
      <c r="O69" s="316"/>
      <c r="P69" s="314"/>
      <c r="Q69" s="315"/>
      <c r="R69" s="315"/>
      <c r="S69" s="315"/>
      <c r="T69" s="315"/>
      <c r="U69" s="315"/>
      <c r="V69" s="315"/>
      <c r="W69" s="315"/>
      <c r="X69" s="315"/>
      <c r="Y69" s="315"/>
      <c r="Z69" s="315"/>
      <c r="AA69" s="315"/>
      <c r="AB69" s="315"/>
      <c r="AC69" s="315"/>
      <c r="AD69" s="315"/>
      <c r="AE69" s="315"/>
      <c r="AF69" s="315"/>
      <c r="AG69" s="315"/>
      <c r="AH69" s="315"/>
      <c r="AI69" s="316"/>
      <c r="AJ69" s="314"/>
      <c r="AK69" s="315"/>
      <c r="AL69" s="316"/>
      <c r="AM69" s="314"/>
      <c r="AN69" s="315"/>
      <c r="AO69" s="316"/>
      <c r="AP69" s="314"/>
      <c r="AQ69" s="315"/>
      <c r="AR69" s="315"/>
      <c r="AS69" s="315"/>
      <c r="AT69" s="316"/>
      <c r="AU69" s="314" t="s">
        <v>148</v>
      </c>
      <c r="AV69" s="315" t="s">
        <v>148</v>
      </c>
      <c r="AW69" s="315" t="s">
        <v>147</v>
      </c>
      <c r="AX69" s="315" t="s">
        <v>150</v>
      </c>
      <c r="AY69" s="315" t="s">
        <v>150</v>
      </c>
      <c r="AZ69" s="315"/>
      <c r="BA69" s="315"/>
      <c r="BB69" s="316" t="s">
        <v>148</v>
      </c>
      <c r="BC69" s="314" t="s">
        <v>149</v>
      </c>
      <c r="BD69" s="315" t="s">
        <v>147</v>
      </c>
      <c r="BE69" s="315"/>
      <c r="BF69" s="315"/>
      <c r="BG69" s="316"/>
      <c r="BH69" s="314"/>
      <c r="BI69" s="315"/>
      <c r="BJ69" s="316"/>
      <c r="BK69" s="314"/>
      <c r="BL69" s="315"/>
      <c r="BM69" s="315"/>
      <c r="BN69" s="316"/>
      <c r="BO69" s="314" t="s">
        <v>147</v>
      </c>
      <c r="BP69" s="315" t="s">
        <v>150</v>
      </c>
      <c r="BQ69" s="315"/>
      <c r="BR69" s="315"/>
      <c r="BS69" s="315" t="s">
        <v>149</v>
      </c>
      <c r="BT69" s="315"/>
      <c r="BU69" s="315" t="s">
        <v>150</v>
      </c>
      <c r="BV69" s="316"/>
      <c r="BW69" s="314" t="s">
        <v>148</v>
      </c>
      <c r="BX69" s="315"/>
      <c r="BY69" s="315"/>
      <c r="BZ69" s="315" t="s">
        <v>150</v>
      </c>
      <c r="CA69" s="315" t="s">
        <v>148</v>
      </c>
      <c r="CB69" s="316" t="s">
        <v>147</v>
      </c>
      <c r="CC69" s="314"/>
      <c r="CD69" s="315" t="s">
        <v>147</v>
      </c>
      <c r="CE69" s="316"/>
      <c r="CF69" s="314"/>
      <c r="CG69" s="315"/>
      <c r="CH69" s="315"/>
      <c r="CI69" s="317"/>
      <c r="CK69" s="236">
        <f t="shared" si="25"/>
        <v>2</v>
      </c>
      <c r="CL69" s="237">
        <f t="shared" si="26"/>
        <v>5</v>
      </c>
      <c r="CM69" s="237">
        <f t="shared" si="27"/>
        <v>5</v>
      </c>
      <c r="CN69" s="237">
        <f t="shared" si="28"/>
        <v>5</v>
      </c>
      <c r="CO69" s="238" t="str">
        <f t="shared" si="29"/>
        <v/>
      </c>
      <c r="CQ69" s="236" t="str">
        <f>desired_skills(C69,"Organisatie / klantomgeving/COO - OPS B&amp;V","o")</f>
        <v/>
      </c>
      <c r="CR69" s="237" t="str">
        <f>desired_skills(C69,"Organisatie / klantomgeving/COO - OPS B&amp;V","j")</f>
        <v/>
      </c>
      <c r="CS69" s="237" t="str">
        <f>desired_skills(C69,"Organisatie / klantomgeving/COO - OPS B&amp;V","m")</f>
        <v/>
      </c>
      <c r="CT69" s="237" t="str">
        <f>desired_skills(C69,"Organisatie / klantomgeving/COO - OPS B&amp;V","s")</f>
        <v/>
      </c>
      <c r="CU69" s="238" t="str">
        <f>desired_skills(C69,"Organisatie / klantomgeving/COO - OPS B&amp;V","e")</f>
        <v/>
      </c>
      <c r="CW69" s="236" t="str">
        <f>calc_gap('Matrix 171007_1827'!$CK$69,'Matrix 171007_1827'!$CQ$69)</f>
        <v/>
      </c>
      <c r="CX69" s="237" t="str">
        <f>calc_gap('Matrix 171007_1827'!$CL$69,'Matrix 171007_1827'!$CR$69)</f>
        <v/>
      </c>
      <c r="CY69" s="237" t="str">
        <f>calc_gap('Matrix 171007_1827'!$CM$69,'Matrix 171007_1827'!$CS$69)</f>
        <v/>
      </c>
      <c r="CZ69" s="237" t="str">
        <f>calc_gap('Matrix 171007_1827'!$CN$69,'Matrix 171007_1827'!$CT$69)</f>
        <v/>
      </c>
      <c r="DA69" s="238" t="str">
        <f>calc_gap('Matrix 171007_1827'!$CO$69,'Matrix 171007_1827'!$CU$69)</f>
        <v/>
      </c>
    </row>
    <row r="70" spans="2:105" x14ac:dyDescent="0.25">
      <c r="B70" s="435"/>
      <c r="C70" s="291" t="s">
        <v>108</v>
      </c>
      <c r="D70" s="314"/>
      <c r="E70" s="315"/>
      <c r="F70" s="315"/>
      <c r="G70" s="315"/>
      <c r="H70" s="315"/>
      <c r="I70" s="315"/>
      <c r="J70" s="315"/>
      <c r="K70" s="316"/>
      <c r="L70" s="314"/>
      <c r="M70" s="315"/>
      <c r="N70" s="315"/>
      <c r="O70" s="316"/>
      <c r="P70" s="314"/>
      <c r="Q70" s="315"/>
      <c r="R70" s="315"/>
      <c r="S70" s="315"/>
      <c r="T70" s="315"/>
      <c r="U70" s="315"/>
      <c r="V70" s="315"/>
      <c r="W70" s="315"/>
      <c r="X70" s="315"/>
      <c r="Y70" s="315"/>
      <c r="Z70" s="315"/>
      <c r="AA70" s="315"/>
      <c r="AB70" s="315"/>
      <c r="AC70" s="315"/>
      <c r="AD70" s="315"/>
      <c r="AE70" s="315"/>
      <c r="AF70" s="315"/>
      <c r="AG70" s="315"/>
      <c r="AH70" s="315"/>
      <c r="AI70" s="316"/>
      <c r="AJ70" s="314"/>
      <c r="AK70" s="315"/>
      <c r="AL70" s="316"/>
      <c r="AM70" s="314"/>
      <c r="AN70" s="315"/>
      <c r="AO70" s="316"/>
      <c r="AP70" s="314"/>
      <c r="AQ70" s="315"/>
      <c r="AR70" s="315"/>
      <c r="AS70" s="315"/>
      <c r="AT70" s="316"/>
      <c r="AU70" s="314" t="s">
        <v>148</v>
      </c>
      <c r="AV70" s="315" t="s">
        <v>148</v>
      </c>
      <c r="AW70" s="315" t="s">
        <v>147</v>
      </c>
      <c r="AX70" s="315" t="s">
        <v>150</v>
      </c>
      <c r="AY70" s="315" t="s">
        <v>150</v>
      </c>
      <c r="AZ70" s="315"/>
      <c r="BA70" s="315"/>
      <c r="BB70" s="316" t="s">
        <v>148</v>
      </c>
      <c r="BC70" s="314" t="s">
        <v>148</v>
      </c>
      <c r="BD70" s="315" t="s">
        <v>147</v>
      </c>
      <c r="BE70" s="315"/>
      <c r="BF70" s="315"/>
      <c r="BG70" s="316"/>
      <c r="BH70" s="314"/>
      <c r="BI70" s="315"/>
      <c r="BJ70" s="316"/>
      <c r="BK70" s="314"/>
      <c r="BL70" s="315"/>
      <c r="BM70" s="315"/>
      <c r="BN70" s="316"/>
      <c r="BO70" s="314" t="s">
        <v>147</v>
      </c>
      <c r="BP70" s="315" t="s">
        <v>150</v>
      </c>
      <c r="BQ70" s="315"/>
      <c r="BR70" s="315"/>
      <c r="BS70" s="315" t="s">
        <v>149</v>
      </c>
      <c r="BT70" s="315"/>
      <c r="BU70" s="315" t="s">
        <v>150</v>
      </c>
      <c r="BV70" s="316"/>
      <c r="BW70" s="314" t="s">
        <v>148</v>
      </c>
      <c r="BX70" s="315"/>
      <c r="BY70" s="315"/>
      <c r="BZ70" s="315" t="s">
        <v>150</v>
      </c>
      <c r="CA70" s="315" t="s">
        <v>150</v>
      </c>
      <c r="CB70" s="316" t="s">
        <v>147</v>
      </c>
      <c r="CC70" s="314"/>
      <c r="CD70" s="315" t="s">
        <v>147</v>
      </c>
      <c r="CE70" s="316"/>
      <c r="CF70" s="314"/>
      <c r="CG70" s="315"/>
      <c r="CH70" s="315"/>
      <c r="CI70" s="317"/>
      <c r="CK70" s="236">
        <f t="shared" si="25"/>
        <v>1</v>
      </c>
      <c r="CL70" s="237">
        <f t="shared" si="26"/>
        <v>5</v>
      </c>
      <c r="CM70" s="237">
        <f t="shared" si="27"/>
        <v>5</v>
      </c>
      <c r="CN70" s="237">
        <f t="shared" si="28"/>
        <v>6</v>
      </c>
      <c r="CO70" s="238" t="str">
        <f t="shared" si="29"/>
        <v/>
      </c>
      <c r="CQ70" s="236" t="str">
        <f>desired_skills(C70,"Organisatie / klantomgeving/COO - OPS FIN","o")</f>
        <v/>
      </c>
      <c r="CR70" s="237" t="str">
        <f>desired_skills(C70,"Organisatie / klantomgeving/COO - OPS FIN","j")</f>
        <v/>
      </c>
      <c r="CS70" s="237" t="str">
        <f>desired_skills(C70,"Organisatie / klantomgeving/COO - OPS FIN","m")</f>
        <v/>
      </c>
      <c r="CT70" s="237" t="str">
        <f>desired_skills(C70,"Organisatie / klantomgeving/COO - OPS FIN","s")</f>
        <v/>
      </c>
      <c r="CU70" s="238" t="str">
        <f>desired_skills(C70,"Organisatie / klantomgeving/COO - OPS FIN","e")</f>
        <v/>
      </c>
      <c r="CW70" s="236" t="str">
        <f>calc_gap('Matrix 171007_1827'!$CK$70,'Matrix 171007_1827'!$CQ$70)</f>
        <v/>
      </c>
      <c r="CX70" s="237" t="str">
        <f>calc_gap('Matrix 171007_1827'!$CL$70,'Matrix 171007_1827'!$CR$70)</f>
        <v/>
      </c>
      <c r="CY70" s="237" t="str">
        <f>calc_gap('Matrix 171007_1827'!$CM$70,'Matrix 171007_1827'!$CS$70)</f>
        <v/>
      </c>
      <c r="CZ70" s="237" t="str">
        <f>calc_gap('Matrix 171007_1827'!$CN$70,'Matrix 171007_1827'!$CT$70)</f>
        <v/>
      </c>
      <c r="DA70" s="238" t="str">
        <f>calc_gap('Matrix 171007_1827'!$CO$70,'Matrix 171007_1827'!$CU$70)</f>
        <v/>
      </c>
    </row>
    <row r="71" spans="2:105" x14ac:dyDescent="0.25">
      <c r="B71" s="435"/>
      <c r="C71" s="291" t="s">
        <v>109</v>
      </c>
      <c r="D71" s="314"/>
      <c r="E71" s="315"/>
      <c r="F71" s="315"/>
      <c r="G71" s="315"/>
      <c r="H71" s="315"/>
      <c r="I71" s="315"/>
      <c r="J71" s="315"/>
      <c r="K71" s="316"/>
      <c r="L71" s="314"/>
      <c r="M71" s="315"/>
      <c r="N71" s="315"/>
      <c r="O71" s="316"/>
      <c r="P71" s="314"/>
      <c r="Q71" s="315"/>
      <c r="R71" s="315"/>
      <c r="S71" s="315"/>
      <c r="T71" s="315"/>
      <c r="U71" s="315"/>
      <c r="V71" s="315"/>
      <c r="W71" s="315"/>
      <c r="X71" s="315"/>
      <c r="Y71" s="315"/>
      <c r="Z71" s="315"/>
      <c r="AA71" s="315"/>
      <c r="AB71" s="315"/>
      <c r="AC71" s="315"/>
      <c r="AD71" s="315"/>
      <c r="AE71" s="315"/>
      <c r="AF71" s="315"/>
      <c r="AG71" s="315"/>
      <c r="AH71" s="315"/>
      <c r="AI71" s="316"/>
      <c r="AJ71" s="314"/>
      <c r="AK71" s="315"/>
      <c r="AL71" s="316"/>
      <c r="AM71" s="314"/>
      <c r="AN71" s="315"/>
      <c r="AO71" s="316"/>
      <c r="AP71" s="314"/>
      <c r="AQ71" s="315"/>
      <c r="AR71" s="315"/>
      <c r="AS71" s="315"/>
      <c r="AT71" s="316"/>
      <c r="AU71" s="314" t="s">
        <v>147</v>
      </c>
      <c r="AV71" s="315" t="s">
        <v>148</v>
      </c>
      <c r="AW71" s="315" t="s">
        <v>147</v>
      </c>
      <c r="AX71" s="315" t="s">
        <v>150</v>
      </c>
      <c r="AY71" s="315" t="s">
        <v>150</v>
      </c>
      <c r="AZ71" s="315"/>
      <c r="BA71" s="315"/>
      <c r="BB71" s="316" t="s">
        <v>148</v>
      </c>
      <c r="BC71" s="314" t="s">
        <v>149</v>
      </c>
      <c r="BD71" s="315" t="s">
        <v>147</v>
      </c>
      <c r="BE71" s="315"/>
      <c r="BF71" s="315"/>
      <c r="BG71" s="316"/>
      <c r="BH71" s="314"/>
      <c r="BI71" s="315"/>
      <c r="BJ71" s="316"/>
      <c r="BK71" s="314"/>
      <c r="BL71" s="315"/>
      <c r="BM71" s="315"/>
      <c r="BN71" s="316"/>
      <c r="BO71" s="314" t="s">
        <v>147</v>
      </c>
      <c r="BP71" s="315" t="s">
        <v>150</v>
      </c>
      <c r="BQ71" s="315"/>
      <c r="BR71" s="315"/>
      <c r="BS71" s="315" t="s">
        <v>149</v>
      </c>
      <c r="BT71" s="315"/>
      <c r="BU71" s="315" t="s">
        <v>150</v>
      </c>
      <c r="BV71" s="316"/>
      <c r="BW71" s="314" t="s">
        <v>148</v>
      </c>
      <c r="BX71" s="315"/>
      <c r="BY71" s="315"/>
      <c r="BZ71" s="315" t="s">
        <v>150</v>
      </c>
      <c r="CA71" s="315" t="s">
        <v>148</v>
      </c>
      <c r="CB71" s="316" t="s">
        <v>147</v>
      </c>
      <c r="CC71" s="314"/>
      <c r="CD71" s="315" t="s">
        <v>147</v>
      </c>
      <c r="CE71" s="316"/>
      <c r="CF71" s="314"/>
      <c r="CG71" s="315"/>
      <c r="CH71" s="315"/>
      <c r="CI71" s="317"/>
      <c r="CK71" s="236">
        <f t="shared" si="25"/>
        <v>2</v>
      </c>
      <c r="CL71" s="237">
        <f t="shared" si="26"/>
        <v>6</v>
      </c>
      <c r="CM71" s="237">
        <f t="shared" si="27"/>
        <v>4</v>
      </c>
      <c r="CN71" s="237">
        <f t="shared" si="28"/>
        <v>5</v>
      </c>
      <c r="CO71" s="238" t="str">
        <f t="shared" si="29"/>
        <v/>
      </c>
      <c r="CQ71" s="236" t="str">
        <f>desired_skills(C71,"Organisatie / klantomgeving/COO - OPS Beleggen","o")</f>
        <v/>
      </c>
      <c r="CR71" s="237" t="str">
        <f>desired_skills(C71,"Organisatie / klantomgeving/COO - OPS Beleggen","j")</f>
        <v/>
      </c>
      <c r="CS71" s="237" t="str">
        <f>desired_skills(C71,"Organisatie / klantomgeving/COO - OPS Beleggen","m")</f>
        <v/>
      </c>
      <c r="CT71" s="237" t="str">
        <f>desired_skills(C71,"Organisatie / klantomgeving/COO - OPS Beleggen","s")</f>
        <v/>
      </c>
      <c r="CU71" s="238" t="str">
        <f>desired_skills(C71,"Organisatie / klantomgeving/COO - OPS Beleggen","e")</f>
        <v/>
      </c>
      <c r="CW71" s="236" t="str">
        <f>calc_gap('Matrix 171007_1827'!$CK$71,'Matrix 171007_1827'!$CQ$71)</f>
        <v/>
      </c>
      <c r="CX71" s="237" t="str">
        <f>calc_gap('Matrix 171007_1827'!$CL$71,'Matrix 171007_1827'!$CR$71)</f>
        <v/>
      </c>
      <c r="CY71" s="237" t="str">
        <f>calc_gap('Matrix 171007_1827'!$CM$71,'Matrix 171007_1827'!$CS$71)</f>
        <v/>
      </c>
      <c r="CZ71" s="237" t="str">
        <f>calc_gap('Matrix 171007_1827'!$CN$71,'Matrix 171007_1827'!$CT$71)</f>
        <v/>
      </c>
      <c r="DA71" s="238" t="str">
        <f>calc_gap('Matrix 171007_1827'!$CO$71,'Matrix 171007_1827'!$CU$71)</f>
        <v/>
      </c>
    </row>
    <row r="72" spans="2:105" x14ac:dyDescent="0.25">
      <c r="B72" s="435"/>
      <c r="C72" s="291" t="s">
        <v>110</v>
      </c>
      <c r="D72" s="314"/>
      <c r="E72" s="315"/>
      <c r="F72" s="315"/>
      <c r="G72" s="315"/>
      <c r="H72" s="315"/>
      <c r="I72" s="315"/>
      <c r="J72" s="315"/>
      <c r="K72" s="316"/>
      <c r="L72" s="314"/>
      <c r="M72" s="315"/>
      <c r="N72" s="315"/>
      <c r="O72" s="316"/>
      <c r="P72" s="314"/>
      <c r="Q72" s="315"/>
      <c r="R72" s="315"/>
      <c r="S72" s="315"/>
      <c r="T72" s="315"/>
      <c r="U72" s="315"/>
      <c r="V72" s="315"/>
      <c r="W72" s="315"/>
      <c r="X72" s="315"/>
      <c r="Y72" s="315"/>
      <c r="Z72" s="315"/>
      <c r="AA72" s="315"/>
      <c r="AB72" s="315"/>
      <c r="AC72" s="315"/>
      <c r="AD72" s="315"/>
      <c r="AE72" s="315"/>
      <c r="AF72" s="315"/>
      <c r="AG72" s="315"/>
      <c r="AH72" s="315"/>
      <c r="AI72" s="316"/>
      <c r="AJ72" s="314"/>
      <c r="AK72" s="315"/>
      <c r="AL72" s="316"/>
      <c r="AM72" s="314"/>
      <c r="AN72" s="315"/>
      <c r="AO72" s="316"/>
      <c r="AP72" s="314"/>
      <c r="AQ72" s="315"/>
      <c r="AR72" s="315"/>
      <c r="AS72" s="315"/>
      <c r="AT72" s="316"/>
      <c r="AU72" s="314" t="s">
        <v>147</v>
      </c>
      <c r="AV72" s="315" t="s">
        <v>148</v>
      </c>
      <c r="AW72" s="315" t="s">
        <v>147</v>
      </c>
      <c r="AX72" s="315" t="s">
        <v>150</v>
      </c>
      <c r="AY72" s="315" t="s">
        <v>148</v>
      </c>
      <c r="AZ72" s="315"/>
      <c r="BA72" s="315"/>
      <c r="BB72" s="316" t="s">
        <v>148</v>
      </c>
      <c r="BC72" s="314" t="s">
        <v>149</v>
      </c>
      <c r="BD72" s="315" t="s">
        <v>147</v>
      </c>
      <c r="BE72" s="315"/>
      <c r="BF72" s="315"/>
      <c r="BG72" s="316"/>
      <c r="BH72" s="314"/>
      <c r="BI72" s="315"/>
      <c r="BJ72" s="316"/>
      <c r="BK72" s="314"/>
      <c r="BL72" s="315"/>
      <c r="BM72" s="315"/>
      <c r="BN72" s="316"/>
      <c r="BO72" s="314" t="s">
        <v>147</v>
      </c>
      <c r="BP72" s="315" t="s">
        <v>150</v>
      </c>
      <c r="BQ72" s="315"/>
      <c r="BR72" s="315"/>
      <c r="BS72" s="315" t="s">
        <v>149</v>
      </c>
      <c r="BT72" s="315"/>
      <c r="BU72" s="315" t="s">
        <v>150</v>
      </c>
      <c r="BV72" s="316"/>
      <c r="BW72" s="314" t="s">
        <v>148</v>
      </c>
      <c r="BX72" s="315"/>
      <c r="BY72" s="315"/>
      <c r="BZ72" s="315" t="s">
        <v>150</v>
      </c>
      <c r="CA72" s="315" t="s">
        <v>147</v>
      </c>
      <c r="CB72" s="316"/>
      <c r="CC72" s="314"/>
      <c r="CD72" s="315" t="s">
        <v>147</v>
      </c>
      <c r="CE72" s="316"/>
      <c r="CF72" s="314"/>
      <c r="CG72" s="315"/>
      <c r="CH72" s="315"/>
      <c r="CI72" s="317"/>
      <c r="CK72" s="236">
        <f t="shared" si="25"/>
        <v>2</v>
      </c>
      <c r="CL72" s="237">
        <f t="shared" si="26"/>
        <v>6</v>
      </c>
      <c r="CM72" s="237">
        <f t="shared" si="27"/>
        <v>4</v>
      </c>
      <c r="CN72" s="237">
        <f t="shared" si="28"/>
        <v>4</v>
      </c>
      <c r="CO72" s="238" t="str">
        <f t="shared" si="29"/>
        <v/>
      </c>
      <c r="CQ72" s="236" t="str">
        <f>desired_skills(C72,"Organisatie / klantomgeving/COO - OPS overig","o")</f>
        <v/>
      </c>
      <c r="CR72" s="237" t="str">
        <f>desired_skills(C72,"Organisatie / klantomgeving/COO - OPS overig","j")</f>
        <v/>
      </c>
      <c r="CS72" s="237" t="str">
        <f>desired_skills(C72,"Organisatie / klantomgeving/COO - OPS overig","m")</f>
        <v/>
      </c>
      <c r="CT72" s="237" t="str">
        <f>desired_skills(C72,"Organisatie / klantomgeving/COO - OPS overig","s")</f>
        <v/>
      </c>
      <c r="CU72" s="238" t="str">
        <f>desired_skills(C72,"Organisatie / klantomgeving/COO - OPS overig","e")</f>
        <v/>
      </c>
      <c r="CW72" s="236" t="str">
        <f>calc_gap('Matrix 171007_1827'!$CK$72,'Matrix 171007_1827'!$CQ$72)</f>
        <v/>
      </c>
      <c r="CX72" s="237" t="str">
        <f>calc_gap('Matrix 171007_1827'!$CL$72,'Matrix 171007_1827'!$CR$72)</f>
        <v/>
      </c>
      <c r="CY72" s="237" t="str">
        <f>calc_gap('Matrix 171007_1827'!$CM$72,'Matrix 171007_1827'!$CS$72)</f>
        <v/>
      </c>
      <c r="CZ72" s="237" t="str">
        <f>calc_gap('Matrix 171007_1827'!$CN$72,'Matrix 171007_1827'!$CT$72)</f>
        <v/>
      </c>
      <c r="DA72" s="238" t="str">
        <f>calc_gap('Matrix 171007_1827'!$CO$72,'Matrix 171007_1827'!$CU$72)</f>
        <v/>
      </c>
    </row>
    <row r="73" spans="2:105" x14ac:dyDescent="0.25">
      <c r="B73" s="435"/>
      <c r="C73" s="291" t="s">
        <v>111</v>
      </c>
      <c r="D73" s="314"/>
      <c r="E73" s="315"/>
      <c r="F73" s="315"/>
      <c r="G73" s="315"/>
      <c r="H73" s="315"/>
      <c r="I73" s="315"/>
      <c r="J73" s="315"/>
      <c r="K73" s="316"/>
      <c r="L73" s="314"/>
      <c r="M73" s="315"/>
      <c r="N73" s="315"/>
      <c r="O73" s="316"/>
      <c r="P73" s="314"/>
      <c r="Q73" s="315"/>
      <c r="R73" s="315"/>
      <c r="S73" s="315"/>
      <c r="T73" s="315"/>
      <c r="U73" s="315"/>
      <c r="V73" s="315"/>
      <c r="W73" s="315"/>
      <c r="X73" s="315"/>
      <c r="Y73" s="315"/>
      <c r="Z73" s="315"/>
      <c r="AA73" s="315"/>
      <c r="AB73" s="315"/>
      <c r="AC73" s="315"/>
      <c r="AD73" s="315"/>
      <c r="AE73" s="315"/>
      <c r="AF73" s="315"/>
      <c r="AG73" s="315"/>
      <c r="AH73" s="315"/>
      <c r="AI73" s="316"/>
      <c r="AJ73" s="314"/>
      <c r="AK73" s="315"/>
      <c r="AL73" s="316"/>
      <c r="AM73" s="314"/>
      <c r="AN73" s="315"/>
      <c r="AO73" s="316"/>
      <c r="AP73" s="314"/>
      <c r="AQ73" s="315"/>
      <c r="AR73" s="315"/>
      <c r="AS73" s="315"/>
      <c r="AT73" s="316"/>
      <c r="AU73" s="314" t="s">
        <v>148</v>
      </c>
      <c r="AV73" s="315" t="s">
        <v>147</v>
      </c>
      <c r="AW73" s="315" t="s">
        <v>147</v>
      </c>
      <c r="AX73" s="315" t="s">
        <v>150</v>
      </c>
      <c r="AY73" s="315" t="s">
        <v>148</v>
      </c>
      <c r="AZ73" s="315"/>
      <c r="BA73" s="315"/>
      <c r="BB73" s="316" t="s">
        <v>148</v>
      </c>
      <c r="BC73" s="314" t="s">
        <v>149</v>
      </c>
      <c r="BD73" s="315" t="s">
        <v>147</v>
      </c>
      <c r="BE73" s="315"/>
      <c r="BF73" s="315"/>
      <c r="BG73" s="316"/>
      <c r="BH73" s="314"/>
      <c r="BI73" s="315"/>
      <c r="BJ73" s="316"/>
      <c r="BK73" s="314"/>
      <c r="BL73" s="315"/>
      <c r="BM73" s="315"/>
      <c r="BN73" s="316"/>
      <c r="BO73" s="314" t="s">
        <v>148</v>
      </c>
      <c r="BP73" s="315" t="s">
        <v>148</v>
      </c>
      <c r="BQ73" s="315"/>
      <c r="BR73" s="315"/>
      <c r="BS73" s="315" t="s">
        <v>149</v>
      </c>
      <c r="BT73" s="315"/>
      <c r="BU73" s="315" t="s">
        <v>150</v>
      </c>
      <c r="BV73" s="316"/>
      <c r="BW73" s="314" t="s">
        <v>148</v>
      </c>
      <c r="BX73" s="315"/>
      <c r="BY73" s="315"/>
      <c r="BZ73" s="315" t="s">
        <v>150</v>
      </c>
      <c r="CA73" s="315" t="s">
        <v>147</v>
      </c>
      <c r="CB73" s="316"/>
      <c r="CC73" s="314"/>
      <c r="CD73" s="315" t="s">
        <v>147</v>
      </c>
      <c r="CE73" s="316"/>
      <c r="CF73" s="314"/>
      <c r="CG73" s="315"/>
      <c r="CH73" s="315"/>
      <c r="CI73" s="317"/>
      <c r="CK73" s="236">
        <f t="shared" si="25"/>
        <v>2</v>
      </c>
      <c r="CL73" s="237">
        <f t="shared" si="26"/>
        <v>5</v>
      </c>
      <c r="CM73" s="237">
        <f t="shared" si="27"/>
        <v>6</v>
      </c>
      <c r="CN73" s="237">
        <f t="shared" si="28"/>
        <v>3</v>
      </c>
      <c r="CO73" s="238" t="str">
        <f t="shared" si="29"/>
        <v/>
      </c>
      <c r="CQ73" s="236" t="str">
        <f>desired_skills(C73,"Organisatie / klantomgeving/COO - ITS","o")</f>
        <v/>
      </c>
      <c r="CR73" s="237" t="str">
        <f>desired_skills(C73,"Organisatie / klantomgeving/COO - ITS","j")</f>
        <v/>
      </c>
      <c r="CS73" s="237" t="str">
        <f>desired_skills(C73,"Organisatie / klantomgeving/COO - ITS","m")</f>
        <v/>
      </c>
      <c r="CT73" s="237" t="str">
        <f>desired_skills(C73,"Organisatie / klantomgeving/COO - ITS","s")</f>
        <v/>
      </c>
      <c r="CU73" s="238" t="str">
        <f>desired_skills(C73,"Organisatie / klantomgeving/COO - ITS","e")</f>
        <v/>
      </c>
      <c r="CW73" s="236" t="str">
        <f>calc_gap('Matrix 171007_1827'!$CK$73,'Matrix 171007_1827'!$CQ$73)</f>
        <v/>
      </c>
      <c r="CX73" s="237" t="str">
        <f>calc_gap('Matrix 171007_1827'!$CL$73,'Matrix 171007_1827'!$CR$73)</f>
        <v/>
      </c>
      <c r="CY73" s="237" t="str">
        <f>calc_gap('Matrix 171007_1827'!$CM$73,'Matrix 171007_1827'!$CS$73)</f>
        <v/>
      </c>
      <c r="CZ73" s="237" t="str">
        <f>calc_gap('Matrix 171007_1827'!$CN$73,'Matrix 171007_1827'!$CT$73)</f>
        <v/>
      </c>
      <c r="DA73" s="238" t="str">
        <f>calc_gap('Matrix 171007_1827'!$CO$73,'Matrix 171007_1827'!$CU$73)</f>
        <v/>
      </c>
    </row>
    <row r="74" spans="2:105" x14ac:dyDescent="0.25">
      <c r="B74" s="435"/>
      <c r="C74" s="291" t="s">
        <v>112</v>
      </c>
      <c r="D74" s="314"/>
      <c r="E74" s="315"/>
      <c r="F74" s="315"/>
      <c r="G74" s="315"/>
      <c r="H74" s="315"/>
      <c r="I74" s="315"/>
      <c r="J74" s="315"/>
      <c r="K74" s="316"/>
      <c r="L74" s="314"/>
      <c r="M74" s="315"/>
      <c r="N74" s="315"/>
      <c r="O74" s="316"/>
      <c r="P74" s="314"/>
      <c r="Q74" s="315"/>
      <c r="R74" s="315"/>
      <c r="S74" s="315"/>
      <c r="T74" s="315"/>
      <c r="U74" s="315"/>
      <c r="V74" s="315"/>
      <c r="W74" s="315"/>
      <c r="X74" s="315"/>
      <c r="Y74" s="315"/>
      <c r="Z74" s="315"/>
      <c r="AA74" s="315"/>
      <c r="AB74" s="315"/>
      <c r="AC74" s="315"/>
      <c r="AD74" s="315"/>
      <c r="AE74" s="315"/>
      <c r="AF74" s="315"/>
      <c r="AG74" s="315"/>
      <c r="AH74" s="315"/>
      <c r="AI74" s="316"/>
      <c r="AJ74" s="314"/>
      <c r="AK74" s="315"/>
      <c r="AL74" s="316"/>
      <c r="AM74" s="314"/>
      <c r="AN74" s="315"/>
      <c r="AO74" s="316"/>
      <c r="AP74" s="314"/>
      <c r="AQ74" s="315"/>
      <c r="AR74" s="315"/>
      <c r="AS74" s="315"/>
      <c r="AT74" s="316"/>
      <c r="AU74" s="314" t="s">
        <v>147</v>
      </c>
      <c r="AV74" s="315" t="s">
        <v>147</v>
      </c>
      <c r="AW74" s="315" t="s">
        <v>147</v>
      </c>
      <c r="AX74" s="315" t="s">
        <v>150</v>
      </c>
      <c r="AY74" s="315" t="s">
        <v>148</v>
      </c>
      <c r="AZ74" s="315"/>
      <c r="BA74" s="315"/>
      <c r="BB74" s="316" t="s">
        <v>147</v>
      </c>
      <c r="BC74" s="314" t="s">
        <v>149</v>
      </c>
      <c r="BD74" s="315" t="s">
        <v>148</v>
      </c>
      <c r="BE74" s="315"/>
      <c r="BF74" s="315"/>
      <c r="BG74" s="316"/>
      <c r="BH74" s="314"/>
      <c r="BI74" s="315"/>
      <c r="BJ74" s="316"/>
      <c r="BK74" s="314"/>
      <c r="BL74" s="315"/>
      <c r="BM74" s="315"/>
      <c r="BN74" s="316"/>
      <c r="BO74" s="314" t="s">
        <v>148</v>
      </c>
      <c r="BP74" s="315" t="s">
        <v>148</v>
      </c>
      <c r="BQ74" s="315"/>
      <c r="BR74" s="315"/>
      <c r="BS74" s="315" t="s">
        <v>149</v>
      </c>
      <c r="BT74" s="315"/>
      <c r="BU74" s="315" t="s">
        <v>150</v>
      </c>
      <c r="BV74" s="316"/>
      <c r="BW74" s="314" t="s">
        <v>148</v>
      </c>
      <c r="BX74" s="315"/>
      <c r="BY74" s="315"/>
      <c r="BZ74" s="315" t="s">
        <v>148</v>
      </c>
      <c r="CA74" s="315" t="s">
        <v>147</v>
      </c>
      <c r="CB74" s="316"/>
      <c r="CC74" s="314"/>
      <c r="CD74" s="315" t="s">
        <v>147</v>
      </c>
      <c r="CE74" s="316"/>
      <c r="CF74" s="314"/>
      <c r="CG74" s="315"/>
      <c r="CH74" s="315"/>
      <c r="CI74" s="317"/>
      <c r="CK74" s="236">
        <f t="shared" si="25"/>
        <v>2</v>
      </c>
      <c r="CL74" s="237">
        <f t="shared" si="26"/>
        <v>6</v>
      </c>
      <c r="CM74" s="237">
        <f t="shared" si="27"/>
        <v>6</v>
      </c>
      <c r="CN74" s="237">
        <f t="shared" si="28"/>
        <v>2</v>
      </c>
      <c r="CO74" s="238" t="str">
        <f t="shared" si="29"/>
        <v/>
      </c>
      <c r="CQ74" s="236" t="str">
        <f>desired_skills(C74,"Organisatie / klantomgeving/COO - Infra","o")</f>
        <v/>
      </c>
      <c r="CR74" s="237" t="str">
        <f>desired_skills(C74,"Organisatie / klantomgeving/COO - Infra","j")</f>
        <v/>
      </c>
      <c r="CS74" s="237" t="str">
        <f>desired_skills(C74,"Organisatie / klantomgeving/COO - Infra","m")</f>
        <v/>
      </c>
      <c r="CT74" s="237" t="str">
        <f>desired_skills(C74,"Organisatie / klantomgeving/COO - Infra","s")</f>
        <v/>
      </c>
      <c r="CU74" s="238" t="str">
        <f>desired_skills(C74,"Organisatie / klantomgeving/COO - Infra","e")</f>
        <v/>
      </c>
      <c r="CW74" s="236" t="str">
        <f>calc_gap('Matrix 171007_1827'!$CK$74,'Matrix 171007_1827'!$CQ$74)</f>
        <v/>
      </c>
      <c r="CX74" s="237" t="str">
        <f>calc_gap('Matrix 171007_1827'!$CL$74,'Matrix 171007_1827'!$CR$74)</f>
        <v/>
      </c>
      <c r="CY74" s="237" t="str">
        <f>calc_gap('Matrix 171007_1827'!$CM$74,'Matrix 171007_1827'!$CS$74)</f>
        <v/>
      </c>
      <c r="CZ74" s="237" t="str">
        <f>calc_gap('Matrix 171007_1827'!$CN$74,'Matrix 171007_1827'!$CT$74)</f>
        <v/>
      </c>
      <c r="DA74" s="238" t="str">
        <f>calc_gap('Matrix 171007_1827'!$CO$74,'Matrix 171007_1827'!$CU$74)</f>
        <v/>
      </c>
    </row>
    <row r="75" spans="2:105" x14ac:dyDescent="0.25">
      <c r="B75" s="435"/>
      <c r="C75" s="291" t="s">
        <v>113</v>
      </c>
      <c r="D75" s="314"/>
      <c r="E75" s="315"/>
      <c r="F75" s="315"/>
      <c r="G75" s="315"/>
      <c r="H75" s="315"/>
      <c r="I75" s="315"/>
      <c r="J75" s="315"/>
      <c r="K75" s="316"/>
      <c r="L75" s="314"/>
      <c r="M75" s="315"/>
      <c r="N75" s="315"/>
      <c r="O75" s="316"/>
      <c r="P75" s="314"/>
      <c r="Q75" s="315"/>
      <c r="R75" s="315"/>
      <c r="S75" s="315"/>
      <c r="T75" s="315"/>
      <c r="U75" s="315"/>
      <c r="V75" s="315"/>
      <c r="W75" s="315"/>
      <c r="X75" s="315"/>
      <c r="Y75" s="315"/>
      <c r="Z75" s="315"/>
      <c r="AA75" s="315"/>
      <c r="AB75" s="315"/>
      <c r="AC75" s="315"/>
      <c r="AD75" s="315"/>
      <c r="AE75" s="315"/>
      <c r="AF75" s="315"/>
      <c r="AG75" s="315"/>
      <c r="AH75" s="315"/>
      <c r="AI75" s="316"/>
      <c r="AJ75" s="314"/>
      <c r="AK75" s="315"/>
      <c r="AL75" s="316"/>
      <c r="AM75" s="314"/>
      <c r="AN75" s="315"/>
      <c r="AO75" s="316"/>
      <c r="AP75" s="314"/>
      <c r="AQ75" s="315"/>
      <c r="AR75" s="315"/>
      <c r="AS75" s="315"/>
      <c r="AT75" s="316"/>
      <c r="AU75" s="314" t="s">
        <v>148</v>
      </c>
      <c r="AV75" s="315" t="s">
        <v>150</v>
      </c>
      <c r="AW75" s="315" t="s">
        <v>147</v>
      </c>
      <c r="AX75" s="315" t="s">
        <v>150</v>
      </c>
      <c r="AY75" s="315" t="s">
        <v>150</v>
      </c>
      <c r="AZ75" s="315"/>
      <c r="BA75" s="315"/>
      <c r="BB75" s="316" t="s">
        <v>148</v>
      </c>
      <c r="BC75" s="314" t="s">
        <v>149</v>
      </c>
      <c r="BD75" s="315" t="s">
        <v>148</v>
      </c>
      <c r="BE75" s="315"/>
      <c r="BF75" s="315"/>
      <c r="BG75" s="316"/>
      <c r="BH75" s="314"/>
      <c r="BI75" s="315"/>
      <c r="BJ75" s="316"/>
      <c r="BK75" s="314"/>
      <c r="BL75" s="315"/>
      <c r="BM75" s="315"/>
      <c r="BN75" s="316"/>
      <c r="BO75" s="314" t="s">
        <v>148</v>
      </c>
      <c r="BP75" s="315" t="s">
        <v>148</v>
      </c>
      <c r="BQ75" s="315"/>
      <c r="BR75" s="315"/>
      <c r="BS75" s="315" t="s">
        <v>149</v>
      </c>
      <c r="BT75" s="315"/>
      <c r="BU75" s="315" t="s">
        <v>150</v>
      </c>
      <c r="BV75" s="316"/>
      <c r="BW75" s="314" t="s">
        <v>148</v>
      </c>
      <c r="BX75" s="315"/>
      <c r="BY75" s="315"/>
      <c r="BZ75" s="315" t="s">
        <v>148</v>
      </c>
      <c r="CA75" s="315" t="s">
        <v>147</v>
      </c>
      <c r="CB75" s="316"/>
      <c r="CC75" s="314"/>
      <c r="CD75" s="315" t="s">
        <v>147</v>
      </c>
      <c r="CE75" s="316"/>
      <c r="CF75" s="314"/>
      <c r="CG75" s="315"/>
      <c r="CH75" s="315"/>
      <c r="CI75" s="317"/>
      <c r="CK75" s="236">
        <f t="shared" si="25"/>
        <v>2</v>
      </c>
      <c r="CL75" s="237">
        <f t="shared" si="26"/>
        <v>3</v>
      </c>
      <c r="CM75" s="237">
        <f t="shared" si="27"/>
        <v>7</v>
      </c>
      <c r="CN75" s="237">
        <f t="shared" si="28"/>
        <v>4</v>
      </c>
      <c r="CO75" s="238" t="str">
        <f t="shared" si="29"/>
        <v/>
      </c>
      <c r="CQ75" s="236" t="str">
        <f>desired_skills(C75,"Organisatie / klantomgeving/COO - RRS","o")</f>
        <v/>
      </c>
      <c r="CR75" s="237" t="str">
        <f>desired_skills(C75,"Organisatie / klantomgeving/COO - RRS","j")</f>
        <v/>
      </c>
      <c r="CS75" s="237" t="str">
        <f>desired_skills(C75,"Organisatie / klantomgeving/COO - RRS","m")</f>
        <v/>
      </c>
      <c r="CT75" s="237" t="str">
        <f>desired_skills(C75,"Organisatie / klantomgeving/COO - RRS","s")</f>
        <v/>
      </c>
      <c r="CU75" s="238" t="str">
        <f>desired_skills(C75,"Organisatie / klantomgeving/COO - RRS","e")</f>
        <v/>
      </c>
      <c r="CW75" s="236" t="str">
        <f>calc_gap('Matrix 171007_1827'!$CK$75,'Matrix 171007_1827'!$CQ$75)</f>
        <v/>
      </c>
      <c r="CX75" s="237" t="str">
        <f>calc_gap('Matrix 171007_1827'!$CL$75,'Matrix 171007_1827'!$CR$75)</f>
        <v/>
      </c>
      <c r="CY75" s="237" t="str">
        <f>calc_gap('Matrix 171007_1827'!$CM$75,'Matrix 171007_1827'!$CS$75)</f>
        <v/>
      </c>
      <c r="CZ75" s="237" t="str">
        <f>calc_gap('Matrix 171007_1827'!$CN$75,'Matrix 171007_1827'!$CT$75)</f>
        <v/>
      </c>
      <c r="DA75" s="238" t="str">
        <f>calc_gap('Matrix 171007_1827'!$CO$75,'Matrix 171007_1827'!$CU$75)</f>
        <v/>
      </c>
    </row>
    <row r="76" spans="2:105" x14ac:dyDescent="0.25">
      <c r="B76" s="435"/>
      <c r="C76" s="291" t="s">
        <v>114</v>
      </c>
      <c r="D76" s="314"/>
      <c r="E76" s="315"/>
      <c r="F76" s="315"/>
      <c r="G76" s="315"/>
      <c r="H76" s="315"/>
      <c r="I76" s="315"/>
      <c r="J76" s="315"/>
      <c r="K76" s="316"/>
      <c r="L76" s="314"/>
      <c r="M76" s="315"/>
      <c r="N76" s="315"/>
      <c r="O76" s="316"/>
      <c r="P76" s="314"/>
      <c r="Q76" s="315"/>
      <c r="R76" s="315"/>
      <c r="S76" s="315"/>
      <c r="T76" s="315"/>
      <c r="U76" s="315"/>
      <c r="V76" s="315"/>
      <c r="W76" s="315"/>
      <c r="X76" s="315"/>
      <c r="Y76" s="315"/>
      <c r="Z76" s="315"/>
      <c r="AA76" s="315"/>
      <c r="AB76" s="315"/>
      <c r="AC76" s="315"/>
      <c r="AD76" s="315"/>
      <c r="AE76" s="315"/>
      <c r="AF76" s="315"/>
      <c r="AG76" s="315"/>
      <c r="AH76" s="315"/>
      <c r="AI76" s="316"/>
      <c r="AJ76" s="314"/>
      <c r="AK76" s="315"/>
      <c r="AL76" s="316"/>
      <c r="AM76" s="314"/>
      <c r="AN76" s="315"/>
      <c r="AO76" s="316"/>
      <c r="AP76" s="314"/>
      <c r="AQ76" s="315"/>
      <c r="AR76" s="315"/>
      <c r="AS76" s="315"/>
      <c r="AT76" s="316"/>
      <c r="AU76" s="314" t="s">
        <v>148</v>
      </c>
      <c r="AV76" s="315" t="s">
        <v>150</v>
      </c>
      <c r="AW76" s="315" t="s">
        <v>150</v>
      </c>
      <c r="AX76" s="315" t="s">
        <v>150</v>
      </c>
      <c r="AY76" s="315" t="s">
        <v>150</v>
      </c>
      <c r="AZ76" s="315" t="s">
        <v>148</v>
      </c>
      <c r="BA76" s="315"/>
      <c r="BB76" s="316" t="s">
        <v>150</v>
      </c>
      <c r="BC76" s="314" t="s">
        <v>148</v>
      </c>
      <c r="BD76" s="315" t="s">
        <v>150</v>
      </c>
      <c r="BE76" s="315"/>
      <c r="BF76" s="315"/>
      <c r="BG76" s="316"/>
      <c r="BH76" s="314"/>
      <c r="BI76" s="315"/>
      <c r="BJ76" s="316"/>
      <c r="BK76" s="314"/>
      <c r="BL76" s="315"/>
      <c r="BM76" s="315"/>
      <c r="BN76" s="316"/>
      <c r="BO76" s="314" t="s">
        <v>148</v>
      </c>
      <c r="BP76" s="315" t="s">
        <v>148</v>
      </c>
      <c r="BQ76" s="315"/>
      <c r="BR76" s="315"/>
      <c r="BS76" s="315" t="s">
        <v>149</v>
      </c>
      <c r="BT76" s="315"/>
      <c r="BU76" s="315" t="s">
        <v>150</v>
      </c>
      <c r="BV76" s="316"/>
      <c r="BW76" s="314" t="s">
        <v>150</v>
      </c>
      <c r="BX76" s="315"/>
      <c r="BY76" s="315"/>
      <c r="BZ76" s="315" t="s">
        <v>150</v>
      </c>
      <c r="CA76" s="315" t="s">
        <v>147</v>
      </c>
      <c r="CB76" s="316" t="s">
        <v>147</v>
      </c>
      <c r="CC76" s="314"/>
      <c r="CD76" s="315" t="s">
        <v>147</v>
      </c>
      <c r="CE76" s="316"/>
      <c r="CF76" s="314"/>
      <c r="CG76" s="315"/>
      <c r="CH76" s="315"/>
      <c r="CI76" s="317"/>
      <c r="CK76" s="236">
        <f t="shared" si="25"/>
        <v>1</v>
      </c>
      <c r="CL76" s="237">
        <f t="shared" si="26"/>
        <v>3</v>
      </c>
      <c r="CM76" s="237">
        <f t="shared" si="27"/>
        <v>5</v>
      </c>
      <c r="CN76" s="237">
        <f t="shared" si="28"/>
        <v>9</v>
      </c>
      <c r="CO76" s="238" t="str">
        <f t="shared" si="29"/>
        <v/>
      </c>
      <c r="CQ76" s="236" t="str">
        <f>desired_skills(C76,"Organisatie / klantomgeving/COO - IAM","o")</f>
        <v/>
      </c>
      <c r="CR76" s="237" t="str">
        <f>desired_skills(C76,"Organisatie / klantomgeving/COO - IAM","j")</f>
        <v/>
      </c>
      <c r="CS76" s="237" t="str">
        <f>desired_skills(C76,"Organisatie / klantomgeving/COO - IAM","m")</f>
        <v/>
      </c>
      <c r="CT76" s="237" t="str">
        <f>desired_skills(C76,"Organisatie / klantomgeving/COO - IAM","s")</f>
        <v/>
      </c>
      <c r="CU76" s="238" t="str">
        <f>desired_skills(C76,"Organisatie / klantomgeving/COO - IAM","e")</f>
        <v/>
      </c>
      <c r="CW76" s="236" t="str">
        <f>calc_gap('Matrix 171007_1827'!$CK$76,'Matrix 171007_1827'!$CQ$76)</f>
        <v/>
      </c>
      <c r="CX76" s="237" t="str">
        <f>calc_gap('Matrix 171007_1827'!$CL$76,'Matrix 171007_1827'!$CR$76)</f>
        <v/>
      </c>
      <c r="CY76" s="237" t="str">
        <f>calc_gap('Matrix 171007_1827'!$CM$76,'Matrix 171007_1827'!$CS$76)</f>
        <v/>
      </c>
      <c r="CZ76" s="237" t="str">
        <f>calc_gap('Matrix 171007_1827'!$CN$76,'Matrix 171007_1827'!$CT$76)</f>
        <v/>
      </c>
      <c r="DA76" s="238" t="str">
        <f>calc_gap('Matrix 171007_1827'!$CO$76,'Matrix 171007_1827'!$CU$76)</f>
        <v/>
      </c>
    </row>
    <row r="77" spans="2:105" x14ac:dyDescent="0.25">
      <c r="B77" s="435"/>
      <c r="C77" s="291" t="s">
        <v>115</v>
      </c>
      <c r="D77" s="314"/>
      <c r="E77" s="315"/>
      <c r="F77" s="315"/>
      <c r="G77" s="315"/>
      <c r="H77" s="315"/>
      <c r="I77" s="315"/>
      <c r="J77" s="315"/>
      <c r="K77" s="316"/>
      <c r="L77" s="314"/>
      <c r="M77" s="315"/>
      <c r="N77" s="315"/>
      <c r="O77" s="316"/>
      <c r="P77" s="314"/>
      <c r="Q77" s="315"/>
      <c r="R77" s="315"/>
      <c r="S77" s="315"/>
      <c r="T77" s="315"/>
      <c r="U77" s="315"/>
      <c r="V77" s="315"/>
      <c r="W77" s="315"/>
      <c r="X77" s="315"/>
      <c r="Y77" s="315"/>
      <c r="Z77" s="315"/>
      <c r="AA77" s="315"/>
      <c r="AB77" s="315"/>
      <c r="AC77" s="315"/>
      <c r="AD77" s="315"/>
      <c r="AE77" s="315"/>
      <c r="AF77" s="315"/>
      <c r="AG77" s="315"/>
      <c r="AH77" s="315"/>
      <c r="AI77" s="316"/>
      <c r="AJ77" s="314"/>
      <c r="AK77" s="315"/>
      <c r="AL77" s="316"/>
      <c r="AM77" s="314"/>
      <c r="AN77" s="315"/>
      <c r="AO77" s="316"/>
      <c r="AP77" s="314"/>
      <c r="AQ77" s="315"/>
      <c r="AR77" s="315"/>
      <c r="AS77" s="315"/>
      <c r="AT77" s="316"/>
      <c r="AU77" s="314" t="s">
        <v>47</v>
      </c>
      <c r="AV77" s="315" t="s">
        <v>148</v>
      </c>
      <c r="AW77" s="315" t="s">
        <v>148</v>
      </c>
      <c r="AX77" s="315" t="s">
        <v>150</v>
      </c>
      <c r="AY77" s="315" t="s">
        <v>150</v>
      </c>
      <c r="AZ77" s="315" t="s">
        <v>148</v>
      </c>
      <c r="BA77" s="315" t="s">
        <v>148</v>
      </c>
      <c r="BB77" s="316" t="s">
        <v>148</v>
      </c>
      <c r="BC77" s="314" t="s">
        <v>148</v>
      </c>
      <c r="BD77" s="315" t="s">
        <v>148</v>
      </c>
      <c r="BE77" s="315"/>
      <c r="BF77" s="315"/>
      <c r="BG77" s="316"/>
      <c r="BH77" s="314"/>
      <c r="BI77" s="315" t="s">
        <v>148</v>
      </c>
      <c r="BJ77" s="316"/>
      <c r="BK77" s="314" t="s">
        <v>148</v>
      </c>
      <c r="BL77" s="315" t="s">
        <v>148</v>
      </c>
      <c r="BM77" s="315"/>
      <c r="BN77" s="316"/>
      <c r="BO77" s="314" t="s">
        <v>148</v>
      </c>
      <c r="BP77" s="315" t="s">
        <v>148</v>
      </c>
      <c r="BQ77" s="315"/>
      <c r="BR77" s="315"/>
      <c r="BS77" s="315" t="s">
        <v>149</v>
      </c>
      <c r="BT77" s="315" t="s">
        <v>147</v>
      </c>
      <c r="BU77" s="315" t="s">
        <v>150</v>
      </c>
      <c r="BV77" s="316"/>
      <c r="BW77" s="314" t="s">
        <v>148</v>
      </c>
      <c r="BX77" s="315"/>
      <c r="BY77" s="315" t="s">
        <v>147</v>
      </c>
      <c r="BZ77" s="315" t="s">
        <v>150</v>
      </c>
      <c r="CA77" s="315" t="s">
        <v>147</v>
      </c>
      <c r="CB77" s="316" t="s">
        <v>147</v>
      </c>
      <c r="CC77" s="314" t="s">
        <v>147</v>
      </c>
      <c r="CD77" s="315" t="s">
        <v>148</v>
      </c>
      <c r="CE77" s="316"/>
      <c r="CF77" s="314"/>
      <c r="CG77" s="315"/>
      <c r="CH77" s="315"/>
      <c r="CI77" s="317"/>
      <c r="CK77" s="236">
        <f t="shared" si="25"/>
        <v>1</v>
      </c>
      <c r="CL77" s="237">
        <f t="shared" si="26"/>
        <v>5</v>
      </c>
      <c r="CM77" s="237">
        <f t="shared" si="27"/>
        <v>14</v>
      </c>
      <c r="CN77" s="237">
        <f t="shared" si="28"/>
        <v>4</v>
      </c>
      <c r="CO77" s="238">
        <f t="shared" si="29"/>
        <v>1</v>
      </c>
      <c r="CQ77" s="236" t="str">
        <f>desired_skills(C77,"Organisatie / klantomgeving/HR (processen)","o")</f>
        <v/>
      </c>
      <c r="CR77" s="237" t="str">
        <f>desired_skills(C77,"Organisatie / klantomgeving/HR (processen)","j")</f>
        <v/>
      </c>
      <c r="CS77" s="237" t="str">
        <f>desired_skills(C77,"Organisatie / klantomgeving/HR (processen)","m")</f>
        <v/>
      </c>
      <c r="CT77" s="237" t="str">
        <f>desired_skills(C77,"Organisatie / klantomgeving/HR (processen)","s")</f>
        <v/>
      </c>
      <c r="CU77" s="238" t="str">
        <f>desired_skills(C77,"Organisatie / klantomgeving/HR (processen)","e")</f>
        <v/>
      </c>
      <c r="CW77" s="236" t="str">
        <f>calc_gap('Matrix 171007_1827'!$CK$77,'Matrix 171007_1827'!$CQ$77)</f>
        <v/>
      </c>
      <c r="CX77" s="237" t="str">
        <f>calc_gap('Matrix 171007_1827'!$CL$77,'Matrix 171007_1827'!$CR$77)</f>
        <v/>
      </c>
      <c r="CY77" s="237" t="str">
        <f>calc_gap('Matrix 171007_1827'!$CM$77,'Matrix 171007_1827'!$CS$77)</f>
        <v/>
      </c>
      <c r="CZ77" s="237" t="str">
        <f>calc_gap('Matrix 171007_1827'!$CN$77,'Matrix 171007_1827'!$CT$77)</f>
        <v/>
      </c>
      <c r="DA77" s="238" t="str">
        <f>calc_gap('Matrix 171007_1827'!$CO$77,'Matrix 171007_1827'!$CU$77)</f>
        <v/>
      </c>
    </row>
    <row r="78" spans="2:105" ht="15.75" thickBot="1" x14ac:dyDescent="0.3">
      <c r="B78" s="435"/>
      <c r="C78" s="292" t="s">
        <v>116</v>
      </c>
      <c r="D78" s="318"/>
      <c r="E78" s="319"/>
      <c r="F78" s="319"/>
      <c r="G78" s="319"/>
      <c r="H78" s="319"/>
      <c r="I78" s="319"/>
      <c r="J78" s="319"/>
      <c r="K78" s="320"/>
      <c r="L78" s="318"/>
      <c r="M78" s="319"/>
      <c r="N78" s="319"/>
      <c r="O78" s="320"/>
      <c r="P78" s="318"/>
      <c r="Q78" s="319"/>
      <c r="R78" s="319"/>
      <c r="S78" s="319"/>
      <c r="T78" s="319"/>
      <c r="U78" s="319"/>
      <c r="V78" s="319"/>
      <c r="W78" s="319"/>
      <c r="X78" s="319"/>
      <c r="Y78" s="319"/>
      <c r="Z78" s="319"/>
      <c r="AA78" s="319"/>
      <c r="AB78" s="319"/>
      <c r="AC78" s="319"/>
      <c r="AD78" s="319"/>
      <c r="AE78" s="319"/>
      <c r="AF78" s="319"/>
      <c r="AG78" s="319"/>
      <c r="AH78" s="319"/>
      <c r="AI78" s="320"/>
      <c r="AJ78" s="318"/>
      <c r="AK78" s="319"/>
      <c r="AL78" s="320"/>
      <c r="AM78" s="318"/>
      <c r="AN78" s="319"/>
      <c r="AO78" s="320"/>
      <c r="AP78" s="318"/>
      <c r="AQ78" s="319"/>
      <c r="AR78" s="319"/>
      <c r="AS78" s="319"/>
      <c r="AT78" s="320"/>
      <c r="AU78" s="318" t="s">
        <v>148</v>
      </c>
      <c r="AV78" s="319" t="s">
        <v>47</v>
      </c>
      <c r="AW78" s="319" t="s">
        <v>150</v>
      </c>
      <c r="AX78" s="319" t="s">
        <v>150</v>
      </c>
      <c r="AY78" s="319" t="s">
        <v>150</v>
      </c>
      <c r="AZ78" s="319" t="s">
        <v>147</v>
      </c>
      <c r="BA78" s="319" t="s">
        <v>148</v>
      </c>
      <c r="BB78" s="320" t="s">
        <v>150</v>
      </c>
      <c r="BC78" s="318" t="s">
        <v>147</v>
      </c>
      <c r="BD78" s="319" t="s">
        <v>148</v>
      </c>
      <c r="BE78" s="319"/>
      <c r="BF78" s="319" t="s">
        <v>147</v>
      </c>
      <c r="BG78" s="320"/>
      <c r="BH78" s="318"/>
      <c r="BI78" s="319"/>
      <c r="BJ78" s="320"/>
      <c r="BK78" s="318" t="s">
        <v>148</v>
      </c>
      <c r="BL78" s="319" t="s">
        <v>148</v>
      </c>
      <c r="BM78" s="319"/>
      <c r="BN78" s="320" t="s">
        <v>149</v>
      </c>
      <c r="BO78" s="318" t="s">
        <v>147</v>
      </c>
      <c r="BP78" s="319" t="s">
        <v>148</v>
      </c>
      <c r="BQ78" s="319" t="s">
        <v>148</v>
      </c>
      <c r="BR78" s="319"/>
      <c r="BS78" s="319" t="s">
        <v>149</v>
      </c>
      <c r="BT78" s="319" t="s">
        <v>148</v>
      </c>
      <c r="BU78" s="319" t="s">
        <v>150</v>
      </c>
      <c r="BV78" s="320"/>
      <c r="BW78" s="318" t="s">
        <v>150</v>
      </c>
      <c r="BX78" s="319"/>
      <c r="BY78" s="319" t="s">
        <v>150</v>
      </c>
      <c r="BZ78" s="319" t="s">
        <v>150</v>
      </c>
      <c r="CA78" s="319" t="s">
        <v>150</v>
      </c>
      <c r="CB78" s="320" t="s">
        <v>150</v>
      </c>
      <c r="CC78" s="318" t="s">
        <v>147</v>
      </c>
      <c r="CD78" s="319" t="s">
        <v>148</v>
      </c>
      <c r="CE78" s="320"/>
      <c r="CF78" s="318"/>
      <c r="CG78" s="319"/>
      <c r="CH78" s="319"/>
      <c r="CI78" s="321"/>
      <c r="CK78" s="239">
        <f t="shared" si="25"/>
        <v>2</v>
      </c>
      <c r="CL78" s="240">
        <f t="shared" si="26"/>
        <v>5</v>
      </c>
      <c r="CM78" s="240">
        <f t="shared" si="27"/>
        <v>9</v>
      </c>
      <c r="CN78" s="240">
        <f t="shared" si="28"/>
        <v>10</v>
      </c>
      <c r="CO78" s="241">
        <f t="shared" si="29"/>
        <v>1</v>
      </c>
      <c r="CQ78" s="239" t="str">
        <f>desired_skills(C78,"Organisatie / klantomgeving/LEX-en","o")</f>
        <v/>
      </c>
      <c r="CR78" s="240" t="str">
        <f>desired_skills(C78,"Organisatie / klantomgeving/LEX-en","j")</f>
        <v/>
      </c>
      <c r="CS78" s="240" t="str">
        <f>desired_skills(C78,"Organisatie / klantomgeving/LEX-en","m")</f>
        <v/>
      </c>
      <c r="CT78" s="240" t="str">
        <f>desired_skills(C78,"Organisatie / klantomgeving/LEX-en","s")</f>
        <v/>
      </c>
      <c r="CU78" s="241" t="str">
        <f>desired_skills(C78,"Organisatie / klantomgeving/LEX-en","e")</f>
        <v/>
      </c>
      <c r="CW78" s="239" t="str">
        <f>calc_gap('Matrix 171007_1827'!$CK$78,'Matrix 171007_1827'!$CQ$78)</f>
        <v/>
      </c>
      <c r="CX78" s="240" t="str">
        <f>calc_gap('Matrix 171007_1827'!$CL$78,'Matrix 171007_1827'!$CR$78)</f>
        <v/>
      </c>
      <c r="CY78" s="240" t="str">
        <f>calc_gap('Matrix 171007_1827'!$CM$78,'Matrix 171007_1827'!$CS$78)</f>
        <v/>
      </c>
      <c r="CZ78" s="240" t="str">
        <f>calc_gap('Matrix 171007_1827'!$CN$78,'Matrix 171007_1827'!$CT$78)</f>
        <v/>
      </c>
      <c r="DA78" s="241" t="str">
        <f>calc_gap('Matrix 171007_1827'!$CO$78,'Matrix 171007_1827'!$CU$78)</f>
        <v/>
      </c>
    </row>
    <row r="79" spans="2:105" ht="12.75" customHeight="1" thickTop="1" thickBot="1" x14ac:dyDescent="0.3">
      <c r="B79" s="436"/>
      <c r="C79" s="248"/>
      <c r="D79" s="322"/>
      <c r="E79" s="322"/>
      <c r="F79" s="322"/>
      <c r="G79" s="322"/>
      <c r="H79" s="322"/>
      <c r="I79" s="322"/>
      <c r="J79" s="322"/>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c r="BG79" s="322"/>
      <c r="BH79" s="322"/>
      <c r="BI79" s="322"/>
      <c r="BJ79" s="322"/>
      <c r="BK79" s="322"/>
      <c r="BL79" s="322"/>
      <c r="BM79" s="322"/>
      <c r="BN79" s="322"/>
      <c r="BO79" s="322"/>
      <c r="BP79" s="322"/>
      <c r="BQ79" s="322"/>
      <c r="BR79" s="322"/>
      <c r="BS79" s="322"/>
      <c r="BT79" s="322"/>
      <c r="BU79" s="322"/>
      <c r="BV79" s="322"/>
      <c r="BW79" s="322"/>
      <c r="BX79" s="322"/>
      <c r="BY79" s="322"/>
      <c r="BZ79" s="322"/>
      <c r="CA79" s="322"/>
      <c r="CB79" s="322"/>
      <c r="CC79" s="322"/>
      <c r="CD79" s="322"/>
      <c r="CE79" s="322"/>
      <c r="CF79" s="322"/>
      <c r="CG79" s="322"/>
      <c r="CH79" s="322"/>
      <c r="CI79" s="322"/>
      <c r="CK79" s="249"/>
      <c r="CL79" s="249"/>
      <c r="CM79" s="249"/>
      <c r="CN79" s="249"/>
      <c r="CO79" s="249"/>
      <c r="CQ79" s="249"/>
      <c r="CR79" s="249"/>
      <c r="CS79" s="249"/>
      <c r="CT79" s="249"/>
      <c r="CU79" s="249"/>
      <c r="CW79" s="249"/>
      <c r="CX79" s="249"/>
      <c r="CY79" s="249"/>
      <c r="CZ79" s="249"/>
      <c r="DA79" s="249"/>
    </row>
    <row r="80" spans="2:105" ht="15.75" thickTop="1" x14ac:dyDescent="0.25">
      <c r="B80" s="434" t="s">
        <v>267</v>
      </c>
      <c r="C80" s="290" t="s">
        <v>269</v>
      </c>
      <c r="D80" s="310"/>
      <c r="E80" s="311"/>
      <c r="F80" s="311"/>
      <c r="G80" s="311"/>
      <c r="H80" s="311"/>
      <c r="I80" s="311"/>
      <c r="J80" s="311"/>
      <c r="K80" s="312"/>
      <c r="L80" s="310"/>
      <c r="M80" s="311"/>
      <c r="N80" s="311"/>
      <c r="O80" s="312"/>
      <c r="P80" s="310"/>
      <c r="Q80" s="311"/>
      <c r="R80" s="311"/>
      <c r="S80" s="311"/>
      <c r="T80" s="311"/>
      <c r="U80" s="311"/>
      <c r="V80" s="311"/>
      <c r="W80" s="311"/>
      <c r="X80" s="311"/>
      <c r="Y80" s="311"/>
      <c r="Z80" s="311"/>
      <c r="AA80" s="311"/>
      <c r="AB80" s="311"/>
      <c r="AC80" s="311"/>
      <c r="AD80" s="311"/>
      <c r="AE80" s="311"/>
      <c r="AF80" s="311"/>
      <c r="AG80" s="311"/>
      <c r="AH80" s="311"/>
      <c r="AI80" s="312"/>
      <c r="AJ80" s="310"/>
      <c r="AK80" s="311"/>
      <c r="AL80" s="312"/>
      <c r="AM80" s="310"/>
      <c r="AN80" s="311"/>
      <c r="AO80" s="312"/>
      <c r="AP80" s="310"/>
      <c r="AQ80" s="311"/>
      <c r="AR80" s="311"/>
      <c r="AS80" s="311"/>
      <c r="AT80" s="312"/>
      <c r="AU80" s="310"/>
      <c r="AV80" s="311"/>
      <c r="AW80" s="311"/>
      <c r="AX80" s="311"/>
      <c r="AY80" s="311"/>
      <c r="AZ80" s="311"/>
      <c r="BA80" s="311"/>
      <c r="BB80" s="312"/>
      <c r="BC80" s="310"/>
      <c r="BD80" s="311"/>
      <c r="BE80" s="311"/>
      <c r="BF80" s="311"/>
      <c r="BG80" s="312"/>
      <c r="BH80" s="310"/>
      <c r="BI80" s="311"/>
      <c r="BJ80" s="312"/>
      <c r="BK80" s="310"/>
      <c r="BL80" s="311"/>
      <c r="BM80" s="311"/>
      <c r="BN80" s="312"/>
      <c r="BO80" s="310"/>
      <c r="BP80" s="311"/>
      <c r="BQ80" s="311"/>
      <c r="BR80" s="311"/>
      <c r="BS80" s="311"/>
      <c r="BT80" s="311"/>
      <c r="BU80" s="311"/>
      <c r="BV80" s="312"/>
      <c r="BW80" s="310"/>
      <c r="BX80" s="311"/>
      <c r="BY80" s="311"/>
      <c r="BZ80" s="311"/>
      <c r="CA80" s="311"/>
      <c r="CB80" s="312"/>
      <c r="CC80" s="310"/>
      <c r="CD80" s="311"/>
      <c r="CE80" s="312"/>
      <c r="CF80" s="310"/>
      <c r="CG80" s="311"/>
      <c r="CH80" s="311"/>
      <c r="CI80" s="313"/>
      <c r="CK80" s="233" t="str">
        <f t="shared" ref="CK80:CK94" si="30">IF(COUNTIF(D80:CI80,"o")&gt;0,COUNTIF(D80:CI80,"o"),"")</f>
        <v/>
      </c>
      <c r="CL80" s="234" t="str">
        <f t="shared" ref="CL80:CL94" si="31">IF(COUNTIF(D80:CI80,"j")&gt;0,COUNTIF(D80:CI80,"j"),"")</f>
        <v/>
      </c>
      <c r="CM80" s="234" t="str">
        <f t="shared" ref="CM80:CM94" si="32">IF(COUNTIF(D80:CI80,"m")&gt;0,COUNTIF(D80:CI80,"m"),"")</f>
        <v/>
      </c>
      <c r="CN80" s="234" t="str">
        <f t="shared" ref="CN80:CN94" si="33">IF(COUNTIF(D80:CI80,"s")&gt;0,COUNTIF(D80:CI80,"s"),"")</f>
        <v/>
      </c>
      <c r="CO80" s="235" t="str">
        <f t="shared" ref="CO80:CO94" si="34">IF(COUNTIF(D80:CI80,"e")&gt;0,COUNTIF(D80:CI80,"e"),"")</f>
        <v/>
      </c>
      <c r="CQ80" s="233" t="str">
        <f>desired_skills(C80,"Extra vaardigheden/Vormgeving/ontwerpen","o")</f>
        <v/>
      </c>
      <c r="CR80" s="234" t="str">
        <f>desired_skills(C80,"Extra vaardigheden/Vormgeving/ontwerpen","j")</f>
        <v/>
      </c>
      <c r="CS80" s="234" t="str">
        <f>desired_skills(C80,"Extra vaardigheden/Vormgeving/ontwerpen","m")</f>
        <v/>
      </c>
      <c r="CT80" s="234" t="str">
        <f>desired_skills(C80,"Extra vaardigheden/Vormgeving/ontwerpen","s")</f>
        <v/>
      </c>
      <c r="CU80" s="235" t="str">
        <f>desired_skills(C80,"Extra vaardigheden/Vormgeving/ontwerpen","e")</f>
        <v/>
      </c>
      <c r="CW80" s="233" t="str">
        <f>calc_gap('Matrix 171007_1827'!$CK$80,'Matrix 171007_1827'!$CQ$80)</f>
        <v/>
      </c>
      <c r="CX80" s="234" t="str">
        <f>calc_gap('Matrix 171007_1827'!$CL$80,'Matrix 171007_1827'!$CR$80)</f>
        <v/>
      </c>
      <c r="CY80" s="234" t="str">
        <f>calc_gap('Matrix 171007_1827'!$CM$80,'Matrix 171007_1827'!$CS$80)</f>
        <v/>
      </c>
      <c r="CZ80" s="234" t="str">
        <f>calc_gap('Matrix 171007_1827'!$CN$80,'Matrix 171007_1827'!$CT$80)</f>
        <v/>
      </c>
      <c r="DA80" s="235" t="str">
        <f>calc_gap('Matrix 171007_1827'!$CO$80,'Matrix 171007_1827'!$CU$80)</f>
        <v/>
      </c>
    </row>
    <row r="81" spans="2:105" x14ac:dyDescent="0.25">
      <c r="B81" s="435"/>
      <c r="C81" s="291" t="s">
        <v>270</v>
      </c>
      <c r="D81" s="314"/>
      <c r="E81" s="315"/>
      <c r="F81" s="315"/>
      <c r="G81" s="315"/>
      <c r="H81" s="315"/>
      <c r="I81" s="315"/>
      <c r="J81" s="315"/>
      <c r="K81" s="316"/>
      <c r="L81" s="314"/>
      <c r="M81" s="315"/>
      <c r="N81" s="315"/>
      <c r="O81" s="316"/>
      <c r="P81" s="314"/>
      <c r="Q81" s="315"/>
      <c r="R81" s="315"/>
      <c r="S81" s="315"/>
      <c r="T81" s="315"/>
      <c r="U81" s="315"/>
      <c r="V81" s="315"/>
      <c r="W81" s="315"/>
      <c r="X81" s="315"/>
      <c r="Y81" s="315"/>
      <c r="Z81" s="315"/>
      <c r="AA81" s="315"/>
      <c r="AB81" s="315"/>
      <c r="AC81" s="315"/>
      <c r="AD81" s="315"/>
      <c r="AE81" s="315"/>
      <c r="AF81" s="315"/>
      <c r="AG81" s="315"/>
      <c r="AH81" s="315"/>
      <c r="AI81" s="316"/>
      <c r="AJ81" s="314"/>
      <c r="AK81" s="315"/>
      <c r="AL81" s="316"/>
      <c r="AM81" s="314"/>
      <c r="AN81" s="315"/>
      <c r="AO81" s="316"/>
      <c r="AP81" s="314"/>
      <c r="AQ81" s="315"/>
      <c r="AR81" s="315"/>
      <c r="AS81" s="315"/>
      <c r="AT81" s="316"/>
      <c r="AU81" s="314"/>
      <c r="AV81" s="315"/>
      <c r="AW81" s="315"/>
      <c r="AX81" s="315"/>
      <c r="AY81" s="315"/>
      <c r="AZ81" s="315"/>
      <c r="BA81" s="315"/>
      <c r="BB81" s="316"/>
      <c r="BC81" s="314"/>
      <c r="BD81" s="315"/>
      <c r="BE81" s="315"/>
      <c r="BF81" s="315"/>
      <c r="BG81" s="316"/>
      <c r="BH81" s="314"/>
      <c r="BI81" s="315"/>
      <c r="BJ81" s="316"/>
      <c r="BK81" s="314"/>
      <c r="BL81" s="315"/>
      <c r="BM81" s="315"/>
      <c r="BN81" s="316"/>
      <c r="BO81" s="314"/>
      <c r="BP81" s="315"/>
      <c r="BQ81" s="315"/>
      <c r="BR81" s="315"/>
      <c r="BS81" s="315"/>
      <c r="BT81" s="315"/>
      <c r="BU81" s="315"/>
      <c r="BV81" s="316"/>
      <c r="BW81" s="314"/>
      <c r="BX81" s="315"/>
      <c r="BY81" s="315"/>
      <c r="BZ81" s="315"/>
      <c r="CA81" s="315"/>
      <c r="CB81" s="316"/>
      <c r="CC81" s="314"/>
      <c r="CD81" s="315"/>
      <c r="CE81" s="316"/>
      <c r="CF81" s="314"/>
      <c r="CG81" s="315"/>
      <c r="CH81" s="315"/>
      <c r="CI81" s="317"/>
      <c r="CK81" s="236" t="str">
        <f t="shared" si="30"/>
        <v/>
      </c>
      <c r="CL81" s="237" t="str">
        <f t="shared" si="31"/>
        <v/>
      </c>
      <c r="CM81" s="237" t="str">
        <f t="shared" si="32"/>
        <v/>
      </c>
      <c r="CN81" s="237" t="str">
        <f t="shared" si="33"/>
        <v/>
      </c>
      <c r="CO81" s="238" t="str">
        <f t="shared" si="34"/>
        <v/>
      </c>
      <c r="CQ81" s="236" t="str">
        <f>desired_skills(C81,"Extra vaardigheden/Organiseren","o")</f>
        <v/>
      </c>
      <c r="CR81" s="237" t="str">
        <f>desired_skills(C81,"Extra vaardigheden/Organiseren","j")</f>
        <v/>
      </c>
      <c r="CS81" s="237" t="str">
        <f>desired_skills(C81,"Extra vaardigheden/Organiseren","m")</f>
        <v/>
      </c>
      <c r="CT81" s="237" t="str">
        <f>desired_skills(C81,"Extra vaardigheden/Organiseren","s")</f>
        <v/>
      </c>
      <c r="CU81" s="238" t="str">
        <f>desired_skills(C81,"Extra vaardigheden/Organiseren","e")</f>
        <v/>
      </c>
      <c r="CW81" s="236" t="str">
        <f>calc_gap('Matrix 171007_1827'!$CK$81,'Matrix 171007_1827'!$CQ$81)</f>
        <v/>
      </c>
      <c r="CX81" s="237" t="str">
        <f>calc_gap('Matrix 171007_1827'!$CL$81,'Matrix 171007_1827'!$CR$81)</f>
        <v/>
      </c>
      <c r="CY81" s="237" t="str">
        <f>calc_gap('Matrix 171007_1827'!$CM$81,'Matrix 171007_1827'!$CS$81)</f>
        <v/>
      </c>
      <c r="CZ81" s="237" t="str">
        <f>calc_gap('Matrix 171007_1827'!$CN$81,'Matrix 171007_1827'!$CT$81)</f>
        <v/>
      </c>
      <c r="DA81" s="238" t="str">
        <f>calc_gap('Matrix 171007_1827'!$CO$81,'Matrix 171007_1827'!$CU$81)</f>
        <v/>
      </c>
    </row>
    <row r="82" spans="2:105" x14ac:dyDescent="0.25">
      <c r="B82" s="435"/>
      <c r="C82" s="291" t="s">
        <v>271</v>
      </c>
      <c r="D82" s="314"/>
      <c r="E82" s="315"/>
      <c r="F82" s="315"/>
      <c r="G82" s="315"/>
      <c r="H82" s="315"/>
      <c r="I82" s="315"/>
      <c r="J82" s="315"/>
      <c r="K82" s="316"/>
      <c r="L82" s="314"/>
      <c r="M82" s="315"/>
      <c r="N82" s="315"/>
      <c r="O82" s="316"/>
      <c r="P82" s="314"/>
      <c r="Q82" s="315"/>
      <c r="R82" s="315"/>
      <c r="S82" s="315"/>
      <c r="T82" s="315"/>
      <c r="U82" s="315"/>
      <c r="V82" s="315"/>
      <c r="W82" s="315"/>
      <c r="X82" s="315"/>
      <c r="Y82" s="315"/>
      <c r="Z82" s="315"/>
      <c r="AA82" s="315"/>
      <c r="AB82" s="315"/>
      <c r="AC82" s="315"/>
      <c r="AD82" s="315"/>
      <c r="AE82" s="315"/>
      <c r="AF82" s="315"/>
      <c r="AG82" s="315"/>
      <c r="AH82" s="315"/>
      <c r="AI82" s="316"/>
      <c r="AJ82" s="314"/>
      <c r="AK82" s="315"/>
      <c r="AL82" s="316"/>
      <c r="AM82" s="314"/>
      <c r="AN82" s="315"/>
      <c r="AO82" s="316"/>
      <c r="AP82" s="314"/>
      <c r="AQ82" s="315"/>
      <c r="AR82" s="315"/>
      <c r="AS82" s="315"/>
      <c r="AT82" s="316"/>
      <c r="AU82" s="314"/>
      <c r="AV82" s="315"/>
      <c r="AW82" s="315"/>
      <c r="AX82" s="315"/>
      <c r="AY82" s="315"/>
      <c r="AZ82" s="315"/>
      <c r="BA82" s="315"/>
      <c r="BB82" s="316"/>
      <c r="BC82" s="314"/>
      <c r="BD82" s="315"/>
      <c r="BE82" s="315"/>
      <c r="BF82" s="315"/>
      <c r="BG82" s="316"/>
      <c r="BH82" s="314"/>
      <c r="BI82" s="315"/>
      <c r="BJ82" s="316"/>
      <c r="BK82" s="314"/>
      <c r="BL82" s="315"/>
      <c r="BM82" s="315"/>
      <c r="BN82" s="316"/>
      <c r="BO82" s="314"/>
      <c r="BP82" s="315"/>
      <c r="BQ82" s="315"/>
      <c r="BR82" s="315"/>
      <c r="BS82" s="315"/>
      <c r="BT82" s="315"/>
      <c r="BU82" s="315"/>
      <c r="BV82" s="316"/>
      <c r="BW82" s="314"/>
      <c r="BX82" s="315"/>
      <c r="BY82" s="315"/>
      <c r="BZ82" s="315"/>
      <c r="CA82" s="315"/>
      <c r="CB82" s="316"/>
      <c r="CC82" s="314"/>
      <c r="CD82" s="315"/>
      <c r="CE82" s="316"/>
      <c r="CF82" s="314"/>
      <c r="CG82" s="315"/>
      <c r="CH82" s="315"/>
      <c r="CI82" s="317"/>
      <c r="CK82" s="236" t="str">
        <f t="shared" si="30"/>
        <v/>
      </c>
      <c r="CL82" s="237" t="str">
        <f t="shared" si="31"/>
        <v/>
      </c>
      <c r="CM82" s="237" t="str">
        <f t="shared" si="32"/>
        <v/>
      </c>
      <c r="CN82" s="237" t="str">
        <f t="shared" si="33"/>
        <v/>
      </c>
      <c r="CO82" s="238" t="str">
        <f t="shared" si="34"/>
        <v/>
      </c>
      <c r="CQ82" s="236" t="str">
        <f>desired_skills(C82,"Extra vaardigheden/Fotografie","o")</f>
        <v/>
      </c>
      <c r="CR82" s="237" t="str">
        <f>desired_skills(C82,"Extra vaardigheden/Fotografie","j")</f>
        <v/>
      </c>
      <c r="CS82" s="237" t="str">
        <f>desired_skills(C82,"Extra vaardigheden/Fotografie","m")</f>
        <v/>
      </c>
      <c r="CT82" s="237" t="str">
        <f>desired_skills(C82,"Extra vaardigheden/Fotografie","s")</f>
        <v/>
      </c>
      <c r="CU82" s="238" t="str">
        <f>desired_skills(C82,"Extra vaardigheden/Fotografie","e")</f>
        <v/>
      </c>
      <c r="CW82" s="236" t="str">
        <f>calc_gap('Matrix 171007_1827'!$CK$82,'Matrix 171007_1827'!$CQ$82)</f>
        <v/>
      </c>
      <c r="CX82" s="237" t="str">
        <f>calc_gap('Matrix 171007_1827'!$CL$82,'Matrix 171007_1827'!$CR$82)</f>
        <v/>
      </c>
      <c r="CY82" s="237" t="str">
        <f>calc_gap('Matrix 171007_1827'!$CM$82,'Matrix 171007_1827'!$CS$82)</f>
        <v/>
      </c>
      <c r="CZ82" s="237" t="str">
        <f>calc_gap('Matrix 171007_1827'!$CN$82,'Matrix 171007_1827'!$CT$82)</f>
        <v/>
      </c>
      <c r="DA82" s="238" t="str">
        <f>calc_gap('Matrix 171007_1827'!$CO$82,'Matrix 171007_1827'!$CU$82)</f>
        <v/>
      </c>
    </row>
    <row r="83" spans="2:105" x14ac:dyDescent="0.25">
      <c r="B83" s="435"/>
      <c r="C83" s="291" t="s">
        <v>272</v>
      </c>
      <c r="D83" s="314"/>
      <c r="E83" s="315"/>
      <c r="F83" s="315"/>
      <c r="G83" s="315"/>
      <c r="H83" s="315"/>
      <c r="I83" s="315"/>
      <c r="J83" s="315"/>
      <c r="K83" s="316"/>
      <c r="L83" s="314"/>
      <c r="M83" s="315"/>
      <c r="N83" s="315"/>
      <c r="O83" s="316"/>
      <c r="P83" s="314"/>
      <c r="Q83" s="315"/>
      <c r="R83" s="315"/>
      <c r="S83" s="315"/>
      <c r="T83" s="315"/>
      <c r="U83" s="315"/>
      <c r="V83" s="315"/>
      <c r="W83" s="315"/>
      <c r="X83" s="315"/>
      <c r="Y83" s="315"/>
      <c r="Z83" s="315"/>
      <c r="AA83" s="315"/>
      <c r="AB83" s="315"/>
      <c r="AC83" s="315"/>
      <c r="AD83" s="315"/>
      <c r="AE83" s="315"/>
      <c r="AF83" s="315"/>
      <c r="AG83" s="315"/>
      <c r="AH83" s="315"/>
      <c r="AI83" s="316"/>
      <c r="AJ83" s="314"/>
      <c r="AK83" s="315"/>
      <c r="AL83" s="316"/>
      <c r="AM83" s="314"/>
      <c r="AN83" s="315"/>
      <c r="AO83" s="316"/>
      <c r="AP83" s="314"/>
      <c r="AQ83" s="315"/>
      <c r="AR83" s="315"/>
      <c r="AS83" s="315"/>
      <c r="AT83" s="316"/>
      <c r="AU83" s="314"/>
      <c r="AV83" s="315"/>
      <c r="AW83" s="315"/>
      <c r="AX83" s="315"/>
      <c r="AY83" s="315"/>
      <c r="AZ83" s="315"/>
      <c r="BA83" s="315"/>
      <c r="BB83" s="316"/>
      <c r="BC83" s="314"/>
      <c r="BD83" s="315"/>
      <c r="BE83" s="315"/>
      <c r="BF83" s="315"/>
      <c r="BG83" s="316"/>
      <c r="BH83" s="314"/>
      <c r="BI83" s="315"/>
      <c r="BJ83" s="316"/>
      <c r="BK83" s="314"/>
      <c r="BL83" s="315"/>
      <c r="BM83" s="315"/>
      <c r="BN83" s="316"/>
      <c r="BO83" s="314"/>
      <c r="BP83" s="315"/>
      <c r="BQ83" s="315"/>
      <c r="BR83" s="315"/>
      <c r="BS83" s="315"/>
      <c r="BT83" s="315"/>
      <c r="BU83" s="315"/>
      <c r="BV83" s="316"/>
      <c r="BW83" s="314"/>
      <c r="BX83" s="315"/>
      <c r="BY83" s="315"/>
      <c r="BZ83" s="315"/>
      <c r="CA83" s="315"/>
      <c r="CB83" s="316"/>
      <c r="CC83" s="314"/>
      <c r="CD83" s="315"/>
      <c r="CE83" s="316"/>
      <c r="CF83" s="314"/>
      <c r="CG83" s="315"/>
      <c r="CH83" s="315"/>
      <c r="CI83" s="317"/>
      <c r="CK83" s="236" t="str">
        <f t="shared" si="30"/>
        <v/>
      </c>
      <c r="CL83" s="237" t="str">
        <f t="shared" si="31"/>
        <v/>
      </c>
      <c r="CM83" s="237" t="str">
        <f t="shared" si="32"/>
        <v/>
      </c>
      <c r="CN83" s="237" t="str">
        <f t="shared" si="33"/>
        <v/>
      </c>
      <c r="CO83" s="238" t="str">
        <f t="shared" si="34"/>
        <v/>
      </c>
      <c r="CQ83" s="236" t="str">
        <f>desired_skills(C83,"Extra vaardigheden/Tekenen","o")</f>
        <v/>
      </c>
      <c r="CR83" s="237" t="str">
        <f>desired_skills(C83,"Extra vaardigheden/Tekenen","j")</f>
        <v/>
      </c>
      <c r="CS83" s="237" t="str">
        <f>desired_skills(C83,"Extra vaardigheden/Tekenen","m")</f>
        <v/>
      </c>
      <c r="CT83" s="237" t="str">
        <f>desired_skills(C83,"Extra vaardigheden/Tekenen","s")</f>
        <v/>
      </c>
      <c r="CU83" s="238" t="str">
        <f>desired_skills(C83,"Extra vaardigheden/Tekenen","e")</f>
        <v/>
      </c>
      <c r="CW83" s="236" t="str">
        <f>calc_gap('Matrix 171007_1827'!$CK$83,'Matrix 171007_1827'!$CQ$83)</f>
        <v/>
      </c>
      <c r="CX83" s="237" t="str">
        <f>calc_gap('Matrix 171007_1827'!$CL$83,'Matrix 171007_1827'!$CR$83)</f>
        <v/>
      </c>
      <c r="CY83" s="237" t="str">
        <f>calc_gap('Matrix 171007_1827'!$CM$83,'Matrix 171007_1827'!$CS$83)</f>
        <v/>
      </c>
      <c r="CZ83" s="237" t="str">
        <f>calc_gap('Matrix 171007_1827'!$CN$83,'Matrix 171007_1827'!$CT$83)</f>
        <v/>
      </c>
      <c r="DA83" s="238" t="str">
        <f>calc_gap('Matrix 171007_1827'!$CO$83,'Matrix 171007_1827'!$CU$83)</f>
        <v/>
      </c>
    </row>
    <row r="84" spans="2:105" x14ac:dyDescent="0.25">
      <c r="B84" s="435"/>
      <c r="C84" s="291" t="s">
        <v>273</v>
      </c>
      <c r="D84" s="314"/>
      <c r="E84" s="315"/>
      <c r="F84" s="315"/>
      <c r="G84" s="315"/>
      <c r="H84" s="315"/>
      <c r="I84" s="315"/>
      <c r="J84" s="315"/>
      <c r="K84" s="316"/>
      <c r="L84" s="314"/>
      <c r="M84" s="315"/>
      <c r="N84" s="315"/>
      <c r="O84" s="316"/>
      <c r="P84" s="314"/>
      <c r="Q84" s="315"/>
      <c r="R84" s="315"/>
      <c r="S84" s="315"/>
      <c r="T84" s="315"/>
      <c r="U84" s="315"/>
      <c r="V84" s="315"/>
      <c r="W84" s="315"/>
      <c r="X84" s="315"/>
      <c r="Y84" s="315"/>
      <c r="Z84" s="315"/>
      <c r="AA84" s="315"/>
      <c r="AB84" s="315"/>
      <c r="AC84" s="315"/>
      <c r="AD84" s="315"/>
      <c r="AE84" s="315"/>
      <c r="AF84" s="315"/>
      <c r="AG84" s="315"/>
      <c r="AH84" s="315"/>
      <c r="AI84" s="316"/>
      <c r="AJ84" s="314"/>
      <c r="AK84" s="315"/>
      <c r="AL84" s="316"/>
      <c r="AM84" s="314"/>
      <c r="AN84" s="315"/>
      <c r="AO84" s="316"/>
      <c r="AP84" s="314"/>
      <c r="AQ84" s="315"/>
      <c r="AR84" s="315"/>
      <c r="AS84" s="315"/>
      <c r="AT84" s="316"/>
      <c r="AU84" s="314"/>
      <c r="AV84" s="315"/>
      <c r="AW84" s="315"/>
      <c r="AX84" s="315"/>
      <c r="AY84" s="315"/>
      <c r="AZ84" s="315"/>
      <c r="BA84" s="315"/>
      <c r="BB84" s="316"/>
      <c r="BC84" s="314"/>
      <c r="BD84" s="315"/>
      <c r="BE84" s="315"/>
      <c r="BF84" s="315"/>
      <c r="BG84" s="316"/>
      <c r="BH84" s="314"/>
      <c r="BI84" s="315"/>
      <c r="BJ84" s="316"/>
      <c r="BK84" s="314"/>
      <c r="BL84" s="315"/>
      <c r="BM84" s="315"/>
      <c r="BN84" s="316"/>
      <c r="BO84" s="314"/>
      <c r="BP84" s="315"/>
      <c r="BQ84" s="315"/>
      <c r="BR84" s="315"/>
      <c r="BS84" s="315"/>
      <c r="BT84" s="315"/>
      <c r="BU84" s="315"/>
      <c r="BV84" s="316"/>
      <c r="BW84" s="314"/>
      <c r="BX84" s="315"/>
      <c r="BY84" s="315"/>
      <c r="BZ84" s="315"/>
      <c r="CA84" s="315"/>
      <c r="CB84" s="316"/>
      <c r="CC84" s="314"/>
      <c r="CD84" s="315"/>
      <c r="CE84" s="316"/>
      <c r="CF84" s="314"/>
      <c r="CG84" s="315"/>
      <c r="CH84" s="315"/>
      <c r="CI84" s="317"/>
      <c r="CK84" s="236" t="str">
        <f t="shared" si="30"/>
        <v/>
      </c>
      <c r="CL84" s="237" t="str">
        <f t="shared" si="31"/>
        <v/>
      </c>
      <c r="CM84" s="237" t="str">
        <f t="shared" si="32"/>
        <v/>
      </c>
      <c r="CN84" s="237" t="str">
        <f t="shared" si="33"/>
        <v/>
      </c>
      <c r="CO84" s="238" t="str">
        <f t="shared" si="34"/>
        <v/>
      </c>
      <c r="CQ84" s="236" t="str">
        <f>desired_skills(C84,"Extra vaardigheden/Creatief","o")</f>
        <v/>
      </c>
      <c r="CR84" s="237" t="str">
        <f>desired_skills(C84,"Extra vaardigheden/Creatief","j")</f>
        <v/>
      </c>
      <c r="CS84" s="237" t="str">
        <f>desired_skills(C84,"Extra vaardigheden/Creatief","m")</f>
        <v/>
      </c>
      <c r="CT84" s="237" t="str">
        <f>desired_skills(C84,"Extra vaardigheden/Creatief","s")</f>
        <v/>
      </c>
      <c r="CU84" s="238" t="str">
        <f>desired_skills(C84,"Extra vaardigheden/Creatief","e")</f>
        <v/>
      </c>
      <c r="CW84" s="236" t="str">
        <f>calc_gap('Matrix 171007_1827'!$CK$84,'Matrix 171007_1827'!$CQ$84)</f>
        <v/>
      </c>
      <c r="CX84" s="237" t="str">
        <f>calc_gap('Matrix 171007_1827'!$CL$84,'Matrix 171007_1827'!$CR$84)</f>
        <v/>
      </c>
      <c r="CY84" s="237" t="str">
        <f>calc_gap('Matrix 171007_1827'!$CM$84,'Matrix 171007_1827'!$CS$84)</f>
        <v/>
      </c>
      <c r="CZ84" s="237" t="str">
        <f>calc_gap('Matrix 171007_1827'!$CN$84,'Matrix 171007_1827'!$CT$84)</f>
        <v/>
      </c>
      <c r="DA84" s="238" t="str">
        <f>calc_gap('Matrix 171007_1827'!$CO$84,'Matrix 171007_1827'!$CU$84)</f>
        <v/>
      </c>
    </row>
    <row r="85" spans="2:105" x14ac:dyDescent="0.25">
      <c r="B85" s="435"/>
      <c r="C85" s="291" t="s">
        <v>274</v>
      </c>
      <c r="D85" s="314"/>
      <c r="E85" s="315"/>
      <c r="F85" s="315"/>
      <c r="G85" s="315"/>
      <c r="H85" s="315"/>
      <c r="I85" s="315"/>
      <c r="J85" s="315"/>
      <c r="K85" s="316"/>
      <c r="L85" s="314"/>
      <c r="M85" s="315"/>
      <c r="N85" s="315"/>
      <c r="O85" s="316"/>
      <c r="P85" s="314"/>
      <c r="Q85" s="315"/>
      <c r="R85" s="315"/>
      <c r="S85" s="315"/>
      <c r="T85" s="315"/>
      <c r="U85" s="315"/>
      <c r="V85" s="315"/>
      <c r="W85" s="315"/>
      <c r="X85" s="315"/>
      <c r="Y85" s="315"/>
      <c r="Z85" s="315"/>
      <c r="AA85" s="315"/>
      <c r="AB85" s="315"/>
      <c r="AC85" s="315"/>
      <c r="AD85" s="315"/>
      <c r="AE85" s="315"/>
      <c r="AF85" s="315"/>
      <c r="AG85" s="315"/>
      <c r="AH85" s="315"/>
      <c r="AI85" s="316"/>
      <c r="AJ85" s="314"/>
      <c r="AK85" s="315"/>
      <c r="AL85" s="316"/>
      <c r="AM85" s="314"/>
      <c r="AN85" s="315"/>
      <c r="AO85" s="316"/>
      <c r="AP85" s="314"/>
      <c r="AQ85" s="315"/>
      <c r="AR85" s="315"/>
      <c r="AS85" s="315"/>
      <c r="AT85" s="316"/>
      <c r="AU85" s="314"/>
      <c r="AV85" s="315"/>
      <c r="AW85" s="315"/>
      <c r="AX85" s="315"/>
      <c r="AY85" s="315"/>
      <c r="AZ85" s="315"/>
      <c r="BA85" s="315"/>
      <c r="BB85" s="316"/>
      <c r="BC85" s="314"/>
      <c r="BD85" s="315"/>
      <c r="BE85" s="315"/>
      <c r="BF85" s="315"/>
      <c r="BG85" s="316"/>
      <c r="BH85" s="314"/>
      <c r="BI85" s="315"/>
      <c r="BJ85" s="316"/>
      <c r="BK85" s="314"/>
      <c r="BL85" s="315"/>
      <c r="BM85" s="315"/>
      <c r="BN85" s="316"/>
      <c r="BO85" s="314"/>
      <c r="BP85" s="315"/>
      <c r="BQ85" s="315"/>
      <c r="BR85" s="315"/>
      <c r="BS85" s="315"/>
      <c r="BT85" s="315"/>
      <c r="BU85" s="315"/>
      <c r="BV85" s="316"/>
      <c r="BW85" s="314"/>
      <c r="BX85" s="315"/>
      <c r="BY85" s="315"/>
      <c r="BZ85" s="315"/>
      <c r="CA85" s="315"/>
      <c r="CB85" s="316"/>
      <c r="CC85" s="314"/>
      <c r="CD85" s="315"/>
      <c r="CE85" s="316"/>
      <c r="CF85" s="314"/>
      <c r="CG85" s="315"/>
      <c r="CH85" s="315"/>
      <c r="CI85" s="317"/>
      <c r="CK85" s="236" t="str">
        <f t="shared" si="30"/>
        <v/>
      </c>
      <c r="CL85" s="237" t="str">
        <f t="shared" si="31"/>
        <v/>
      </c>
      <c r="CM85" s="237" t="str">
        <f t="shared" si="32"/>
        <v/>
      </c>
      <c r="CN85" s="237" t="str">
        <f t="shared" si="33"/>
        <v/>
      </c>
      <c r="CO85" s="238" t="str">
        <f t="shared" si="34"/>
        <v/>
      </c>
      <c r="CQ85" s="236" t="str">
        <f>desired_skills(C85,"Extra vaardigheden/Videobewerking","o")</f>
        <v/>
      </c>
      <c r="CR85" s="237" t="str">
        <f>desired_skills(C85,"Extra vaardigheden/Videobewerking","j")</f>
        <v/>
      </c>
      <c r="CS85" s="237" t="str">
        <f>desired_skills(C85,"Extra vaardigheden/Videobewerking","m")</f>
        <v/>
      </c>
      <c r="CT85" s="237" t="str">
        <f>desired_skills(C85,"Extra vaardigheden/Videobewerking","s")</f>
        <v/>
      </c>
      <c r="CU85" s="238" t="str">
        <f>desired_skills(C85,"Extra vaardigheden/Videobewerking","e")</f>
        <v/>
      </c>
      <c r="CW85" s="236" t="str">
        <f>calc_gap('Matrix 171007_1827'!$CK$85,'Matrix 171007_1827'!$CQ$85)</f>
        <v/>
      </c>
      <c r="CX85" s="237" t="str">
        <f>calc_gap('Matrix 171007_1827'!$CL$85,'Matrix 171007_1827'!$CR$85)</f>
        <v/>
      </c>
      <c r="CY85" s="237" t="str">
        <f>calc_gap('Matrix 171007_1827'!$CM$85,'Matrix 171007_1827'!$CS$85)</f>
        <v/>
      </c>
      <c r="CZ85" s="237" t="str">
        <f>calc_gap('Matrix 171007_1827'!$CN$85,'Matrix 171007_1827'!$CT$85)</f>
        <v/>
      </c>
      <c r="DA85" s="238" t="str">
        <f>calc_gap('Matrix 171007_1827'!$CO$85,'Matrix 171007_1827'!$CU$85)</f>
        <v/>
      </c>
    </row>
    <row r="86" spans="2:105" x14ac:dyDescent="0.25">
      <c r="B86" s="435"/>
      <c r="C86" s="291" t="s">
        <v>275</v>
      </c>
      <c r="D86" s="314"/>
      <c r="E86" s="315"/>
      <c r="F86" s="315"/>
      <c r="G86" s="315"/>
      <c r="H86" s="315"/>
      <c r="I86" s="315"/>
      <c r="J86" s="315"/>
      <c r="K86" s="316"/>
      <c r="L86" s="314"/>
      <c r="M86" s="315"/>
      <c r="N86" s="315"/>
      <c r="O86" s="316"/>
      <c r="P86" s="314"/>
      <c r="Q86" s="315"/>
      <c r="R86" s="315"/>
      <c r="S86" s="315"/>
      <c r="T86" s="315"/>
      <c r="U86" s="315"/>
      <c r="V86" s="315"/>
      <c r="W86" s="315"/>
      <c r="X86" s="315"/>
      <c r="Y86" s="315"/>
      <c r="Z86" s="315"/>
      <c r="AA86" s="315"/>
      <c r="AB86" s="315"/>
      <c r="AC86" s="315"/>
      <c r="AD86" s="315"/>
      <c r="AE86" s="315"/>
      <c r="AF86" s="315"/>
      <c r="AG86" s="315"/>
      <c r="AH86" s="315"/>
      <c r="AI86" s="316"/>
      <c r="AJ86" s="314"/>
      <c r="AK86" s="315"/>
      <c r="AL86" s="316"/>
      <c r="AM86" s="314"/>
      <c r="AN86" s="315"/>
      <c r="AO86" s="316"/>
      <c r="AP86" s="314"/>
      <c r="AQ86" s="315"/>
      <c r="AR86" s="315"/>
      <c r="AS86" s="315"/>
      <c r="AT86" s="316"/>
      <c r="AU86" s="314"/>
      <c r="AV86" s="315"/>
      <c r="AW86" s="315"/>
      <c r="AX86" s="315"/>
      <c r="AY86" s="315"/>
      <c r="AZ86" s="315"/>
      <c r="BA86" s="315"/>
      <c r="BB86" s="316"/>
      <c r="BC86" s="314"/>
      <c r="BD86" s="315"/>
      <c r="BE86" s="315"/>
      <c r="BF86" s="315"/>
      <c r="BG86" s="316"/>
      <c r="BH86" s="314"/>
      <c r="BI86" s="315"/>
      <c r="BJ86" s="316"/>
      <c r="BK86" s="314"/>
      <c r="BL86" s="315"/>
      <c r="BM86" s="315"/>
      <c r="BN86" s="316"/>
      <c r="BO86" s="314"/>
      <c r="BP86" s="315"/>
      <c r="BQ86" s="315"/>
      <c r="BR86" s="315"/>
      <c r="BS86" s="315"/>
      <c r="BT86" s="315"/>
      <c r="BU86" s="315"/>
      <c r="BV86" s="316"/>
      <c r="BW86" s="314"/>
      <c r="BX86" s="315"/>
      <c r="BY86" s="315"/>
      <c r="BZ86" s="315"/>
      <c r="CA86" s="315"/>
      <c r="CB86" s="316"/>
      <c r="CC86" s="314"/>
      <c r="CD86" s="315"/>
      <c r="CE86" s="316"/>
      <c r="CF86" s="314"/>
      <c r="CG86" s="315"/>
      <c r="CH86" s="315"/>
      <c r="CI86" s="317"/>
      <c r="CK86" s="236" t="str">
        <f t="shared" si="30"/>
        <v/>
      </c>
      <c r="CL86" s="237" t="str">
        <f t="shared" si="31"/>
        <v/>
      </c>
      <c r="CM86" s="237" t="str">
        <f t="shared" si="32"/>
        <v/>
      </c>
      <c r="CN86" s="237" t="str">
        <f t="shared" si="33"/>
        <v/>
      </c>
      <c r="CO86" s="238" t="str">
        <f t="shared" si="34"/>
        <v/>
      </c>
      <c r="CQ86" s="236" t="str">
        <f>desired_skills(C86,"Extra vaardigheden/Excel","o")</f>
        <v/>
      </c>
      <c r="CR86" s="237" t="str">
        <f>desired_skills(C86,"Extra vaardigheden/Excel","j")</f>
        <v/>
      </c>
      <c r="CS86" s="237" t="str">
        <f>desired_skills(C86,"Extra vaardigheden/Excel","m")</f>
        <v/>
      </c>
      <c r="CT86" s="237" t="str">
        <f>desired_skills(C86,"Extra vaardigheden/Excel","s")</f>
        <v/>
      </c>
      <c r="CU86" s="238" t="str">
        <f>desired_skills(C86,"Extra vaardigheden/Excel","e")</f>
        <v/>
      </c>
      <c r="CW86" s="236" t="str">
        <f>calc_gap('Matrix 171007_1827'!$CK$86,'Matrix 171007_1827'!$CQ$86)</f>
        <v/>
      </c>
      <c r="CX86" s="237" t="str">
        <f>calc_gap('Matrix 171007_1827'!$CL$86,'Matrix 171007_1827'!$CR$86)</f>
        <v/>
      </c>
      <c r="CY86" s="237" t="str">
        <f>calc_gap('Matrix 171007_1827'!$CM$86,'Matrix 171007_1827'!$CS$86)</f>
        <v/>
      </c>
      <c r="CZ86" s="237" t="str">
        <f>calc_gap('Matrix 171007_1827'!$CN$86,'Matrix 171007_1827'!$CT$86)</f>
        <v/>
      </c>
      <c r="DA86" s="238" t="str">
        <f>calc_gap('Matrix 171007_1827'!$CO$86,'Matrix 171007_1827'!$CU$86)</f>
        <v/>
      </c>
    </row>
    <row r="87" spans="2:105" x14ac:dyDescent="0.25">
      <c r="B87" s="435"/>
      <c r="C87" s="291" t="s">
        <v>281</v>
      </c>
      <c r="D87" s="314"/>
      <c r="E87" s="315"/>
      <c r="F87" s="315"/>
      <c r="G87" s="315"/>
      <c r="H87" s="315"/>
      <c r="I87" s="315"/>
      <c r="J87" s="315"/>
      <c r="K87" s="316"/>
      <c r="L87" s="314"/>
      <c r="M87" s="315"/>
      <c r="N87" s="315"/>
      <c r="O87" s="316"/>
      <c r="P87" s="314"/>
      <c r="Q87" s="315"/>
      <c r="R87" s="315"/>
      <c r="S87" s="315"/>
      <c r="T87" s="315"/>
      <c r="U87" s="315"/>
      <c r="V87" s="315"/>
      <c r="W87" s="315"/>
      <c r="X87" s="315"/>
      <c r="Y87" s="315"/>
      <c r="Z87" s="315"/>
      <c r="AA87" s="315"/>
      <c r="AB87" s="315"/>
      <c r="AC87" s="315"/>
      <c r="AD87" s="315"/>
      <c r="AE87" s="315"/>
      <c r="AF87" s="315"/>
      <c r="AG87" s="315"/>
      <c r="AH87" s="315"/>
      <c r="AI87" s="316"/>
      <c r="AJ87" s="314"/>
      <c r="AK87" s="315"/>
      <c r="AL87" s="316"/>
      <c r="AM87" s="314"/>
      <c r="AN87" s="315"/>
      <c r="AO87" s="316"/>
      <c r="AP87" s="314"/>
      <c r="AQ87" s="315"/>
      <c r="AR87" s="315"/>
      <c r="AS87" s="315"/>
      <c r="AT87" s="316"/>
      <c r="AU87" s="314"/>
      <c r="AV87" s="315"/>
      <c r="AW87" s="315"/>
      <c r="AX87" s="315"/>
      <c r="AY87" s="315"/>
      <c r="AZ87" s="315"/>
      <c r="BA87" s="315"/>
      <c r="BB87" s="316"/>
      <c r="BC87" s="314"/>
      <c r="BD87" s="315"/>
      <c r="BE87" s="315"/>
      <c r="BF87" s="315"/>
      <c r="BG87" s="316"/>
      <c r="BH87" s="314"/>
      <c r="BI87" s="315"/>
      <c r="BJ87" s="316"/>
      <c r="BK87" s="314"/>
      <c r="BL87" s="315"/>
      <c r="BM87" s="315"/>
      <c r="BN87" s="316"/>
      <c r="BO87" s="314"/>
      <c r="BP87" s="315"/>
      <c r="BQ87" s="315"/>
      <c r="BR87" s="315"/>
      <c r="BS87" s="315"/>
      <c r="BT87" s="315"/>
      <c r="BU87" s="315"/>
      <c r="BV87" s="316"/>
      <c r="BW87" s="314"/>
      <c r="BX87" s="315"/>
      <c r="BY87" s="315"/>
      <c r="BZ87" s="315"/>
      <c r="CA87" s="315"/>
      <c r="CB87" s="316"/>
      <c r="CC87" s="314"/>
      <c r="CD87" s="315"/>
      <c r="CE87" s="316"/>
      <c r="CF87" s="314"/>
      <c r="CG87" s="315"/>
      <c r="CH87" s="315"/>
      <c r="CI87" s="317"/>
      <c r="CK87" s="236" t="str">
        <f t="shared" si="30"/>
        <v/>
      </c>
      <c r="CL87" s="237" t="str">
        <f t="shared" si="31"/>
        <v/>
      </c>
      <c r="CM87" s="237" t="str">
        <f t="shared" si="32"/>
        <v/>
      </c>
      <c r="CN87" s="237" t="str">
        <f t="shared" si="33"/>
        <v/>
      </c>
      <c r="CO87" s="238" t="str">
        <f t="shared" si="34"/>
        <v/>
      </c>
      <c r="CQ87" s="236" t="str">
        <f>desired_skills(C87,"Extra vaardigheden/PowerPoint","o")</f>
        <v/>
      </c>
      <c r="CR87" s="237" t="str">
        <f>desired_skills(C87,"Extra vaardigheden/PowerPoint","j")</f>
        <v/>
      </c>
      <c r="CS87" s="237" t="str">
        <f>desired_skills(C87,"Extra vaardigheden/PowerPoint","m")</f>
        <v/>
      </c>
      <c r="CT87" s="237" t="str">
        <f>desired_skills(C87,"Extra vaardigheden/PowerPoint","s")</f>
        <v/>
      </c>
      <c r="CU87" s="238" t="str">
        <f>desired_skills(C87,"Extra vaardigheden/PowerPoint","e")</f>
        <v/>
      </c>
      <c r="CW87" s="236" t="str">
        <f>calc_gap('Matrix 171007_1827'!$CK$87,'Matrix 171007_1827'!$CQ$87)</f>
        <v/>
      </c>
      <c r="CX87" s="237" t="str">
        <f>calc_gap('Matrix 171007_1827'!$CL$87,'Matrix 171007_1827'!$CR$87)</f>
        <v/>
      </c>
      <c r="CY87" s="237" t="str">
        <f>calc_gap('Matrix 171007_1827'!$CM$87,'Matrix 171007_1827'!$CS$87)</f>
        <v/>
      </c>
      <c r="CZ87" s="237" t="str">
        <f>calc_gap('Matrix 171007_1827'!$CN$87,'Matrix 171007_1827'!$CT$87)</f>
        <v/>
      </c>
      <c r="DA87" s="238" t="str">
        <f>calc_gap('Matrix 171007_1827'!$CO$87,'Matrix 171007_1827'!$CU$87)</f>
        <v/>
      </c>
    </row>
    <row r="88" spans="2:105" x14ac:dyDescent="0.25">
      <c r="B88" s="435"/>
      <c r="C88" s="291" t="s">
        <v>276</v>
      </c>
      <c r="D88" s="314"/>
      <c r="E88" s="315"/>
      <c r="F88" s="315"/>
      <c r="G88" s="315"/>
      <c r="H88" s="315"/>
      <c r="I88" s="315"/>
      <c r="J88" s="315"/>
      <c r="K88" s="316"/>
      <c r="L88" s="314"/>
      <c r="M88" s="315"/>
      <c r="N88" s="315"/>
      <c r="O88" s="316"/>
      <c r="P88" s="314"/>
      <c r="Q88" s="315"/>
      <c r="R88" s="315"/>
      <c r="S88" s="315"/>
      <c r="T88" s="315"/>
      <c r="U88" s="315"/>
      <c r="V88" s="315"/>
      <c r="W88" s="315"/>
      <c r="X88" s="315"/>
      <c r="Y88" s="315"/>
      <c r="Z88" s="315"/>
      <c r="AA88" s="315"/>
      <c r="AB88" s="315"/>
      <c r="AC88" s="315"/>
      <c r="AD88" s="315"/>
      <c r="AE88" s="315"/>
      <c r="AF88" s="315"/>
      <c r="AG88" s="315"/>
      <c r="AH88" s="315"/>
      <c r="AI88" s="316"/>
      <c r="AJ88" s="314"/>
      <c r="AK88" s="315"/>
      <c r="AL88" s="316"/>
      <c r="AM88" s="314"/>
      <c r="AN88" s="315"/>
      <c r="AO88" s="316"/>
      <c r="AP88" s="314"/>
      <c r="AQ88" s="315"/>
      <c r="AR88" s="315"/>
      <c r="AS88" s="315"/>
      <c r="AT88" s="316"/>
      <c r="AU88" s="314"/>
      <c r="AV88" s="315"/>
      <c r="AW88" s="315"/>
      <c r="AX88" s="315"/>
      <c r="AY88" s="315"/>
      <c r="AZ88" s="315"/>
      <c r="BA88" s="315"/>
      <c r="BB88" s="316"/>
      <c r="BC88" s="314"/>
      <c r="BD88" s="315"/>
      <c r="BE88" s="315"/>
      <c r="BF88" s="315"/>
      <c r="BG88" s="316"/>
      <c r="BH88" s="314"/>
      <c r="BI88" s="315"/>
      <c r="BJ88" s="316"/>
      <c r="BK88" s="314"/>
      <c r="BL88" s="315"/>
      <c r="BM88" s="315"/>
      <c r="BN88" s="316"/>
      <c r="BO88" s="314"/>
      <c r="BP88" s="315"/>
      <c r="BQ88" s="315"/>
      <c r="BR88" s="315"/>
      <c r="BS88" s="315"/>
      <c r="BT88" s="315"/>
      <c r="BU88" s="315"/>
      <c r="BV88" s="316"/>
      <c r="BW88" s="314"/>
      <c r="BX88" s="315"/>
      <c r="BY88" s="315"/>
      <c r="BZ88" s="315"/>
      <c r="CA88" s="315"/>
      <c r="CB88" s="316"/>
      <c r="CC88" s="314"/>
      <c r="CD88" s="315"/>
      <c r="CE88" s="316"/>
      <c r="CF88" s="314"/>
      <c r="CG88" s="315"/>
      <c r="CH88" s="315"/>
      <c r="CI88" s="317"/>
      <c r="CK88" s="236" t="str">
        <f t="shared" si="30"/>
        <v/>
      </c>
      <c r="CL88" s="237" t="str">
        <f t="shared" si="31"/>
        <v/>
      </c>
      <c r="CM88" s="237" t="str">
        <f t="shared" si="32"/>
        <v/>
      </c>
      <c r="CN88" s="237" t="str">
        <f t="shared" si="33"/>
        <v/>
      </c>
      <c r="CO88" s="238" t="str">
        <f t="shared" si="34"/>
        <v/>
      </c>
      <c r="CQ88" s="236" t="str">
        <f>desired_skills(C88,"Extra vaardigheden/Word","o")</f>
        <v/>
      </c>
      <c r="CR88" s="237" t="str">
        <f>desired_skills(C88,"Extra vaardigheden/Word","j")</f>
        <v/>
      </c>
      <c r="CS88" s="237" t="str">
        <f>desired_skills(C88,"Extra vaardigheden/Word","m")</f>
        <v/>
      </c>
      <c r="CT88" s="237" t="str">
        <f>desired_skills(C88,"Extra vaardigheden/Word","s")</f>
        <v/>
      </c>
      <c r="CU88" s="238" t="str">
        <f>desired_skills(C88,"Extra vaardigheden/Word","e")</f>
        <v/>
      </c>
      <c r="CW88" s="236" t="str">
        <f>calc_gap('Matrix 171007_1827'!$CK$88,'Matrix 171007_1827'!$CQ$88)</f>
        <v/>
      </c>
      <c r="CX88" s="237" t="str">
        <f>calc_gap('Matrix 171007_1827'!$CL$88,'Matrix 171007_1827'!$CR$88)</f>
        <v/>
      </c>
      <c r="CY88" s="237" t="str">
        <f>calc_gap('Matrix 171007_1827'!$CM$88,'Matrix 171007_1827'!$CS$88)</f>
        <v/>
      </c>
      <c r="CZ88" s="237" t="str">
        <f>calc_gap('Matrix 171007_1827'!$CN$88,'Matrix 171007_1827'!$CT$88)</f>
        <v/>
      </c>
      <c r="DA88" s="238" t="str">
        <f>calc_gap('Matrix 171007_1827'!$CO$88,'Matrix 171007_1827'!$CU$88)</f>
        <v/>
      </c>
    </row>
    <row r="89" spans="2:105" x14ac:dyDescent="0.25">
      <c r="B89" s="435"/>
      <c r="C89" s="291" t="s">
        <v>277</v>
      </c>
      <c r="D89" s="314"/>
      <c r="E89" s="315"/>
      <c r="F89" s="315"/>
      <c r="G89" s="315"/>
      <c r="H89" s="315"/>
      <c r="I89" s="315"/>
      <c r="J89" s="315"/>
      <c r="K89" s="316"/>
      <c r="L89" s="314"/>
      <c r="M89" s="315"/>
      <c r="N89" s="315"/>
      <c r="O89" s="316"/>
      <c r="P89" s="314"/>
      <c r="Q89" s="315"/>
      <c r="R89" s="315"/>
      <c r="S89" s="315"/>
      <c r="T89" s="315"/>
      <c r="U89" s="315"/>
      <c r="V89" s="315"/>
      <c r="W89" s="315"/>
      <c r="X89" s="315"/>
      <c r="Y89" s="315"/>
      <c r="Z89" s="315"/>
      <c r="AA89" s="315"/>
      <c r="AB89" s="315"/>
      <c r="AC89" s="315"/>
      <c r="AD89" s="315"/>
      <c r="AE89" s="315"/>
      <c r="AF89" s="315"/>
      <c r="AG89" s="315"/>
      <c r="AH89" s="315"/>
      <c r="AI89" s="316"/>
      <c r="AJ89" s="314"/>
      <c r="AK89" s="315"/>
      <c r="AL89" s="316"/>
      <c r="AM89" s="314"/>
      <c r="AN89" s="315"/>
      <c r="AO89" s="316"/>
      <c r="AP89" s="314"/>
      <c r="AQ89" s="315"/>
      <c r="AR89" s="315"/>
      <c r="AS89" s="315"/>
      <c r="AT89" s="316"/>
      <c r="AU89" s="314"/>
      <c r="AV89" s="315"/>
      <c r="AW89" s="315"/>
      <c r="AX89" s="315"/>
      <c r="AY89" s="315"/>
      <c r="AZ89" s="315"/>
      <c r="BA89" s="315"/>
      <c r="BB89" s="316"/>
      <c r="BC89" s="314"/>
      <c r="BD89" s="315"/>
      <c r="BE89" s="315"/>
      <c r="BF89" s="315"/>
      <c r="BG89" s="316"/>
      <c r="BH89" s="314"/>
      <c r="BI89" s="315"/>
      <c r="BJ89" s="316"/>
      <c r="BK89" s="314"/>
      <c r="BL89" s="315"/>
      <c r="BM89" s="315"/>
      <c r="BN89" s="316"/>
      <c r="BO89" s="314"/>
      <c r="BP89" s="315"/>
      <c r="BQ89" s="315"/>
      <c r="BR89" s="315"/>
      <c r="BS89" s="315"/>
      <c r="BT89" s="315"/>
      <c r="BU89" s="315"/>
      <c r="BV89" s="316"/>
      <c r="BW89" s="314"/>
      <c r="BX89" s="315"/>
      <c r="BY89" s="315"/>
      <c r="BZ89" s="315"/>
      <c r="CA89" s="315"/>
      <c r="CB89" s="316"/>
      <c r="CC89" s="314"/>
      <c r="CD89" s="315"/>
      <c r="CE89" s="316"/>
      <c r="CF89" s="314"/>
      <c r="CG89" s="315"/>
      <c r="CH89" s="315"/>
      <c r="CI89" s="317"/>
      <c r="CK89" s="236" t="str">
        <f t="shared" si="30"/>
        <v/>
      </c>
      <c r="CL89" s="237" t="str">
        <f t="shared" si="31"/>
        <v/>
      </c>
      <c r="CM89" s="237" t="str">
        <f t="shared" si="32"/>
        <v/>
      </c>
      <c r="CN89" s="237" t="str">
        <f t="shared" si="33"/>
        <v/>
      </c>
      <c r="CO89" s="238" t="str">
        <f t="shared" si="34"/>
        <v/>
      </c>
      <c r="CQ89" s="236" t="str">
        <f>desired_skills(C89,"Extra vaardigheden/Filmpjes maken","o")</f>
        <v/>
      </c>
      <c r="CR89" s="237" t="str">
        <f>desired_skills(C89,"Extra vaardigheden/Filmpjes maken","j")</f>
        <v/>
      </c>
      <c r="CS89" s="237" t="str">
        <f>desired_skills(C89,"Extra vaardigheden/Filmpjes maken","m")</f>
        <v/>
      </c>
      <c r="CT89" s="237" t="str">
        <f>desired_skills(C89,"Extra vaardigheden/Filmpjes maken","s")</f>
        <v/>
      </c>
      <c r="CU89" s="238" t="str">
        <f>desired_skills(C89,"Extra vaardigheden/Filmpjes maken","e")</f>
        <v/>
      </c>
      <c r="CW89" s="236" t="str">
        <f>calc_gap('Matrix 171007_1827'!$CK$89,'Matrix 171007_1827'!$CQ$89)</f>
        <v/>
      </c>
      <c r="CX89" s="237" t="str">
        <f>calc_gap('Matrix 171007_1827'!$CL$89,'Matrix 171007_1827'!$CR$89)</f>
        <v/>
      </c>
      <c r="CY89" s="237" t="str">
        <f>calc_gap('Matrix 171007_1827'!$CM$89,'Matrix 171007_1827'!$CS$89)</f>
        <v/>
      </c>
      <c r="CZ89" s="237" t="str">
        <f>calc_gap('Matrix 171007_1827'!$CN$89,'Matrix 171007_1827'!$CT$89)</f>
        <v/>
      </c>
      <c r="DA89" s="238" t="str">
        <f>calc_gap('Matrix 171007_1827'!$CO$89,'Matrix 171007_1827'!$CU$89)</f>
        <v/>
      </c>
    </row>
    <row r="90" spans="2:105" x14ac:dyDescent="0.25">
      <c r="B90" s="435"/>
      <c r="C90" s="291" t="s">
        <v>278</v>
      </c>
      <c r="D90" s="314"/>
      <c r="E90" s="315"/>
      <c r="F90" s="315"/>
      <c r="G90" s="315"/>
      <c r="H90" s="315"/>
      <c r="I90" s="315"/>
      <c r="J90" s="315"/>
      <c r="K90" s="316"/>
      <c r="L90" s="314"/>
      <c r="M90" s="315"/>
      <c r="N90" s="315"/>
      <c r="O90" s="316"/>
      <c r="P90" s="314"/>
      <c r="Q90" s="315"/>
      <c r="R90" s="315"/>
      <c r="S90" s="315"/>
      <c r="T90" s="315"/>
      <c r="U90" s="315"/>
      <c r="V90" s="315"/>
      <c r="W90" s="315"/>
      <c r="X90" s="315"/>
      <c r="Y90" s="315"/>
      <c r="Z90" s="315"/>
      <c r="AA90" s="315"/>
      <c r="AB90" s="315"/>
      <c r="AC90" s="315"/>
      <c r="AD90" s="315"/>
      <c r="AE90" s="315"/>
      <c r="AF90" s="315"/>
      <c r="AG90" s="315"/>
      <c r="AH90" s="315"/>
      <c r="AI90" s="316"/>
      <c r="AJ90" s="314"/>
      <c r="AK90" s="315"/>
      <c r="AL90" s="316"/>
      <c r="AM90" s="314"/>
      <c r="AN90" s="315"/>
      <c r="AO90" s="316"/>
      <c r="AP90" s="314"/>
      <c r="AQ90" s="315"/>
      <c r="AR90" s="315"/>
      <c r="AS90" s="315"/>
      <c r="AT90" s="316"/>
      <c r="AU90" s="314"/>
      <c r="AV90" s="315"/>
      <c r="AW90" s="315"/>
      <c r="AX90" s="315"/>
      <c r="AY90" s="315"/>
      <c r="AZ90" s="315"/>
      <c r="BA90" s="315"/>
      <c r="BB90" s="316"/>
      <c r="BC90" s="314"/>
      <c r="BD90" s="315"/>
      <c r="BE90" s="315"/>
      <c r="BF90" s="315"/>
      <c r="BG90" s="316"/>
      <c r="BH90" s="314"/>
      <c r="BI90" s="315"/>
      <c r="BJ90" s="316"/>
      <c r="BK90" s="314"/>
      <c r="BL90" s="315"/>
      <c r="BM90" s="315"/>
      <c r="BN90" s="316"/>
      <c r="BO90" s="314"/>
      <c r="BP90" s="315"/>
      <c r="BQ90" s="315"/>
      <c r="BR90" s="315"/>
      <c r="BS90" s="315"/>
      <c r="BT90" s="315"/>
      <c r="BU90" s="315"/>
      <c r="BV90" s="316"/>
      <c r="BW90" s="314"/>
      <c r="BX90" s="315"/>
      <c r="BY90" s="315"/>
      <c r="BZ90" s="315"/>
      <c r="CA90" s="315"/>
      <c r="CB90" s="316"/>
      <c r="CC90" s="314"/>
      <c r="CD90" s="315"/>
      <c r="CE90" s="316"/>
      <c r="CF90" s="314"/>
      <c r="CG90" s="315"/>
      <c r="CH90" s="315"/>
      <c r="CI90" s="317"/>
      <c r="CK90" s="236" t="str">
        <f t="shared" si="30"/>
        <v/>
      </c>
      <c r="CL90" s="237" t="str">
        <f t="shared" si="31"/>
        <v/>
      </c>
      <c r="CM90" s="237" t="str">
        <f t="shared" si="32"/>
        <v/>
      </c>
      <c r="CN90" s="237" t="str">
        <f t="shared" si="33"/>
        <v/>
      </c>
      <c r="CO90" s="238" t="str">
        <f t="shared" si="34"/>
        <v/>
      </c>
      <c r="CQ90" s="236" t="str">
        <f>desired_skills(C90,"Extra vaardigheden/Website bouwen","o")</f>
        <v/>
      </c>
      <c r="CR90" s="237" t="str">
        <f>desired_skills(C90,"Extra vaardigheden/Website bouwen","j")</f>
        <v/>
      </c>
      <c r="CS90" s="237" t="str">
        <f>desired_skills(C90,"Extra vaardigheden/Website bouwen","m")</f>
        <v/>
      </c>
      <c r="CT90" s="237" t="str">
        <f>desired_skills(C90,"Extra vaardigheden/Website bouwen","s")</f>
        <v/>
      </c>
      <c r="CU90" s="238" t="str">
        <f>desired_skills(C90,"Extra vaardigheden/Website bouwen","e")</f>
        <v/>
      </c>
      <c r="CW90" s="236" t="str">
        <f>calc_gap('Matrix 171007_1827'!$CK$90,'Matrix 171007_1827'!$CQ$90)</f>
        <v/>
      </c>
      <c r="CX90" s="237" t="str">
        <f>calc_gap('Matrix 171007_1827'!$CL$90,'Matrix 171007_1827'!$CR$90)</f>
        <v/>
      </c>
      <c r="CY90" s="237" t="str">
        <f>calc_gap('Matrix 171007_1827'!$CM$90,'Matrix 171007_1827'!$CS$90)</f>
        <v/>
      </c>
      <c r="CZ90" s="237" t="str">
        <f>calc_gap('Matrix 171007_1827'!$CN$90,'Matrix 171007_1827'!$CT$90)</f>
        <v/>
      </c>
      <c r="DA90" s="238" t="str">
        <f>calc_gap('Matrix 171007_1827'!$CO$90,'Matrix 171007_1827'!$CU$90)</f>
        <v/>
      </c>
    </row>
    <row r="91" spans="2:105" x14ac:dyDescent="0.25">
      <c r="B91" s="435"/>
      <c r="C91" s="291" t="s">
        <v>282</v>
      </c>
      <c r="D91" s="314"/>
      <c r="E91" s="315"/>
      <c r="F91" s="315"/>
      <c r="G91" s="315"/>
      <c r="H91" s="315"/>
      <c r="I91" s="315"/>
      <c r="J91" s="315"/>
      <c r="K91" s="316"/>
      <c r="L91" s="314"/>
      <c r="M91" s="315"/>
      <c r="N91" s="315"/>
      <c r="O91" s="316"/>
      <c r="P91" s="314"/>
      <c r="Q91" s="315"/>
      <c r="R91" s="315"/>
      <c r="S91" s="315"/>
      <c r="T91" s="315"/>
      <c r="U91" s="315"/>
      <c r="V91" s="315"/>
      <c r="W91" s="315"/>
      <c r="X91" s="315"/>
      <c r="Y91" s="315"/>
      <c r="Z91" s="315"/>
      <c r="AA91" s="315"/>
      <c r="AB91" s="315"/>
      <c r="AC91" s="315"/>
      <c r="AD91" s="315"/>
      <c r="AE91" s="315"/>
      <c r="AF91" s="315"/>
      <c r="AG91" s="315"/>
      <c r="AH91" s="315"/>
      <c r="AI91" s="316"/>
      <c r="AJ91" s="314"/>
      <c r="AK91" s="315"/>
      <c r="AL91" s="316"/>
      <c r="AM91" s="314"/>
      <c r="AN91" s="315"/>
      <c r="AO91" s="316"/>
      <c r="AP91" s="314"/>
      <c r="AQ91" s="315"/>
      <c r="AR91" s="315"/>
      <c r="AS91" s="315"/>
      <c r="AT91" s="316"/>
      <c r="AU91" s="314"/>
      <c r="AV91" s="315"/>
      <c r="AW91" s="315"/>
      <c r="AX91" s="315"/>
      <c r="AY91" s="315"/>
      <c r="AZ91" s="315"/>
      <c r="BA91" s="315"/>
      <c r="BB91" s="316"/>
      <c r="BC91" s="314"/>
      <c r="BD91" s="315"/>
      <c r="BE91" s="315"/>
      <c r="BF91" s="315"/>
      <c r="BG91" s="316"/>
      <c r="BH91" s="314"/>
      <c r="BI91" s="315"/>
      <c r="BJ91" s="316"/>
      <c r="BK91" s="314"/>
      <c r="BL91" s="315"/>
      <c r="BM91" s="315"/>
      <c r="BN91" s="316"/>
      <c r="BO91" s="314"/>
      <c r="BP91" s="315"/>
      <c r="BQ91" s="315"/>
      <c r="BR91" s="315"/>
      <c r="BS91" s="315"/>
      <c r="BT91" s="315"/>
      <c r="BU91" s="315"/>
      <c r="BV91" s="316"/>
      <c r="BW91" s="314"/>
      <c r="BX91" s="315"/>
      <c r="BY91" s="315"/>
      <c r="BZ91" s="315"/>
      <c r="CA91" s="315"/>
      <c r="CB91" s="316"/>
      <c r="CC91" s="314"/>
      <c r="CD91" s="315"/>
      <c r="CE91" s="316"/>
      <c r="CF91" s="314"/>
      <c r="CG91" s="315"/>
      <c r="CH91" s="315"/>
      <c r="CI91" s="317"/>
      <c r="CK91" s="236" t="str">
        <f t="shared" si="30"/>
        <v/>
      </c>
      <c r="CL91" s="237" t="str">
        <f t="shared" si="31"/>
        <v/>
      </c>
      <c r="CM91" s="237" t="str">
        <f t="shared" si="32"/>
        <v/>
      </c>
      <c r="CN91" s="237" t="str">
        <f t="shared" si="33"/>
        <v/>
      </c>
      <c r="CO91" s="238" t="str">
        <f t="shared" si="34"/>
        <v/>
      </c>
      <c r="CQ91" s="236" t="str">
        <f>desired_skills(C91,"Extra vaardigheden/Muziek maken","o")</f>
        <v/>
      </c>
      <c r="CR91" s="237" t="str">
        <f>desired_skills(C91,"Extra vaardigheden/Muziek maken","j")</f>
        <v/>
      </c>
      <c r="CS91" s="237" t="str">
        <f>desired_skills(C91,"Extra vaardigheden/Muziek maken","m")</f>
        <v/>
      </c>
      <c r="CT91" s="237" t="str">
        <f>desired_skills(C91,"Extra vaardigheden/Muziek maken","s")</f>
        <v/>
      </c>
      <c r="CU91" s="238" t="str">
        <f>desired_skills(C91,"Extra vaardigheden/Muziek maken","e")</f>
        <v/>
      </c>
      <c r="CW91" s="236" t="str">
        <f>calc_gap('Matrix 171007_1827'!$CK$91,'Matrix 171007_1827'!$CQ$91)</f>
        <v/>
      </c>
      <c r="CX91" s="237" t="str">
        <f>calc_gap('Matrix 171007_1827'!$CL$91,'Matrix 171007_1827'!$CR$91)</f>
        <v/>
      </c>
      <c r="CY91" s="237" t="str">
        <f>calc_gap('Matrix 171007_1827'!$CM$91,'Matrix 171007_1827'!$CS$91)</f>
        <v/>
      </c>
      <c r="CZ91" s="237" t="str">
        <f>calc_gap('Matrix 171007_1827'!$CN$91,'Matrix 171007_1827'!$CT$91)</f>
        <v/>
      </c>
      <c r="DA91" s="238" t="str">
        <f>calc_gap('Matrix 171007_1827'!$CO$91,'Matrix 171007_1827'!$CU$91)</f>
        <v/>
      </c>
    </row>
    <row r="92" spans="2:105" x14ac:dyDescent="0.25">
      <c r="B92" s="435"/>
      <c r="C92" s="291" t="s">
        <v>283</v>
      </c>
      <c r="D92" s="314"/>
      <c r="E92" s="315"/>
      <c r="F92" s="315"/>
      <c r="G92" s="315"/>
      <c r="H92" s="315"/>
      <c r="I92" s="315"/>
      <c r="J92" s="315"/>
      <c r="K92" s="316"/>
      <c r="L92" s="314"/>
      <c r="M92" s="315"/>
      <c r="N92" s="315"/>
      <c r="O92" s="316"/>
      <c r="P92" s="314"/>
      <c r="Q92" s="315"/>
      <c r="R92" s="315"/>
      <c r="S92" s="315"/>
      <c r="T92" s="315"/>
      <c r="U92" s="315"/>
      <c r="V92" s="315"/>
      <c r="W92" s="315"/>
      <c r="X92" s="315"/>
      <c r="Y92" s="315"/>
      <c r="Z92" s="315"/>
      <c r="AA92" s="315"/>
      <c r="AB92" s="315"/>
      <c r="AC92" s="315"/>
      <c r="AD92" s="315"/>
      <c r="AE92" s="315"/>
      <c r="AF92" s="315"/>
      <c r="AG92" s="315"/>
      <c r="AH92" s="315"/>
      <c r="AI92" s="316"/>
      <c r="AJ92" s="314"/>
      <c r="AK92" s="315"/>
      <c r="AL92" s="316"/>
      <c r="AM92" s="314"/>
      <c r="AN92" s="315"/>
      <c r="AO92" s="316"/>
      <c r="AP92" s="314"/>
      <c r="AQ92" s="315"/>
      <c r="AR92" s="315"/>
      <c r="AS92" s="315"/>
      <c r="AT92" s="316"/>
      <c r="AU92" s="314"/>
      <c r="AV92" s="315"/>
      <c r="AW92" s="315"/>
      <c r="AX92" s="315"/>
      <c r="AY92" s="315"/>
      <c r="AZ92" s="315"/>
      <c r="BA92" s="315"/>
      <c r="BB92" s="316"/>
      <c r="BC92" s="314"/>
      <c r="BD92" s="315"/>
      <c r="BE92" s="315"/>
      <c r="BF92" s="315"/>
      <c r="BG92" s="316"/>
      <c r="BH92" s="314"/>
      <c r="BI92" s="315"/>
      <c r="BJ92" s="316"/>
      <c r="BK92" s="314"/>
      <c r="BL92" s="315"/>
      <c r="BM92" s="315"/>
      <c r="BN92" s="316"/>
      <c r="BO92" s="314"/>
      <c r="BP92" s="315"/>
      <c r="BQ92" s="315"/>
      <c r="BR92" s="315"/>
      <c r="BS92" s="315"/>
      <c r="BT92" s="315"/>
      <c r="BU92" s="315"/>
      <c r="BV92" s="316"/>
      <c r="BW92" s="314"/>
      <c r="BX92" s="315"/>
      <c r="BY92" s="315"/>
      <c r="BZ92" s="315"/>
      <c r="CA92" s="315"/>
      <c r="CB92" s="316"/>
      <c r="CC92" s="314"/>
      <c r="CD92" s="315"/>
      <c r="CE92" s="316"/>
      <c r="CF92" s="314"/>
      <c r="CG92" s="315"/>
      <c r="CH92" s="315"/>
      <c r="CI92" s="317"/>
      <c r="CK92" s="236" t="str">
        <f t="shared" si="30"/>
        <v/>
      </c>
      <c r="CL92" s="237" t="str">
        <f t="shared" si="31"/>
        <v/>
      </c>
      <c r="CM92" s="237" t="str">
        <f t="shared" si="32"/>
        <v/>
      </c>
      <c r="CN92" s="237" t="str">
        <f t="shared" si="33"/>
        <v/>
      </c>
      <c r="CO92" s="238" t="str">
        <f t="shared" si="34"/>
        <v/>
      </c>
      <c r="CQ92" s="236" t="str">
        <f>desired_skills(C92,"Extra vaardigheden/Koken en/of bakken","o")</f>
        <v/>
      </c>
      <c r="CR92" s="237" t="str">
        <f>desired_skills(C92,"Extra vaardigheden/Koken en/of bakken","j")</f>
        <v/>
      </c>
      <c r="CS92" s="237" t="str">
        <f>desired_skills(C92,"Extra vaardigheden/Koken en/of bakken","m")</f>
        <v/>
      </c>
      <c r="CT92" s="237" t="str">
        <f>desired_skills(C92,"Extra vaardigheden/Koken en/of bakken","s")</f>
        <v/>
      </c>
      <c r="CU92" s="238" t="str">
        <f>desired_skills(C92,"Extra vaardigheden/Koken en/of bakken","e")</f>
        <v/>
      </c>
      <c r="CW92" s="236" t="str">
        <f>calc_gap('Matrix 171007_1827'!$CK$92,'Matrix 171007_1827'!$CQ$92)</f>
        <v/>
      </c>
      <c r="CX92" s="237" t="str">
        <f>calc_gap('Matrix 171007_1827'!$CL$92,'Matrix 171007_1827'!$CR$92)</f>
        <v/>
      </c>
      <c r="CY92" s="237" t="str">
        <f>calc_gap('Matrix 171007_1827'!$CM$92,'Matrix 171007_1827'!$CS$92)</f>
        <v/>
      </c>
      <c r="CZ92" s="237" t="str">
        <f>calc_gap('Matrix 171007_1827'!$CN$92,'Matrix 171007_1827'!$CT$92)</f>
        <v/>
      </c>
      <c r="DA92" s="238" t="str">
        <f>calc_gap('Matrix 171007_1827'!$CO$92,'Matrix 171007_1827'!$CU$92)</f>
        <v/>
      </c>
    </row>
    <row r="93" spans="2:105" x14ac:dyDescent="0.25">
      <c r="B93" s="435"/>
      <c r="C93" s="291" t="s">
        <v>279</v>
      </c>
      <c r="D93" s="314"/>
      <c r="E93" s="315"/>
      <c r="F93" s="315"/>
      <c r="G93" s="315"/>
      <c r="H93" s="315"/>
      <c r="I93" s="315"/>
      <c r="J93" s="315"/>
      <c r="K93" s="316"/>
      <c r="L93" s="314"/>
      <c r="M93" s="315"/>
      <c r="N93" s="315"/>
      <c r="O93" s="316"/>
      <c r="P93" s="314"/>
      <c r="Q93" s="315"/>
      <c r="R93" s="315"/>
      <c r="S93" s="315"/>
      <c r="T93" s="315"/>
      <c r="U93" s="315"/>
      <c r="V93" s="315"/>
      <c r="W93" s="315"/>
      <c r="X93" s="315"/>
      <c r="Y93" s="315"/>
      <c r="Z93" s="315"/>
      <c r="AA93" s="315"/>
      <c r="AB93" s="315"/>
      <c r="AC93" s="315"/>
      <c r="AD93" s="315"/>
      <c r="AE93" s="315"/>
      <c r="AF93" s="315"/>
      <c r="AG93" s="315"/>
      <c r="AH93" s="315"/>
      <c r="AI93" s="316"/>
      <c r="AJ93" s="314"/>
      <c r="AK93" s="315"/>
      <c r="AL93" s="316"/>
      <c r="AM93" s="314"/>
      <c r="AN93" s="315"/>
      <c r="AO93" s="316"/>
      <c r="AP93" s="314"/>
      <c r="AQ93" s="315"/>
      <c r="AR93" s="315"/>
      <c r="AS93" s="315"/>
      <c r="AT93" s="316"/>
      <c r="AU93" s="314"/>
      <c r="AV93" s="315"/>
      <c r="AW93" s="315"/>
      <c r="AX93" s="315"/>
      <c r="AY93" s="315"/>
      <c r="AZ93" s="315"/>
      <c r="BA93" s="315"/>
      <c r="BB93" s="316"/>
      <c r="BC93" s="314"/>
      <c r="BD93" s="315"/>
      <c r="BE93" s="315"/>
      <c r="BF93" s="315"/>
      <c r="BG93" s="316"/>
      <c r="BH93" s="314"/>
      <c r="BI93" s="315"/>
      <c r="BJ93" s="316"/>
      <c r="BK93" s="314"/>
      <c r="BL93" s="315"/>
      <c r="BM93" s="315"/>
      <c r="BN93" s="316"/>
      <c r="BO93" s="314"/>
      <c r="BP93" s="315"/>
      <c r="BQ93" s="315"/>
      <c r="BR93" s="315"/>
      <c r="BS93" s="315"/>
      <c r="BT93" s="315"/>
      <c r="BU93" s="315"/>
      <c r="BV93" s="316"/>
      <c r="BW93" s="314"/>
      <c r="BX93" s="315"/>
      <c r="BY93" s="315"/>
      <c r="BZ93" s="315"/>
      <c r="CA93" s="315"/>
      <c r="CB93" s="316"/>
      <c r="CC93" s="314"/>
      <c r="CD93" s="315"/>
      <c r="CE93" s="316"/>
      <c r="CF93" s="314"/>
      <c r="CG93" s="315"/>
      <c r="CH93" s="315"/>
      <c r="CI93" s="317"/>
      <c r="CK93" s="236" t="str">
        <f t="shared" si="30"/>
        <v/>
      </c>
      <c r="CL93" s="237" t="str">
        <f t="shared" si="31"/>
        <v/>
      </c>
      <c r="CM93" s="237" t="str">
        <f t="shared" si="32"/>
        <v/>
      </c>
      <c r="CN93" s="237" t="str">
        <f t="shared" si="33"/>
        <v/>
      </c>
      <c r="CO93" s="238" t="str">
        <f t="shared" si="34"/>
        <v/>
      </c>
      <c r="CQ93" s="236" t="str">
        <f>desired_skills(C93,"Extra vaardigheden/Lesgeven op school","o")</f>
        <v/>
      </c>
      <c r="CR93" s="237" t="str">
        <f>desired_skills(C93,"Extra vaardigheden/Lesgeven op school","j")</f>
        <v/>
      </c>
      <c r="CS93" s="237" t="str">
        <f>desired_skills(C93,"Extra vaardigheden/Lesgeven op school","m")</f>
        <v/>
      </c>
      <c r="CT93" s="237" t="str">
        <f>desired_skills(C93,"Extra vaardigheden/Lesgeven op school","s")</f>
        <v/>
      </c>
      <c r="CU93" s="238" t="str">
        <f>desired_skills(C93,"Extra vaardigheden/Lesgeven op school","e")</f>
        <v/>
      </c>
      <c r="CW93" s="236" t="str">
        <f>calc_gap('Matrix 171007_1827'!$CK$93,'Matrix 171007_1827'!$CQ$93)</f>
        <v/>
      </c>
      <c r="CX93" s="237" t="str">
        <f>calc_gap('Matrix 171007_1827'!$CL$93,'Matrix 171007_1827'!$CR$93)</f>
        <v/>
      </c>
      <c r="CY93" s="237" t="str">
        <f>calc_gap('Matrix 171007_1827'!$CM$93,'Matrix 171007_1827'!$CS$93)</f>
        <v/>
      </c>
      <c r="CZ93" s="237" t="str">
        <f>calc_gap('Matrix 171007_1827'!$CN$93,'Matrix 171007_1827'!$CT$93)</f>
        <v/>
      </c>
      <c r="DA93" s="238" t="str">
        <f>calc_gap('Matrix 171007_1827'!$CO$93,'Matrix 171007_1827'!$CU$93)</f>
        <v/>
      </c>
    </row>
    <row r="94" spans="2:105" ht="15.75" thickBot="1" x14ac:dyDescent="0.3">
      <c r="B94" s="435"/>
      <c r="C94" s="292" t="s">
        <v>280</v>
      </c>
      <c r="D94" s="318"/>
      <c r="E94" s="319"/>
      <c r="F94" s="319"/>
      <c r="G94" s="319"/>
      <c r="H94" s="319"/>
      <c r="I94" s="319"/>
      <c r="J94" s="319"/>
      <c r="K94" s="320"/>
      <c r="L94" s="318"/>
      <c r="M94" s="319"/>
      <c r="N94" s="319"/>
      <c r="O94" s="320"/>
      <c r="P94" s="318"/>
      <c r="Q94" s="319"/>
      <c r="R94" s="319"/>
      <c r="S94" s="319"/>
      <c r="T94" s="319"/>
      <c r="U94" s="319"/>
      <c r="V94" s="319"/>
      <c r="W94" s="319"/>
      <c r="X94" s="319"/>
      <c r="Y94" s="319"/>
      <c r="Z94" s="319"/>
      <c r="AA94" s="319"/>
      <c r="AB94" s="319"/>
      <c r="AC94" s="319"/>
      <c r="AD94" s="319"/>
      <c r="AE94" s="319"/>
      <c r="AF94" s="319"/>
      <c r="AG94" s="319"/>
      <c r="AH94" s="319"/>
      <c r="AI94" s="320"/>
      <c r="AJ94" s="318"/>
      <c r="AK94" s="319"/>
      <c r="AL94" s="320"/>
      <c r="AM94" s="318"/>
      <c r="AN94" s="319"/>
      <c r="AO94" s="320"/>
      <c r="AP94" s="318"/>
      <c r="AQ94" s="319"/>
      <c r="AR94" s="319"/>
      <c r="AS94" s="319"/>
      <c r="AT94" s="320"/>
      <c r="AU94" s="318"/>
      <c r="AV94" s="319"/>
      <c r="AW94" s="319"/>
      <c r="AX94" s="319"/>
      <c r="AY94" s="319"/>
      <c r="AZ94" s="319"/>
      <c r="BA94" s="319"/>
      <c r="BB94" s="320"/>
      <c r="BC94" s="318"/>
      <c r="BD94" s="319"/>
      <c r="BE94" s="319"/>
      <c r="BF94" s="319"/>
      <c r="BG94" s="320"/>
      <c r="BH94" s="318"/>
      <c r="BI94" s="319"/>
      <c r="BJ94" s="320"/>
      <c r="BK94" s="318"/>
      <c r="BL94" s="319"/>
      <c r="BM94" s="319"/>
      <c r="BN94" s="320"/>
      <c r="BO94" s="318"/>
      <c r="BP94" s="319"/>
      <c r="BQ94" s="319"/>
      <c r="BR94" s="319"/>
      <c r="BS94" s="319"/>
      <c r="BT94" s="319"/>
      <c r="BU94" s="319"/>
      <c r="BV94" s="320"/>
      <c r="BW94" s="318"/>
      <c r="BX94" s="319"/>
      <c r="BY94" s="319"/>
      <c r="BZ94" s="319"/>
      <c r="CA94" s="319"/>
      <c r="CB94" s="320"/>
      <c r="CC94" s="318"/>
      <c r="CD94" s="319"/>
      <c r="CE94" s="320"/>
      <c r="CF94" s="318"/>
      <c r="CG94" s="319"/>
      <c r="CH94" s="319"/>
      <c r="CI94" s="321"/>
      <c r="CK94" s="239" t="str">
        <f t="shared" si="30"/>
        <v/>
      </c>
      <c r="CL94" s="240" t="str">
        <f t="shared" si="31"/>
        <v/>
      </c>
      <c r="CM94" s="240" t="str">
        <f t="shared" si="32"/>
        <v/>
      </c>
      <c r="CN94" s="240" t="str">
        <f t="shared" si="33"/>
        <v/>
      </c>
      <c r="CO94" s="241" t="str">
        <f t="shared" si="34"/>
        <v/>
      </c>
      <c r="CQ94" s="239" t="str">
        <f>desired_skills(C94,"Extra vaardigheden/Coachen","o")</f>
        <v/>
      </c>
      <c r="CR94" s="240" t="str">
        <f>desired_skills(C94,"Extra vaardigheden/Coachen","j")</f>
        <v/>
      </c>
      <c r="CS94" s="240" t="str">
        <f>desired_skills(C94,"Extra vaardigheden/Coachen","m")</f>
        <v/>
      </c>
      <c r="CT94" s="240" t="str">
        <f>desired_skills(C94,"Extra vaardigheden/Coachen","s")</f>
        <v/>
      </c>
      <c r="CU94" s="241" t="str">
        <f>desired_skills(C94,"Extra vaardigheden/Coachen","e")</f>
        <v/>
      </c>
      <c r="CW94" s="239" t="str">
        <f>calc_gap('Matrix 171007_1827'!$CK$94,'Matrix 171007_1827'!$CQ$94)</f>
        <v/>
      </c>
      <c r="CX94" s="240" t="str">
        <f>calc_gap('Matrix 171007_1827'!$CL$94,'Matrix 171007_1827'!$CR$94)</f>
        <v/>
      </c>
      <c r="CY94" s="240" t="str">
        <f>calc_gap('Matrix 171007_1827'!$CM$94,'Matrix 171007_1827'!$CS$94)</f>
        <v/>
      </c>
      <c r="CZ94" s="240" t="str">
        <f>calc_gap('Matrix 171007_1827'!$CN$94,'Matrix 171007_1827'!$CT$94)</f>
        <v/>
      </c>
      <c r="DA94" s="241" t="str">
        <f>calc_gap('Matrix 171007_1827'!$CO$94,'Matrix 171007_1827'!$CU$94)</f>
        <v/>
      </c>
    </row>
    <row r="95" spans="2:105" ht="12.75" customHeight="1" thickTop="1" thickBot="1" x14ac:dyDescent="0.3">
      <c r="B95" s="436"/>
      <c r="C95" s="248"/>
      <c r="D95" s="322"/>
      <c r="E95" s="322"/>
      <c r="F95" s="322"/>
      <c r="G95" s="322"/>
      <c r="H95" s="322"/>
      <c r="I95" s="322"/>
      <c r="J95" s="322"/>
      <c r="K95" s="322"/>
      <c r="L95" s="322"/>
      <c r="M95" s="322"/>
      <c r="N95" s="322"/>
      <c r="O95" s="322"/>
      <c r="P95" s="322"/>
      <c r="Q95" s="322"/>
      <c r="R95" s="322"/>
      <c r="S95" s="322"/>
      <c r="T95" s="322"/>
      <c r="U95" s="322"/>
      <c r="V95" s="322"/>
      <c r="W95" s="322"/>
      <c r="X95" s="322"/>
      <c r="Y95" s="322"/>
      <c r="Z95" s="322"/>
      <c r="AA95" s="322"/>
      <c r="AB95" s="322"/>
      <c r="AC95" s="322"/>
      <c r="AD95" s="322"/>
      <c r="AE95" s="322"/>
      <c r="AF95" s="322"/>
      <c r="AG95" s="322"/>
      <c r="AH95" s="322"/>
      <c r="AI95" s="322"/>
      <c r="AJ95" s="322"/>
      <c r="AK95" s="322"/>
      <c r="AL95" s="322"/>
      <c r="AM95" s="322"/>
      <c r="AN95" s="322"/>
      <c r="AO95" s="322"/>
      <c r="AP95" s="322"/>
      <c r="AQ95" s="322"/>
      <c r="AR95" s="322"/>
      <c r="AS95" s="322"/>
      <c r="AT95" s="322"/>
      <c r="AU95" s="322"/>
      <c r="AV95" s="322"/>
      <c r="AW95" s="322"/>
      <c r="AX95" s="322"/>
      <c r="AY95" s="322"/>
      <c r="AZ95" s="322"/>
      <c r="BA95" s="322"/>
      <c r="BB95" s="322"/>
      <c r="BC95" s="322"/>
      <c r="BD95" s="322"/>
      <c r="BE95" s="322"/>
      <c r="BF95" s="322"/>
      <c r="BG95" s="322"/>
      <c r="BH95" s="322"/>
      <c r="BI95" s="322"/>
      <c r="BJ95" s="322"/>
      <c r="BK95" s="322"/>
      <c r="BL95" s="322"/>
      <c r="BM95" s="322"/>
      <c r="BN95" s="322"/>
      <c r="BO95" s="322"/>
      <c r="BP95" s="322"/>
      <c r="BQ95" s="322"/>
      <c r="BR95" s="322"/>
      <c r="BS95" s="322"/>
      <c r="BT95" s="322"/>
      <c r="BU95" s="322"/>
      <c r="BV95" s="322"/>
      <c r="BW95" s="322"/>
      <c r="BX95" s="322"/>
      <c r="BY95" s="322"/>
      <c r="BZ95" s="322"/>
      <c r="CA95" s="322"/>
      <c r="CB95" s="322"/>
      <c r="CC95" s="322"/>
      <c r="CD95" s="322"/>
      <c r="CE95" s="322"/>
      <c r="CF95" s="322"/>
      <c r="CG95" s="322"/>
      <c r="CH95" s="322"/>
      <c r="CI95" s="322"/>
      <c r="CK95" s="249"/>
      <c r="CL95" s="249"/>
      <c r="CM95" s="249"/>
      <c r="CN95" s="249"/>
      <c r="CO95" s="249"/>
      <c r="CQ95" s="249"/>
      <c r="CR95" s="249"/>
      <c r="CS95" s="249"/>
      <c r="CT95" s="249"/>
      <c r="CU95" s="249"/>
      <c r="CW95" s="249"/>
      <c r="CX95" s="249"/>
      <c r="CY95" s="249"/>
      <c r="CZ95" s="249"/>
      <c r="DA95" s="249"/>
    </row>
    <row r="96" spans="2:105" ht="15.75" thickTop="1" x14ac:dyDescent="0.25">
      <c r="B96" s="434" t="s">
        <v>266</v>
      </c>
      <c r="C96" s="290" t="s">
        <v>184</v>
      </c>
      <c r="D96" s="310"/>
      <c r="E96" s="311"/>
      <c r="F96" s="311"/>
      <c r="G96" s="311"/>
      <c r="H96" s="311"/>
      <c r="I96" s="311"/>
      <c r="J96" s="311"/>
      <c r="K96" s="312"/>
      <c r="L96" s="310"/>
      <c r="M96" s="311"/>
      <c r="N96" s="311"/>
      <c r="O96" s="312"/>
      <c r="P96" s="310"/>
      <c r="Q96" s="311"/>
      <c r="R96" s="311"/>
      <c r="S96" s="311"/>
      <c r="T96" s="311"/>
      <c r="U96" s="311"/>
      <c r="V96" s="311"/>
      <c r="W96" s="311"/>
      <c r="X96" s="311"/>
      <c r="Y96" s="311"/>
      <c r="Z96" s="311"/>
      <c r="AA96" s="311"/>
      <c r="AB96" s="311"/>
      <c r="AC96" s="311"/>
      <c r="AD96" s="311"/>
      <c r="AE96" s="311"/>
      <c r="AF96" s="311"/>
      <c r="AG96" s="311"/>
      <c r="AH96" s="311"/>
      <c r="AI96" s="312"/>
      <c r="AJ96" s="310"/>
      <c r="AK96" s="311"/>
      <c r="AL96" s="312"/>
      <c r="AM96" s="310"/>
      <c r="AN96" s="311"/>
      <c r="AO96" s="312"/>
      <c r="AP96" s="310"/>
      <c r="AQ96" s="311"/>
      <c r="AR96" s="311"/>
      <c r="AS96" s="311"/>
      <c r="AT96" s="312"/>
      <c r="AU96" s="310"/>
      <c r="AV96" s="311"/>
      <c r="AW96" s="311"/>
      <c r="AX96" s="311"/>
      <c r="AY96" s="311"/>
      <c r="AZ96" s="311"/>
      <c r="BA96" s="311"/>
      <c r="BB96" s="312"/>
      <c r="BC96" s="310"/>
      <c r="BD96" s="311"/>
      <c r="BE96" s="311"/>
      <c r="BF96" s="311"/>
      <c r="BG96" s="312"/>
      <c r="BH96" s="310"/>
      <c r="BI96" s="311"/>
      <c r="BJ96" s="312"/>
      <c r="BK96" s="310"/>
      <c r="BL96" s="311"/>
      <c r="BM96" s="311"/>
      <c r="BN96" s="312"/>
      <c r="BO96" s="310"/>
      <c r="BP96" s="311"/>
      <c r="BQ96" s="311"/>
      <c r="BR96" s="311"/>
      <c r="BS96" s="311"/>
      <c r="BT96" s="311"/>
      <c r="BU96" s="311"/>
      <c r="BV96" s="312"/>
      <c r="BW96" s="310"/>
      <c r="BX96" s="311"/>
      <c r="BY96" s="311"/>
      <c r="BZ96" s="311"/>
      <c r="CA96" s="311"/>
      <c r="CB96" s="312"/>
      <c r="CC96" s="310"/>
      <c r="CD96" s="311"/>
      <c r="CE96" s="312"/>
      <c r="CF96" s="310"/>
      <c r="CG96" s="311"/>
      <c r="CH96" s="311"/>
      <c r="CI96" s="313"/>
      <c r="CK96" s="233" t="str">
        <f>IF(COUNTIF(D96:CI96,"o")&gt;0,COUNTIF(D96:CI96,"o"),"")</f>
        <v/>
      </c>
      <c r="CL96" s="234" t="str">
        <f>IF(COUNTIF(D96:CI96,"j")&gt;0,COUNTIF(D96:CI96,"j"),"")</f>
        <v/>
      </c>
      <c r="CM96" s="234" t="str">
        <f>IF(COUNTIF(D96:CI96,"m")&gt;0,COUNTIF(D96:CI96,"m"),"")</f>
        <v/>
      </c>
      <c r="CN96" s="234" t="str">
        <f>IF(COUNTIF(D96:CI96,"s")&gt;0,COUNTIF(D96:CI96,"s"),"")</f>
        <v/>
      </c>
      <c r="CO96" s="235" t="str">
        <f>IF(COUNTIF(D96:CI96,"e")&gt;0,COUNTIF(D96:CI96,"e"),"")</f>
        <v/>
      </c>
      <c r="CQ96" s="233" t="str">
        <f>desired_skills(C96,"Talen/Nederlands","o")</f>
        <v/>
      </c>
      <c r="CR96" s="234" t="str">
        <f>desired_skills(C96,"Talen/Nederlands","j")</f>
        <v/>
      </c>
      <c r="CS96" s="234" t="str">
        <f>desired_skills(C96,"Talen/Nederlands","m")</f>
        <v/>
      </c>
      <c r="CT96" s="234" t="str">
        <f>desired_skills(C96,"Talen/Nederlands","s")</f>
        <v/>
      </c>
      <c r="CU96" s="235" t="str">
        <f>desired_skills(C96,"Talen/Nederlands","e")</f>
        <v/>
      </c>
      <c r="CW96" s="233" t="str">
        <f>calc_gap('Matrix 171007_1827'!$CK$96,'Matrix 171007_1827'!$CQ$96)</f>
        <v/>
      </c>
      <c r="CX96" s="234" t="str">
        <f>calc_gap('Matrix 171007_1827'!$CL$96,'Matrix 171007_1827'!$CR$96)</f>
        <v/>
      </c>
      <c r="CY96" s="234" t="str">
        <f>calc_gap('Matrix 171007_1827'!$CM$96,'Matrix 171007_1827'!$CS$96)</f>
        <v/>
      </c>
      <c r="CZ96" s="234" t="str">
        <f>calc_gap('Matrix 171007_1827'!$CN$96,'Matrix 171007_1827'!$CT$96)</f>
        <v/>
      </c>
      <c r="DA96" s="235" t="str">
        <f>calc_gap('Matrix 171007_1827'!$CO$96,'Matrix 171007_1827'!$CU$96)</f>
        <v/>
      </c>
    </row>
    <row r="97" spans="2:105" x14ac:dyDescent="0.25">
      <c r="B97" s="435"/>
      <c r="C97" s="291" t="s">
        <v>123</v>
      </c>
      <c r="D97" s="314"/>
      <c r="E97" s="315"/>
      <c r="F97" s="315"/>
      <c r="G97" s="315"/>
      <c r="H97" s="315"/>
      <c r="I97" s="315"/>
      <c r="J97" s="315"/>
      <c r="K97" s="316"/>
      <c r="L97" s="314"/>
      <c r="M97" s="315"/>
      <c r="N97" s="315"/>
      <c r="O97" s="316"/>
      <c r="P97" s="314"/>
      <c r="Q97" s="315"/>
      <c r="R97" s="315"/>
      <c r="S97" s="315"/>
      <c r="T97" s="315"/>
      <c r="U97" s="315"/>
      <c r="V97" s="315"/>
      <c r="W97" s="315"/>
      <c r="X97" s="315"/>
      <c r="Y97" s="315"/>
      <c r="Z97" s="315"/>
      <c r="AA97" s="315"/>
      <c r="AB97" s="315"/>
      <c r="AC97" s="315"/>
      <c r="AD97" s="315"/>
      <c r="AE97" s="315"/>
      <c r="AF97" s="315"/>
      <c r="AG97" s="315"/>
      <c r="AH97" s="315"/>
      <c r="AI97" s="316"/>
      <c r="AJ97" s="314"/>
      <c r="AK97" s="315"/>
      <c r="AL97" s="316"/>
      <c r="AM97" s="314"/>
      <c r="AN97" s="315"/>
      <c r="AO97" s="316"/>
      <c r="AP97" s="314"/>
      <c r="AQ97" s="315"/>
      <c r="AR97" s="315"/>
      <c r="AS97" s="315"/>
      <c r="AT97" s="316"/>
      <c r="AU97" s="314"/>
      <c r="AV97" s="315"/>
      <c r="AW97" s="315"/>
      <c r="AX97" s="315"/>
      <c r="AY97" s="315"/>
      <c r="AZ97" s="315"/>
      <c r="BA97" s="315"/>
      <c r="BB97" s="316"/>
      <c r="BC97" s="314"/>
      <c r="BD97" s="315"/>
      <c r="BE97" s="315"/>
      <c r="BF97" s="315"/>
      <c r="BG97" s="316"/>
      <c r="BH97" s="314"/>
      <c r="BI97" s="315"/>
      <c r="BJ97" s="316"/>
      <c r="BK97" s="314"/>
      <c r="BL97" s="315"/>
      <c r="BM97" s="315"/>
      <c r="BN97" s="316"/>
      <c r="BO97" s="314"/>
      <c r="BP97" s="315"/>
      <c r="BQ97" s="315"/>
      <c r="BR97" s="315"/>
      <c r="BS97" s="315"/>
      <c r="BT97" s="315"/>
      <c r="BU97" s="315"/>
      <c r="BV97" s="316"/>
      <c r="BW97" s="314"/>
      <c r="BX97" s="315"/>
      <c r="BY97" s="315"/>
      <c r="BZ97" s="315"/>
      <c r="CA97" s="315"/>
      <c r="CB97" s="316"/>
      <c r="CC97" s="314"/>
      <c r="CD97" s="315"/>
      <c r="CE97" s="316"/>
      <c r="CF97" s="314"/>
      <c r="CG97" s="315"/>
      <c r="CH97" s="315"/>
      <c r="CI97" s="317"/>
      <c r="CK97" s="236" t="str">
        <f>IF(COUNTIF(D97:CI97,"o")&gt;0,COUNTIF(D97:CI97,"o"),"")</f>
        <v/>
      </c>
      <c r="CL97" s="237" t="str">
        <f>IF(COUNTIF(D97:CI97,"j")&gt;0,COUNTIF(D97:CI97,"j"),"")</f>
        <v/>
      </c>
      <c r="CM97" s="237" t="str">
        <f>IF(COUNTIF(D97:CI97,"m")&gt;0,COUNTIF(D97:CI97,"m"),"")</f>
        <v/>
      </c>
      <c r="CN97" s="237" t="str">
        <f>IF(COUNTIF(D97:CI97,"s")&gt;0,COUNTIF(D97:CI97,"s"),"")</f>
        <v/>
      </c>
      <c r="CO97" s="238" t="str">
        <f>IF(COUNTIF(D97:CI97,"e")&gt;0,COUNTIF(D97:CI97,"e"),"")</f>
        <v/>
      </c>
      <c r="CQ97" s="236" t="str">
        <f>desired_skills(C97,"Talen/Engels","o")</f>
        <v/>
      </c>
      <c r="CR97" s="237" t="str">
        <f>desired_skills(C97,"Talen/Engels","j")</f>
        <v/>
      </c>
      <c r="CS97" s="237" t="str">
        <f>desired_skills(C97,"Talen/Engels","m")</f>
        <v/>
      </c>
      <c r="CT97" s="237" t="str">
        <f>desired_skills(C97,"Talen/Engels","s")</f>
        <v/>
      </c>
      <c r="CU97" s="238" t="str">
        <f>desired_skills(C97,"Talen/Engels","e")</f>
        <v/>
      </c>
      <c r="CW97" s="236" t="str">
        <f>calc_gap('Matrix 171007_1827'!$CK$97,'Matrix 171007_1827'!$CQ$97)</f>
        <v/>
      </c>
      <c r="CX97" s="237" t="str">
        <f>calc_gap('Matrix 171007_1827'!$CL$97,'Matrix 171007_1827'!$CR$97)</f>
        <v/>
      </c>
      <c r="CY97" s="237" t="str">
        <f>calc_gap('Matrix 171007_1827'!$CM$97,'Matrix 171007_1827'!$CS$97)</f>
        <v/>
      </c>
      <c r="CZ97" s="237" t="str">
        <f>calc_gap('Matrix 171007_1827'!$CN$97,'Matrix 171007_1827'!$CT$97)</f>
        <v/>
      </c>
      <c r="DA97" s="238" t="str">
        <f>calc_gap('Matrix 171007_1827'!$CO$97,'Matrix 171007_1827'!$CU$97)</f>
        <v/>
      </c>
    </row>
    <row r="98" spans="2:105" x14ac:dyDescent="0.25">
      <c r="B98" s="435"/>
      <c r="C98" s="291" t="s">
        <v>268</v>
      </c>
      <c r="D98" s="314"/>
      <c r="E98" s="315"/>
      <c r="F98" s="315"/>
      <c r="G98" s="315"/>
      <c r="H98" s="315"/>
      <c r="I98" s="315"/>
      <c r="J98" s="315"/>
      <c r="K98" s="316"/>
      <c r="L98" s="314"/>
      <c r="M98" s="315"/>
      <c r="N98" s="315"/>
      <c r="O98" s="316"/>
      <c r="P98" s="314"/>
      <c r="Q98" s="315"/>
      <c r="R98" s="315"/>
      <c r="S98" s="315"/>
      <c r="T98" s="315"/>
      <c r="U98" s="315"/>
      <c r="V98" s="315"/>
      <c r="W98" s="315"/>
      <c r="X98" s="315"/>
      <c r="Y98" s="315"/>
      <c r="Z98" s="315"/>
      <c r="AA98" s="315"/>
      <c r="AB98" s="315"/>
      <c r="AC98" s="315"/>
      <c r="AD98" s="315"/>
      <c r="AE98" s="315"/>
      <c r="AF98" s="315"/>
      <c r="AG98" s="315"/>
      <c r="AH98" s="315"/>
      <c r="AI98" s="316"/>
      <c r="AJ98" s="314"/>
      <c r="AK98" s="315"/>
      <c r="AL98" s="316"/>
      <c r="AM98" s="314"/>
      <c r="AN98" s="315"/>
      <c r="AO98" s="316"/>
      <c r="AP98" s="314"/>
      <c r="AQ98" s="315"/>
      <c r="AR98" s="315"/>
      <c r="AS98" s="315"/>
      <c r="AT98" s="316"/>
      <c r="AU98" s="314"/>
      <c r="AV98" s="315"/>
      <c r="AW98" s="315"/>
      <c r="AX98" s="315"/>
      <c r="AY98" s="315"/>
      <c r="AZ98" s="315"/>
      <c r="BA98" s="315"/>
      <c r="BB98" s="316"/>
      <c r="BC98" s="314"/>
      <c r="BD98" s="315"/>
      <c r="BE98" s="315"/>
      <c r="BF98" s="315"/>
      <c r="BG98" s="316"/>
      <c r="BH98" s="314"/>
      <c r="BI98" s="315"/>
      <c r="BJ98" s="316"/>
      <c r="BK98" s="314"/>
      <c r="BL98" s="315"/>
      <c r="BM98" s="315"/>
      <c r="BN98" s="316"/>
      <c r="BO98" s="314"/>
      <c r="BP98" s="315"/>
      <c r="BQ98" s="315"/>
      <c r="BR98" s="315"/>
      <c r="BS98" s="315"/>
      <c r="BT98" s="315"/>
      <c r="BU98" s="315"/>
      <c r="BV98" s="316"/>
      <c r="BW98" s="314"/>
      <c r="BX98" s="315"/>
      <c r="BY98" s="315"/>
      <c r="BZ98" s="315"/>
      <c r="CA98" s="315"/>
      <c r="CB98" s="316"/>
      <c r="CC98" s="314"/>
      <c r="CD98" s="315"/>
      <c r="CE98" s="316"/>
      <c r="CF98" s="314"/>
      <c r="CG98" s="315"/>
      <c r="CH98" s="315"/>
      <c r="CI98" s="317"/>
      <c r="CK98" s="236" t="str">
        <f>IF(COUNTIF(D98:CI98,"o")&gt;0,COUNTIF(D98:CI98,"o"),"")</f>
        <v/>
      </c>
      <c r="CL98" s="237" t="str">
        <f>IF(COUNTIF(D98:CI98,"j")&gt;0,COUNTIF(D98:CI98,"j"),"")</f>
        <v/>
      </c>
      <c r="CM98" s="237" t="str">
        <f>IF(COUNTIF(D98:CI98,"m")&gt;0,COUNTIF(D98:CI98,"m"),"")</f>
        <v/>
      </c>
      <c r="CN98" s="237" t="str">
        <f>IF(COUNTIF(D98:CI98,"s")&gt;0,COUNTIF(D98:CI98,"s"),"")</f>
        <v/>
      </c>
      <c r="CO98" s="238" t="str">
        <f>IF(COUNTIF(D98:CI98,"e")&gt;0,COUNTIF(D98:CI98,"e"),"")</f>
        <v/>
      </c>
      <c r="CQ98" s="236" t="str">
        <f>desired_skills(C98,"Talen/Duits","o")</f>
        <v/>
      </c>
      <c r="CR98" s="237" t="str">
        <f>desired_skills(C98,"Talen/Duits","j")</f>
        <v/>
      </c>
      <c r="CS98" s="237" t="str">
        <f>desired_skills(C98,"Talen/Duits","m")</f>
        <v/>
      </c>
      <c r="CT98" s="237" t="str">
        <f>desired_skills(C98,"Talen/Duits","s")</f>
        <v/>
      </c>
      <c r="CU98" s="238" t="str">
        <f>desired_skills(C98,"Talen/Duits","e")</f>
        <v/>
      </c>
      <c r="CW98" s="236" t="str">
        <f>calc_gap('Matrix 171007_1827'!$CK$98,'Matrix 171007_1827'!$CQ$98)</f>
        <v/>
      </c>
      <c r="CX98" s="237" t="str">
        <f>calc_gap('Matrix 171007_1827'!$CL$98,'Matrix 171007_1827'!$CR$98)</f>
        <v/>
      </c>
      <c r="CY98" s="237" t="str">
        <f>calc_gap('Matrix 171007_1827'!$CM$98,'Matrix 171007_1827'!$CS$98)</f>
        <v/>
      </c>
      <c r="CZ98" s="237" t="str">
        <f>calc_gap('Matrix 171007_1827'!$CN$98,'Matrix 171007_1827'!$CT$98)</f>
        <v/>
      </c>
      <c r="DA98" s="238" t="str">
        <f>calc_gap('Matrix 171007_1827'!$CO$98,'Matrix 171007_1827'!$CU$98)</f>
        <v/>
      </c>
    </row>
    <row r="99" spans="2:105" ht="15.75" thickBot="1" x14ac:dyDescent="0.3">
      <c r="B99" s="435"/>
      <c r="C99" s="292" t="s">
        <v>143</v>
      </c>
      <c r="D99" s="318"/>
      <c r="E99" s="319"/>
      <c r="F99" s="319"/>
      <c r="G99" s="319"/>
      <c r="H99" s="319"/>
      <c r="I99" s="319"/>
      <c r="J99" s="319"/>
      <c r="K99" s="320"/>
      <c r="L99" s="318"/>
      <c r="M99" s="319"/>
      <c r="N99" s="319"/>
      <c r="O99" s="320"/>
      <c r="P99" s="318"/>
      <c r="Q99" s="319"/>
      <c r="R99" s="319"/>
      <c r="S99" s="319"/>
      <c r="T99" s="319"/>
      <c r="U99" s="319"/>
      <c r="V99" s="319"/>
      <c r="W99" s="319"/>
      <c r="X99" s="319"/>
      <c r="Y99" s="319"/>
      <c r="Z99" s="319"/>
      <c r="AA99" s="319"/>
      <c r="AB99" s="319"/>
      <c r="AC99" s="319"/>
      <c r="AD99" s="319"/>
      <c r="AE99" s="319"/>
      <c r="AF99" s="319"/>
      <c r="AG99" s="319"/>
      <c r="AH99" s="319"/>
      <c r="AI99" s="320"/>
      <c r="AJ99" s="318"/>
      <c r="AK99" s="319"/>
      <c r="AL99" s="320"/>
      <c r="AM99" s="318"/>
      <c r="AN99" s="319"/>
      <c r="AO99" s="320"/>
      <c r="AP99" s="318"/>
      <c r="AQ99" s="319"/>
      <c r="AR99" s="319"/>
      <c r="AS99" s="319"/>
      <c r="AT99" s="320"/>
      <c r="AU99" s="318"/>
      <c r="AV99" s="319"/>
      <c r="AW99" s="319"/>
      <c r="AX99" s="319"/>
      <c r="AY99" s="319"/>
      <c r="AZ99" s="319"/>
      <c r="BA99" s="319"/>
      <c r="BB99" s="320"/>
      <c r="BC99" s="318"/>
      <c r="BD99" s="319"/>
      <c r="BE99" s="319"/>
      <c r="BF99" s="319"/>
      <c r="BG99" s="320"/>
      <c r="BH99" s="318"/>
      <c r="BI99" s="319"/>
      <c r="BJ99" s="320"/>
      <c r="BK99" s="318"/>
      <c r="BL99" s="319"/>
      <c r="BM99" s="319"/>
      <c r="BN99" s="320"/>
      <c r="BO99" s="318"/>
      <c r="BP99" s="319"/>
      <c r="BQ99" s="319"/>
      <c r="BR99" s="319"/>
      <c r="BS99" s="319"/>
      <c r="BT99" s="319"/>
      <c r="BU99" s="319"/>
      <c r="BV99" s="320"/>
      <c r="BW99" s="318"/>
      <c r="BX99" s="319"/>
      <c r="BY99" s="319"/>
      <c r="BZ99" s="319"/>
      <c r="CA99" s="319"/>
      <c r="CB99" s="320"/>
      <c r="CC99" s="318"/>
      <c r="CD99" s="319"/>
      <c r="CE99" s="320"/>
      <c r="CF99" s="318"/>
      <c r="CG99" s="319"/>
      <c r="CH99" s="319"/>
      <c r="CI99" s="321"/>
      <c r="CK99" s="239" t="str">
        <f>IF(COUNTIF(D99:CI99,"o")&gt;0,COUNTIF(D99:CI99,"o"),"")</f>
        <v/>
      </c>
      <c r="CL99" s="240" t="str">
        <f>IF(COUNTIF(D99:CI99,"j")&gt;0,COUNTIF(D99:CI99,"j"),"")</f>
        <v/>
      </c>
      <c r="CM99" s="240" t="str">
        <f>IF(COUNTIF(D99:CI99,"m")&gt;0,COUNTIF(D99:CI99,"m"),"")</f>
        <v/>
      </c>
      <c r="CN99" s="240" t="str">
        <f>IF(COUNTIF(D99:CI99,"s")&gt;0,COUNTIF(D99:CI99,"s"),"")</f>
        <v/>
      </c>
      <c r="CO99" s="241" t="str">
        <f>IF(COUNTIF(D99:CI99,"e")&gt;0,COUNTIF(D99:CI99,"e"),"")</f>
        <v/>
      </c>
      <c r="CQ99" s="239" t="str">
        <f>desired_skills(C99,"Talen/Frans","o")</f>
        <v/>
      </c>
      <c r="CR99" s="240" t="str">
        <f>desired_skills(C99,"Talen/Frans","j")</f>
        <v/>
      </c>
      <c r="CS99" s="240" t="str">
        <f>desired_skills(C99,"Talen/Frans","m")</f>
        <v/>
      </c>
      <c r="CT99" s="240" t="str">
        <f>desired_skills(C99,"Talen/Frans","s")</f>
        <v/>
      </c>
      <c r="CU99" s="241" t="str">
        <f>desired_skills(C99,"Talen/Frans","e")</f>
        <v/>
      </c>
      <c r="CW99" s="239" t="str">
        <f>calc_gap('Matrix 171007_1827'!$CK$99,'Matrix 171007_1827'!$CQ$99)</f>
        <v/>
      </c>
      <c r="CX99" s="240" t="str">
        <f>calc_gap('Matrix 171007_1827'!$CL$99,'Matrix 171007_1827'!$CR$99)</f>
        <v/>
      </c>
      <c r="CY99" s="240" t="str">
        <f>calc_gap('Matrix 171007_1827'!$CM$99,'Matrix 171007_1827'!$CS$99)</f>
        <v/>
      </c>
      <c r="CZ99" s="240" t="str">
        <f>calc_gap('Matrix 171007_1827'!$CN$99,'Matrix 171007_1827'!$CT$99)</f>
        <v/>
      </c>
      <c r="DA99" s="241" t="str">
        <f>calc_gap('Matrix 171007_1827'!$CO$99,'Matrix 171007_1827'!$CU$99)</f>
        <v/>
      </c>
    </row>
    <row r="100" spans="2:105" ht="12.75" customHeight="1" thickTop="1" thickBot="1" x14ac:dyDescent="0.3">
      <c r="B100" s="437"/>
      <c r="C100" s="248"/>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2"/>
      <c r="BK100" s="322"/>
      <c r="BL100" s="322"/>
      <c r="BM100" s="322"/>
      <c r="BN100" s="322"/>
      <c r="BO100" s="322"/>
      <c r="BP100" s="322"/>
      <c r="BQ100" s="322"/>
      <c r="BR100" s="322"/>
      <c r="BS100" s="322"/>
      <c r="BT100" s="322"/>
      <c r="BU100" s="322"/>
      <c r="BV100" s="322"/>
      <c r="BW100" s="322"/>
      <c r="BX100" s="322"/>
      <c r="BY100" s="322"/>
      <c r="BZ100" s="322"/>
      <c r="CA100" s="322"/>
      <c r="CB100" s="322"/>
      <c r="CC100" s="322"/>
      <c r="CD100" s="322"/>
      <c r="CE100" s="322"/>
      <c r="CF100" s="322"/>
      <c r="CG100" s="322"/>
      <c r="CH100" s="322"/>
      <c r="CI100" s="322"/>
      <c r="CK100" s="249"/>
      <c r="CL100" s="249"/>
      <c r="CM100" s="249"/>
      <c r="CN100" s="249"/>
      <c r="CO100" s="249"/>
      <c r="CQ100" s="249"/>
      <c r="CR100" s="249"/>
      <c r="CS100" s="249"/>
      <c r="CT100" s="249"/>
      <c r="CU100" s="249"/>
      <c r="CW100" s="249"/>
      <c r="CX100" s="249"/>
      <c r="CY100" s="249"/>
      <c r="CZ100" s="249"/>
      <c r="DA100" s="249"/>
    </row>
    <row r="101" spans="2:105" ht="16.5" thickTop="1" thickBot="1" x14ac:dyDescent="0.3"/>
    <row r="102" spans="2:105" ht="15.75" thickTop="1" x14ac:dyDescent="0.25">
      <c r="B102" s="434" t="s">
        <v>303</v>
      </c>
      <c r="C102" s="298" t="s">
        <v>217</v>
      </c>
      <c r="D102" s="294" t="str">
        <f t="shared" ref="D102:AI102" si="35">IF(COUNTIF(D4:D100,"o")&gt;0,COUNTIF(D4:D100,"o"),"")</f>
        <v/>
      </c>
      <c r="E102" s="234" t="str">
        <f t="shared" si="35"/>
        <v/>
      </c>
      <c r="F102" s="234" t="str">
        <f t="shared" si="35"/>
        <v/>
      </c>
      <c r="G102" s="234" t="str">
        <f t="shared" si="35"/>
        <v/>
      </c>
      <c r="H102" s="234" t="str">
        <f t="shared" si="35"/>
        <v/>
      </c>
      <c r="I102" s="234" t="str">
        <f t="shared" si="35"/>
        <v/>
      </c>
      <c r="J102" s="234" t="str">
        <f t="shared" si="35"/>
        <v/>
      </c>
      <c r="K102" s="242" t="str">
        <f t="shared" si="35"/>
        <v/>
      </c>
      <c r="L102" s="233" t="str">
        <f t="shared" si="35"/>
        <v/>
      </c>
      <c r="M102" s="234" t="str">
        <f t="shared" si="35"/>
        <v/>
      </c>
      <c r="N102" s="234" t="str">
        <f t="shared" si="35"/>
        <v/>
      </c>
      <c r="O102" s="242" t="str">
        <f t="shared" si="35"/>
        <v/>
      </c>
      <c r="P102" s="233" t="str">
        <f t="shared" si="35"/>
        <v/>
      </c>
      <c r="Q102" s="234" t="str">
        <f t="shared" si="35"/>
        <v/>
      </c>
      <c r="R102" s="234" t="str">
        <f t="shared" si="35"/>
        <v/>
      </c>
      <c r="S102" s="234" t="str">
        <f t="shared" si="35"/>
        <v/>
      </c>
      <c r="T102" s="234" t="str">
        <f t="shared" si="35"/>
        <v/>
      </c>
      <c r="U102" s="234" t="str">
        <f t="shared" si="35"/>
        <v/>
      </c>
      <c r="V102" s="234" t="str">
        <f t="shared" si="35"/>
        <v/>
      </c>
      <c r="W102" s="234" t="str">
        <f t="shared" si="35"/>
        <v/>
      </c>
      <c r="X102" s="234" t="str">
        <f t="shared" si="35"/>
        <v/>
      </c>
      <c r="Y102" s="234" t="str">
        <f t="shared" si="35"/>
        <v/>
      </c>
      <c r="Z102" s="234" t="str">
        <f t="shared" si="35"/>
        <v/>
      </c>
      <c r="AA102" s="234" t="str">
        <f t="shared" si="35"/>
        <v/>
      </c>
      <c r="AB102" s="234" t="str">
        <f t="shared" si="35"/>
        <v/>
      </c>
      <c r="AC102" s="234" t="str">
        <f t="shared" si="35"/>
        <v/>
      </c>
      <c r="AD102" s="234" t="str">
        <f t="shared" si="35"/>
        <v/>
      </c>
      <c r="AE102" s="234" t="str">
        <f t="shared" si="35"/>
        <v/>
      </c>
      <c r="AF102" s="234" t="str">
        <f t="shared" si="35"/>
        <v/>
      </c>
      <c r="AG102" s="234" t="str">
        <f t="shared" si="35"/>
        <v/>
      </c>
      <c r="AH102" s="234" t="str">
        <f t="shared" si="35"/>
        <v/>
      </c>
      <c r="AI102" s="242" t="str">
        <f t="shared" si="35"/>
        <v/>
      </c>
      <c r="AJ102" s="233" t="str">
        <f t="shared" ref="AJ102:BO102" si="36">IF(COUNTIF(AJ4:AJ100,"o")&gt;0,COUNTIF(AJ4:AJ100,"o"),"")</f>
        <v/>
      </c>
      <c r="AK102" s="234" t="str">
        <f t="shared" si="36"/>
        <v/>
      </c>
      <c r="AL102" s="242" t="str">
        <f t="shared" si="36"/>
        <v/>
      </c>
      <c r="AM102" s="233" t="str">
        <f t="shared" si="36"/>
        <v/>
      </c>
      <c r="AN102" s="234" t="str">
        <f t="shared" si="36"/>
        <v/>
      </c>
      <c r="AO102" s="242" t="str">
        <f t="shared" si="36"/>
        <v/>
      </c>
      <c r="AP102" s="233" t="str">
        <f t="shared" si="36"/>
        <v/>
      </c>
      <c r="AQ102" s="234" t="str">
        <f t="shared" si="36"/>
        <v/>
      </c>
      <c r="AR102" s="234" t="str">
        <f t="shared" si="36"/>
        <v/>
      </c>
      <c r="AS102" s="234" t="str">
        <f t="shared" si="36"/>
        <v/>
      </c>
      <c r="AT102" s="242" t="str">
        <f t="shared" si="36"/>
        <v/>
      </c>
      <c r="AU102" s="233" t="str">
        <f t="shared" si="36"/>
        <v/>
      </c>
      <c r="AV102" s="234">
        <f t="shared" si="36"/>
        <v>3</v>
      </c>
      <c r="AW102" s="234">
        <f t="shared" si="36"/>
        <v>9</v>
      </c>
      <c r="AX102" s="234" t="str">
        <f t="shared" si="36"/>
        <v/>
      </c>
      <c r="AY102" s="234" t="str">
        <f t="shared" si="36"/>
        <v/>
      </c>
      <c r="AZ102" s="234">
        <f t="shared" si="36"/>
        <v>1</v>
      </c>
      <c r="BA102" s="234">
        <f t="shared" si="36"/>
        <v>2</v>
      </c>
      <c r="BB102" s="242" t="str">
        <f t="shared" si="36"/>
        <v/>
      </c>
      <c r="BC102" s="233">
        <f t="shared" si="36"/>
        <v>20</v>
      </c>
      <c r="BD102" s="234">
        <f t="shared" si="36"/>
        <v>12</v>
      </c>
      <c r="BE102" s="234" t="str">
        <f t="shared" si="36"/>
        <v/>
      </c>
      <c r="BF102" s="234" t="str">
        <f t="shared" si="36"/>
        <v/>
      </c>
      <c r="BG102" s="242" t="str">
        <f t="shared" si="36"/>
        <v/>
      </c>
      <c r="BH102" s="233" t="str">
        <f t="shared" si="36"/>
        <v/>
      </c>
      <c r="BI102" s="234">
        <f t="shared" si="36"/>
        <v>2</v>
      </c>
      <c r="BJ102" s="242" t="str">
        <f t="shared" si="36"/>
        <v/>
      </c>
      <c r="BK102" s="233" t="str">
        <f t="shared" si="36"/>
        <v/>
      </c>
      <c r="BL102" s="234">
        <f t="shared" si="36"/>
        <v>3</v>
      </c>
      <c r="BM102" s="234" t="str">
        <f t="shared" si="36"/>
        <v/>
      </c>
      <c r="BN102" s="242">
        <f t="shared" si="36"/>
        <v>9</v>
      </c>
      <c r="BO102" s="233" t="str">
        <f t="shared" si="36"/>
        <v/>
      </c>
      <c r="BP102" s="234" t="str">
        <f t="shared" ref="BP102:CI102" si="37">IF(COUNTIF(BP4:BP100,"o")&gt;0,COUNTIF(BP4:BP100,"o"),"")</f>
        <v/>
      </c>
      <c r="BQ102" s="234" t="str">
        <f t="shared" si="37"/>
        <v/>
      </c>
      <c r="BR102" s="234" t="str">
        <f t="shared" si="37"/>
        <v/>
      </c>
      <c r="BS102" s="234">
        <f t="shared" si="37"/>
        <v>22</v>
      </c>
      <c r="BT102" s="234">
        <f t="shared" si="37"/>
        <v>1</v>
      </c>
      <c r="BU102" s="234" t="str">
        <f t="shared" si="37"/>
        <v/>
      </c>
      <c r="BV102" s="242" t="str">
        <f t="shared" si="37"/>
        <v/>
      </c>
      <c r="BW102" s="233">
        <f t="shared" si="37"/>
        <v>3</v>
      </c>
      <c r="BX102" s="234" t="str">
        <f t="shared" si="37"/>
        <v/>
      </c>
      <c r="BY102" s="234" t="str">
        <f t="shared" si="37"/>
        <v/>
      </c>
      <c r="BZ102" s="234">
        <f t="shared" si="37"/>
        <v>1</v>
      </c>
      <c r="CA102" s="234" t="str">
        <f t="shared" si="37"/>
        <v/>
      </c>
      <c r="CB102" s="242" t="str">
        <f t="shared" si="37"/>
        <v/>
      </c>
      <c r="CC102" s="233" t="str">
        <f t="shared" si="37"/>
        <v/>
      </c>
      <c r="CD102" s="234" t="str">
        <f t="shared" si="37"/>
        <v/>
      </c>
      <c r="CE102" s="242" t="str">
        <f t="shared" si="37"/>
        <v/>
      </c>
      <c r="CF102" s="233" t="str">
        <f t="shared" si="37"/>
        <v/>
      </c>
      <c r="CG102" s="234" t="str">
        <f t="shared" si="37"/>
        <v/>
      </c>
      <c r="CH102" s="234" t="str">
        <f t="shared" si="37"/>
        <v/>
      </c>
      <c r="CI102" s="235" t="str">
        <f t="shared" si="37"/>
        <v/>
      </c>
    </row>
    <row r="103" spans="2:105" x14ac:dyDescent="0.25">
      <c r="B103" s="435"/>
      <c r="C103" s="299" t="s">
        <v>218</v>
      </c>
      <c r="D103" s="295" t="str">
        <f t="shared" ref="D103:AI103" si="38">IF(COUNTIF(D4:D100,"j")&gt;0,COUNTIF(D4:D100,"j"),"")</f>
        <v/>
      </c>
      <c r="E103" s="237" t="str">
        <f t="shared" si="38"/>
        <v/>
      </c>
      <c r="F103" s="237" t="str">
        <f t="shared" si="38"/>
        <v/>
      </c>
      <c r="G103" s="237" t="str">
        <f t="shared" si="38"/>
        <v/>
      </c>
      <c r="H103" s="237" t="str">
        <f t="shared" si="38"/>
        <v/>
      </c>
      <c r="I103" s="237" t="str">
        <f t="shared" si="38"/>
        <v/>
      </c>
      <c r="J103" s="237" t="str">
        <f t="shared" si="38"/>
        <v/>
      </c>
      <c r="K103" s="243" t="str">
        <f t="shared" si="38"/>
        <v/>
      </c>
      <c r="L103" s="236" t="str">
        <f t="shared" si="38"/>
        <v/>
      </c>
      <c r="M103" s="237" t="str">
        <f t="shared" si="38"/>
        <v/>
      </c>
      <c r="N103" s="237" t="str">
        <f t="shared" si="38"/>
        <v/>
      </c>
      <c r="O103" s="243" t="str">
        <f t="shared" si="38"/>
        <v/>
      </c>
      <c r="P103" s="236" t="str">
        <f t="shared" si="38"/>
        <v/>
      </c>
      <c r="Q103" s="237" t="str">
        <f t="shared" si="38"/>
        <v/>
      </c>
      <c r="R103" s="237" t="str">
        <f t="shared" si="38"/>
        <v/>
      </c>
      <c r="S103" s="237" t="str">
        <f t="shared" si="38"/>
        <v/>
      </c>
      <c r="T103" s="237" t="str">
        <f t="shared" si="38"/>
        <v/>
      </c>
      <c r="U103" s="237" t="str">
        <f t="shared" si="38"/>
        <v/>
      </c>
      <c r="V103" s="237" t="str">
        <f t="shared" si="38"/>
        <v/>
      </c>
      <c r="W103" s="237" t="str">
        <f t="shared" si="38"/>
        <v/>
      </c>
      <c r="X103" s="237" t="str">
        <f t="shared" si="38"/>
        <v/>
      </c>
      <c r="Y103" s="237" t="str">
        <f t="shared" si="38"/>
        <v/>
      </c>
      <c r="Z103" s="237" t="str">
        <f t="shared" si="38"/>
        <v/>
      </c>
      <c r="AA103" s="237" t="str">
        <f t="shared" si="38"/>
        <v/>
      </c>
      <c r="AB103" s="237" t="str">
        <f t="shared" si="38"/>
        <v/>
      </c>
      <c r="AC103" s="237" t="str">
        <f t="shared" si="38"/>
        <v/>
      </c>
      <c r="AD103" s="237" t="str">
        <f t="shared" si="38"/>
        <v/>
      </c>
      <c r="AE103" s="237" t="str">
        <f t="shared" si="38"/>
        <v/>
      </c>
      <c r="AF103" s="237" t="str">
        <f t="shared" si="38"/>
        <v/>
      </c>
      <c r="AG103" s="237" t="str">
        <f t="shared" si="38"/>
        <v/>
      </c>
      <c r="AH103" s="237" t="str">
        <f t="shared" si="38"/>
        <v/>
      </c>
      <c r="AI103" s="243" t="str">
        <f t="shared" si="38"/>
        <v/>
      </c>
      <c r="AJ103" s="236" t="str">
        <f t="shared" ref="AJ103:BO103" si="39">IF(COUNTIF(AJ4:AJ100,"j")&gt;0,COUNTIF(AJ4:AJ100,"j"),"")</f>
        <v/>
      </c>
      <c r="AK103" s="237" t="str">
        <f t="shared" si="39"/>
        <v/>
      </c>
      <c r="AL103" s="243" t="str">
        <f t="shared" si="39"/>
        <v/>
      </c>
      <c r="AM103" s="236" t="str">
        <f t="shared" si="39"/>
        <v/>
      </c>
      <c r="AN103" s="237" t="str">
        <f t="shared" si="39"/>
        <v/>
      </c>
      <c r="AO103" s="243" t="str">
        <f t="shared" si="39"/>
        <v/>
      </c>
      <c r="AP103" s="236" t="str">
        <f t="shared" si="39"/>
        <v/>
      </c>
      <c r="AQ103" s="237" t="str">
        <f t="shared" si="39"/>
        <v/>
      </c>
      <c r="AR103" s="237" t="str">
        <f t="shared" si="39"/>
        <v/>
      </c>
      <c r="AS103" s="237" t="str">
        <f t="shared" si="39"/>
        <v/>
      </c>
      <c r="AT103" s="243" t="str">
        <f t="shared" si="39"/>
        <v/>
      </c>
      <c r="AU103" s="236">
        <f t="shared" si="39"/>
        <v>12</v>
      </c>
      <c r="AV103" s="237">
        <f t="shared" si="39"/>
        <v>9</v>
      </c>
      <c r="AW103" s="237">
        <f t="shared" si="39"/>
        <v>15</v>
      </c>
      <c r="AX103" s="237">
        <f t="shared" si="39"/>
        <v>7</v>
      </c>
      <c r="AY103" s="237">
        <f t="shared" si="39"/>
        <v>14</v>
      </c>
      <c r="AZ103" s="237">
        <f t="shared" si="39"/>
        <v>7</v>
      </c>
      <c r="BA103" s="237">
        <f t="shared" si="39"/>
        <v>5</v>
      </c>
      <c r="BB103" s="243">
        <f t="shared" si="39"/>
        <v>14</v>
      </c>
      <c r="BC103" s="236">
        <f t="shared" si="39"/>
        <v>18</v>
      </c>
      <c r="BD103" s="237">
        <f t="shared" si="39"/>
        <v>22</v>
      </c>
      <c r="BE103" s="237" t="str">
        <f t="shared" si="39"/>
        <v/>
      </c>
      <c r="BF103" s="237">
        <f t="shared" si="39"/>
        <v>17</v>
      </c>
      <c r="BG103" s="243" t="str">
        <f t="shared" si="39"/>
        <v/>
      </c>
      <c r="BH103" s="236" t="str">
        <f t="shared" si="39"/>
        <v/>
      </c>
      <c r="BI103" s="237">
        <f t="shared" si="39"/>
        <v>6</v>
      </c>
      <c r="BJ103" s="243" t="str">
        <f t="shared" si="39"/>
        <v/>
      </c>
      <c r="BK103" s="236">
        <f t="shared" si="39"/>
        <v>14</v>
      </c>
      <c r="BL103" s="237">
        <f t="shared" si="39"/>
        <v>6</v>
      </c>
      <c r="BM103" s="237" t="str">
        <f t="shared" si="39"/>
        <v/>
      </c>
      <c r="BN103" s="243">
        <f t="shared" si="39"/>
        <v>8</v>
      </c>
      <c r="BO103" s="236">
        <f t="shared" si="39"/>
        <v>13</v>
      </c>
      <c r="BP103" s="237">
        <f t="shared" ref="BP103:CI103" si="40">IF(COUNTIF(BP4:BP100,"j")&gt;0,COUNTIF(BP4:BP100,"j"),"")</f>
        <v>3</v>
      </c>
      <c r="BQ103" s="237">
        <f t="shared" si="40"/>
        <v>9</v>
      </c>
      <c r="BR103" s="237" t="str">
        <f t="shared" si="40"/>
        <v/>
      </c>
      <c r="BS103" s="237">
        <f t="shared" si="40"/>
        <v>15</v>
      </c>
      <c r="BT103" s="237">
        <f t="shared" si="40"/>
        <v>8</v>
      </c>
      <c r="BU103" s="237">
        <f t="shared" si="40"/>
        <v>2</v>
      </c>
      <c r="BV103" s="243" t="str">
        <f t="shared" si="40"/>
        <v/>
      </c>
      <c r="BW103" s="236">
        <f t="shared" si="40"/>
        <v>9</v>
      </c>
      <c r="BX103" s="237">
        <f t="shared" si="40"/>
        <v>3</v>
      </c>
      <c r="BY103" s="237">
        <f t="shared" si="40"/>
        <v>12</v>
      </c>
      <c r="BZ103" s="237">
        <f t="shared" si="40"/>
        <v>7</v>
      </c>
      <c r="CA103" s="237">
        <f t="shared" si="40"/>
        <v>18</v>
      </c>
      <c r="CB103" s="243">
        <f t="shared" si="40"/>
        <v>15</v>
      </c>
      <c r="CC103" s="236">
        <f t="shared" si="40"/>
        <v>8</v>
      </c>
      <c r="CD103" s="237">
        <f t="shared" si="40"/>
        <v>18</v>
      </c>
      <c r="CE103" s="243" t="str">
        <f t="shared" si="40"/>
        <v/>
      </c>
      <c r="CF103" s="236" t="str">
        <f t="shared" si="40"/>
        <v/>
      </c>
      <c r="CG103" s="237" t="str">
        <f t="shared" si="40"/>
        <v/>
      </c>
      <c r="CH103" s="237" t="str">
        <f t="shared" si="40"/>
        <v/>
      </c>
      <c r="CI103" s="238" t="str">
        <f t="shared" si="40"/>
        <v/>
      </c>
    </row>
    <row r="104" spans="2:105" x14ac:dyDescent="0.25">
      <c r="B104" s="435"/>
      <c r="C104" s="300" t="s">
        <v>219</v>
      </c>
      <c r="D104" s="295" t="str">
        <f t="shared" ref="D104:AI104" si="41">IF(COUNTIF(D4:D100,"m")&gt;0,COUNTIF(D4:D100,"m"),"")</f>
        <v/>
      </c>
      <c r="E104" s="237" t="str">
        <f t="shared" si="41"/>
        <v/>
      </c>
      <c r="F104" s="237" t="str">
        <f t="shared" si="41"/>
        <v/>
      </c>
      <c r="G104" s="237" t="str">
        <f t="shared" si="41"/>
        <v/>
      </c>
      <c r="H104" s="237" t="str">
        <f t="shared" si="41"/>
        <v/>
      </c>
      <c r="I104" s="237" t="str">
        <f t="shared" si="41"/>
        <v/>
      </c>
      <c r="J104" s="237" t="str">
        <f t="shared" si="41"/>
        <v/>
      </c>
      <c r="K104" s="243" t="str">
        <f t="shared" si="41"/>
        <v/>
      </c>
      <c r="L104" s="236" t="str">
        <f t="shared" si="41"/>
        <v/>
      </c>
      <c r="M104" s="237" t="str">
        <f t="shared" si="41"/>
        <v/>
      </c>
      <c r="N104" s="237" t="str">
        <f t="shared" si="41"/>
        <v/>
      </c>
      <c r="O104" s="243" t="str">
        <f t="shared" si="41"/>
        <v/>
      </c>
      <c r="P104" s="236" t="str">
        <f t="shared" si="41"/>
        <v/>
      </c>
      <c r="Q104" s="237" t="str">
        <f t="shared" si="41"/>
        <v/>
      </c>
      <c r="R104" s="237" t="str">
        <f t="shared" si="41"/>
        <v/>
      </c>
      <c r="S104" s="237" t="str">
        <f t="shared" si="41"/>
        <v/>
      </c>
      <c r="T104" s="237" t="str">
        <f t="shared" si="41"/>
        <v/>
      </c>
      <c r="U104" s="237" t="str">
        <f t="shared" si="41"/>
        <v/>
      </c>
      <c r="V104" s="237" t="str">
        <f t="shared" si="41"/>
        <v/>
      </c>
      <c r="W104" s="237" t="str">
        <f t="shared" si="41"/>
        <v/>
      </c>
      <c r="X104" s="237" t="str">
        <f t="shared" si="41"/>
        <v/>
      </c>
      <c r="Y104" s="237" t="str">
        <f t="shared" si="41"/>
        <v/>
      </c>
      <c r="Z104" s="237" t="str">
        <f t="shared" si="41"/>
        <v/>
      </c>
      <c r="AA104" s="237" t="str">
        <f t="shared" si="41"/>
        <v/>
      </c>
      <c r="AB104" s="237" t="str">
        <f t="shared" si="41"/>
        <v/>
      </c>
      <c r="AC104" s="237" t="str">
        <f t="shared" si="41"/>
        <v/>
      </c>
      <c r="AD104" s="237" t="str">
        <f t="shared" si="41"/>
        <v/>
      </c>
      <c r="AE104" s="237" t="str">
        <f t="shared" si="41"/>
        <v/>
      </c>
      <c r="AF104" s="237" t="str">
        <f t="shared" si="41"/>
        <v/>
      </c>
      <c r="AG104" s="237" t="str">
        <f t="shared" si="41"/>
        <v/>
      </c>
      <c r="AH104" s="237" t="str">
        <f t="shared" si="41"/>
        <v/>
      </c>
      <c r="AI104" s="243" t="str">
        <f t="shared" si="41"/>
        <v/>
      </c>
      <c r="AJ104" s="236" t="str">
        <f t="shared" ref="AJ104:BO104" si="42">IF(COUNTIF(AJ4:AJ100,"m")&gt;0,COUNTIF(AJ4:AJ100,"m"),"")</f>
        <v/>
      </c>
      <c r="AK104" s="237" t="str">
        <f t="shared" si="42"/>
        <v/>
      </c>
      <c r="AL104" s="243" t="str">
        <f t="shared" si="42"/>
        <v/>
      </c>
      <c r="AM104" s="236" t="str">
        <f t="shared" si="42"/>
        <v/>
      </c>
      <c r="AN104" s="237" t="str">
        <f t="shared" si="42"/>
        <v/>
      </c>
      <c r="AO104" s="243" t="str">
        <f t="shared" si="42"/>
        <v/>
      </c>
      <c r="AP104" s="236" t="str">
        <f t="shared" si="42"/>
        <v/>
      </c>
      <c r="AQ104" s="237" t="str">
        <f t="shared" si="42"/>
        <v/>
      </c>
      <c r="AR104" s="237" t="str">
        <f t="shared" si="42"/>
        <v/>
      </c>
      <c r="AS104" s="237" t="str">
        <f t="shared" si="42"/>
        <v/>
      </c>
      <c r="AT104" s="243" t="str">
        <f t="shared" si="42"/>
        <v/>
      </c>
      <c r="AU104" s="236">
        <f t="shared" si="42"/>
        <v>28</v>
      </c>
      <c r="AV104" s="237">
        <f t="shared" si="42"/>
        <v>27</v>
      </c>
      <c r="AW104" s="237">
        <f t="shared" si="42"/>
        <v>14</v>
      </c>
      <c r="AX104" s="237">
        <f t="shared" si="42"/>
        <v>15</v>
      </c>
      <c r="AY104" s="237">
        <f t="shared" si="42"/>
        <v>22</v>
      </c>
      <c r="AZ104" s="237">
        <f t="shared" si="42"/>
        <v>6</v>
      </c>
      <c r="BA104" s="237">
        <f t="shared" si="42"/>
        <v>7</v>
      </c>
      <c r="BB104" s="243">
        <f t="shared" si="42"/>
        <v>24</v>
      </c>
      <c r="BC104" s="236">
        <f t="shared" si="42"/>
        <v>13</v>
      </c>
      <c r="BD104" s="237">
        <f t="shared" si="42"/>
        <v>22</v>
      </c>
      <c r="BE104" s="237" t="str">
        <f t="shared" si="42"/>
        <v/>
      </c>
      <c r="BF104" s="237">
        <f t="shared" si="42"/>
        <v>6</v>
      </c>
      <c r="BG104" s="243" t="str">
        <f t="shared" si="42"/>
        <v/>
      </c>
      <c r="BH104" s="236" t="str">
        <f t="shared" si="42"/>
        <v/>
      </c>
      <c r="BI104" s="237">
        <f t="shared" si="42"/>
        <v>16</v>
      </c>
      <c r="BJ104" s="243" t="str">
        <f t="shared" si="42"/>
        <v/>
      </c>
      <c r="BK104" s="236">
        <f t="shared" si="42"/>
        <v>13</v>
      </c>
      <c r="BL104" s="237">
        <f t="shared" si="42"/>
        <v>17</v>
      </c>
      <c r="BM104" s="237" t="str">
        <f t="shared" si="42"/>
        <v/>
      </c>
      <c r="BN104" s="243">
        <f t="shared" si="42"/>
        <v>8</v>
      </c>
      <c r="BO104" s="236">
        <f t="shared" si="42"/>
        <v>23</v>
      </c>
      <c r="BP104" s="237">
        <f t="shared" ref="BP104:CI104" si="43">IF(COUNTIF(BP4:BP100,"m")&gt;0,COUNTIF(BP4:BP100,"m"),"")</f>
        <v>14</v>
      </c>
      <c r="BQ104" s="237">
        <f t="shared" si="43"/>
        <v>17</v>
      </c>
      <c r="BR104" s="237" t="str">
        <f t="shared" si="43"/>
        <v/>
      </c>
      <c r="BS104" s="237">
        <f t="shared" si="43"/>
        <v>2</v>
      </c>
      <c r="BT104" s="237">
        <f t="shared" si="43"/>
        <v>15</v>
      </c>
      <c r="BU104" s="237">
        <f t="shared" si="43"/>
        <v>20</v>
      </c>
      <c r="BV104" s="243" t="str">
        <f t="shared" si="43"/>
        <v/>
      </c>
      <c r="BW104" s="236">
        <f t="shared" si="43"/>
        <v>30</v>
      </c>
      <c r="BX104" s="237">
        <f t="shared" si="43"/>
        <v>21</v>
      </c>
      <c r="BY104" s="237">
        <f t="shared" si="43"/>
        <v>7</v>
      </c>
      <c r="BZ104" s="237">
        <f t="shared" si="43"/>
        <v>16</v>
      </c>
      <c r="CA104" s="237">
        <f t="shared" si="43"/>
        <v>4</v>
      </c>
      <c r="CB104" s="243">
        <f t="shared" si="43"/>
        <v>8</v>
      </c>
      <c r="CC104" s="236">
        <f t="shared" si="43"/>
        <v>4</v>
      </c>
      <c r="CD104" s="237">
        <f t="shared" si="43"/>
        <v>18</v>
      </c>
      <c r="CE104" s="243" t="str">
        <f t="shared" si="43"/>
        <v/>
      </c>
      <c r="CF104" s="236" t="str">
        <f t="shared" si="43"/>
        <v/>
      </c>
      <c r="CG104" s="237" t="str">
        <f t="shared" si="43"/>
        <v/>
      </c>
      <c r="CH104" s="237" t="str">
        <f t="shared" si="43"/>
        <v/>
      </c>
      <c r="CI104" s="238" t="str">
        <f t="shared" si="43"/>
        <v/>
      </c>
    </row>
    <row r="105" spans="2:105" x14ac:dyDescent="0.25">
      <c r="B105" s="435"/>
      <c r="C105" s="301" t="s">
        <v>220</v>
      </c>
      <c r="D105" s="295" t="str">
        <f t="shared" ref="D105:AI105" si="44">IF(COUNTIF(D4:D100,"s")&gt;0,COUNTIF(D4:D100,"s"),"")</f>
        <v/>
      </c>
      <c r="E105" s="237" t="str">
        <f t="shared" si="44"/>
        <v/>
      </c>
      <c r="F105" s="237" t="str">
        <f t="shared" si="44"/>
        <v/>
      </c>
      <c r="G105" s="237" t="str">
        <f t="shared" si="44"/>
        <v/>
      </c>
      <c r="H105" s="237" t="str">
        <f t="shared" si="44"/>
        <v/>
      </c>
      <c r="I105" s="237" t="str">
        <f t="shared" si="44"/>
        <v/>
      </c>
      <c r="J105" s="237" t="str">
        <f t="shared" si="44"/>
        <v/>
      </c>
      <c r="K105" s="243" t="str">
        <f t="shared" si="44"/>
        <v/>
      </c>
      <c r="L105" s="236" t="str">
        <f t="shared" si="44"/>
        <v/>
      </c>
      <c r="M105" s="237" t="str">
        <f t="shared" si="44"/>
        <v/>
      </c>
      <c r="N105" s="237" t="str">
        <f t="shared" si="44"/>
        <v/>
      </c>
      <c r="O105" s="243" t="str">
        <f t="shared" si="44"/>
        <v/>
      </c>
      <c r="P105" s="236" t="str">
        <f t="shared" si="44"/>
        <v/>
      </c>
      <c r="Q105" s="237" t="str">
        <f t="shared" si="44"/>
        <v/>
      </c>
      <c r="R105" s="237" t="str">
        <f t="shared" si="44"/>
        <v/>
      </c>
      <c r="S105" s="237" t="str">
        <f t="shared" si="44"/>
        <v/>
      </c>
      <c r="T105" s="237" t="str">
        <f t="shared" si="44"/>
        <v/>
      </c>
      <c r="U105" s="237" t="str">
        <f t="shared" si="44"/>
        <v/>
      </c>
      <c r="V105" s="237" t="str">
        <f t="shared" si="44"/>
        <v/>
      </c>
      <c r="W105" s="237" t="str">
        <f t="shared" si="44"/>
        <v/>
      </c>
      <c r="X105" s="237" t="str">
        <f t="shared" si="44"/>
        <v/>
      </c>
      <c r="Y105" s="237" t="str">
        <f t="shared" si="44"/>
        <v/>
      </c>
      <c r="Z105" s="237" t="str">
        <f t="shared" si="44"/>
        <v/>
      </c>
      <c r="AA105" s="237" t="str">
        <f t="shared" si="44"/>
        <v/>
      </c>
      <c r="AB105" s="237" t="str">
        <f t="shared" si="44"/>
        <v/>
      </c>
      <c r="AC105" s="237" t="str">
        <f t="shared" si="44"/>
        <v/>
      </c>
      <c r="AD105" s="237" t="str">
        <f t="shared" si="44"/>
        <v/>
      </c>
      <c r="AE105" s="237" t="str">
        <f t="shared" si="44"/>
        <v/>
      </c>
      <c r="AF105" s="237" t="str">
        <f t="shared" si="44"/>
        <v/>
      </c>
      <c r="AG105" s="237" t="str">
        <f t="shared" si="44"/>
        <v/>
      </c>
      <c r="AH105" s="237" t="str">
        <f t="shared" si="44"/>
        <v/>
      </c>
      <c r="AI105" s="243" t="str">
        <f t="shared" si="44"/>
        <v/>
      </c>
      <c r="AJ105" s="236" t="str">
        <f t="shared" ref="AJ105:BO105" si="45">IF(COUNTIF(AJ4:AJ100,"s")&gt;0,COUNTIF(AJ4:AJ100,"s"),"")</f>
        <v/>
      </c>
      <c r="AK105" s="237" t="str">
        <f t="shared" si="45"/>
        <v/>
      </c>
      <c r="AL105" s="243" t="str">
        <f t="shared" si="45"/>
        <v/>
      </c>
      <c r="AM105" s="236" t="str">
        <f t="shared" si="45"/>
        <v/>
      </c>
      <c r="AN105" s="237" t="str">
        <f t="shared" si="45"/>
        <v/>
      </c>
      <c r="AO105" s="243" t="str">
        <f t="shared" si="45"/>
        <v/>
      </c>
      <c r="AP105" s="236" t="str">
        <f t="shared" si="45"/>
        <v/>
      </c>
      <c r="AQ105" s="237" t="str">
        <f t="shared" si="45"/>
        <v/>
      </c>
      <c r="AR105" s="237" t="str">
        <f t="shared" si="45"/>
        <v/>
      </c>
      <c r="AS105" s="237" t="str">
        <f t="shared" si="45"/>
        <v/>
      </c>
      <c r="AT105" s="243" t="str">
        <f t="shared" si="45"/>
        <v/>
      </c>
      <c r="AU105" s="236">
        <f t="shared" si="45"/>
        <v>16</v>
      </c>
      <c r="AV105" s="237">
        <f t="shared" si="45"/>
        <v>19</v>
      </c>
      <c r="AW105" s="237">
        <f t="shared" si="45"/>
        <v>27</v>
      </c>
      <c r="AX105" s="237">
        <f t="shared" si="45"/>
        <v>38</v>
      </c>
      <c r="AY105" s="237">
        <f t="shared" si="45"/>
        <v>25</v>
      </c>
      <c r="AZ105" s="237">
        <f t="shared" si="45"/>
        <v>11</v>
      </c>
      <c r="BA105" s="237">
        <f t="shared" si="45"/>
        <v>13</v>
      </c>
      <c r="BB105" s="243">
        <f t="shared" si="45"/>
        <v>19</v>
      </c>
      <c r="BC105" s="236">
        <f t="shared" si="45"/>
        <v>11</v>
      </c>
      <c r="BD105" s="237">
        <f t="shared" si="45"/>
        <v>4</v>
      </c>
      <c r="BE105" s="237" t="str">
        <f t="shared" si="45"/>
        <v/>
      </c>
      <c r="BF105" s="237">
        <f t="shared" si="45"/>
        <v>15</v>
      </c>
      <c r="BG105" s="243" t="str">
        <f t="shared" si="45"/>
        <v/>
      </c>
      <c r="BH105" s="236" t="str">
        <f t="shared" si="45"/>
        <v/>
      </c>
      <c r="BI105" s="237">
        <f t="shared" si="45"/>
        <v>2</v>
      </c>
      <c r="BJ105" s="243" t="str">
        <f t="shared" si="45"/>
        <v/>
      </c>
      <c r="BK105" s="236">
        <f t="shared" si="45"/>
        <v>2</v>
      </c>
      <c r="BL105" s="237">
        <f t="shared" si="45"/>
        <v>9</v>
      </c>
      <c r="BM105" s="237" t="str">
        <f t="shared" si="45"/>
        <v/>
      </c>
      <c r="BN105" s="243">
        <f t="shared" si="45"/>
        <v>5</v>
      </c>
      <c r="BO105" s="236">
        <f t="shared" si="45"/>
        <v>9</v>
      </c>
      <c r="BP105" s="237">
        <f t="shared" ref="BP105:CI105" si="46">IF(COUNTIF(BP4:BP100,"s")&gt;0,COUNTIF(BP4:BP100,"s"),"")</f>
        <v>22</v>
      </c>
      <c r="BQ105" s="237">
        <f t="shared" si="46"/>
        <v>10</v>
      </c>
      <c r="BR105" s="237" t="str">
        <f t="shared" si="46"/>
        <v/>
      </c>
      <c r="BS105" s="237" t="str">
        <f t="shared" si="46"/>
        <v/>
      </c>
      <c r="BT105" s="237">
        <f t="shared" si="46"/>
        <v>12</v>
      </c>
      <c r="BU105" s="237">
        <f t="shared" si="46"/>
        <v>42</v>
      </c>
      <c r="BV105" s="243" t="str">
        <f t="shared" si="46"/>
        <v/>
      </c>
      <c r="BW105" s="236">
        <f t="shared" si="46"/>
        <v>16</v>
      </c>
      <c r="BX105" s="237">
        <f t="shared" si="46"/>
        <v>4</v>
      </c>
      <c r="BY105" s="237">
        <f t="shared" si="46"/>
        <v>22</v>
      </c>
      <c r="BZ105" s="237">
        <f t="shared" si="46"/>
        <v>27</v>
      </c>
      <c r="CA105" s="237">
        <f t="shared" si="46"/>
        <v>25</v>
      </c>
      <c r="CB105" s="243">
        <f t="shared" si="46"/>
        <v>22</v>
      </c>
      <c r="CC105" s="236">
        <f t="shared" si="46"/>
        <v>3</v>
      </c>
      <c r="CD105" s="237">
        <f t="shared" si="46"/>
        <v>9</v>
      </c>
      <c r="CE105" s="243" t="str">
        <f t="shared" si="46"/>
        <v/>
      </c>
      <c r="CF105" s="236" t="str">
        <f t="shared" si="46"/>
        <v/>
      </c>
      <c r="CG105" s="237" t="str">
        <f t="shared" si="46"/>
        <v/>
      </c>
      <c r="CH105" s="237" t="str">
        <f t="shared" si="46"/>
        <v/>
      </c>
      <c r="CI105" s="238" t="str">
        <f t="shared" si="46"/>
        <v/>
      </c>
    </row>
    <row r="106" spans="2:105" ht="15.75" thickBot="1" x14ac:dyDescent="0.3">
      <c r="B106" s="435"/>
      <c r="C106" s="302" t="s">
        <v>221</v>
      </c>
      <c r="D106" s="296" t="str">
        <f t="shared" ref="D106:AI106" si="47">IF(COUNTIF(D4:D100,"e")&gt;0,COUNTIF(D4:D100,"e"),"")</f>
        <v/>
      </c>
      <c r="E106" s="240" t="str">
        <f t="shared" si="47"/>
        <v/>
      </c>
      <c r="F106" s="240" t="str">
        <f t="shared" si="47"/>
        <v/>
      </c>
      <c r="G106" s="240" t="str">
        <f t="shared" si="47"/>
        <v/>
      </c>
      <c r="H106" s="240" t="str">
        <f t="shared" si="47"/>
        <v/>
      </c>
      <c r="I106" s="240" t="str">
        <f t="shared" si="47"/>
        <v/>
      </c>
      <c r="J106" s="240" t="str">
        <f t="shared" si="47"/>
        <v/>
      </c>
      <c r="K106" s="250" t="str">
        <f t="shared" si="47"/>
        <v/>
      </c>
      <c r="L106" s="239" t="str">
        <f t="shared" si="47"/>
        <v/>
      </c>
      <c r="M106" s="240" t="str">
        <f t="shared" si="47"/>
        <v/>
      </c>
      <c r="N106" s="240" t="str">
        <f t="shared" si="47"/>
        <v/>
      </c>
      <c r="O106" s="250" t="str">
        <f t="shared" si="47"/>
        <v/>
      </c>
      <c r="P106" s="239" t="str">
        <f t="shared" si="47"/>
        <v/>
      </c>
      <c r="Q106" s="240" t="str">
        <f t="shared" si="47"/>
        <v/>
      </c>
      <c r="R106" s="240" t="str">
        <f t="shared" si="47"/>
        <v/>
      </c>
      <c r="S106" s="240" t="str">
        <f t="shared" si="47"/>
        <v/>
      </c>
      <c r="T106" s="240" t="str">
        <f t="shared" si="47"/>
        <v/>
      </c>
      <c r="U106" s="240" t="str">
        <f t="shared" si="47"/>
        <v/>
      </c>
      <c r="V106" s="240" t="str">
        <f t="shared" si="47"/>
        <v/>
      </c>
      <c r="W106" s="240" t="str">
        <f t="shared" si="47"/>
        <v/>
      </c>
      <c r="X106" s="240" t="str">
        <f t="shared" si="47"/>
        <v/>
      </c>
      <c r="Y106" s="240" t="str">
        <f t="shared" si="47"/>
        <v/>
      </c>
      <c r="Z106" s="240" t="str">
        <f t="shared" si="47"/>
        <v/>
      </c>
      <c r="AA106" s="240" t="str">
        <f t="shared" si="47"/>
        <v/>
      </c>
      <c r="AB106" s="240" t="str">
        <f t="shared" si="47"/>
        <v/>
      </c>
      <c r="AC106" s="240" t="str">
        <f t="shared" si="47"/>
        <v/>
      </c>
      <c r="AD106" s="240" t="str">
        <f t="shared" si="47"/>
        <v/>
      </c>
      <c r="AE106" s="240" t="str">
        <f t="shared" si="47"/>
        <v/>
      </c>
      <c r="AF106" s="240" t="str">
        <f t="shared" si="47"/>
        <v/>
      </c>
      <c r="AG106" s="240" t="str">
        <f t="shared" si="47"/>
        <v/>
      </c>
      <c r="AH106" s="240" t="str">
        <f t="shared" si="47"/>
        <v/>
      </c>
      <c r="AI106" s="250" t="str">
        <f t="shared" si="47"/>
        <v/>
      </c>
      <c r="AJ106" s="239" t="str">
        <f t="shared" ref="AJ106:BO106" si="48">IF(COUNTIF(AJ4:AJ100,"e")&gt;0,COUNTIF(AJ4:AJ100,"e"),"")</f>
        <v/>
      </c>
      <c r="AK106" s="240" t="str">
        <f t="shared" si="48"/>
        <v/>
      </c>
      <c r="AL106" s="250" t="str">
        <f t="shared" si="48"/>
        <v/>
      </c>
      <c r="AM106" s="239" t="str">
        <f t="shared" si="48"/>
        <v/>
      </c>
      <c r="AN106" s="240" t="str">
        <f t="shared" si="48"/>
        <v/>
      </c>
      <c r="AO106" s="250" t="str">
        <f t="shared" si="48"/>
        <v/>
      </c>
      <c r="AP106" s="239" t="str">
        <f t="shared" si="48"/>
        <v/>
      </c>
      <c r="AQ106" s="240" t="str">
        <f t="shared" si="48"/>
        <v/>
      </c>
      <c r="AR106" s="240" t="str">
        <f t="shared" si="48"/>
        <v/>
      </c>
      <c r="AS106" s="240" t="str">
        <f t="shared" si="48"/>
        <v/>
      </c>
      <c r="AT106" s="250" t="str">
        <f t="shared" si="48"/>
        <v/>
      </c>
      <c r="AU106" s="239">
        <f t="shared" si="48"/>
        <v>6</v>
      </c>
      <c r="AV106" s="240">
        <f t="shared" si="48"/>
        <v>7</v>
      </c>
      <c r="AW106" s="240" t="str">
        <f t="shared" si="48"/>
        <v/>
      </c>
      <c r="AX106" s="240">
        <f t="shared" si="48"/>
        <v>5</v>
      </c>
      <c r="AY106" s="240">
        <f t="shared" si="48"/>
        <v>4</v>
      </c>
      <c r="AZ106" s="240">
        <f t="shared" si="48"/>
        <v>2</v>
      </c>
      <c r="BA106" s="240">
        <f t="shared" si="48"/>
        <v>2</v>
      </c>
      <c r="BB106" s="250">
        <f t="shared" si="48"/>
        <v>2</v>
      </c>
      <c r="BC106" s="239">
        <f t="shared" si="48"/>
        <v>3</v>
      </c>
      <c r="BD106" s="240" t="str">
        <f t="shared" si="48"/>
        <v/>
      </c>
      <c r="BE106" s="240" t="str">
        <f t="shared" si="48"/>
        <v/>
      </c>
      <c r="BF106" s="240">
        <f t="shared" si="48"/>
        <v>2</v>
      </c>
      <c r="BG106" s="250" t="str">
        <f t="shared" si="48"/>
        <v/>
      </c>
      <c r="BH106" s="239" t="str">
        <f t="shared" si="48"/>
        <v/>
      </c>
      <c r="BI106" s="240">
        <f t="shared" si="48"/>
        <v>1</v>
      </c>
      <c r="BJ106" s="250" t="str">
        <f t="shared" si="48"/>
        <v/>
      </c>
      <c r="BK106" s="239">
        <f t="shared" si="48"/>
        <v>1</v>
      </c>
      <c r="BL106" s="240" t="str">
        <f t="shared" si="48"/>
        <v/>
      </c>
      <c r="BM106" s="240" t="str">
        <f t="shared" si="48"/>
        <v/>
      </c>
      <c r="BN106" s="250">
        <f t="shared" si="48"/>
        <v>1</v>
      </c>
      <c r="BO106" s="239" t="str">
        <f t="shared" si="48"/>
        <v/>
      </c>
      <c r="BP106" s="240">
        <f t="shared" ref="BP106:CI106" si="49">IF(COUNTIF(BP4:BP100,"e")&gt;0,COUNTIF(BP4:BP100,"e"),"")</f>
        <v>4</v>
      </c>
      <c r="BQ106" s="240" t="str">
        <f t="shared" si="49"/>
        <v/>
      </c>
      <c r="BR106" s="240" t="str">
        <f t="shared" si="49"/>
        <v/>
      </c>
      <c r="BS106" s="240" t="str">
        <f t="shared" si="49"/>
        <v/>
      </c>
      <c r="BT106" s="240">
        <f t="shared" si="49"/>
        <v>2</v>
      </c>
      <c r="BU106" s="240">
        <f t="shared" si="49"/>
        <v>1</v>
      </c>
      <c r="BV106" s="250" t="str">
        <f t="shared" si="49"/>
        <v/>
      </c>
      <c r="BW106" s="239">
        <f t="shared" si="49"/>
        <v>5</v>
      </c>
      <c r="BX106" s="240" t="str">
        <f t="shared" si="49"/>
        <v/>
      </c>
      <c r="BY106" s="240">
        <f t="shared" si="49"/>
        <v>7</v>
      </c>
      <c r="BZ106" s="240">
        <f t="shared" si="49"/>
        <v>5</v>
      </c>
      <c r="CA106" s="240">
        <f t="shared" si="49"/>
        <v>13</v>
      </c>
      <c r="CB106" s="250">
        <f t="shared" si="49"/>
        <v>9</v>
      </c>
      <c r="CC106" s="239" t="str">
        <f t="shared" si="49"/>
        <v/>
      </c>
      <c r="CD106" s="240">
        <f t="shared" si="49"/>
        <v>2</v>
      </c>
      <c r="CE106" s="250" t="str">
        <f t="shared" si="49"/>
        <v/>
      </c>
      <c r="CF106" s="239" t="str">
        <f t="shared" si="49"/>
        <v/>
      </c>
      <c r="CG106" s="240" t="str">
        <f t="shared" si="49"/>
        <v/>
      </c>
      <c r="CH106" s="240" t="str">
        <f t="shared" si="49"/>
        <v/>
      </c>
      <c r="CI106" s="241" t="str">
        <f t="shared" si="49"/>
        <v/>
      </c>
    </row>
    <row r="107" spans="2:105" ht="12.75" customHeight="1" thickTop="1" thickBot="1" x14ac:dyDescent="0.3">
      <c r="B107" s="437"/>
      <c r="C107" s="248"/>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c r="AD107" s="249"/>
      <c r="AE107" s="249"/>
      <c r="AF107" s="249"/>
      <c r="AG107" s="249"/>
      <c r="AH107" s="249"/>
      <c r="AI107" s="249"/>
      <c r="AJ107" s="249"/>
      <c r="AK107" s="249"/>
      <c r="AL107" s="249"/>
      <c r="AM107" s="249"/>
      <c r="AN107" s="249"/>
      <c r="AO107" s="249"/>
      <c r="AP107" s="249"/>
      <c r="AQ107" s="249"/>
      <c r="AR107" s="249"/>
      <c r="AS107" s="249"/>
      <c r="AT107" s="249"/>
      <c r="AU107" s="249"/>
      <c r="AV107" s="249"/>
      <c r="AW107" s="249"/>
      <c r="AX107" s="249"/>
      <c r="AY107" s="249"/>
      <c r="AZ107" s="249"/>
      <c r="BA107" s="249"/>
      <c r="BB107" s="249"/>
      <c r="BC107" s="249"/>
      <c r="BD107" s="249"/>
      <c r="BE107" s="249"/>
      <c r="BF107" s="249"/>
      <c r="BG107" s="249"/>
      <c r="BH107" s="249"/>
      <c r="BI107" s="249"/>
      <c r="BJ107" s="249"/>
      <c r="BK107" s="249"/>
      <c r="BL107" s="249"/>
      <c r="BM107" s="249"/>
      <c r="BN107" s="249"/>
      <c r="BO107" s="249"/>
      <c r="BP107" s="249"/>
      <c r="BQ107" s="249"/>
      <c r="BR107" s="249"/>
      <c r="BS107" s="249"/>
      <c r="BT107" s="249"/>
      <c r="BU107" s="249"/>
      <c r="BV107" s="249"/>
      <c r="BW107" s="249"/>
      <c r="BX107" s="249"/>
      <c r="BY107" s="249"/>
      <c r="BZ107" s="249"/>
      <c r="CA107" s="249"/>
      <c r="CB107" s="249"/>
      <c r="CC107" s="249"/>
      <c r="CD107" s="249"/>
      <c r="CE107" s="249"/>
      <c r="CF107" s="249"/>
      <c r="CG107" s="249"/>
      <c r="CH107" s="249"/>
      <c r="CI107" s="249"/>
    </row>
    <row r="108" spans="2:105" ht="16.5" thickTop="1" thickBot="1" x14ac:dyDescent="0.3"/>
    <row r="109" spans="2:105" ht="16.5" thickTop="1" thickBot="1" x14ac:dyDescent="0.3">
      <c r="C109" s="297" t="s">
        <v>222</v>
      </c>
      <c r="D109" s="232">
        <f t="shared" ref="D109:AI109" si="50">SUM(D102:D106)</f>
        <v>0</v>
      </c>
      <c r="E109" s="246">
        <f t="shared" si="50"/>
        <v>0</v>
      </c>
      <c r="F109" s="246">
        <f t="shared" si="50"/>
        <v>0</v>
      </c>
      <c r="G109" s="246">
        <f t="shared" si="50"/>
        <v>0</v>
      </c>
      <c r="H109" s="246">
        <f t="shared" si="50"/>
        <v>0</v>
      </c>
      <c r="I109" s="246">
        <f t="shared" si="50"/>
        <v>0</v>
      </c>
      <c r="J109" s="246">
        <f t="shared" si="50"/>
        <v>0</v>
      </c>
      <c r="K109" s="244">
        <f t="shared" si="50"/>
        <v>0</v>
      </c>
      <c r="L109" s="245">
        <f t="shared" si="50"/>
        <v>0</v>
      </c>
      <c r="M109" s="246">
        <f t="shared" si="50"/>
        <v>0</v>
      </c>
      <c r="N109" s="246">
        <f t="shared" si="50"/>
        <v>0</v>
      </c>
      <c r="O109" s="244">
        <f t="shared" si="50"/>
        <v>0</v>
      </c>
      <c r="P109" s="245">
        <f t="shared" si="50"/>
        <v>0</v>
      </c>
      <c r="Q109" s="246">
        <f t="shared" si="50"/>
        <v>0</v>
      </c>
      <c r="R109" s="246">
        <f t="shared" si="50"/>
        <v>0</v>
      </c>
      <c r="S109" s="246">
        <f t="shared" si="50"/>
        <v>0</v>
      </c>
      <c r="T109" s="246">
        <f t="shared" si="50"/>
        <v>0</v>
      </c>
      <c r="U109" s="246">
        <f t="shared" si="50"/>
        <v>0</v>
      </c>
      <c r="V109" s="246">
        <f t="shared" si="50"/>
        <v>0</v>
      </c>
      <c r="W109" s="246">
        <f t="shared" si="50"/>
        <v>0</v>
      </c>
      <c r="X109" s="246">
        <f t="shared" si="50"/>
        <v>0</v>
      </c>
      <c r="Y109" s="246">
        <f t="shared" si="50"/>
        <v>0</v>
      </c>
      <c r="Z109" s="246">
        <f t="shared" si="50"/>
        <v>0</v>
      </c>
      <c r="AA109" s="246">
        <f t="shared" si="50"/>
        <v>0</v>
      </c>
      <c r="AB109" s="246">
        <f t="shared" si="50"/>
        <v>0</v>
      </c>
      <c r="AC109" s="246">
        <f t="shared" si="50"/>
        <v>0</v>
      </c>
      <c r="AD109" s="246">
        <f t="shared" si="50"/>
        <v>0</v>
      </c>
      <c r="AE109" s="246">
        <f t="shared" si="50"/>
        <v>0</v>
      </c>
      <c r="AF109" s="246">
        <f t="shared" si="50"/>
        <v>0</v>
      </c>
      <c r="AG109" s="246">
        <f t="shared" si="50"/>
        <v>0</v>
      </c>
      <c r="AH109" s="246">
        <f t="shared" si="50"/>
        <v>0</v>
      </c>
      <c r="AI109" s="244">
        <f t="shared" si="50"/>
        <v>0</v>
      </c>
      <c r="AJ109" s="245">
        <f t="shared" ref="AJ109:BO109" si="51">SUM(AJ102:AJ106)</f>
        <v>0</v>
      </c>
      <c r="AK109" s="246">
        <f t="shared" si="51"/>
        <v>0</v>
      </c>
      <c r="AL109" s="244">
        <f t="shared" si="51"/>
        <v>0</v>
      </c>
      <c r="AM109" s="245">
        <f t="shared" si="51"/>
        <v>0</v>
      </c>
      <c r="AN109" s="246">
        <f t="shared" si="51"/>
        <v>0</v>
      </c>
      <c r="AO109" s="244">
        <f t="shared" si="51"/>
        <v>0</v>
      </c>
      <c r="AP109" s="245">
        <f t="shared" si="51"/>
        <v>0</v>
      </c>
      <c r="AQ109" s="246">
        <f t="shared" si="51"/>
        <v>0</v>
      </c>
      <c r="AR109" s="246">
        <f t="shared" si="51"/>
        <v>0</v>
      </c>
      <c r="AS109" s="246">
        <f t="shared" si="51"/>
        <v>0</v>
      </c>
      <c r="AT109" s="244">
        <f t="shared" si="51"/>
        <v>0</v>
      </c>
      <c r="AU109" s="245">
        <f t="shared" si="51"/>
        <v>62</v>
      </c>
      <c r="AV109" s="246">
        <f t="shared" si="51"/>
        <v>65</v>
      </c>
      <c r="AW109" s="246">
        <f t="shared" si="51"/>
        <v>65</v>
      </c>
      <c r="AX109" s="246">
        <f t="shared" si="51"/>
        <v>65</v>
      </c>
      <c r="AY109" s="246">
        <f t="shared" si="51"/>
        <v>65</v>
      </c>
      <c r="AZ109" s="246">
        <f t="shared" si="51"/>
        <v>27</v>
      </c>
      <c r="BA109" s="246">
        <f t="shared" si="51"/>
        <v>29</v>
      </c>
      <c r="BB109" s="244">
        <f t="shared" si="51"/>
        <v>59</v>
      </c>
      <c r="BC109" s="245">
        <f t="shared" si="51"/>
        <v>65</v>
      </c>
      <c r="BD109" s="246">
        <f t="shared" si="51"/>
        <v>60</v>
      </c>
      <c r="BE109" s="246">
        <f t="shared" si="51"/>
        <v>0</v>
      </c>
      <c r="BF109" s="246">
        <f t="shared" si="51"/>
        <v>40</v>
      </c>
      <c r="BG109" s="244">
        <f t="shared" si="51"/>
        <v>0</v>
      </c>
      <c r="BH109" s="245">
        <f t="shared" si="51"/>
        <v>0</v>
      </c>
      <c r="BI109" s="246">
        <f t="shared" si="51"/>
        <v>27</v>
      </c>
      <c r="BJ109" s="244">
        <f t="shared" si="51"/>
        <v>0</v>
      </c>
      <c r="BK109" s="245">
        <f t="shared" si="51"/>
        <v>30</v>
      </c>
      <c r="BL109" s="246">
        <f t="shared" si="51"/>
        <v>35</v>
      </c>
      <c r="BM109" s="246">
        <f t="shared" si="51"/>
        <v>0</v>
      </c>
      <c r="BN109" s="244">
        <f t="shared" si="51"/>
        <v>31</v>
      </c>
      <c r="BO109" s="245">
        <f t="shared" si="51"/>
        <v>45</v>
      </c>
      <c r="BP109" s="246">
        <f t="shared" ref="BP109:CI109" si="52">SUM(BP102:BP106)</f>
        <v>43</v>
      </c>
      <c r="BQ109" s="246">
        <f t="shared" si="52"/>
        <v>36</v>
      </c>
      <c r="BR109" s="246">
        <f t="shared" si="52"/>
        <v>0</v>
      </c>
      <c r="BS109" s="246">
        <f t="shared" si="52"/>
        <v>39</v>
      </c>
      <c r="BT109" s="246">
        <f t="shared" si="52"/>
        <v>38</v>
      </c>
      <c r="BU109" s="246">
        <f t="shared" si="52"/>
        <v>65</v>
      </c>
      <c r="BV109" s="244">
        <f t="shared" si="52"/>
        <v>0</v>
      </c>
      <c r="BW109" s="245">
        <f t="shared" si="52"/>
        <v>63</v>
      </c>
      <c r="BX109" s="246">
        <f t="shared" si="52"/>
        <v>28</v>
      </c>
      <c r="BY109" s="246">
        <f t="shared" si="52"/>
        <v>48</v>
      </c>
      <c r="BZ109" s="246">
        <f t="shared" si="52"/>
        <v>56</v>
      </c>
      <c r="CA109" s="246">
        <f t="shared" si="52"/>
        <v>60</v>
      </c>
      <c r="CB109" s="244">
        <f t="shared" si="52"/>
        <v>54</v>
      </c>
      <c r="CC109" s="245">
        <f t="shared" si="52"/>
        <v>15</v>
      </c>
      <c r="CD109" s="246">
        <f t="shared" si="52"/>
        <v>47</v>
      </c>
      <c r="CE109" s="244">
        <f t="shared" si="52"/>
        <v>0</v>
      </c>
      <c r="CF109" s="245">
        <f t="shared" si="52"/>
        <v>0</v>
      </c>
      <c r="CG109" s="246">
        <f t="shared" si="52"/>
        <v>0</v>
      </c>
      <c r="CH109" s="246">
        <f t="shared" si="52"/>
        <v>0</v>
      </c>
      <c r="CI109" s="247">
        <f t="shared" si="52"/>
        <v>0</v>
      </c>
    </row>
    <row r="110" spans="2:105" ht="15.75" thickTop="1" x14ac:dyDescent="0.25"/>
  </sheetData>
  <mergeCells count="27">
    <mergeCell ref="B80:B95"/>
    <mergeCell ref="B96:B100"/>
    <mergeCell ref="B102:B107"/>
    <mergeCell ref="CK1:CO1"/>
    <mergeCell ref="CC1:CE1"/>
    <mergeCell ref="CF1:CI1"/>
    <mergeCell ref="B4:B17"/>
    <mergeCell ref="B18:B27"/>
    <mergeCell ref="B28:B38"/>
    <mergeCell ref="B39:B51"/>
    <mergeCell ref="AU1:BB1"/>
    <mergeCell ref="BC1:BG1"/>
    <mergeCell ref="BH1:BJ1"/>
    <mergeCell ref="BK1:BN1"/>
    <mergeCell ref="BO1:BV1"/>
    <mergeCell ref="BW1:CB1"/>
    <mergeCell ref="CQ1:CU1"/>
    <mergeCell ref="CW1:DA1"/>
    <mergeCell ref="A1:C1"/>
    <mergeCell ref="B52:B60"/>
    <mergeCell ref="B61:B79"/>
    <mergeCell ref="D1:K1"/>
    <mergeCell ref="L1:O1"/>
    <mergeCell ref="P1:AI1"/>
    <mergeCell ref="AJ1:AL1"/>
    <mergeCell ref="AM1:AO1"/>
    <mergeCell ref="AP1:AT1"/>
  </mergeCells>
  <conditionalFormatting sqref="D4:K16">
    <cfRule type="cellIs" dxfId="6737" priority="1" stopIfTrue="1" operator="equal">
      <formula>"E"</formula>
    </cfRule>
    <cfRule type="cellIs" dxfId="6736" priority="2" stopIfTrue="1" operator="equal">
      <formula>"S"</formula>
    </cfRule>
    <cfRule type="cellIs" dxfId="6735" priority="3" stopIfTrue="1" operator="equal">
      <formula>"M"</formula>
    </cfRule>
    <cfRule type="cellIs" dxfId="6734" priority="4" stopIfTrue="1" operator="equal">
      <formula>"J"</formula>
    </cfRule>
    <cfRule type="cellIs" dxfId="6733" priority="5" stopIfTrue="1" operator="equal">
      <formula>"O"</formula>
    </cfRule>
    <cfRule type="expression" dxfId="6732" priority="6" stopIfTrue="1">
      <formula>LEN(TRIM(D4))=0</formula>
    </cfRule>
  </conditionalFormatting>
  <conditionalFormatting sqref="L4:O16">
    <cfRule type="cellIs" dxfId="6731" priority="7" stopIfTrue="1" operator="equal">
      <formula>"E"</formula>
    </cfRule>
    <cfRule type="cellIs" dxfId="6730" priority="8" stopIfTrue="1" operator="equal">
      <formula>"S"</formula>
    </cfRule>
    <cfRule type="cellIs" dxfId="6729" priority="9" stopIfTrue="1" operator="equal">
      <formula>"M"</formula>
    </cfRule>
    <cfRule type="cellIs" dxfId="6728" priority="10" stopIfTrue="1" operator="equal">
      <formula>"J"</formula>
    </cfRule>
    <cfRule type="cellIs" dxfId="6727" priority="11" stopIfTrue="1" operator="equal">
      <formula>"O"</formula>
    </cfRule>
    <cfRule type="expression" dxfId="6726" priority="12" stopIfTrue="1">
      <formula>LEN(TRIM(L4))=0</formula>
    </cfRule>
  </conditionalFormatting>
  <conditionalFormatting sqref="P4:AI16">
    <cfRule type="cellIs" dxfId="6725" priority="13" stopIfTrue="1" operator="equal">
      <formula>"E"</formula>
    </cfRule>
    <cfRule type="cellIs" dxfId="6724" priority="14" stopIfTrue="1" operator="equal">
      <formula>"S"</formula>
    </cfRule>
    <cfRule type="cellIs" dxfId="6723" priority="15" stopIfTrue="1" operator="equal">
      <formula>"M"</formula>
    </cfRule>
    <cfRule type="cellIs" dxfId="6722" priority="16" stopIfTrue="1" operator="equal">
      <formula>"J"</formula>
    </cfRule>
    <cfRule type="cellIs" dxfId="6721" priority="17" stopIfTrue="1" operator="equal">
      <formula>"O"</formula>
    </cfRule>
    <cfRule type="expression" dxfId="6720" priority="18" stopIfTrue="1">
      <formula>LEN(TRIM(P4))=0</formula>
    </cfRule>
  </conditionalFormatting>
  <conditionalFormatting sqref="AJ4:AL16">
    <cfRule type="cellIs" dxfId="6719" priority="19" stopIfTrue="1" operator="equal">
      <formula>"E"</formula>
    </cfRule>
    <cfRule type="cellIs" dxfId="6718" priority="20" stopIfTrue="1" operator="equal">
      <formula>"S"</formula>
    </cfRule>
    <cfRule type="cellIs" dxfId="6717" priority="21" stopIfTrue="1" operator="equal">
      <formula>"M"</formula>
    </cfRule>
    <cfRule type="cellIs" dxfId="6716" priority="22" stopIfTrue="1" operator="equal">
      <formula>"J"</formula>
    </cfRule>
    <cfRule type="cellIs" dxfId="6715" priority="23" stopIfTrue="1" operator="equal">
      <formula>"O"</formula>
    </cfRule>
    <cfRule type="expression" dxfId="6714" priority="24" stopIfTrue="1">
      <formula>LEN(TRIM(AJ4))=0</formula>
    </cfRule>
  </conditionalFormatting>
  <conditionalFormatting sqref="AM4:AO16">
    <cfRule type="cellIs" dxfId="6713" priority="25" stopIfTrue="1" operator="equal">
      <formula>"E"</formula>
    </cfRule>
    <cfRule type="cellIs" dxfId="6712" priority="26" stopIfTrue="1" operator="equal">
      <formula>"S"</formula>
    </cfRule>
    <cfRule type="cellIs" dxfId="6711" priority="27" stopIfTrue="1" operator="equal">
      <formula>"M"</formula>
    </cfRule>
    <cfRule type="cellIs" dxfId="6710" priority="28" stopIfTrue="1" operator="equal">
      <formula>"J"</formula>
    </cfRule>
    <cfRule type="cellIs" dxfId="6709" priority="29" stopIfTrue="1" operator="equal">
      <formula>"O"</formula>
    </cfRule>
    <cfRule type="expression" dxfId="6708" priority="30" stopIfTrue="1">
      <formula>LEN(TRIM(AM4))=0</formula>
    </cfRule>
  </conditionalFormatting>
  <conditionalFormatting sqref="AP4:AT16">
    <cfRule type="cellIs" dxfId="6707" priority="31" stopIfTrue="1" operator="equal">
      <formula>"E"</formula>
    </cfRule>
    <cfRule type="cellIs" dxfId="6706" priority="32" stopIfTrue="1" operator="equal">
      <formula>"S"</formula>
    </cfRule>
    <cfRule type="cellIs" dxfId="6705" priority="33" stopIfTrue="1" operator="equal">
      <formula>"M"</formula>
    </cfRule>
    <cfRule type="cellIs" dxfId="6704" priority="34" stopIfTrue="1" operator="equal">
      <formula>"J"</formula>
    </cfRule>
    <cfRule type="cellIs" dxfId="6703" priority="35" stopIfTrue="1" operator="equal">
      <formula>"O"</formula>
    </cfRule>
    <cfRule type="expression" dxfId="6702" priority="36" stopIfTrue="1">
      <formula>LEN(TRIM(AP4))=0</formula>
    </cfRule>
  </conditionalFormatting>
  <conditionalFormatting sqref="AU4:BB16">
    <cfRule type="cellIs" dxfId="6701" priority="37" stopIfTrue="1" operator="equal">
      <formula>"E"</formula>
    </cfRule>
    <cfRule type="cellIs" dxfId="6700" priority="38" stopIfTrue="1" operator="equal">
      <formula>"S"</formula>
    </cfRule>
    <cfRule type="cellIs" dxfId="6699" priority="39" stopIfTrue="1" operator="equal">
      <formula>"M"</formula>
    </cfRule>
    <cfRule type="cellIs" dxfId="6698" priority="40" stopIfTrue="1" operator="equal">
      <formula>"J"</formula>
    </cfRule>
    <cfRule type="cellIs" dxfId="6697" priority="41" stopIfTrue="1" operator="equal">
      <formula>"O"</formula>
    </cfRule>
    <cfRule type="expression" dxfId="6696" priority="42" stopIfTrue="1">
      <formula>LEN(TRIM(AU4))=0</formula>
    </cfRule>
  </conditionalFormatting>
  <conditionalFormatting sqref="BC4:BG16">
    <cfRule type="cellIs" dxfId="6695" priority="43" stopIfTrue="1" operator="equal">
      <formula>"E"</formula>
    </cfRule>
    <cfRule type="cellIs" dxfId="6694" priority="44" stopIfTrue="1" operator="equal">
      <formula>"S"</formula>
    </cfRule>
    <cfRule type="cellIs" dxfId="6693" priority="45" stopIfTrue="1" operator="equal">
      <formula>"M"</formula>
    </cfRule>
    <cfRule type="cellIs" dxfId="6692" priority="46" stopIfTrue="1" operator="equal">
      <formula>"J"</formula>
    </cfRule>
    <cfRule type="cellIs" dxfId="6691" priority="47" stopIfTrue="1" operator="equal">
      <formula>"O"</formula>
    </cfRule>
    <cfRule type="expression" dxfId="6690" priority="48" stopIfTrue="1">
      <formula>LEN(TRIM(BC4))=0</formula>
    </cfRule>
  </conditionalFormatting>
  <conditionalFormatting sqref="BH4:BJ16">
    <cfRule type="cellIs" dxfId="6689" priority="49" stopIfTrue="1" operator="equal">
      <formula>"E"</formula>
    </cfRule>
    <cfRule type="cellIs" dxfId="6688" priority="50" stopIfTrue="1" operator="equal">
      <formula>"S"</formula>
    </cfRule>
    <cfRule type="cellIs" dxfId="6687" priority="51" stopIfTrue="1" operator="equal">
      <formula>"M"</formula>
    </cfRule>
    <cfRule type="cellIs" dxfId="6686" priority="52" stopIfTrue="1" operator="equal">
      <formula>"J"</formula>
    </cfRule>
    <cfRule type="cellIs" dxfId="6685" priority="53" stopIfTrue="1" operator="equal">
      <formula>"O"</formula>
    </cfRule>
    <cfRule type="expression" dxfId="6684" priority="54" stopIfTrue="1">
      <formula>LEN(TRIM(BH4))=0</formula>
    </cfRule>
  </conditionalFormatting>
  <conditionalFormatting sqref="BK4:BN16">
    <cfRule type="cellIs" dxfId="6683" priority="55" stopIfTrue="1" operator="equal">
      <formula>"E"</formula>
    </cfRule>
    <cfRule type="cellIs" dxfId="6682" priority="56" stopIfTrue="1" operator="equal">
      <formula>"S"</formula>
    </cfRule>
    <cfRule type="cellIs" dxfId="6681" priority="57" stopIfTrue="1" operator="equal">
      <formula>"M"</formula>
    </cfRule>
    <cfRule type="cellIs" dxfId="6680" priority="58" stopIfTrue="1" operator="equal">
      <formula>"J"</formula>
    </cfRule>
    <cfRule type="cellIs" dxfId="6679" priority="59" stopIfTrue="1" operator="equal">
      <formula>"O"</formula>
    </cfRule>
    <cfRule type="expression" dxfId="6678" priority="60" stopIfTrue="1">
      <formula>LEN(TRIM(BK4))=0</formula>
    </cfRule>
  </conditionalFormatting>
  <conditionalFormatting sqref="BO4:BV16">
    <cfRule type="cellIs" dxfId="6677" priority="61" stopIfTrue="1" operator="equal">
      <formula>"E"</formula>
    </cfRule>
    <cfRule type="cellIs" dxfId="6676" priority="62" stopIfTrue="1" operator="equal">
      <formula>"S"</formula>
    </cfRule>
    <cfRule type="cellIs" dxfId="6675" priority="63" stopIfTrue="1" operator="equal">
      <formula>"M"</formula>
    </cfRule>
    <cfRule type="cellIs" dxfId="6674" priority="64" stopIfTrue="1" operator="equal">
      <formula>"J"</formula>
    </cfRule>
    <cfRule type="cellIs" dxfId="6673" priority="65" stopIfTrue="1" operator="equal">
      <formula>"O"</formula>
    </cfRule>
    <cfRule type="expression" dxfId="6672" priority="66" stopIfTrue="1">
      <formula>LEN(TRIM(BO4))=0</formula>
    </cfRule>
  </conditionalFormatting>
  <conditionalFormatting sqref="BW4:CB16">
    <cfRule type="cellIs" dxfId="6671" priority="67" stopIfTrue="1" operator="equal">
      <formula>"E"</formula>
    </cfRule>
    <cfRule type="cellIs" dxfId="6670" priority="68" stopIfTrue="1" operator="equal">
      <formula>"S"</formula>
    </cfRule>
    <cfRule type="cellIs" dxfId="6669" priority="69" stopIfTrue="1" operator="equal">
      <formula>"M"</formula>
    </cfRule>
    <cfRule type="cellIs" dxfId="6668" priority="70" stopIfTrue="1" operator="equal">
      <formula>"J"</formula>
    </cfRule>
    <cfRule type="cellIs" dxfId="6667" priority="71" stopIfTrue="1" operator="equal">
      <formula>"O"</formula>
    </cfRule>
    <cfRule type="expression" dxfId="6666" priority="72" stopIfTrue="1">
      <formula>LEN(TRIM(BW4))=0</formula>
    </cfRule>
  </conditionalFormatting>
  <conditionalFormatting sqref="CC4:CE16">
    <cfRule type="cellIs" dxfId="6665" priority="73" stopIfTrue="1" operator="equal">
      <formula>"E"</formula>
    </cfRule>
    <cfRule type="cellIs" dxfId="6664" priority="74" stopIfTrue="1" operator="equal">
      <formula>"S"</formula>
    </cfRule>
    <cfRule type="cellIs" dxfId="6663" priority="75" stopIfTrue="1" operator="equal">
      <formula>"M"</formula>
    </cfRule>
    <cfRule type="cellIs" dxfId="6662" priority="76" stopIfTrue="1" operator="equal">
      <formula>"J"</formula>
    </cfRule>
    <cfRule type="cellIs" dxfId="6661" priority="77" stopIfTrue="1" operator="equal">
      <formula>"O"</formula>
    </cfRule>
    <cfRule type="expression" dxfId="6660" priority="78" stopIfTrue="1">
      <formula>LEN(TRIM(CC4))=0</formula>
    </cfRule>
  </conditionalFormatting>
  <conditionalFormatting sqref="CF4:CI16">
    <cfRule type="cellIs" dxfId="6659" priority="79" stopIfTrue="1" operator="equal">
      <formula>"E"</formula>
    </cfRule>
    <cfRule type="cellIs" dxfId="6658" priority="80" stopIfTrue="1" operator="equal">
      <formula>"S"</formula>
    </cfRule>
    <cfRule type="cellIs" dxfId="6657" priority="81" stopIfTrue="1" operator="equal">
      <formula>"M"</formula>
    </cfRule>
    <cfRule type="cellIs" dxfId="6656" priority="82" stopIfTrue="1" operator="equal">
      <formula>"J"</formula>
    </cfRule>
    <cfRule type="cellIs" dxfId="6655" priority="83" stopIfTrue="1" operator="equal">
      <formula>"O"</formula>
    </cfRule>
    <cfRule type="expression" dxfId="6654" priority="84" stopIfTrue="1">
      <formula>LEN(TRIM(CF4))=0</formula>
    </cfRule>
  </conditionalFormatting>
  <conditionalFormatting sqref="CK4:CO16">
    <cfRule type="cellIs" dxfId="6653" priority="85" stopIfTrue="1" operator="equal">
      <formula>"E"</formula>
    </cfRule>
    <cfRule type="cellIs" dxfId="6652" priority="86" stopIfTrue="1" operator="equal">
      <formula>"S"</formula>
    </cfRule>
    <cfRule type="cellIs" dxfId="6651" priority="87" stopIfTrue="1" operator="equal">
      <formula>"M"</formula>
    </cfRule>
    <cfRule type="cellIs" dxfId="6650" priority="88" stopIfTrue="1" operator="equal">
      <formula>"J"</formula>
    </cfRule>
    <cfRule type="cellIs" dxfId="6649" priority="89" stopIfTrue="1" operator="equal">
      <formula>"O"</formula>
    </cfRule>
    <cfRule type="expression" dxfId="6648" priority="90" stopIfTrue="1">
      <formula>LEN(TRIM(CK4))=0</formula>
    </cfRule>
  </conditionalFormatting>
  <conditionalFormatting sqref="CQ4:CU16">
    <cfRule type="cellIs" dxfId="6647" priority="91" stopIfTrue="1" operator="equal">
      <formula>"E"</formula>
    </cfRule>
    <cfRule type="cellIs" dxfId="6646" priority="92" stopIfTrue="1" operator="equal">
      <formula>"S"</formula>
    </cfRule>
    <cfRule type="cellIs" dxfId="6645" priority="93" stopIfTrue="1" operator="equal">
      <formula>"M"</formula>
    </cfRule>
    <cfRule type="cellIs" dxfId="6644" priority="94" stopIfTrue="1" operator="equal">
      <formula>"J"</formula>
    </cfRule>
    <cfRule type="cellIs" dxfId="6643" priority="95" stopIfTrue="1" operator="equal">
      <formula>"O"</formula>
    </cfRule>
    <cfRule type="expression" dxfId="6642" priority="96" stopIfTrue="1">
      <formula>LEN(TRIM(CQ4))=0</formula>
    </cfRule>
  </conditionalFormatting>
  <conditionalFormatting sqref="CW4:DA16">
    <cfRule type="cellIs" dxfId="6641" priority="97" stopIfTrue="1" operator="equal">
      <formula>"E"</formula>
    </cfRule>
    <cfRule type="cellIs" dxfId="6640" priority="98" stopIfTrue="1" operator="equal">
      <formula>"S"</formula>
    </cfRule>
    <cfRule type="cellIs" dxfId="6639" priority="99" stopIfTrue="1" operator="equal">
      <formula>"M"</formula>
    </cfRule>
    <cfRule type="cellIs" dxfId="6638" priority="100" stopIfTrue="1" operator="equal">
      <formula>"J"</formula>
    </cfRule>
    <cfRule type="cellIs" dxfId="6637" priority="101" stopIfTrue="1" operator="equal">
      <formula>"O"</formula>
    </cfRule>
    <cfRule type="expression" dxfId="6636" priority="102" stopIfTrue="1">
      <formula>LEN(TRIM(CW4))=0</formula>
    </cfRule>
  </conditionalFormatting>
  <conditionalFormatting sqref="D18:K26">
    <cfRule type="cellIs" dxfId="6635" priority="103" stopIfTrue="1" operator="equal">
      <formula>"E"</formula>
    </cfRule>
    <cfRule type="cellIs" dxfId="6634" priority="104" stopIfTrue="1" operator="equal">
      <formula>"S"</formula>
    </cfRule>
    <cfRule type="cellIs" dxfId="6633" priority="105" stopIfTrue="1" operator="equal">
      <formula>"M"</formula>
    </cfRule>
    <cfRule type="cellIs" dxfId="6632" priority="106" stopIfTrue="1" operator="equal">
      <formula>"J"</formula>
    </cfRule>
    <cfRule type="cellIs" dxfId="6631" priority="107" stopIfTrue="1" operator="equal">
      <formula>"O"</formula>
    </cfRule>
    <cfRule type="expression" dxfId="6630" priority="108" stopIfTrue="1">
      <formula>LEN(TRIM(D18))=0</formula>
    </cfRule>
  </conditionalFormatting>
  <conditionalFormatting sqref="L18:O26">
    <cfRule type="cellIs" dxfId="6629" priority="109" stopIfTrue="1" operator="equal">
      <formula>"E"</formula>
    </cfRule>
    <cfRule type="cellIs" dxfId="6628" priority="110" stopIfTrue="1" operator="equal">
      <formula>"S"</formula>
    </cfRule>
    <cfRule type="cellIs" dxfId="6627" priority="111" stopIfTrue="1" operator="equal">
      <formula>"M"</formula>
    </cfRule>
    <cfRule type="cellIs" dxfId="6626" priority="112" stopIfTrue="1" operator="equal">
      <formula>"J"</formula>
    </cfRule>
    <cfRule type="cellIs" dxfId="6625" priority="113" stopIfTrue="1" operator="equal">
      <formula>"O"</formula>
    </cfRule>
    <cfRule type="expression" dxfId="6624" priority="114" stopIfTrue="1">
      <formula>LEN(TRIM(L18))=0</formula>
    </cfRule>
  </conditionalFormatting>
  <conditionalFormatting sqref="P18:AI26">
    <cfRule type="cellIs" dxfId="6623" priority="115" stopIfTrue="1" operator="equal">
      <formula>"E"</formula>
    </cfRule>
    <cfRule type="cellIs" dxfId="6622" priority="116" stopIfTrue="1" operator="equal">
      <formula>"S"</formula>
    </cfRule>
    <cfRule type="cellIs" dxfId="6621" priority="117" stopIfTrue="1" operator="equal">
      <formula>"M"</formula>
    </cfRule>
    <cfRule type="cellIs" dxfId="6620" priority="118" stopIfTrue="1" operator="equal">
      <formula>"J"</formula>
    </cfRule>
    <cfRule type="cellIs" dxfId="6619" priority="119" stopIfTrue="1" operator="equal">
      <formula>"O"</formula>
    </cfRule>
    <cfRule type="expression" dxfId="6618" priority="120" stopIfTrue="1">
      <formula>LEN(TRIM(P18))=0</formula>
    </cfRule>
  </conditionalFormatting>
  <conditionalFormatting sqref="AJ18:AL26">
    <cfRule type="cellIs" dxfId="6617" priority="121" stopIfTrue="1" operator="equal">
      <formula>"E"</formula>
    </cfRule>
    <cfRule type="cellIs" dxfId="6616" priority="122" stopIfTrue="1" operator="equal">
      <formula>"S"</formula>
    </cfRule>
    <cfRule type="cellIs" dxfId="6615" priority="123" stopIfTrue="1" operator="equal">
      <formula>"M"</formula>
    </cfRule>
    <cfRule type="cellIs" dxfId="6614" priority="124" stopIfTrue="1" operator="equal">
      <formula>"J"</formula>
    </cfRule>
    <cfRule type="cellIs" dxfId="6613" priority="125" stopIfTrue="1" operator="equal">
      <formula>"O"</formula>
    </cfRule>
    <cfRule type="expression" dxfId="6612" priority="126" stopIfTrue="1">
      <formula>LEN(TRIM(AJ18))=0</formula>
    </cfRule>
  </conditionalFormatting>
  <conditionalFormatting sqref="AM18:AO26">
    <cfRule type="cellIs" dxfId="6611" priority="127" stopIfTrue="1" operator="equal">
      <formula>"E"</formula>
    </cfRule>
    <cfRule type="cellIs" dxfId="6610" priority="128" stopIfTrue="1" operator="equal">
      <formula>"S"</formula>
    </cfRule>
    <cfRule type="cellIs" dxfId="6609" priority="129" stopIfTrue="1" operator="equal">
      <formula>"M"</formula>
    </cfRule>
    <cfRule type="cellIs" dxfId="6608" priority="130" stopIfTrue="1" operator="equal">
      <formula>"J"</formula>
    </cfRule>
    <cfRule type="cellIs" dxfId="6607" priority="131" stopIfTrue="1" operator="equal">
      <formula>"O"</formula>
    </cfRule>
    <cfRule type="expression" dxfId="6606" priority="132" stopIfTrue="1">
      <formula>LEN(TRIM(AM18))=0</formula>
    </cfRule>
  </conditionalFormatting>
  <conditionalFormatting sqref="AP18:AT26">
    <cfRule type="cellIs" dxfId="6605" priority="133" stopIfTrue="1" operator="equal">
      <formula>"E"</formula>
    </cfRule>
    <cfRule type="cellIs" dxfId="6604" priority="134" stopIfTrue="1" operator="equal">
      <formula>"S"</formula>
    </cfRule>
    <cfRule type="cellIs" dxfId="6603" priority="135" stopIfTrue="1" operator="equal">
      <formula>"M"</formula>
    </cfRule>
    <cfRule type="cellIs" dxfId="6602" priority="136" stopIfTrue="1" operator="equal">
      <formula>"J"</formula>
    </cfRule>
    <cfRule type="cellIs" dxfId="6601" priority="137" stopIfTrue="1" operator="equal">
      <formula>"O"</formula>
    </cfRule>
    <cfRule type="expression" dxfId="6600" priority="138" stopIfTrue="1">
      <formula>LEN(TRIM(AP18))=0</formula>
    </cfRule>
  </conditionalFormatting>
  <conditionalFormatting sqref="AU18:BB26">
    <cfRule type="cellIs" dxfId="6599" priority="139" stopIfTrue="1" operator="equal">
      <formula>"E"</formula>
    </cfRule>
  </conditionalFormatting>
  <conditionalFormatting sqref="AU18:BB26">
    <cfRule type="cellIs" dxfId="6598" priority="140" stopIfTrue="1" operator="equal">
      <formula>"S"</formula>
    </cfRule>
  </conditionalFormatting>
  <conditionalFormatting sqref="AU18:BB26">
    <cfRule type="cellIs" dxfId="6597" priority="141" stopIfTrue="1" operator="equal">
      <formula>"M"</formula>
    </cfRule>
  </conditionalFormatting>
  <conditionalFormatting sqref="AU18:BB26">
    <cfRule type="cellIs" dxfId="6596" priority="142" stopIfTrue="1" operator="equal">
      <formula>"J"</formula>
    </cfRule>
  </conditionalFormatting>
  <conditionalFormatting sqref="AU18:BB26">
    <cfRule type="cellIs" dxfId="6595" priority="143" stopIfTrue="1" operator="equal">
      <formula>"O"</formula>
    </cfRule>
  </conditionalFormatting>
  <conditionalFormatting sqref="AU18:BB26">
    <cfRule type="expression" dxfId="6594" priority="144" stopIfTrue="1">
      <formula>LEN(TRIM(AU18))=0</formula>
    </cfRule>
  </conditionalFormatting>
  <conditionalFormatting sqref="BC18:BG26">
    <cfRule type="cellIs" dxfId="6593" priority="145" stopIfTrue="1" operator="equal">
      <formula>"E"</formula>
    </cfRule>
  </conditionalFormatting>
  <conditionalFormatting sqref="BC18:BG26">
    <cfRule type="cellIs" dxfId="6592" priority="146" stopIfTrue="1" operator="equal">
      <formula>"S"</formula>
    </cfRule>
  </conditionalFormatting>
  <conditionalFormatting sqref="BC18:BG26">
    <cfRule type="cellIs" dxfId="6591" priority="147" stopIfTrue="1" operator="equal">
      <formula>"M"</formula>
    </cfRule>
  </conditionalFormatting>
  <conditionalFormatting sqref="BC18:BG26">
    <cfRule type="cellIs" dxfId="6590" priority="148" stopIfTrue="1" operator="equal">
      <formula>"J"</formula>
    </cfRule>
  </conditionalFormatting>
  <conditionalFormatting sqref="BC18:BG26">
    <cfRule type="cellIs" dxfId="6589" priority="149" stopIfTrue="1" operator="equal">
      <formula>"O"</formula>
    </cfRule>
  </conditionalFormatting>
  <conditionalFormatting sqref="BC18:BG26">
    <cfRule type="expression" dxfId="6588" priority="150" stopIfTrue="1">
      <formula>LEN(TRIM(BC18))=0</formula>
    </cfRule>
  </conditionalFormatting>
  <conditionalFormatting sqref="BH18:BJ26">
    <cfRule type="cellIs" dxfId="6587" priority="151" stopIfTrue="1" operator="equal">
      <formula>"E"</formula>
    </cfRule>
  </conditionalFormatting>
  <conditionalFormatting sqref="BH18:BJ26">
    <cfRule type="cellIs" dxfId="6586" priority="152" stopIfTrue="1" operator="equal">
      <formula>"S"</formula>
    </cfRule>
  </conditionalFormatting>
  <conditionalFormatting sqref="BH18:BJ26">
    <cfRule type="cellIs" dxfId="6585" priority="153" stopIfTrue="1" operator="equal">
      <formula>"M"</formula>
    </cfRule>
  </conditionalFormatting>
  <conditionalFormatting sqref="BH18:BJ26">
    <cfRule type="cellIs" dxfId="6584" priority="154" stopIfTrue="1" operator="equal">
      <formula>"J"</formula>
    </cfRule>
  </conditionalFormatting>
  <conditionalFormatting sqref="BH18:BJ26">
    <cfRule type="cellIs" dxfId="6583" priority="155" stopIfTrue="1" operator="equal">
      <formula>"O"</formula>
    </cfRule>
  </conditionalFormatting>
  <conditionalFormatting sqref="BH18:BJ26">
    <cfRule type="expression" dxfId="6582" priority="156" stopIfTrue="1">
      <formula>LEN(TRIM(BH18))=0</formula>
    </cfRule>
  </conditionalFormatting>
  <conditionalFormatting sqref="BK18:BN26">
    <cfRule type="cellIs" dxfId="6581" priority="157" stopIfTrue="1" operator="equal">
      <formula>"E"</formula>
    </cfRule>
  </conditionalFormatting>
  <conditionalFormatting sqref="BK18:BN26">
    <cfRule type="cellIs" dxfId="6580" priority="158" stopIfTrue="1" operator="equal">
      <formula>"S"</formula>
    </cfRule>
  </conditionalFormatting>
  <conditionalFormatting sqref="BK18:BN26">
    <cfRule type="cellIs" dxfId="6579" priority="159" stopIfTrue="1" operator="equal">
      <formula>"M"</formula>
    </cfRule>
  </conditionalFormatting>
  <conditionalFormatting sqref="BK18:BN26">
    <cfRule type="cellIs" dxfId="6578" priority="160" stopIfTrue="1" operator="equal">
      <formula>"J"</formula>
    </cfRule>
  </conditionalFormatting>
  <conditionalFormatting sqref="BK18:BN26">
    <cfRule type="cellIs" dxfId="6577" priority="161" stopIfTrue="1" operator="equal">
      <formula>"O"</formula>
    </cfRule>
  </conditionalFormatting>
  <conditionalFormatting sqref="BK18:BN26">
    <cfRule type="expression" dxfId="6576" priority="162" stopIfTrue="1">
      <formula>LEN(TRIM(BK18))=0</formula>
    </cfRule>
  </conditionalFormatting>
  <conditionalFormatting sqref="BO18:BV26">
    <cfRule type="cellIs" dxfId="6575" priority="163" stopIfTrue="1" operator="equal">
      <formula>"E"</formula>
    </cfRule>
  </conditionalFormatting>
  <conditionalFormatting sqref="BO18:BV26">
    <cfRule type="cellIs" dxfId="6574" priority="164" stopIfTrue="1" operator="equal">
      <formula>"S"</formula>
    </cfRule>
  </conditionalFormatting>
  <conditionalFormatting sqref="BO18:BV26">
    <cfRule type="cellIs" dxfId="6573" priority="165" stopIfTrue="1" operator="equal">
      <formula>"M"</formula>
    </cfRule>
  </conditionalFormatting>
  <conditionalFormatting sqref="BO18:BV26">
    <cfRule type="cellIs" dxfId="6572" priority="166" stopIfTrue="1" operator="equal">
      <formula>"J"</formula>
    </cfRule>
  </conditionalFormatting>
  <conditionalFormatting sqref="BO18:BV26">
    <cfRule type="cellIs" dxfId="6571" priority="167" stopIfTrue="1" operator="equal">
      <formula>"O"</formula>
    </cfRule>
  </conditionalFormatting>
  <conditionalFormatting sqref="BO18:BV26">
    <cfRule type="expression" dxfId="6570" priority="168" stopIfTrue="1">
      <formula>LEN(TRIM(BO18))=0</formula>
    </cfRule>
  </conditionalFormatting>
  <conditionalFormatting sqref="BW18:CB26">
    <cfRule type="cellIs" dxfId="6569" priority="169" stopIfTrue="1" operator="equal">
      <formula>"E"</formula>
    </cfRule>
  </conditionalFormatting>
  <conditionalFormatting sqref="BW18:CB26">
    <cfRule type="cellIs" dxfId="6568" priority="170" stopIfTrue="1" operator="equal">
      <formula>"S"</formula>
    </cfRule>
  </conditionalFormatting>
  <conditionalFormatting sqref="BW18:CB26">
    <cfRule type="cellIs" dxfId="6567" priority="171" stopIfTrue="1" operator="equal">
      <formula>"M"</formula>
    </cfRule>
  </conditionalFormatting>
  <conditionalFormatting sqref="BW18:CB26">
    <cfRule type="cellIs" dxfId="6566" priority="172" stopIfTrue="1" operator="equal">
      <formula>"J"</formula>
    </cfRule>
  </conditionalFormatting>
  <conditionalFormatting sqref="BW18:CB26">
    <cfRule type="cellIs" dxfId="6565" priority="173" stopIfTrue="1" operator="equal">
      <formula>"O"</formula>
    </cfRule>
  </conditionalFormatting>
  <conditionalFormatting sqref="BW18:CB26">
    <cfRule type="expression" dxfId="6564" priority="174" stopIfTrue="1">
      <formula>LEN(TRIM(BW18))=0</formula>
    </cfRule>
  </conditionalFormatting>
  <conditionalFormatting sqref="CC18:CE26">
    <cfRule type="cellIs" dxfId="6563" priority="175" stopIfTrue="1" operator="equal">
      <formula>"E"</formula>
    </cfRule>
  </conditionalFormatting>
  <conditionalFormatting sqref="CC18:CE26">
    <cfRule type="cellIs" dxfId="6562" priority="176" stopIfTrue="1" operator="equal">
      <formula>"S"</formula>
    </cfRule>
  </conditionalFormatting>
  <conditionalFormatting sqref="CC18:CE26">
    <cfRule type="cellIs" dxfId="6561" priority="177" stopIfTrue="1" operator="equal">
      <formula>"M"</formula>
    </cfRule>
  </conditionalFormatting>
  <conditionalFormatting sqref="CC18:CE26">
    <cfRule type="cellIs" dxfId="6560" priority="178" stopIfTrue="1" operator="equal">
      <formula>"J"</formula>
    </cfRule>
  </conditionalFormatting>
  <conditionalFormatting sqref="CC18:CE26">
    <cfRule type="cellIs" dxfId="6559" priority="179" stopIfTrue="1" operator="equal">
      <formula>"O"</formula>
    </cfRule>
  </conditionalFormatting>
  <conditionalFormatting sqref="CC18:CE26">
    <cfRule type="expression" dxfId="6558" priority="180" stopIfTrue="1">
      <formula>LEN(TRIM(CC18))=0</formula>
    </cfRule>
  </conditionalFormatting>
  <conditionalFormatting sqref="CF18:CI26">
    <cfRule type="cellIs" dxfId="6557" priority="181" stopIfTrue="1" operator="equal">
      <formula>"E"</formula>
    </cfRule>
  </conditionalFormatting>
  <conditionalFormatting sqref="CF18:CI26">
    <cfRule type="cellIs" dxfId="6556" priority="182" stopIfTrue="1" operator="equal">
      <formula>"S"</formula>
    </cfRule>
  </conditionalFormatting>
  <conditionalFormatting sqref="CF18:CI26">
    <cfRule type="cellIs" dxfId="6555" priority="183" stopIfTrue="1" operator="equal">
      <formula>"M"</formula>
    </cfRule>
  </conditionalFormatting>
  <conditionalFormatting sqref="CF18:CI26">
    <cfRule type="cellIs" dxfId="6554" priority="184" stopIfTrue="1" operator="equal">
      <formula>"J"</formula>
    </cfRule>
  </conditionalFormatting>
  <conditionalFormatting sqref="CF18:CI26">
    <cfRule type="cellIs" dxfId="6553" priority="185" stopIfTrue="1" operator="equal">
      <formula>"O"</formula>
    </cfRule>
  </conditionalFormatting>
  <conditionalFormatting sqref="CF18:CI26">
    <cfRule type="expression" dxfId="6552" priority="186" stopIfTrue="1">
      <formula>LEN(TRIM(CF18))=0</formula>
    </cfRule>
  </conditionalFormatting>
  <conditionalFormatting sqref="CK18:CO26">
    <cfRule type="cellIs" dxfId="6551" priority="187" stopIfTrue="1" operator="equal">
      <formula>"E"</formula>
    </cfRule>
  </conditionalFormatting>
  <conditionalFormatting sqref="CK18:CO26">
    <cfRule type="cellIs" dxfId="6550" priority="188" stopIfTrue="1" operator="equal">
      <formula>"S"</formula>
    </cfRule>
  </conditionalFormatting>
  <conditionalFormatting sqref="CK18:CO26">
    <cfRule type="cellIs" dxfId="6549" priority="189" stopIfTrue="1" operator="equal">
      <formula>"M"</formula>
    </cfRule>
  </conditionalFormatting>
  <conditionalFormatting sqref="CK18:CO26">
    <cfRule type="cellIs" dxfId="6548" priority="190" stopIfTrue="1" operator="equal">
      <formula>"J"</formula>
    </cfRule>
  </conditionalFormatting>
  <conditionalFormatting sqref="CK18:CO26">
    <cfRule type="cellIs" dxfId="6547" priority="191" stopIfTrue="1" operator="equal">
      <formula>"O"</formula>
    </cfRule>
  </conditionalFormatting>
  <conditionalFormatting sqref="CK18:CO26">
    <cfRule type="expression" dxfId="6546" priority="192" stopIfTrue="1">
      <formula>LEN(TRIM(CK18))=0</formula>
    </cfRule>
  </conditionalFormatting>
  <conditionalFormatting sqref="CQ18:CU26">
    <cfRule type="cellIs" dxfId="6545" priority="193" stopIfTrue="1" operator="equal">
      <formula>"E"</formula>
    </cfRule>
  </conditionalFormatting>
  <conditionalFormatting sqref="CQ18:CU26">
    <cfRule type="cellIs" dxfId="6544" priority="194" stopIfTrue="1" operator="equal">
      <formula>"S"</formula>
    </cfRule>
  </conditionalFormatting>
  <conditionalFormatting sqref="CQ18:CU26">
    <cfRule type="cellIs" dxfId="6543" priority="195" stopIfTrue="1" operator="equal">
      <formula>"M"</formula>
    </cfRule>
  </conditionalFormatting>
  <conditionalFormatting sqref="CQ18:CU26">
    <cfRule type="cellIs" dxfId="6542" priority="196" stopIfTrue="1" operator="equal">
      <formula>"J"</formula>
    </cfRule>
  </conditionalFormatting>
  <conditionalFormatting sqref="CQ18:CU26">
    <cfRule type="cellIs" dxfId="6541" priority="197" stopIfTrue="1" operator="equal">
      <formula>"O"</formula>
    </cfRule>
  </conditionalFormatting>
  <conditionalFormatting sqref="CQ18:CU26">
    <cfRule type="expression" dxfId="6540" priority="198" stopIfTrue="1">
      <formula>LEN(TRIM(CQ18))=0</formula>
    </cfRule>
  </conditionalFormatting>
  <conditionalFormatting sqref="CW18:DA26">
    <cfRule type="cellIs" dxfId="6539" priority="199" stopIfTrue="1" operator="equal">
      <formula>"E"</formula>
    </cfRule>
  </conditionalFormatting>
  <conditionalFormatting sqref="CW18:DA26">
    <cfRule type="cellIs" dxfId="6538" priority="200" stopIfTrue="1" operator="equal">
      <formula>"S"</formula>
    </cfRule>
  </conditionalFormatting>
  <conditionalFormatting sqref="CW18:DA26">
    <cfRule type="cellIs" dxfId="6537" priority="201" stopIfTrue="1" operator="equal">
      <formula>"M"</formula>
    </cfRule>
  </conditionalFormatting>
  <conditionalFormatting sqref="CW18:DA26">
    <cfRule type="cellIs" dxfId="6536" priority="202" stopIfTrue="1" operator="equal">
      <formula>"J"</formula>
    </cfRule>
  </conditionalFormatting>
  <conditionalFormatting sqref="CW18:DA26">
    <cfRule type="cellIs" dxfId="6535" priority="203" stopIfTrue="1" operator="equal">
      <formula>"O"</formula>
    </cfRule>
  </conditionalFormatting>
  <conditionalFormatting sqref="CW18:DA26">
    <cfRule type="expression" dxfId="6534" priority="204" stopIfTrue="1">
      <formula>LEN(TRIM(CW18))=0</formula>
    </cfRule>
  </conditionalFormatting>
  <conditionalFormatting sqref="D28:K37">
    <cfRule type="cellIs" dxfId="6533" priority="205" stopIfTrue="1" operator="equal">
      <formula>"E"</formula>
    </cfRule>
    <cfRule type="cellIs" dxfId="6532" priority="206" stopIfTrue="1" operator="equal">
      <formula>"S"</formula>
    </cfRule>
    <cfRule type="cellIs" dxfId="6531" priority="207" stopIfTrue="1" operator="equal">
      <formula>"M"</formula>
    </cfRule>
    <cfRule type="cellIs" dxfId="6530" priority="208" stopIfTrue="1" operator="equal">
      <formula>"J"</formula>
    </cfRule>
    <cfRule type="cellIs" dxfId="6529" priority="209" stopIfTrue="1" operator="equal">
      <formula>"O"</formula>
    </cfRule>
    <cfRule type="expression" dxfId="6528" priority="210" stopIfTrue="1">
      <formula>LEN(TRIM(D28))=0</formula>
    </cfRule>
  </conditionalFormatting>
  <conditionalFormatting sqref="L28:O37">
    <cfRule type="cellIs" dxfId="6527" priority="211" stopIfTrue="1" operator="equal">
      <formula>"E"</formula>
    </cfRule>
    <cfRule type="cellIs" dxfId="6526" priority="212" stopIfTrue="1" operator="equal">
      <formula>"S"</formula>
    </cfRule>
    <cfRule type="cellIs" dxfId="6525" priority="213" stopIfTrue="1" operator="equal">
      <formula>"M"</formula>
    </cfRule>
    <cfRule type="cellIs" dxfId="6524" priority="214" stopIfTrue="1" operator="equal">
      <formula>"J"</formula>
    </cfRule>
    <cfRule type="cellIs" dxfId="6523" priority="215" stopIfTrue="1" operator="equal">
      <formula>"O"</formula>
    </cfRule>
    <cfRule type="expression" dxfId="6522" priority="216" stopIfTrue="1">
      <formula>LEN(TRIM(L28))=0</formula>
    </cfRule>
  </conditionalFormatting>
  <conditionalFormatting sqref="P28:AI37">
    <cfRule type="cellIs" dxfId="6521" priority="217" stopIfTrue="1" operator="equal">
      <formula>"E"</formula>
    </cfRule>
    <cfRule type="cellIs" dxfId="6520" priority="218" stopIfTrue="1" operator="equal">
      <formula>"S"</formula>
    </cfRule>
    <cfRule type="cellIs" dxfId="6519" priority="219" stopIfTrue="1" operator="equal">
      <formula>"M"</formula>
    </cfRule>
    <cfRule type="cellIs" dxfId="6518" priority="220" stopIfTrue="1" operator="equal">
      <formula>"J"</formula>
    </cfRule>
    <cfRule type="cellIs" dxfId="6517" priority="221" stopIfTrue="1" operator="equal">
      <formula>"O"</formula>
    </cfRule>
    <cfRule type="expression" dxfId="6516" priority="222" stopIfTrue="1">
      <formula>LEN(TRIM(P28))=0</formula>
    </cfRule>
  </conditionalFormatting>
  <conditionalFormatting sqref="AJ28:AL37">
    <cfRule type="cellIs" dxfId="6515" priority="223" stopIfTrue="1" operator="equal">
      <formula>"E"</formula>
    </cfRule>
    <cfRule type="cellIs" dxfId="6514" priority="224" stopIfTrue="1" operator="equal">
      <formula>"S"</formula>
    </cfRule>
    <cfRule type="cellIs" dxfId="6513" priority="225" stopIfTrue="1" operator="equal">
      <formula>"M"</formula>
    </cfRule>
    <cfRule type="cellIs" dxfId="6512" priority="226" stopIfTrue="1" operator="equal">
      <formula>"J"</formula>
    </cfRule>
    <cfRule type="cellIs" dxfId="6511" priority="227" stopIfTrue="1" operator="equal">
      <formula>"O"</formula>
    </cfRule>
    <cfRule type="expression" dxfId="6510" priority="228" stopIfTrue="1">
      <formula>LEN(TRIM(AJ28))=0</formula>
    </cfRule>
  </conditionalFormatting>
  <conditionalFormatting sqref="AM28:AO37">
    <cfRule type="cellIs" dxfId="6509" priority="229" stopIfTrue="1" operator="equal">
      <formula>"E"</formula>
    </cfRule>
  </conditionalFormatting>
  <conditionalFormatting sqref="AM28:AO37">
    <cfRule type="cellIs" dxfId="6508" priority="230" stopIfTrue="1" operator="equal">
      <formula>"S"</formula>
    </cfRule>
  </conditionalFormatting>
  <conditionalFormatting sqref="AM28:AO37">
    <cfRule type="cellIs" dxfId="6507" priority="231" stopIfTrue="1" operator="equal">
      <formula>"M"</formula>
    </cfRule>
  </conditionalFormatting>
  <conditionalFormatting sqref="AM28:AO37">
    <cfRule type="cellIs" dxfId="6506" priority="232" stopIfTrue="1" operator="equal">
      <formula>"J"</formula>
    </cfRule>
  </conditionalFormatting>
  <conditionalFormatting sqref="AM28:AO37">
    <cfRule type="cellIs" dxfId="6505" priority="233" stopIfTrue="1" operator="equal">
      <formula>"O"</formula>
    </cfRule>
  </conditionalFormatting>
  <conditionalFormatting sqref="AM28:AO37">
    <cfRule type="expression" dxfId="6504" priority="234" stopIfTrue="1">
      <formula>LEN(TRIM(AM28))=0</formula>
    </cfRule>
  </conditionalFormatting>
  <conditionalFormatting sqref="AP28:AT37">
    <cfRule type="cellIs" dxfId="6503" priority="235" stopIfTrue="1" operator="equal">
      <formula>"E"</formula>
    </cfRule>
  </conditionalFormatting>
  <conditionalFormatting sqref="AP28:AT37">
    <cfRule type="cellIs" dxfId="6502" priority="236" stopIfTrue="1" operator="equal">
      <formula>"S"</formula>
    </cfRule>
  </conditionalFormatting>
  <conditionalFormatting sqref="AP28:AT37">
    <cfRule type="cellIs" dxfId="6501" priority="237" stopIfTrue="1" operator="equal">
      <formula>"M"</formula>
    </cfRule>
  </conditionalFormatting>
  <conditionalFormatting sqref="AP28:AT37">
    <cfRule type="cellIs" dxfId="6500" priority="238" stopIfTrue="1" operator="equal">
      <formula>"J"</formula>
    </cfRule>
  </conditionalFormatting>
  <conditionalFormatting sqref="AP28:AT37">
    <cfRule type="cellIs" dxfId="6499" priority="239" stopIfTrue="1" operator="equal">
      <formula>"O"</formula>
    </cfRule>
  </conditionalFormatting>
  <conditionalFormatting sqref="AP28:AT37">
    <cfRule type="expression" dxfId="6498" priority="240" stopIfTrue="1">
      <formula>LEN(TRIM(AP28))=0</formula>
    </cfRule>
  </conditionalFormatting>
  <conditionalFormatting sqref="AU28:BB37">
    <cfRule type="cellIs" dxfId="6497" priority="241" stopIfTrue="1" operator="equal">
      <formula>"E"</formula>
    </cfRule>
  </conditionalFormatting>
  <conditionalFormatting sqref="AU28:BB37">
    <cfRule type="cellIs" dxfId="6496" priority="242" stopIfTrue="1" operator="equal">
      <formula>"S"</formula>
    </cfRule>
  </conditionalFormatting>
  <conditionalFormatting sqref="AU28:BB37">
    <cfRule type="cellIs" dxfId="6495" priority="243" stopIfTrue="1" operator="equal">
      <formula>"M"</formula>
    </cfRule>
  </conditionalFormatting>
  <conditionalFormatting sqref="AU28:BB37">
    <cfRule type="cellIs" dxfId="6494" priority="244" stopIfTrue="1" operator="equal">
      <formula>"J"</formula>
    </cfRule>
  </conditionalFormatting>
  <conditionalFormatting sqref="AU28:BB37">
    <cfRule type="cellIs" dxfId="6493" priority="245" stopIfTrue="1" operator="equal">
      <formula>"O"</formula>
    </cfRule>
  </conditionalFormatting>
  <conditionalFormatting sqref="AU28:BB37">
    <cfRule type="expression" dxfId="6492" priority="246" stopIfTrue="1">
      <formula>LEN(TRIM(AU28))=0</formula>
    </cfRule>
  </conditionalFormatting>
  <conditionalFormatting sqref="BC28:BG37">
    <cfRule type="cellIs" dxfId="6491" priority="247" stopIfTrue="1" operator="equal">
      <formula>"E"</formula>
    </cfRule>
  </conditionalFormatting>
  <conditionalFormatting sqref="BC28:BG37">
    <cfRule type="cellIs" dxfId="6490" priority="248" stopIfTrue="1" operator="equal">
      <formula>"S"</formula>
    </cfRule>
  </conditionalFormatting>
  <conditionalFormatting sqref="BC28:BG37">
    <cfRule type="cellIs" dxfId="6489" priority="249" stopIfTrue="1" operator="equal">
      <formula>"M"</formula>
    </cfRule>
  </conditionalFormatting>
  <conditionalFormatting sqref="BC28:BG37">
    <cfRule type="cellIs" dxfId="6488" priority="250" stopIfTrue="1" operator="equal">
      <formula>"J"</formula>
    </cfRule>
  </conditionalFormatting>
  <conditionalFormatting sqref="BC28:BG37">
    <cfRule type="cellIs" dxfId="6487" priority="251" stopIfTrue="1" operator="equal">
      <formula>"O"</formula>
    </cfRule>
  </conditionalFormatting>
  <conditionalFormatting sqref="BC28:BG37">
    <cfRule type="expression" dxfId="6486" priority="252" stopIfTrue="1">
      <formula>LEN(TRIM(BC28))=0</formula>
    </cfRule>
  </conditionalFormatting>
  <conditionalFormatting sqref="BH28:BJ37">
    <cfRule type="cellIs" dxfId="6485" priority="253" stopIfTrue="1" operator="equal">
      <formula>"E"</formula>
    </cfRule>
  </conditionalFormatting>
  <conditionalFormatting sqref="BH28:BJ37">
    <cfRule type="cellIs" dxfId="6484" priority="254" stopIfTrue="1" operator="equal">
      <formula>"S"</formula>
    </cfRule>
  </conditionalFormatting>
  <conditionalFormatting sqref="BH28:BJ37">
    <cfRule type="cellIs" dxfId="6483" priority="255" stopIfTrue="1" operator="equal">
      <formula>"M"</formula>
    </cfRule>
  </conditionalFormatting>
  <conditionalFormatting sqref="BH28:BJ37">
    <cfRule type="cellIs" dxfId="6482" priority="256" stopIfTrue="1" operator="equal">
      <formula>"J"</formula>
    </cfRule>
  </conditionalFormatting>
  <conditionalFormatting sqref="BH28:BJ37">
    <cfRule type="cellIs" dxfId="6481" priority="257" stopIfTrue="1" operator="equal">
      <formula>"O"</formula>
    </cfRule>
  </conditionalFormatting>
  <conditionalFormatting sqref="BH28:BJ37">
    <cfRule type="expression" dxfId="6480" priority="258" stopIfTrue="1">
      <formula>LEN(TRIM(BH28))=0</formula>
    </cfRule>
  </conditionalFormatting>
  <conditionalFormatting sqref="BK28:BN37">
    <cfRule type="cellIs" dxfId="6479" priority="259" stopIfTrue="1" operator="equal">
      <formula>"E"</formula>
    </cfRule>
  </conditionalFormatting>
  <conditionalFormatting sqref="BK28:BN37">
    <cfRule type="cellIs" dxfId="6478" priority="260" stopIfTrue="1" operator="equal">
      <formula>"S"</formula>
    </cfRule>
  </conditionalFormatting>
  <conditionalFormatting sqref="BK28:BN37">
    <cfRule type="cellIs" dxfId="6477" priority="261" stopIfTrue="1" operator="equal">
      <formula>"M"</formula>
    </cfRule>
  </conditionalFormatting>
  <conditionalFormatting sqref="BK28:BN37">
    <cfRule type="cellIs" dxfId="6476" priority="262" stopIfTrue="1" operator="equal">
      <formula>"J"</formula>
    </cfRule>
  </conditionalFormatting>
  <conditionalFormatting sqref="BK28:BN37">
    <cfRule type="cellIs" dxfId="6475" priority="263" stopIfTrue="1" operator="equal">
      <formula>"O"</formula>
    </cfRule>
  </conditionalFormatting>
  <conditionalFormatting sqref="BK28:BN37">
    <cfRule type="expression" dxfId="6474" priority="264" stopIfTrue="1">
      <formula>LEN(TRIM(BK28))=0</formula>
    </cfRule>
  </conditionalFormatting>
  <conditionalFormatting sqref="BO28:BV37">
    <cfRule type="cellIs" dxfId="6473" priority="265" stopIfTrue="1" operator="equal">
      <formula>"E"</formula>
    </cfRule>
  </conditionalFormatting>
  <conditionalFormatting sqref="BO28:BV37">
    <cfRule type="cellIs" dxfId="6472" priority="266" stopIfTrue="1" operator="equal">
      <formula>"S"</formula>
    </cfRule>
  </conditionalFormatting>
  <conditionalFormatting sqref="BO28:BV37">
    <cfRule type="cellIs" dxfId="6471" priority="267" stopIfTrue="1" operator="equal">
      <formula>"M"</formula>
    </cfRule>
  </conditionalFormatting>
  <conditionalFormatting sqref="BO28:BV37">
    <cfRule type="cellIs" dxfId="6470" priority="268" stopIfTrue="1" operator="equal">
      <formula>"J"</formula>
    </cfRule>
  </conditionalFormatting>
  <conditionalFormatting sqref="BO28:BV37">
    <cfRule type="cellIs" dxfId="6469" priority="269" stopIfTrue="1" operator="equal">
      <formula>"O"</formula>
    </cfRule>
  </conditionalFormatting>
  <conditionalFormatting sqref="BO28:BV37">
    <cfRule type="expression" dxfId="6468" priority="270" stopIfTrue="1">
      <formula>LEN(TRIM(BO28))=0</formula>
    </cfRule>
  </conditionalFormatting>
  <conditionalFormatting sqref="BW28:CB37">
    <cfRule type="cellIs" dxfId="6467" priority="271" stopIfTrue="1" operator="equal">
      <formula>"E"</formula>
    </cfRule>
  </conditionalFormatting>
  <conditionalFormatting sqref="BW28:CB37">
    <cfRule type="cellIs" dxfId="6466" priority="272" stopIfTrue="1" operator="equal">
      <formula>"S"</formula>
    </cfRule>
  </conditionalFormatting>
  <conditionalFormatting sqref="BW28:CB37">
    <cfRule type="cellIs" dxfId="6465" priority="273" stopIfTrue="1" operator="equal">
      <formula>"M"</formula>
    </cfRule>
  </conditionalFormatting>
  <conditionalFormatting sqref="BW28:CB37">
    <cfRule type="cellIs" dxfId="6464" priority="274" stopIfTrue="1" operator="equal">
      <formula>"J"</formula>
    </cfRule>
  </conditionalFormatting>
  <conditionalFormatting sqref="BW28:CB37">
    <cfRule type="cellIs" dxfId="6463" priority="275" stopIfTrue="1" operator="equal">
      <formula>"O"</formula>
    </cfRule>
  </conditionalFormatting>
  <conditionalFormatting sqref="BW28:CB37">
    <cfRule type="expression" dxfId="6462" priority="276" stopIfTrue="1">
      <formula>LEN(TRIM(BW28))=0</formula>
    </cfRule>
  </conditionalFormatting>
  <conditionalFormatting sqref="CC28:CE37">
    <cfRule type="cellIs" dxfId="6461" priority="277" stopIfTrue="1" operator="equal">
      <formula>"E"</formula>
    </cfRule>
  </conditionalFormatting>
  <conditionalFormatting sqref="CC28:CE37">
    <cfRule type="cellIs" dxfId="6460" priority="278" stopIfTrue="1" operator="equal">
      <formula>"S"</formula>
    </cfRule>
  </conditionalFormatting>
  <conditionalFormatting sqref="CC28:CE37">
    <cfRule type="cellIs" dxfId="6459" priority="279" stopIfTrue="1" operator="equal">
      <formula>"M"</formula>
    </cfRule>
  </conditionalFormatting>
  <conditionalFormatting sqref="CC28:CE37">
    <cfRule type="cellIs" dxfId="6458" priority="280" stopIfTrue="1" operator="equal">
      <formula>"J"</formula>
    </cfRule>
  </conditionalFormatting>
  <conditionalFormatting sqref="CC28:CE37">
    <cfRule type="cellIs" dxfId="6457" priority="281" stopIfTrue="1" operator="equal">
      <formula>"O"</formula>
    </cfRule>
  </conditionalFormatting>
  <conditionalFormatting sqref="CC28:CE37">
    <cfRule type="expression" dxfId="6456" priority="282" stopIfTrue="1">
      <formula>LEN(TRIM(CC28))=0</formula>
    </cfRule>
  </conditionalFormatting>
  <conditionalFormatting sqref="CF28:CI37">
    <cfRule type="cellIs" dxfId="6455" priority="283" stopIfTrue="1" operator="equal">
      <formula>"E"</formula>
    </cfRule>
  </conditionalFormatting>
  <conditionalFormatting sqref="CF28:CI37">
    <cfRule type="cellIs" dxfId="6454" priority="284" stopIfTrue="1" operator="equal">
      <formula>"S"</formula>
    </cfRule>
  </conditionalFormatting>
  <conditionalFormatting sqref="CF28:CI37">
    <cfRule type="cellIs" dxfId="6453" priority="285" stopIfTrue="1" operator="equal">
      <formula>"M"</formula>
    </cfRule>
  </conditionalFormatting>
  <conditionalFormatting sqref="CF28:CI37">
    <cfRule type="cellIs" dxfId="6452" priority="286" stopIfTrue="1" operator="equal">
      <formula>"J"</formula>
    </cfRule>
  </conditionalFormatting>
  <conditionalFormatting sqref="CF28:CI37">
    <cfRule type="cellIs" dxfId="6451" priority="287" stopIfTrue="1" operator="equal">
      <formula>"O"</formula>
    </cfRule>
  </conditionalFormatting>
  <conditionalFormatting sqref="CF28:CI37">
    <cfRule type="expression" dxfId="6450" priority="288" stopIfTrue="1">
      <formula>LEN(TRIM(CF28))=0</formula>
    </cfRule>
  </conditionalFormatting>
  <conditionalFormatting sqref="CK28:CO37">
    <cfRule type="cellIs" dxfId="6449" priority="289" stopIfTrue="1" operator="equal">
      <formula>"E"</formula>
    </cfRule>
  </conditionalFormatting>
  <conditionalFormatting sqref="CK28:CO37">
    <cfRule type="cellIs" dxfId="6448" priority="290" stopIfTrue="1" operator="equal">
      <formula>"S"</formula>
    </cfRule>
  </conditionalFormatting>
  <conditionalFormatting sqref="CK28:CO37">
    <cfRule type="cellIs" dxfId="6447" priority="291" stopIfTrue="1" operator="equal">
      <formula>"M"</formula>
    </cfRule>
  </conditionalFormatting>
  <conditionalFormatting sqref="CK28:CO37">
    <cfRule type="cellIs" dxfId="6446" priority="292" stopIfTrue="1" operator="equal">
      <formula>"J"</formula>
    </cfRule>
  </conditionalFormatting>
  <conditionalFormatting sqref="CK28:CO37">
    <cfRule type="cellIs" dxfId="6445" priority="293" stopIfTrue="1" operator="equal">
      <formula>"O"</formula>
    </cfRule>
  </conditionalFormatting>
  <conditionalFormatting sqref="CK28:CO37">
    <cfRule type="expression" dxfId="6444" priority="294" stopIfTrue="1">
      <formula>LEN(TRIM(CK28))=0</formula>
    </cfRule>
  </conditionalFormatting>
  <conditionalFormatting sqref="CQ28:CU37">
    <cfRule type="cellIs" dxfId="6443" priority="295" stopIfTrue="1" operator="equal">
      <formula>"E"</formula>
    </cfRule>
  </conditionalFormatting>
  <conditionalFormatting sqref="CQ28:CU37">
    <cfRule type="cellIs" dxfId="6442" priority="296" stopIfTrue="1" operator="equal">
      <formula>"S"</formula>
    </cfRule>
  </conditionalFormatting>
  <conditionalFormatting sqref="CQ28:CU37">
    <cfRule type="cellIs" dxfId="6441" priority="297" stopIfTrue="1" operator="equal">
      <formula>"M"</formula>
    </cfRule>
  </conditionalFormatting>
  <conditionalFormatting sqref="CQ28:CU37">
    <cfRule type="cellIs" dxfId="6440" priority="298" stopIfTrue="1" operator="equal">
      <formula>"J"</formula>
    </cfRule>
  </conditionalFormatting>
  <conditionalFormatting sqref="CQ28:CU37">
    <cfRule type="cellIs" dxfId="6439" priority="299" stopIfTrue="1" operator="equal">
      <formula>"O"</formula>
    </cfRule>
  </conditionalFormatting>
  <conditionalFormatting sqref="CQ28:CU37">
    <cfRule type="expression" dxfId="6438" priority="300" stopIfTrue="1">
      <formula>LEN(TRIM(CQ28))=0</formula>
    </cfRule>
  </conditionalFormatting>
  <conditionalFormatting sqref="CW28:DA37">
    <cfRule type="cellIs" dxfId="6437" priority="301" stopIfTrue="1" operator="equal">
      <formula>"E"</formula>
    </cfRule>
  </conditionalFormatting>
  <conditionalFormatting sqref="CW28:DA37">
    <cfRule type="cellIs" dxfId="6436" priority="302" stopIfTrue="1" operator="equal">
      <formula>"S"</formula>
    </cfRule>
  </conditionalFormatting>
  <conditionalFormatting sqref="CW28:DA37">
    <cfRule type="cellIs" dxfId="6435" priority="303" stopIfTrue="1" operator="equal">
      <formula>"M"</formula>
    </cfRule>
  </conditionalFormatting>
  <conditionalFormatting sqref="CW28:DA37">
    <cfRule type="cellIs" dxfId="6434" priority="304" stopIfTrue="1" operator="equal">
      <formula>"J"</formula>
    </cfRule>
  </conditionalFormatting>
  <conditionalFormatting sqref="CW28:DA37">
    <cfRule type="cellIs" dxfId="6433" priority="305" stopIfTrue="1" operator="equal">
      <formula>"O"</formula>
    </cfRule>
  </conditionalFormatting>
  <conditionalFormatting sqref="CW28:DA37">
    <cfRule type="expression" dxfId="6432" priority="306" stopIfTrue="1">
      <formula>LEN(TRIM(CW28))=0</formula>
    </cfRule>
  </conditionalFormatting>
  <conditionalFormatting sqref="D39:K50">
    <cfRule type="cellIs" dxfId="6431" priority="307" stopIfTrue="1" operator="equal">
      <formula>"E"</formula>
    </cfRule>
    <cfRule type="cellIs" dxfId="6430" priority="308" stopIfTrue="1" operator="equal">
      <formula>"S"</formula>
    </cfRule>
    <cfRule type="cellIs" dxfId="6429" priority="309" stopIfTrue="1" operator="equal">
      <formula>"M"</formula>
    </cfRule>
    <cfRule type="cellIs" dxfId="6428" priority="310" stopIfTrue="1" operator="equal">
      <formula>"J"</formula>
    </cfRule>
    <cfRule type="cellIs" dxfId="6427" priority="311" stopIfTrue="1" operator="equal">
      <formula>"O"</formula>
    </cfRule>
    <cfRule type="expression" dxfId="6426" priority="312" stopIfTrue="1">
      <formula>LEN(TRIM(D39))=0</formula>
    </cfRule>
  </conditionalFormatting>
  <conditionalFormatting sqref="L39:O50">
    <cfRule type="cellIs" dxfId="6425" priority="313" stopIfTrue="1" operator="equal">
      <formula>"E"</formula>
    </cfRule>
    <cfRule type="cellIs" dxfId="6424" priority="314" stopIfTrue="1" operator="equal">
      <formula>"S"</formula>
    </cfRule>
    <cfRule type="cellIs" dxfId="6423" priority="315" stopIfTrue="1" operator="equal">
      <formula>"M"</formula>
    </cfRule>
    <cfRule type="cellIs" dxfId="6422" priority="316" stopIfTrue="1" operator="equal">
      <formula>"J"</formula>
    </cfRule>
    <cfRule type="cellIs" dxfId="6421" priority="317" stopIfTrue="1" operator="equal">
      <formula>"O"</formula>
    </cfRule>
    <cfRule type="expression" dxfId="6420" priority="318" stopIfTrue="1">
      <formula>LEN(TRIM(L39))=0</formula>
    </cfRule>
  </conditionalFormatting>
  <conditionalFormatting sqref="P39:AI50">
    <cfRule type="cellIs" dxfId="6419" priority="319" stopIfTrue="1" operator="equal">
      <formula>"E"</formula>
    </cfRule>
    <cfRule type="cellIs" dxfId="6418" priority="320" stopIfTrue="1" operator="equal">
      <formula>"S"</formula>
    </cfRule>
    <cfRule type="cellIs" dxfId="6417" priority="321" stopIfTrue="1" operator="equal">
      <formula>"M"</formula>
    </cfRule>
    <cfRule type="cellIs" dxfId="6416" priority="322" stopIfTrue="1" operator="equal">
      <formula>"J"</formula>
    </cfRule>
    <cfRule type="cellIs" dxfId="6415" priority="323" stopIfTrue="1" operator="equal">
      <formula>"O"</formula>
    </cfRule>
    <cfRule type="expression" dxfId="6414" priority="324" stopIfTrue="1">
      <formula>LEN(TRIM(P39))=0</formula>
    </cfRule>
  </conditionalFormatting>
  <conditionalFormatting sqref="AJ39:AL50">
    <cfRule type="cellIs" dxfId="6413" priority="325" stopIfTrue="1" operator="equal">
      <formula>"E"</formula>
    </cfRule>
    <cfRule type="cellIs" dxfId="6412" priority="326" stopIfTrue="1" operator="equal">
      <formula>"S"</formula>
    </cfRule>
    <cfRule type="cellIs" dxfId="6411" priority="327" stopIfTrue="1" operator="equal">
      <formula>"M"</formula>
    </cfRule>
    <cfRule type="cellIs" dxfId="6410" priority="328" stopIfTrue="1" operator="equal">
      <formula>"J"</formula>
    </cfRule>
    <cfRule type="cellIs" dxfId="6409" priority="329" stopIfTrue="1" operator="equal">
      <formula>"O"</formula>
    </cfRule>
    <cfRule type="expression" dxfId="6408" priority="330" stopIfTrue="1">
      <formula>LEN(TRIM(AJ39))=0</formula>
    </cfRule>
  </conditionalFormatting>
  <conditionalFormatting sqref="AM39:AO50">
    <cfRule type="cellIs" dxfId="6407" priority="331" stopIfTrue="1" operator="equal">
      <formula>"E"</formula>
    </cfRule>
  </conditionalFormatting>
  <conditionalFormatting sqref="AM39:AO50">
    <cfRule type="cellIs" dxfId="6406" priority="332" stopIfTrue="1" operator="equal">
      <formula>"S"</formula>
    </cfRule>
  </conditionalFormatting>
  <conditionalFormatting sqref="AM39:AO50">
    <cfRule type="cellIs" dxfId="6405" priority="333" stopIfTrue="1" operator="equal">
      <formula>"M"</formula>
    </cfRule>
  </conditionalFormatting>
  <conditionalFormatting sqref="AM39:AO50">
    <cfRule type="cellIs" dxfId="6404" priority="334" stopIfTrue="1" operator="equal">
      <formula>"J"</formula>
    </cfRule>
  </conditionalFormatting>
  <conditionalFormatting sqref="AM39:AO50">
    <cfRule type="cellIs" dxfId="6403" priority="335" stopIfTrue="1" operator="equal">
      <formula>"O"</formula>
    </cfRule>
  </conditionalFormatting>
  <conditionalFormatting sqref="AM39:AO50">
    <cfRule type="expression" dxfId="6402" priority="336" stopIfTrue="1">
      <formula>LEN(TRIM(AM39))=0</formula>
    </cfRule>
  </conditionalFormatting>
  <conditionalFormatting sqref="AP39:AT50">
    <cfRule type="cellIs" dxfId="6401" priority="337" stopIfTrue="1" operator="equal">
      <formula>"E"</formula>
    </cfRule>
  </conditionalFormatting>
  <conditionalFormatting sqref="AP39:AT50">
    <cfRule type="cellIs" dxfId="6400" priority="338" stopIfTrue="1" operator="equal">
      <formula>"S"</formula>
    </cfRule>
  </conditionalFormatting>
  <conditionalFormatting sqref="AP39:AT50">
    <cfRule type="cellIs" dxfId="6399" priority="339" stopIfTrue="1" operator="equal">
      <formula>"M"</formula>
    </cfRule>
  </conditionalFormatting>
  <conditionalFormatting sqref="AP39:AT50">
    <cfRule type="cellIs" dxfId="6398" priority="340" stopIfTrue="1" operator="equal">
      <formula>"J"</formula>
    </cfRule>
  </conditionalFormatting>
  <conditionalFormatting sqref="AP39:AT50">
    <cfRule type="cellIs" dxfId="6397" priority="341" stopIfTrue="1" operator="equal">
      <formula>"O"</formula>
    </cfRule>
  </conditionalFormatting>
  <conditionalFormatting sqref="AP39:AT50">
    <cfRule type="expression" dxfId="6396" priority="342" stopIfTrue="1">
      <formula>LEN(TRIM(AP39))=0</formula>
    </cfRule>
  </conditionalFormatting>
  <conditionalFormatting sqref="AU39:BB50">
    <cfRule type="cellIs" dxfId="6395" priority="343" stopIfTrue="1" operator="equal">
      <formula>"E"</formula>
    </cfRule>
  </conditionalFormatting>
  <conditionalFormatting sqref="AU39:BB50">
    <cfRule type="cellIs" dxfId="6394" priority="344" stopIfTrue="1" operator="equal">
      <formula>"S"</formula>
    </cfRule>
  </conditionalFormatting>
  <conditionalFormatting sqref="AU39:BB50">
    <cfRule type="cellIs" dxfId="6393" priority="345" stopIfTrue="1" operator="equal">
      <formula>"M"</formula>
    </cfRule>
  </conditionalFormatting>
  <conditionalFormatting sqref="AU39:BB50">
    <cfRule type="cellIs" dxfId="6392" priority="346" stopIfTrue="1" operator="equal">
      <formula>"J"</formula>
    </cfRule>
  </conditionalFormatting>
  <conditionalFormatting sqref="AU39:BB50">
    <cfRule type="cellIs" dxfId="6391" priority="347" stopIfTrue="1" operator="equal">
      <formula>"O"</formula>
    </cfRule>
  </conditionalFormatting>
  <conditionalFormatting sqref="AU39:BB50">
    <cfRule type="expression" dxfId="6390" priority="348" stopIfTrue="1">
      <formula>LEN(TRIM(AU39))=0</formula>
    </cfRule>
  </conditionalFormatting>
  <conditionalFormatting sqref="BC39:BG50">
    <cfRule type="cellIs" dxfId="6389" priority="349" stopIfTrue="1" operator="equal">
      <formula>"E"</formula>
    </cfRule>
  </conditionalFormatting>
  <conditionalFormatting sqref="BC39:BG50">
    <cfRule type="cellIs" dxfId="6388" priority="350" stopIfTrue="1" operator="equal">
      <formula>"S"</formula>
    </cfRule>
  </conditionalFormatting>
  <conditionalFormatting sqref="BC39:BG50">
    <cfRule type="cellIs" dxfId="6387" priority="351" stopIfTrue="1" operator="equal">
      <formula>"M"</formula>
    </cfRule>
  </conditionalFormatting>
  <conditionalFormatting sqref="BC39:BG50">
    <cfRule type="cellIs" dxfId="6386" priority="352" stopIfTrue="1" operator="equal">
      <formula>"J"</formula>
    </cfRule>
  </conditionalFormatting>
  <conditionalFormatting sqref="BC39:BG50">
    <cfRule type="cellIs" dxfId="6385" priority="353" stopIfTrue="1" operator="equal">
      <formula>"O"</formula>
    </cfRule>
  </conditionalFormatting>
  <conditionalFormatting sqref="BC39:BG50">
    <cfRule type="expression" dxfId="6384" priority="354" stopIfTrue="1">
      <formula>LEN(TRIM(BC39))=0</formula>
    </cfRule>
  </conditionalFormatting>
  <conditionalFormatting sqref="BH39:BJ50">
    <cfRule type="cellIs" dxfId="6383" priority="355" stopIfTrue="1" operator="equal">
      <formula>"E"</formula>
    </cfRule>
  </conditionalFormatting>
  <conditionalFormatting sqref="BH39:BJ50">
    <cfRule type="cellIs" dxfId="6382" priority="356" stopIfTrue="1" operator="equal">
      <formula>"S"</formula>
    </cfRule>
  </conditionalFormatting>
  <conditionalFormatting sqref="BH39:BJ50">
    <cfRule type="cellIs" dxfId="6381" priority="357" stopIfTrue="1" operator="equal">
      <formula>"M"</formula>
    </cfRule>
  </conditionalFormatting>
  <conditionalFormatting sqref="BH39:BJ50">
    <cfRule type="cellIs" dxfId="6380" priority="358" stopIfTrue="1" operator="equal">
      <formula>"J"</formula>
    </cfRule>
  </conditionalFormatting>
  <conditionalFormatting sqref="BH39:BJ50">
    <cfRule type="cellIs" dxfId="6379" priority="359" stopIfTrue="1" operator="equal">
      <formula>"O"</formula>
    </cfRule>
  </conditionalFormatting>
  <conditionalFormatting sqref="BH39:BJ50">
    <cfRule type="expression" dxfId="6378" priority="360" stopIfTrue="1">
      <formula>LEN(TRIM(BH39))=0</formula>
    </cfRule>
  </conditionalFormatting>
  <conditionalFormatting sqref="BK39:BN50">
    <cfRule type="cellIs" dxfId="6377" priority="361" stopIfTrue="1" operator="equal">
      <formula>"E"</formula>
    </cfRule>
  </conditionalFormatting>
  <conditionalFormatting sqref="BK39:BN50">
    <cfRule type="cellIs" dxfId="6376" priority="362" stopIfTrue="1" operator="equal">
      <formula>"S"</formula>
    </cfRule>
  </conditionalFormatting>
  <conditionalFormatting sqref="BK39:BN50">
    <cfRule type="cellIs" dxfId="6375" priority="363" stopIfTrue="1" operator="equal">
      <formula>"M"</formula>
    </cfRule>
  </conditionalFormatting>
  <conditionalFormatting sqref="BK39:BN50">
    <cfRule type="cellIs" dxfId="6374" priority="364" stopIfTrue="1" operator="equal">
      <formula>"J"</formula>
    </cfRule>
  </conditionalFormatting>
  <conditionalFormatting sqref="BK39:BN50">
    <cfRule type="cellIs" dxfId="6373" priority="365" stopIfTrue="1" operator="equal">
      <formula>"O"</formula>
    </cfRule>
  </conditionalFormatting>
  <conditionalFormatting sqref="BK39:BN50">
    <cfRule type="expression" dxfId="6372" priority="366" stopIfTrue="1">
      <formula>LEN(TRIM(BK39))=0</formula>
    </cfRule>
  </conditionalFormatting>
  <conditionalFormatting sqref="BO39:BV50">
    <cfRule type="cellIs" dxfId="6371" priority="367" stopIfTrue="1" operator="equal">
      <formula>"E"</formula>
    </cfRule>
  </conditionalFormatting>
  <conditionalFormatting sqref="BO39:BV50">
    <cfRule type="cellIs" dxfId="6370" priority="368" stopIfTrue="1" operator="equal">
      <formula>"S"</formula>
    </cfRule>
  </conditionalFormatting>
  <conditionalFormatting sqref="BO39:BV50">
    <cfRule type="cellIs" dxfId="6369" priority="369" stopIfTrue="1" operator="equal">
      <formula>"M"</formula>
    </cfRule>
  </conditionalFormatting>
  <conditionalFormatting sqref="BO39:BV50">
    <cfRule type="cellIs" dxfId="6368" priority="370" stopIfTrue="1" operator="equal">
      <formula>"J"</formula>
    </cfRule>
  </conditionalFormatting>
  <conditionalFormatting sqref="BO39:BV50">
    <cfRule type="cellIs" dxfId="6367" priority="371" stopIfTrue="1" operator="equal">
      <formula>"O"</formula>
    </cfRule>
  </conditionalFormatting>
  <conditionalFormatting sqref="BO39:BV50">
    <cfRule type="expression" dxfId="6366" priority="372" stopIfTrue="1">
      <formula>LEN(TRIM(BO39))=0</formula>
    </cfRule>
  </conditionalFormatting>
  <conditionalFormatting sqref="BW39:CB50">
    <cfRule type="cellIs" dxfId="6365" priority="373" stopIfTrue="1" operator="equal">
      <formula>"E"</formula>
    </cfRule>
  </conditionalFormatting>
  <conditionalFormatting sqref="BW39:CB50">
    <cfRule type="cellIs" dxfId="6364" priority="374" stopIfTrue="1" operator="equal">
      <formula>"S"</formula>
    </cfRule>
  </conditionalFormatting>
  <conditionalFormatting sqref="BW39:CB50">
    <cfRule type="cellIs" dxfId="6363" priority="375" stopIfTrue="1" operator="equal">
      <formula>"M"</formula>
    </cfRule>
  </conditionalFormatting>
  <conditionalFormatting sqref="BW39:CB50">
    <cfRule type="cellIs" dxfId="6362" priority="376" stopIfTrue="1" operator="equal">
      <formula>"J"</formula>
    </cfRule>
  </conditionalFormatting>
  <conditionalFormatting sqref="BW39:CB50">
    <cfRule type="cellIs" dxfId="6361" priority="377" stopIfTrue="1" operator="equal">
      <formula>"O"</formula>
    </cfRule>
  </conditionalFormatting>
  <conditionalFormatting sqref="BW39:CB50">
    <cfRule type="expression" dxfId="6360" priority="378" stopIfTrue="1">
      <formula>LEN(TRIM(BW39))=0</formula>
    </cfRule>
  </conditionalFormatting>
  <conditionalFormatting sqref="CC39:CE50">
    <cfRule type="cellIs" dxfId="6359" priority="379" stopIfTrue="1" operator="equal">
      <formula>"E"</formula>
    </cfRule>
  </conditionalFormatting>
  <conditionalFormatting sqref="CC39:CE50">
    <cfRule type="cellIs" dxfId="6358" priority="380" stopIfTrue="1" operator="equal">
      <formula>"S"</formula>
    </cfRule>
  </conditionalFormatting>
  <conditionalFormatting sqref="CC39:CE50">
    <cfRule type="cellIs" dxfId="6357" priority="381" stopIfTrue="1" operator="equal">
      <formula>"M"</formula>
    </cfRule>
  </conditionalFormatting>
  <conditionalFormatting sqref="CC39:CE50">
    <cfRule type="cellIs" dxfId="6356" priority="382" stopIfTrue="1" operator="equal">
      <formula>"J"</formula>
    </cfRule>
  </conditionalFormatting>
  <conditionalFormatting sqref="CC39:CE50">
    <cfRule type="cellIs" dxfId="6355" priority="383" stopIfTrue="1" operator="equal">
      <formula>"O"</formula>
    </cfRule>
  </conditionalFormatting>
  <conditionalFormatting sqref="CC39:CE50">
    <cfRule type="expression" dxfId="6354" priority="384" stopIfTrue="1">
      <formula>LEN(TRIM(CC39))=0</formula>
    </cfRule>
  </conditionalFormatting>
  <conditionalFormatting sqref="CF39:CI50">
    <cfRule type="cellIs" dxfId="6353" priority="385" stopIfTrue="1" operator="equal">
      <formula>"E"</formula>
    </cfRule>
  </conditionalFormatting>
  <conditionalFormatting sqref="CF39:CI50">
    <cfRule type="cellIs" dxfId="6352" priority="386" stopIfTrue="1" operator="equal">
      <formula>"S"</formula>
    </cfRule>
  </conditionalFormatting>
  <conditionalFormatting sqref="CF39:CI50">
    <cfRule type="cellIs" dxfId="6351" priority="387" stopIfTrue="1" operator="equal">
      <formula>"M"</formula>
    </cfRule>
  </conditionalFormatting>
  <conditionalFormatting sqref="CF39:CI50">
    <cfRule type="cellIs" dxfId="6350" priority="388" stopIfTrue="1" operator="equal">
      <formula>"J"</formula>
    </cfRule>
  </conditionalFormatting>
  <conditionalFormatting sqref="CF39:CI50">
    <cfRule type="cellIs" dxfId="6349" priority="389" stopIfTrue="1" operator="equal">
      <formula>"O"</formula>
    </cfRule>
  </conditionalFormatting>
  <conditionalFormatting sqref="CF39:CI50">
    <cfRule type="expression" dxfId="6348" priority="390" stopIfTrue="1">
      <formula>LEN(TRIM(CF39))=0</formula>
    </cfRule>
  </conditionalFormatting>
  <conditionalFormatting sqref="CK39:CO50">
    <cfRule type="cellIs" dxfId="6347" priority="391" stopIfTrue="1" operator="equal">
      <formula>"E"</formula>
    </cfRule>
  </conditionalFormatting>
  <conditionalFormatting sqref="CK39:CO50">
    <cfRule type="cellIs" dxfId="6346" priority="392" stopIfTrue="1" operator="equal">
      <formula>"S"</formula>
    </cfRule>
  </conditionalFormatting>
  <conditionalFormatting sqref="CK39:CO50">
    <cfRule type="cellIs" dxfId="6345" priority="393" stopIfTrue="1" operator="equal">
      <formula>"M"</formula>
    </cfRule>
  </conditionalFormatting>
  <conditionalFormatting sqref="CK39:CO50">
    <cfRule type="cellIs" dxfId="6344" priority="394" stopIfTrue="1" operator="equal">
      <formula>"J"</formula>
    </cfRule>
  </conditionalFormatting>
  <conditionalFormatting sqref="CK39:CO50">
    <cfRule type="cellIs" dxfId="6343" priority="395" stopIfTrue="1" operator="equal">
      <formula>"O"</formula>
    </cfRule>
  </conditionalFormatting>
  <conditionalFormatting sqref="CK39:CO50">
    <cfRule type="expression" dxfId="6342" priority="396" stopIfTrue="1">
      <formula>LEN(TRIM(CK39))=0</formula>
    </cfRule>
  </conditionalFormatting>
  <conditionalFormatting sqref="CQ39:CU50">
    <cfRule type="cellIs" dxfId="6341" priority="397" stopIfTrue="1" operator="equal">
      <formula>"E"</formula>
    </cfRule>
  </conditionalFormatting>
  <conditionalFormatting sqref="CQ39:CU50">
    <cfRule type="cellIs" dxfId="6340" priority="398" stopIfTrue="1" operator="equal">
      <formula>"S"</formula>
    </cfRule>
  </conditionalFormatting>
  <conditionalFormatting sqref="CQ39:CU50">
    <cfRule type="cellIs" dxfId="6339" priority="399" stopIfTrue="1" operator="equal">
      <formula>"M"</formula>
    </cfRule>
  </conditionalFormatting>
  <conditionalFormatting sqref="CQ39:CU50">
    <cfRule type="cellIs" dxfId="6338" priority="400" stopIfTrue="1" operator="equal">
      <formula>"J"</formula>
    </cfRule>
  </conditionalFormatting>
  <conditionalFormatting sqref="CQ39:CU50">
    <cfRule type="cellIs" dxfId="6337" priority="401" stopIfTrue="1" operator="equal">
      <formula>"O"</formula>
    </cfRule>
  </conditionalFormatting>
  <conditionalFormatting sqref="CQ39:CU50">
    <cfRule type="expression" dxfId="6336" priority="402" stopIfTrue="1">
      <formula>LEN(TRIM(CQ39))=0</formula>
    </cfRule>
  </conditionalFormatting>
  <conditionalFormatting sqref="CW39:DA50">
    <cfRule type="cellIs" dxfId="6335" priority="403" stopIfTrue="1" operator="equal">
      <formula>"E"</formula>
    </cfRule>
  </conditionalFormatting>
  <conditionalFormatting sqref="CW39:DA50">
    <cfRule type="cellIs" dxfId="6334" priority="404" stopIfTrue="1" operator="equal">
      <formula>"S"</formula>
    </cfRule>
  </conditionalFormatting>
  <conditionalFormatting sqref="CW39:DA50">
    <cfRule type="cellIs" dxfId="6333" priority="405" stopIfTrue="1" operator="equal">
      <formula>"M"</formula>
    </cfRule>
  </conditionalFormatting>
  <conditionalFormatting sqref="CW39:DA50">
    <cfRule type="cellIs" dxfId="6332" priority="406" stopIfTrue="1" operator="equal">
      <formula>"J"</formula>
    </cfRule>
  </conditionalFormatting>
  <conditionalFormatting sqref="CW39:DA50">
    <cfRule type="cellIs" dxfId="6331" priority="407" stopIfTrue="1" operator="equal">
      <formula>"O"</formula>
    </cfRule>
  </conditionalFormatting>
  <conditionalFormatting sqref="CW39:DA50">
    <cfRule type="expression" dxfId="6330" priority="408" stopIfTrue="1">
      <formula>LEN(TRIM(CW39))=0</formula>
    </cfRule>
  </conditionalFormatting>
  <conditionalFormatting sqref="D52:K59">
    <cfRule type="cellIs" dxfId="6329" priority="409" stopIfTrue="1" operator="equal">
      <formula>"E"</formula>
    </cfRule>
    <cfRule type="cellIs" dxfId="6328" priority="410" stopIfTrue="1" operator="equal">
      <formula>"S"</formula>
    </cfRule>
    <cfRule type="cellIs" dxfId="6327" priority="411" stopIfTrue="1" operator="equal">
      <formula>"M"</formula>
    </cfRule>
    <cfRule type="cellIs" dxfId="6326" priority="412" stopIfTrue="1" operator="equal">
      <formula>"J"</formula>
    </cfRule>
    <cfRule type="cellIs" dxfId="6325" priority="413" stopIfTrue="1" operator="equal">
      <formula>"O"</formula>
    </cfRule>
    <cfRule type="expression" dxfId="6324" priority="414" stopIfTrue="1">
      <formula>LEN(TRIM(D52))=0</formula>
    </cfRule>
  </conditionalFormatting>
  <conditionalFormatting sqref="L52:O59">
    <cfRule type="cellIs" dxfId="6323" priority="415" stopIfTrue="1" operator="equal">
      <formula>"E"</formula>
    </cfRule>
    <cfRule type="cellIs" dxfId="6322" priority="416" stopIfTrue="1" operator="equal">
      <formula>"S"</formula>
    </cfRule>
    <cfRule type="cellIs" dxfId="6321" priority="417" stopIfTrue="1" operator="equal">
      <formula>"M"</formula>
    </cfRule>
    <cfRule type="cellIs" dxfId="6320" priority="418" stopIfTrue="1" operator="equal">
      <formula>"J"</formula>
    </cfRule>
    <cfRule type="cellIs" dxfId="6319" priority="419" stopIfTrue="1" operator="equal">
      <formula>"O"</formula>
    </cfRule>
    <cfRule type="expression" dxfId="6318" priority="420" stopIfTrue="1">
      <formula>LEN(TRIM(L52))=0</formula>
    </cfRule>
  </conditionalFormatting>
  <conditionalFormatting sqref="P52:AI59">
    <cfRule type="cellIs" dxfId="6317" priority="421" stopIfTrue="1" operator="equal">
      <formula>"E"</formula>
    </cfRule>
    <cfRule type="cellIs" dxfId="6316" priority="422" stopIfTrue="1" operator="equal">
      <formula>"S"</formula>
    </cfRule>
    <cfRule type="cellIs" dxfId="6315" priority="423" stopIfTrue="1" operator="equal">
      <formula>"M"</formula>
    </cfRule>
    <cfRule type="cellIs" dxfId="6314" priority="424" stopIfTrue="1" operator="equal">
      <formula>"J"</formula>
    </cfRule>
    <cfRule type="cellIs" dxfId="6313" priority="425" stopIfTrue="1" operator="equal">
      <formula>"O"</formula>
    </cfRule>
    <cfRule type="expression" dxfId="6312" priority="426" stopIfTrue="1">
      <formula>LEN(TRIM(P52))=0</formula>
    </cfRule>
  </conditionalFormatting>
  <conditionalFormatting sqref="AJ52:AL59">
    <cfRule type="cellIs" dxfId="6311" priority="427" stopIfTrue="1" operator="equal">
      <formula>"E"</formula>
    </cfRule>
    <cfRule type="cellIs" dxfId="6310" priority="428" stopIfTrue="1" operator="equal">
      <formula>"S"</formula>
    </cfRule>
    <cfRule type="cellIs" dxfId="6309" priority="429" stopIfTrue="1" operator="equal">
      <formula>"M"</formula>
    </cfRule>
    <cfRule type="cellIs" dxfId="6308" priority="430" stopIfTrue="1" operator="equal">
      <formula>"J"</formula>
    </cfRule>
    <cfRule type="cellIs" dxfId="6307" priority="431" stopIfTrue="1" operator="equal">
      <formula>"O"</formula>
    </cfRule>
    <cfRule type="expression" dxfId="6306" priority="432" stopIfTrue="1">
      <formula>LEN(TRIM(AJ52))=0</formula>
    </cfRule>
  </conditionalFormatting>
  <conditionalFormatting sqref="AM52:AO59">
    <cfRule type="cellIs" dxfId="6305" priority="433" stopIfTrue="1" operator="equal">
      <formula>"E"</formula>
    </cfRule>
  </conditionalFormatting>
  <conditionalFormatting sqref="AM52:AO59">
    <cfRule type="cellIs" dxfId="6304" priority="434" stopIfTrue="1" operator="equal">
      <formula>"S"</formula>
    </cfRule>
  </conditionalFormatting>
  <conditionalFormatting sqref="AM52:AO59">
    <cfRule type="cellIs" dxfId="6303" priority="435" stopIfTrue="1" operator="equal">
      <formula>"M"</formula>
    </cfRule>
  </conditionalFormatting>
  <conditionalFormatting sqref="AM52:AO59">
    <cfRule type="cellIs" dxfId="6302" priority="436" stopIfTrue="1" operator="equal">
      <formula>"J"</formula>
    </cfRule>
  </conditionalFormatting>
  <conditionalFormatting sqref="AM52:AO59">
    <cfRule type="cellIs" dxfId="6301" priority="437" stopIfTrue="1" operator="equal">
      <formula>"O"</formula>
    </cfRule>
  </conditionalFormatting>
  <conditionalFormatting sqref="AM52:AO59">
    <cfRule type="expression" dxfId="6300" priority="438" stopIfTrue="1">
      <formula>LEN(TRIM(AM52))=0</formula>
    </cfRule>
  </conditionalFormatting>
  <conditionalFormatting sqref="AP52:AT59">
    <cfRule type="cellIs" dxfId="6299" priority="439" stopIfTrue="1" operator="equal">
      <formula>"E"</formula>
    </cfRule>
  </conditionalFormatting>
  <conditionalFormatting sqref="AP52:AT59">
    <cfRule type="cellIs" dxfId="6298" priority="440" stopIfTrue="1" operator="equal">
      <formula>"S"</formula>
    </cfRule>
  </conditionalFormatting>
  <conditionalFormatting sqref="AP52:AT59">
    <cfRule type="cellIs" dxfId="6297" priority="441" stopIfTrue="1" operator="equal">
      <formula>"M"</formula>
    </cfRule>
  </conditionalFormatting>
  <conditionalFormatting sqref="AP52:AT59">
    <cfRule type="cellIs" dxfId="6296" priority="442" stopIfTrue="1" operator="equal">
      <formula>"J"</formula>
    </cfRule>
  </conditionalFormatting>
  <conditionalFormatting sqref="AP52:AT59">
    <cfRule type="cellIs" dxfId="6295" priority="443" stopIfTrue="1" operator="equal">
      <formula>"O"</formula>
    </cfRule>
  </conditionalFormatting>
  <conditionalFormatting sqref="AP52:AT59">
    <cfRule type="expression" dxfId="6294" priority="444" stopIfTrue="1">
      <formula>LEN(TRIM(AP52))=0</formula>
    </cfRule>
  </conditionalFormatting>
  <conditionalFormatting sqref="AU52:BB59">
    <cfRule type="cellIs" dxfId="6293" priority="445" stopIfTrue="1" operator="equal">
      <formula>"E"</formula>
    </cfRule>
  </conditionalFormatting>
  <conditionalFormatting sqref="AU52:BB59">
    <cfRule type="cellIs" dxfId="6292" priority="446" stopIfTrue="1" operator="equal">
      <formula>"S"</formula>
    </cfRule>
  </conditionalFormatting>
  <conditionalFormatting sqref="AU52:BB59">
    <cfRule type="cellIs" dxfId="6291" priority="447" stopIfTrue="1" operator="equal">
      <formula>"M"</formula>
    </cfRule>
  </conditionalFormatting>
  <conditionalFormatting sqref="AU52:BB59">
    <cfRule type="cellIs" dxfId="6290" priority="448" stopIfTrue="1" operator="equal">
      <formula>"J"</formula>
    </cfRule>
  </conditionalFormatting>
  <conditionalFormatting sqref="AU52:BB59">
    <cfRule type="cellIs" dxfId="6289" priority="449" stopIfTrue="1" operator="equal">
      <formula>"O"</formula>
    </cfRule>
  </conditionalFormatting>
  <conditionalFormatting sqref="AU52:BB59">
    <cfRule type="expression" dxfId="6288" priority="450" stopIfTrue="1">
      <formula>LEN(TRIM(AU52))=0</formula>
    </cfRule>
  </conditionalFormatting>
  <conditionalFormatting sqref="BC52:BG59">
    <cfRule type="cellIs" dxfId="6287" priority="451" stopIfTrue="1" operator="equal">
      <formula>"E"</formula>
    </cfRule>
  </conditionalFormatting>
  <conditionalFormatting sqref="BC52:BG59">
    <cfRule type="cellIs" dxfId="6286" priority="452" stopIfTrue="1" operator="equal">
      <formula>"S"</formula>
    </cfRule>
  </conditionalFormatting>
  <conditionalFormatting sqref="BC52:BG59">
    <cfRule type="cellIs" dxfId="6285" priority="453" stopIfTrue="1" operator="equal">
      <formula>"M"</formula>
    </cfRule>
  </conditionalFormatting>
  <conditionalFormatting sqref="BC52:BG59">
    <cfRule type="cellIs" dxfId="6284" priority="454" stopIfTrue="1" operator="equal">
      <formula>"J"</formula>
    </cfRule>
  </conditionalFormatting>
  <conditionalFormatting sqref="BC52:BG59">
    <cfRule type="cellIs" dxfId="6283" priority="455" stopIfTrue="1" operator="equal">
      <formula>"O"</formula>
    </cfRule>
  </conditionalFormatting>
  <conditionalFormatting sqref="BC52:BG59">
    <cfRule type="expression" dxfId="6282" priority="456" stopIfTrue="1">
      <formula>LEN(TRIM(BC52))=0</formula>
    </cfRule>
  </conditionalFormatting>
  <conditionalFormatting sqref="BH52:BJ59">
    <cfRule type="cellIs" dxfId="6281" priority="457" stopIfTrue="1" operator="equal">
      <formula>"E"</formula>
    </cfRule>
  </conditionalFormatting>
  <conditionalFormatting sqref="BH52:BJ59">
    <cfRule type="cellIs" dxfId="6280" priority="458" stopIfTrue="1" operator="equal">
      <formula>"S"</formula>
    </cfRule>
  </conditionalFormatting>
  <conditionalFormatting sqref="BH52:BJ59">
    <cfRule type="cellIs" dxfId="6279" priority="459" stopIfTrue="1" operator="equal">
      <formula>"M"</formula>
    </cfRule>
  </conditionalFormatting>
  <conditionalFormatting sqref="BH52:BJ59">
    <cfRule type="cellIs" dxfId="6278" priority="460" stopIfTrue="1" operator="equal">
      <formula>"J"</formula>
    </cfRule>
  </conditionalFormatting>
  <conditionalFormatting sqref="BH52:BJ59">
    <cfRule type="cellIs" dxfId="6277" priority="461" stopIfTrue="1" operator="equal">
      <formula>"O"</formula>
    </cfRule>
  </conditionalFormatting>
  <conditionalFormatting sqref="BH52:BJ59">
    <cfRule type="expression" dxfId="6276" priority="462" stopIfTrue="1">
      <formula>LEN(TRIM(BH52))=0</formula>
    </cfRule>
  </conditionalFormatting>
  <conditionalFormatting sqref="BK52:BN59">
    <cfRule type="cellIs" dxfId="6275" priority="463" stopIfTrue="1" operator="equal">
      <formula>"E"</formula>
    </cfRule>
  </conditionalFormatting>
  <conditionalFormatting sqref="BK52:BN59">
    <cfRule type="cellIs" dxfId="6274" priority="464" stopIfTrue="1" operator="equal">
      <formula>"S"</formula>
    </cfRule>
  </conditionalFormatting>
  <conditionalFormatting sqref="BK52:BN59">
    <cfRule type="cellIs" dxfId="6273" priority="465" stopIfTrue="1" operator="equal">
      <formula>"M"</formula>
    </cfRule>
  </conditionalFormatting>
  <conditionalFormatting sqref="BK52:BN59">
    <cfRule type="cellIs" dxfId="6272" priority="466" stopIfTrue="1" operator="equal">
      <formula>"J"</formula>
    </cfRule>
  </conditionalFormatting>
  <conditionalFormatting sqref="BK52:BN59">
    <cfRule type="cellIs" dxfId="6271" priority="467" stopIfTrue="1" operator="equal">
      <formula>"O"</formula>
    </cfRule>
  </conditionalFormatting>
  <conditionalFormatting sqref="BK52:BN59">
    <cfRule type="expression" dxfId="6270" priority="468" stopIfTrue="1">
      <formula>LEN(TRIM(BK52))=0</formula>
    </cfRule>
  </conditionalFormatting>
  <conditionalFormatting sqref="BO52:BV59">
    <cfRule type="cellIs" dxfId="6269" priority="469" stopIfTrue="1" operator="equal">
      <formula>"E"</formula>
    </cfRule>
  </conditionalFormatting>
  <conditionalFormatting sqref="BO52:BV59">
    <cfRule type="cellIs" dxfId="6268" priority="470" stopIfTrue="1" operator="equal">
      <formula>"S"</formula>
    </cfRule>
  </conditionalFormatting>
  <conditionalFormatting sqref="BO52:BV59">
    <cfRule type="cellIs" dxfId="6267" priority="471" stopIfTrue="1" operator="equal">
      <formula>"M"</formula>
    </cfRule>
  </conditionalFormatting>
  <conditionalFormatting sqref="BO52:BV59">
    <cfRule type="cellIs" dxfId="6266" priority="472" stopIfTrue="1" operator="equal">
      <formula>"J"</formula>
    </cfRule>
  </conditionalFormatting>
  <conditionalFormatting sqref="BO52:BV59">
    <cfRule type="cellIs" dxfId="6265" priority="473" stopIfTrue="1" operator="equal">
      <formula>"O"</formula>
    </cfRule>
  </conditionalFormatting>
  <conditionalFormatting sqref="BO52:BV59">
    <cfRule type="expression" dxfId="6264" priority="474" stopIfTrue="1">
      <formula>LEN(TRIM(BO52))=0</formula>
    </cfRule>
  </conditionalFormatting>
  <conditionalFormatting sqref="BW52:CB59">
    <cfRule type="cellIs" dxfId="6263" priority="475" stopIfTrue="1" operator="equal">
      <formula>"E"</formula>
    </cfRule>
  </conditionalFormatting>
  <conditionalFormatting sqref="BW52:CB59">
    <cfRule type="cellIs" dxfId="6262" priority="476" stopIfTrue="1" operator="equal">
      <formula>"S"</formula>
    </cfRule>
  </conditionalFormatting>
  <conditionalFormatting sqref="BW52:CB59">
    <cfRule type="cellIs" dxfId="6261" priority="477" stopIfTrue="1" operator="equal">
      <formula>"M"</formula>
    </cfRule>
  </conditionalFormatting>
  <conditionalFormatting sqref="BW52:CB59">
    <cfRule type="cellIs" dxfId="6260" priority="478" stopIfTrue="1" operator="equal">
      <formula>"J"</formula>
    </cfRule>
  </conditionalFormatting>
  <conditionalFormatting sqref="BW52:CB59">
    <cfRule type="cellIs" dxfId="6259" priority="479" stopIfTrue="1" operator="equal">
      <formula>"O"</formula>
    </cfRule>
  </conditionalFormatting>
  <conditionalFormatting sqref="BW52:CB59">
    <cfRule type="expression" dxfId="6258" priority="480" stopIfTrue="1">
      <formula>LEN(TRIM(BW52))=0</formula>
    </cfRule>
  </conditionalFormatting>
  <conditionalFormatting sqref="CC52:CE59">
    <cfRule type="cellIs" dxfId="6257" priority="481" stopIfTrue="1" operator="equal">
      <formula>"E"</formula>
    </cfRule>
  </conditionalFormatting>
  <conditionalFormatting sqref="CC52:CE59">
    <cfRule type="cellIs" dxfId="6256" priority="482" stopIfTrue="1" operator="equal">
      <formula>"S"</formula>
    </cfRule>
  </conditionalFormatting>
  <conditionalFormatting sqref="CC52:CE59">
    <cfRule type="cellIs" dxfId="6255" priority="483" stopIfTrue="1" operator="equal">
      <formula>"M"</formula>
    </cfRule>
  </conditionalFormatting>
  <conditionalFormatting sqref="CC52:CE59">
    <cfRule type="cellIs" dxfId="6254" priority="484" stopIfTrue="1" operator="equal">
      <formula>"J"</formula>
    </cfRule>
  </conditionalFormatting>
  <conditionalFormatting sqref="CC52:CE59">
    <cfRule type="cellIs" dxfId="6253" priority="485" stopIfTrue="1" operator="equal">
      <formula>"O"</formula>
    </cfRule>
  </conditionalFormatting>
  <conditionalFormatting sqref="CC52:CE59">
    <cfRule type="expression" dxfId="6252" priority="486" stopIfTrue="1">
      <formula>LEN(TRIM(CC52))=0</formula>
    </cfRule>
  </conditionalFormatting>
  <conditionalFormatting sqref="CF52:CI59">
    <cfRule type="cellIs" dxfId="6251" priority="487" stopIfTrue="1" operator="equal">
      <formula>"E"</formula>
    </cfRule>
  </conditionalFormatting>
  <conditionalFormatting sqref="CF52:CI59">
    <cfRule type="cellIs" dxfId="6250" priority="488" stopIfTrue="1" operator="equal">
      <formula>"S"</formula>
    </cfRule>
  </conditionalFormatting>
  <conditionalFormatting sqref="CF52:CI59">
    <cfRule type="cellIs" dxfId="6249" priority="489" stopIfTrue="1" operator="equal">
      <formula>"M"</formula>
    </cfRule>
  </conditionalFormatting>
  <conditionalFormatting sqref="CF52:CI59">
    <cfRule type="cellIs" dxfId="6248" priority="490" stopIfTrue="1" operator="equal">
      <formula>"J"</formula>
    </cfRule>
  </conditionalFormatting>
  <conditionalFormatting sqref="CF52:CI59">
    <cfRule type="cellIs" dxfId="6247" priority="491" stopIfTrue="1" operator="equal">
      <formula>"O"</formula>
    </cfRule>
  </conditionalFormatting>
  <conditionalFormatting sqref="CF52:CI59">
    <cfRule type="expression" dxfId="6246" priority="492" stopIfTrue="1">
      <formula>LEN(TRIM(CF52))=0</formula>
    </cfRule>
  </conditionalFormatting>
  <conditionalFormatting sqref="CK52:CO59">
    <cfRule type="cellIs" dxfId="6245" priority="493" stopIfTrue="1" operator="equal">
      <formula>"E"</formula>
    </cfRule>
  </conditionalFormatting>
  <conditionalFormatting sqref="CK52:CO59">
    <cfRule type="cellIs" dxfId="6244" priority="494" stopIfTrue="1" operator="equal">
      <formula>"S"</formula>
    </cfRule>
  </conditionalFormatting>
  <conditionalFormatting sqref="CK52:CO59">
    <cfRule type="cellIs" dxfId="6243" priority="495" stopIfTrue="1" operator="equal">
      <formula>"M"</formula>
    </cfRule>
  </conditionalFormatting>
  <conditionalFormatting sqref="CK52:CO59">
    <cfRule type="cellIs" dxfId="6242" priority="496" stopIfTrue="1" operator="equal">
      <formula>"J"</formula>
    </cfRule>
  </conditionalFormatting>
  <conditionalFormatting sqref="CK52:CO59">
    <cfRule type="cellIs" dxfId="6241" priority="497" stopIfTrue="1" operator="equal">
      <formula>"O"</formula>
    </cfRule>
  </conditionalFormatting>
  <conditionalFormatting sqref="CK52:CO59">
    <cfRule type="expression" dxfId="6240" priority="498" stopIfTrue="1">
      <formula>LEN(TRIM(CK52))=0</formula>
    </cfRule>
  </conditionalFormatting>
  <conditionalFormatting sqref="CQ52:CU59">
    <cfRule type="cellIs" dxfId="6239" priority="499" stopIfTrue="1" operator="equal">
      <formula>"E"</formula>
    </cfRule>
  </conditionalFormatting>
  <conditionalFormatting sqref="CQ52:CU59">
    <cfRule type="cellIs" dxfId="6238" priority="500" stopIfTrue="1" operator="equal">
      <formula>"S"</formula>
    </cfRule>
  </conditionalFormatting>
  <conditionalFormatting sqref="CQ52:CU59">
    <cfRule type="cellIs" dxfId="6237" priority="501" stopIfTrue="1" operator="equal">
      <formula>"M"</formula>
    </cfRule>
  </conditionalFormatting>
  <conditionalFormatting sqref="CQ52:CU59">
    <cfRule type="cellIs" dxfId="6236" priority="502" stopIfTrue="1" operator="equal">
      <formula>"J"</formula>
    </cfRule>
  </conditionalFormatting>
  <conditionalFormatting sqref="CQ52:CU59">
    <cfRule type="cellIs" dxfId="6235" priority="503" stopIfTrue="1" operator="equal">
      <formula>"O"</formula>
    </cfRule>
  </conditionalFormatting>
  <conditionalFormatting sqref="CQ52:CU59">
    <cfRule type="expression" dxfId="6234" priority="504" stopIfTrue="1">
      <formula>LEN(TRIM(CQ52))=0</formula>
    </cfRule>
  </conditionalFormatting>
  <conditionalFormatting sqref="CW52:DA59">
    <cfRule type="cellIs" dxfId="6233" priority="505" stopIfTrue="1" operator="equal">
      <formula>"E"</formula>
    </cfRule>
  </conditionalFormatting>
  <conditionalFormatting sqref="CW52:DA59">
    <cfRule type="cellIs" dxfId="6232" priority="506" stopIfTrue="1" operator="equal">
      <formula>"S"</formula>
    </cfRule>
  </conditionalFormatting>
  <conditionalFormatting sqref="CW52:DA59">
    <cfRule type="cellIs" dxfId="6231" priority="507" stopIfTrue="1" operator="equal">
      <formula>"M"</formula>
    </cfRule>
  </conditionalFormatting>
  <conditionalFormatting sqref="CW52:DA59">
    <cfRule type="cellIs" dxfId="6230" priority="508" stopIfTrue="1" operator="equal">
      <formula>"J"</formula>
    </cfRule>
  </conditionalFormatting>
  <conditionalFormatting sqref="CW52:DA59">
    <cfRule type="cellIs" dxfId="6229" priority="509" stopIfTrue="1" operator="equal">
      <formula>"O"</formula>
    </cfRule>
  </conditionalFormatting>
  <conditionalFormatting sqref="CW52:DA59">
    <cfRule type="expression" dxfId="6228" priority="510" stopIfTrue="1">
      <formula>LEN(TRIM(CW52))=0</formula>
    </cfRule>
  </conditionalFormatting>
  <conditionalFormatting sqref="D61:K78">
    <cfRule type="cellIs" dxfId="6227" priority="511" stopIfTrue="1" operator="equal">
      <formula>"E"</formula>
    </cfRule>
  </conditionalFormatting>
  <conditionalFormatting sqref="D61:K78">
    <cfRule type="cellIs" dxfId="6226" priority="512" stopIfTrue="1" operator="equal">
      <formula>"S"</formula>
    </cfRule>
  </conditionalFormatting>
  <conditionalFormatting sqref="D61:K78">
    <cfRule type="cellIs" dxfId="6225" priority="513" stopIfTrue="1" operator="equal">
      <formula>"M"</formula>
    </cfRule>
  </conditionalFormatting>
  <conditionalFormatting sqref="D61:K78">
    <cfRule type="cellIs" dxfId="6224" priority="514" stopIfTrue="1" operator="equal">
      <formula>"J"</formula>
    </cfRule>
  </conditionalFormatting>
  <conditionalFormatting sqref="D61:K78">
    <cfRule type="cellIs" dxfId="6223" priority="515" stopIfTrue="1" operator="equal">
      <formula>"O"</formula>
    </cfRule>
  </conditionalFormatting>
  <conditionalFormatting sqref="D61:K78">
    <cfRule type="expression" dxfId="6222" priority="516" stopIfTrue="1">
      <formula>LEN(TRIM(D61))=0</formula>
    </cfRule>
  </conditionalFormatting>
  <conditionalFormatting sqref="L61:O78">
    <cfRule type="cellIs" dxfId="6221" priority="517" stopIfTrue="1" operator="equal">
      <formula>"E"</formula>
    </cfRule>
  </conditionalFormatting>
  <conditionalFormatting sqref="L61:O78">
    <cfRule type="cellIs" dxfId="6220" priority="518" stopIfTrue="1" operator="equal">
      <formula>"S"</formula>
    </cfRule>
  </conditionalFormatting>
  <conditionalFormatting sqref="L61:O78">
    <cfRule type="cellIs" dxfId="6219" priority="519" stopIfTrue="1" operator="equal">
      <formula>"M"</formula>
    </cfRule>
  </conditionalFormatting>
  <conditionalFormatting sqref="L61:O78">
    <cfRule type="cellIs" dxfId="6218" priority="520" stopIfTrue="1" operator="equal">
      <formula>"J"</formula>
    </cfRule>
  </conditionalFormatting>
  <conditionalFormatting sqref="L61:O78">
    <cfRule type="cellIs" dxfId="6217" priority="521" stopIfTrue="1" operator="equal">
      <formula>"O"</formula>
    </cfRule>
  </conditionalFormatting>
  <conditionalFormatting sqref="L61:O78">
    <cfRule type="expression" dxfId="6216" priority="522" stopIfTrue="1">
      <formula>LEN(TRIM(L61))=0</formula>
    </cfRule>
  </conditionalFormatting>
  <conditionalFormatting sqref="P61:AI78">
    <cfRule type="cellIs" dxfId="6215" priority="523" stopIfTrue="1" operator="equal">
      <formula>"E"</formula>
    </cfRule>
  </conditionalFormatting>
  <conditionalFormatting sqref="P61:AI78">
    <cfRule type="cellIs" dxfId="6214" priority="524" stopIfTrue="1" operator="equal">
      <formula>"S"</formula>
    </cfRule>
  </conditionalFormatting>
  <conditionalFormatting sqref="P61:AI78">
    <cfRule type="cellIs" dxfId="6213" priority="525" stopIfTrue="1" operator="equal">
      <formula>"M"</formula>
    </cfRule>
  </conditionalFormatting>
  <conditionalFormatting sqref="P61:AI78">
    <cfRule type="cellIs" dxfId="6212" priority="526" stopIfTrue="1" operator="equal">
      <formula>"J"</formula>
    </cfRule>
  </conditionalFormatting>
  <conditionalFormatting sqref="P61:AI78">
    <cfRule type="cellIs" dxfId="6211" priority="527" stopIfTrue="1" operator="equal">
      <formula>"O"</formula>
    </cfRule>
  </conditionalFormatting>
  <conditionalFormatting sqref="P61:AI78">
    <cfRule type="expression" dxfId="6210" priority="528" stopIfTrue="1">
      <formula>LEN(TRIM(P61))=0</formula>
    </cfRule>
  </conditionalFormatting>
  <conditionalFormatting sqref="AJ61:AL78">
    <cfRule type="cellIs" dxfId="6209" priority="529" stopIfTrue="1" operator="equal">
      <formula>"E"</formula>
    </cfRule>
  </conditionalFormatting>
  <conditionalFormatting sqref="AJ61:AL78">
    <cfRule type="cellIs" dxfId="6208" priority="530" stopIfTrue="1" operator="equal">
      <formula>"S"</formula>
    </cfRule>
  </conditionalFormatting>
  <conditionalFormatting sqref="AJ61:AL78">
    <cfRule type="cellIs" dxfId="6207" priority="531" stopIfTrue="1" operator="equal">
      <formula>"M"</formula>
    </cfRule>
  </conditionalFormatting>
  <conditionalFormatting sqref="AJ61:AL78">
    <cfRule type="cellIs" dxfId="6206" priority="532" stopIfTrue="1" operator="equal">
      <formula>"J"</formula>
    </cfRule>
  </conditionalFormatting>
  <conditionalFormatting sqref="AJ61:AL78">
    <cfRule type="cellIs" dxfId="6205" priority="533" stopIfTrue="1" operator="equal">
      <formula>"O"</formula>
    </cfRule>
  </conditionalFormatting>
  <conditionalFormatting sqref="AJ61:AL78">
    <cfRule type="expression" dxfId="6204" priority="534" stopIfTrue="1">
      <formula>LEN(TRIM(AJ61))=0</formula>
    </cfRule>
  </conditionalFormatting>
  <conditionalFormatting sqref="AM61:AO78">
    <cfRule type="cellIs" dxfId="6203" priority="535" stopIfTrue="1" operator="equal">
      <formula>"E"</formula>
    </cfRule>
  </conditionalFormatting>
  <conditionalFormatting sqref="AM61:AO78">
    <cfRule type="cellIs" dxfId="6202" priority="536" stopIfTrue="1" operator="equal">
      <formula>"S"</formula>
    </cfRule>
  </conditionalFormatting>
  <conditionalFormatting sqref="AM61:AO78">
    <cfRule type="cellIs" dxfId="6201" priority="537" stopIfTrue="1" operator="equal">
      <formula>"M"</formula>
    </cfRule>
  </conditionalFormatting>
  <conditionalFormatting sqref="AM61:AO78">
    <cfRule type="cellIs" dxfId="6200" priority="538" stopIfTrue="1" operator="equal">
      <formula>"J"</formula>
    </cfRule>
  </conditionalFormatting>
  <conditionalFormatting sqref="AM61:AO78">
    <cfRule type="cellIs" dxfId="6199" priority="539" stopIfTrue="1" operator="equal">
      <formula>"O"</formula>
    </cfRule>
  </conditionalFormatting>
  <conditionalFormatting sqref="AM61:AO78">
    <cfRule type="expression" dxfId="6198" priority="540" stopIfTrue="1">
      <formula>LEN(TRIM(AM61))=0</formula>
    </cfRule>
  </conditionalFormatting>
  <conditionalFormatting sqref="AP61:AT78">
    <cfRule type="cellIs" dxfId="6197" priority="541" stopIfTrue="1" operator="equal">
      <formula>"E"</formula>
    </cfRule>
  </conditionalFormatting>
  <conditionalFormatting sqref="AP61:AT78">
    <cfRule type="cellIs" dxfId="6196" priority="542" stopIfTrue="1" operator="equal">
      <formula>"S"</formula>
    </cfRule>
  </conditionalFormatting>
  <conditionalFormatting sqref="AP61:AT78">
    <cfRule type="cellIs" dxfId="6195" priority="543" stopIfTrue="1" operator="equal">
      <formula>"M"</formula>
    </cfRule>
  </conditionalFormatting>
  <conditionalFormatting sqref="AP61:AT78">
    <cfRule type="cellIs" dxfId="6194" priority="544" stopIfTrue="1" operator="equal">
      <formula>"J"</formula>
    </cfRule>
  </conditionalFormatting>
  <conditionalFormatting sqref="AP61:AT78">
    <cfRule type="cellIs" dxfId="6193" priority="545" stopIfTrue="1" operator="equal">
      <formula>"O"</formula>
    </cfRule>
  </conditionalFormatting>
  <conditionalFormatting sqref="AP61:AT78">
    <cfRule type="expression" dxfId="6192" priority="546" stopIfTrue="1">
      <formula>LEN(TRIM(AP61))=0</formula>
    </cfRule>
  </conditionalFormatting>
  <conditionalFormatting sqref="AU61:BB78">
    <cfRule type="cellIs" dxfId="6191" priority="547" stopIfTrue="1" operator="equal">
      <formula>"E"</formula>
    </cfRule>
  </conditionalFormatting>
  <conditionalFormatting sqref="AU61:BB78">
    <cfRule type="cellIs" dxfId="6190" priority="548" stopIfTrue="1" operator="equal">
      <formula>"S"</formula>
    </cfRule>
  </conditionalFormatting>
  <conditionalFormatting sqref="AU61:BB78">
    <cfRule type="cellIs" dxfId="6189" priority="549" stopIfTrue="1" operator="equal">
      <formula>"M"</formula>
    </cfRule>
  </conditionalFormatting>
  <conditionalFormatting sqref="AU61:BB78">
    <cfRule type="cellIs" dxfId="6188" priority="550" stopIfTrue="1" operator="equal">
      <formula>"J"</formula>
    </cfRule>
  </conditionalFormatting>
  <conditionalFormatting sqref="AU61:BB78">
    <cfRule type="cellIs" dxfId="6187" priority="551" stopIfTrue="1" operator="equal">
      <formula>"O"</formula>
    </cfRule>
  </conditionalFormatting>
  <conditionalFormatting sqref="AU61:BB78">
    <cfRule type="expression" dxfId="6186" priority="552" stopIfTrue="1">
      <formula>LEN(TRIM(AU61))=0</formula>
    </cfRule>
  </conditionalFormatting>
  <conditionalFormatting sqref="BC61:BG78">
    <cfRule type="cellIs" dxfId="6185" priority="553" stopIfTrue="1" operator="equal">
      <formula>"E"</formula>
    </cfRule>
  </conditionalFormatting>
  <conditionalFormatting sqref="BC61:BG78">
    <cfRule type="cellIs" dxfId="6184" priority="554" stopIfTrue="1" operator="equal">
      <formula>"S"</formula>
    </cfRule>
  </conditionalFormatting>
  <conditionalFormatting sqref="BC61:BG78">
    <cfRule type="cellIs" dxfId="6183" priority="555" stopIfTrue="1" operator="equal">
      <formula>"M"</formula>
    </cfRule>
  </conditionalFormatting>
  <conditionalFormatting sqref="BC61:BG78">
    <cfRule type="cellIs" dxfId="6182" priority="556" stopIfTrue="1" operator="equal">
      <formula>"J"</formula>
    </cfRule>
  </conditionalFormatting>
  <conditionalFormatting sqref="BC61:BG78">
    <cfRule type="cellIs" dxfId="6181" priority="557" stopIfTrue="1" operator="equal">
      <formula>"O"</formula>
    </cfRule>
  </conditionalFormatting>
  <conditionalFormatting sqref="BC61:BG78">
    <cfRule type="expression" dxfId="6180" priority="558" stopIfTrue="1">
      <formula>LEN(TRIM(BC61))=0</formula>
    </cfRule>
  </conditionalFormatting>
  <conditionalFormatting sqref="BH61:BJ78">
    <cfRule type="cellIs" dxfId="6179" priority="559" stopIfTrue="1" operator="equal">
      <formula>"E"</formula>
    </cfRule>
  </conditionalFormatting>
  <conditionalFormatting sqref="BH61:BJ78">
    <cfRule type="cellIs" dxfId="6178" priority="560" stopIfTrue="1" operator="equal">
      <formula>"S"</formula>
    </cfRule>
  </conditionalFormatting>
  <conditionalFormatting sqref="BH61:BJ78">
    <cfRule type="cellIs" dxfId="6177" priority="561" stopIfTrue="1" operator="equal">
      <formula>"M"</formula>
    </cfRule>
  </conditionalFormatting>
  <conditionalFormatting sqref="BH61:BJ78">
    <cfRule type="cellIs" dxfId="6176" priority="562" stopIfTrue="1" operator="equal">
      <formula>"J"</formula>
    </cfRule>
  </conditionalFormatting>
  <conditionalFormatting sqref="BH61:BJ78">
    <cfRule type="cellIs" dxfId="6175" priority="563" stopIfTrue="1" operator="equal">
      <formula>"O"</formula>
    </cfRule>
  </conditionalFormatting>
  <conditionalFormatting sqref="BH61:BJ78">
    <cfRule type="expression" dxfId="6174" priority="564" stopIfTrue="1">
      <formula>LEN(TRIM(BH61))=0</formula>
    </cfRule>
  </conditionalFormatting>
  <conditionalFormatting sqref="BK61:BN78">
    <cfRule type="cellIs" dxfId="6173" priority="565" stopIfTrue="1" operator="equal">
      <formula>"E"</formula>
    </cfRule>
  </conditionalFormatting>
  <conditionalFormatting sqref="BK61:BN78">
    <cfRule type="cellIs" dxfId="6172" priority="566" stopIfTrue="1" operator="equal">
      <formula>"S"</formula>
    </cfRule>
  </conditionalFormatting>
  <conditionalFormatting sqref="BK61:BN78">
    <cfRule type="cellIs" dxfId="6171" priority="567" stopIfTrue="1" operator="equal">
      <formula>"M"</formula>
    </cfRule>
  </conditionalFormatting>
  <conditionalFormatting sqref="BK61:BN78">
    <cfRule type="cellIs" dxfId="6170" priority="568" stopIfTrue="1" operator="equal">
      <formula>"J"</formula>
    </cfRule>
  </conditionalFormatting>
  <conditionalFormatting sqref="BK61:BN78">
    <cfRule type="cellIs" dxfId="6169" priority="569" stopIfTrue="1" operator="equal">
      <formula>"O"</formula>
    </cfRule>
  </conditionalFormatting>
  <conditionalFormatting sqref="BK61:BN78">
    <cfRule type="expression" dxfId="6168" priority="570" stopIfTrue="1">
      <formula>LEN(TRIM(BK61))=0</formula>
    </cfRule>
  </conditionalFormatting>
  <conditionalFormatting sqref="BO61:BV78">
    <cfRule type="cellIs" dxfId="6167" priority="571" stopIfTrue="1" operator="equal">
      <formula>"E"</formula>
    </cfRule>
  </conditionalFormatting>
  <conditionalFormatting sqref="BO61:BV78">
    <cfRule type="cellIs" dxfId="6166" priority="572" stopIfTrue="1" operator="equal">
      <formula>"S"</formula>
    </cfRule>
  </conditionalFormatting>
  <conditionalFormatting sqref="BO61:BV78">
    <cfRule type="cellIs" dxfId="6165" priority="573" stopIfTrue="1" operator="equal">
      <formula>"M"</formula>
    </cfRule>
  </conditionalFormatting>
  <conditionalFormatting sqref="BO61:BV78">
    <cfRule type="cellIs" dxfId="6164" priority="574" stopIfTrue="1" operator="equal">
      <formula>"J"</formula>
    </cfRule>
  </conditionalFormatting>
  <conditionalFormatting sqref="BO61:BV78">
    <cfRule type="cellIs" dxfId="6163" priority="575" stopIfTrue="1" operator="equal">
      <formula>"O"</formula>
    </cfRule>
  </conditionalFormatting>
  <conditionalFormatting sqref="BO61:BV78">
    <cfRule type="expression" dxfId="6162" priority="576" stopIfTrue="1">
      <formula>LEN(TRIM(BO61))=0</formula>
    </cfRule>
  </conditionalFormatting>
  <conditionalFormatting sqref="BW61:CB78">
    <cfRule type="cellIs" dxfId="6161" priority="577" stopIfTrue="1" operator="equal">
      <formula>"E"</formula>
    </cfRule>
  </conditionalFormatting>
  <conditionalFormatting sqref="BW61:CB78">
    <cfRule type="cellIs" dxfId="6160" priority="578" stopIfTrue="1" operator="equal">
      <formula>"S"</formula>
    </cfRule>
  </conditionalFormatting>
  <conditionalFormatting sqref="BW61:CB78">
    <cfRule type="cellIs" dxfId="6159" priority="579" stopIfTrue="1" operator="equal">
      <formula>"M"</formula>
    </cfRule>
  </conditionalFormatting>
  <conditionalFormatting sqref="BW61:CB78">
    <cfRule type="cellIs" dxfId="6158" priority="580" stopIfTrue="1" operator="equal">
      <formula>"J"</formula>
    </cfRule>
  </conditionalFormatting>
  <conditionalFormatting sqref="BW61:CB78">
    <cfRule type="cellIs" dxfId="6157" priority="581" stopIfTrue="1" operator="equal">
      <formula>"O"</formula>
    </cfRule>
  </conditionalFormatting>
  <conditionalFormatting sqref="BW61:CB78">
    <cfRule type="expression" dxfId="6156" priority="582" stopIfTrue="1">
      <formula>LEN(TRIM(BW61))=0</formula>
    </cfRule>
  </conditionalFormatting>
  <conditionalFormatting sqref="CC61:CE78">
    <cfRule type="cellIs" dxfId="6155" priority="583" stopIfTrue="1" operator="equal">
      <formula>"E"</formula>
    </cfRule>
  </conditionalFormatting>
  <conditionalFormatting sqref="CC61:CE78">
    <cfRule type="cellIs" dxfId="6154" priority="584" stopIfTrue="1" operator="equal">
      <formula>"S"</formula>
    </cfRule>
  </conditionalFormatting>
  <conditionalFormatting sqref="CC61:CE78">
    <cfRule type="cellIs" dxfId="6153" priority="585" stopIfTrue="1" operator="equal">
      <formula>"M"</formula>
    </cfRule>
  </conditionalFormatting>
  <conditionalFormatting sqref="CC61:CE78">
    <cfRule type="cellIs" dxfId="6152" priority="586" stopIfTrue="1" operator="equal">
      <formula>"J"</formula>
    </cfRule>
  </conditionalFormatting>
  <conditionalFormatting sqref="CC61:CE78">
    <cfRule type="cellIs" dxfId="6151" priority="587" stopIfTrue="1" operator="equal">
      <formula>"O"</formula>
    </cfRule>
  </conditionalFormatting>
  <conditionalFormatting sqref="CC61:CE78">
    <cfRule type="expression" dxfId="6150" priority="588" stopIfTrue="1">
      <formula>LEN(TRIM(CC61))=0</formula>
    </cfRule>
  </conditionalFormatting>
  <conditionalFormatting sqref="CF61:CI78">
    <cfRule type="cellIs" dxfId="6149" priority="589" stopIfTrue="1" operator="equal">
      <formula>"E"</formula>
    </cfRule>
  </conditionalFormatting>
  <conditionalFormatting sqref="CF61:CI78">
    <cfRule type="cellIs" dxfId="6148" priority="590" stopIfTrue="1" operator="equal">
      <formula>"S"</formula>
    </cfRule>
  </conditionalFormatting>
  <conditionalFormatting sqref="CF61:CI78">
    <cfRule type="cellIs" dxfId="6147" priority="591" stopIfTrue="1" operator="equal">
      <formula>"M"</formula>
    </cfRule>
  </conditionalFormatting>
  <conditionalFormatting sqref="CF61:CI78">
    <cfRule type="cellIs" dxfId="6146" priority="592" stopIfTrue="1" operator="equal">
      <formula>"J"</formula>
    </cfRule>
  </conditionalFormatting>
  <conditionalFormatting sqref="CF61:CI78">
    <cfRule type="cellIs" dxfId="6145" priority="593" stopIfTrue="1" operator="equal">
      <formula>"O"</formula>
    </cfRule>
  </conditionalFormatting>
  <conditionalFormatting sqref="CF61:CI78">
    <cfRule type="expression" dxfId="6144" priority="594" stopIfTrue="1">
      <formula>LEN(TRIM(CF61))=0</formula>
    </cfRule>
  </conditionalFormatting>
  <conditionalFormatting sqref="CK61:CO78">
    <cfRule type="cellIs" dxfId="6143" priority="595" stopIfTrue="1" operator="equal">
      <formula>"E"</formula>
    </cfRule>
  </conditionalFormatting>
  <conditionalFormatting sqref="CK61:CO78">
    <cfRule type="cellIs" dxfId="6142" priority="596" stopIfTrue="1" operator="equal">
      <formula>"S"</formula>
    </cfRule>
  </conditionalFormatting>
  <conditionalFormatting sqref="CK61:CO78">
    <cfRule type="cellIs" dxfId="6141" priority="597" stopIfTrue="1" operator="equal">
      <formula>"M"</formula>
    </cfRule>
  </conditionalFormatting>
  <conditionalFormatting sqref="CK61:CO78">
    <cfRule type="cellIs" dxfId="6140" priority="598" stopIfTrue="1" operator="equal">
      <formula>"J"</formula>
    </cfRule>
  </conditionalFormatting>
  <conditionalFormatting sqref="CK61:CO78">
    <cfRule type="cellIs" dxfId="6139" priority="599" stopIfTrue="1" operator="equal">
      <formula>"O"</formula>
    </cfRule>
  </conditionalFormatting>
  <conditionalFormatting sqref="CK61:CO78">
    <cfRule type="expression" dxfId="6138" priority="600" stopIfTrue="1">
      <formula>LEN(TRIM(CK61))=0</formula>
    </cfRule>
  </conditionalFormatting>
  <conditionalFormatting sqref="CQ61:CU78">
    <cfRule type="cellIs" dxfId="6137" priority="601" stopIfTrue="1" operator="equal">
      <formula>"E"</formula>
    </cfRule>
  </conditionalFormatting>
  <conditionalFormatting sqref="CQ61:CU78">
    <cfRule type="cellIs" dxfId="6136" priority="602" stopIfTrue="1" operator="equal">
      <formula>"S"</formula>
    </cfRule>
  </conditionalFormatting>
  <conditionalFormatting sqref="CQ61:CU78">
    <cfRule type="cellIs" dxfId="6135" priority="603" stopIfTrue="1" operator="equal">
      <formula>"M"</formula>
    </cfRule>
  </conditionalFormatting>
  <conditionalFormatting sqref="CQ61:CU78">
    <cfRule type="cellIs" dxfId="6134" priority="604" stopIfTrue="1" operator="equal">
      <formula>"J"</formula>
    </cfRule>
  </conditionalFormatting>
  <conditionalFormatting sqref="CQ61:CU78">
    <cfRule type="cellIs" dxfId="6133" priority="605" stopIfTrue="1" operator="equal">
      <formula>"O"</formula>
    </cfRule>
  </conditionalFormatting>
  <conditionalFormatting sqref="CQ61:CU78">
    <cfRule type="expression" dxfId="6132" priority="606" stopIfTrue="1">
      <formula>LEN(TRIM(CQ61))=0</formula>
    </cfRule>
  </conditionalFormatting>
  <conditionalFormatting sqref="CW61:DA78">
    <cfRule type="cellIs" dxfId="6131" priority="607" stopIfTrue="1" operator="equal">
      <formula>"E"</formula>
    </cfRule>
  </conditionalFormatting>
  <conditionalFormatting sqref="CW61:DA78">
    <cfRule type="cellIs" dxfId="6130" priority="608" stopIfTrue="1" operator="equal">
      <formula>"S"</formula>
    </cfRule>
  </conditionalFormatting>
  <conditionalFormatting sqref="CW61:DA78">
    <cfRule type="cellIs" dxfId="6129" priority="609" stopIfTrue="1" operator="equal">
      <formula>"M"</formula>
    </cfRule>
  </conditionalFormatting>
  <conditionalFormatting sqref="CW61:DA78">
    <cfRule type="cellIs" dxfId="6128" priority="610" stopIfTrue="1" operator="equal">
      <formula>"J"</formula>
    </cfRule>
  </conditionalFormatting>
  <conditionalFormatting sqref="CW61:DA78">
    <cfRule type="cellIs" dxfId="6127" priority="611" stopIfTrue="1" operator="equal">
      <formula>"O"</formula>
    </cfRule>
  </conditionalFormatting>
  <conditionalFormatting sqref="CW61:DA78">
    <cfRule type="expression" dxfId="6126" priority="612" stopIfTrue="1">
      <formula>LEN(TRIM(CW61))=0</formula>
    </cfRule>
  </conditionalFormatting>
  <conditionalFormatting sqref="D80:K94">
    <cfRule type="cellIs" dxfId="6125" priority="613" stopIfTrue="1" operator="equal">
      <formula>"E"</formula>
    </cfRule>
  </conditionalFormatting>
  <conditionalFormatting sqref="D80:K94">
    <cfRule type="cellIs" dxfId="6124" priority="614" stopIfTrue="1" operator="equal">
      <formula>"S"</formula>
    </cfRule>
  </conditionalFormatting>
  <conditionalFormatting sqref="D80:K94">
    <cfRule type="cellIs" dxfId="6123" priority="615" stopIfTrue="1" operator="equal">
      <formula>"M"</formula>
    </cfRule>
  </conditionalFormatting>
  <conditionalFormatting sqref="D80:K94">
    <cfRule type="cellIs" dxfId="6122" priority="616" stopIfTrue="1" operator="equal">
      <formula>"J"</formula>
    </cfRule>
  </conditionalFormatting>
  <conditionalFormatting sqref="D80:K94">
    <cfRule type="cellIs" dxfId="6121" priority="617" stopIfTrue="1" operator="equal">
      <formula>"O"</formula>
    </cfRule>
  </conditionalFormatting>
  <conditionalFormatting sqref="D80:K94">
    <cfRule type="expression" dxfId="6120" priority="618" stopIfTrue="1">
      <formula>LEN(TRIM(D80))=0</formula>
    </cfRule>
  </conditionalFormatting>
  <conditionalFormatting sqref="L80:O94">
    <cfRule type="cellIs" dxfId="6119" priority="619" stopIfTrue="1" operator="equal">
      <formula>"E"</formula>
    </cfRule>
  </conditionalFormatting>
  <conditionalFormatting sqref="L80:O94">
    <cfRule type="cellIs" dxfId="6118" priority="620" stopIfTrue="1" operator="equal">
      <formula>"S"</formula>
    </cfRule>
  </conditionalFormatting>
  <conditionalFormatting sqref="L80:O94">
    <cfRule type="cellIs" dxfId="6117" priority="621" stopIfTrue="1" operator="equal">
      <formula>"M"</formula>
    </cfRule>
  </conditionalFormatting>
  <conditionalFormatting sqref="L80:O94">
    <cfRule type="cellIs" dxfId="6116" priority="622" stopIfTrue="1" operator="equal">
      <formula>"J"</formula>
    </cfRule>
  </conditionalFormatting>
  <conditionalFormatting sqref="L80:O94">
    <cfRule type="cellIs" dxfId="6115" priority="623" stopIfTrue="1" operator="equal">
      <formula>"O"</formula>
    </cfRule>
  </conditionalFormatting>
  <conditionalFormatting sqref="L80:O94">
    <cfRule type="expression" dxfId="6114" priority="624" stopIfTrue="1">
      <formula>LEN(TRIM(L80))=0</formula>
    </cfRule>
  </conditionalFormatting>
  <conditionalFormatting sqref="P80:AI94">
    <cfRule type="cellIs" dxfId="6113" priority="625" stopIfTrue="1" operator="equal">
      <formula>"E"</formula>
    </cfRule>
  </conditionalFormatting>
  <conditionalFormatting sqref="P80:AI94">
    <cfRule type="cellIs" dxfId="6112" priority="626" stopIfTrue="1" operator="equal">
      <formula>"S"</formula>
    </cfRule>
  </conditionalFormatting>
  <conditionalFormatting sqref="P80:AI94">
    <cfRule type="cellIs" dxfId="6111" priority="627" stopIfTrue="1" operator="equal">
      <formula>"M"</formula>
    </cfRule>
  </conditionalFormatting>
  <conditionalFormatting sqref="P80:AI94">
    <cfRule type="cellIs" dxfId="6110" priority="628" stopIfTrue="1" operator="equal">
      <formula>"J"</formula>
    </cfRule>
  </conditionalFormatting>
  <conditionalFormatting sqref="P80:AI94">
    <cfRule type="cellIs" dxfId="6109" priority="629" stopIfTrue="1" operator="equal">
      <formula>"O"</formula>
    </cfRule>
  </conditionalFormatting>
  <conditionalFormatting sqref="P80:AI94">
    <cfRule type="expression" dxfId="6108" priority="630" stopIfTrue="1">
      <formula>LEN(TRIM(P80))=0</formula>
    </cfRule>
  </conditionalFormatting>
  <conditionalFormatting sqref="AJ80:AL94">
    <cfRule type="cellIs" dxfId="6107" priority="631" stopIfTrue="1" operator="equal">
      <formula>"E"</formula>
    </cfRule>
  </conditionalFormatting>
  <conditionalFormatting sqref="AJ80:AL94">
    <cfRule type="cellIs" dxfId="6106" priority="632" stopIfTrue="1" operator="equal">
      <formula>"S"</formula>
    </cfRule>
  </conditionalFormatting>
  <conditionalFormatting sqref="AJ80:AL94">
    <cfRule type="cellIs" dxfId="6105" priority="633" stopIfTrue="1" operator="equal">
      <formula>"M"</formula>
    </cfRule>
  </conditionalFormatting>
  <conditionalFormatting sqref="AJ80:AL94">
    <cfRule type="cellIs" dxfId="6104" priority="634" stopIfTrue="1" operator="equal">
      <formula>"J"</formula>
    </cfRule>
  </conditionalFormatting>
  <conditionalFormatting sqref="AJ80:AL94">
    <cfRule type="cellIs" dxfId="6103" priority="635" stopIfTrue="1" operator="equal">
      <formula>"O"</formula>
    </cfRule>
  </conditionalFormatting>
  <conditionalFormatting sqref="AJ80:AL94">
    <cfRule type="expression" dxfId="6102" priority="636" stopIfTrue="1">
      <formula>LEN(TRIM(AJ80))=0</formula>
    </cfRule>
  </conditionalFormatting>
  <conditionalFormatting sqref="AM80:AO94">
    <cfRule type="cellIs" dxfId="6101" priority="637" stopIfTrue="1" operator="equal">
      <formula>"E"</formula>
    </cfRule>
  </conditionalFormatting>
  <conditionalFormatting sqref="AM80:AO94">
    <cfRule type="cellIs" dxfId="6100" priority="638" stopIfTrue="1" operator="equal">
      <formula>"S"</formula>
    </cfRule>
  </conditionalFormatting>
  <conditionalFormatting sqref="AM80:AO94">
    <cfRule type="cellIs" dxfId="6099" priority="639" stopIfTrue="1" operator="equal">
      <formula>"M"</formula>
    </cfRule>
  </conditionalFormatting>
  <conditionalFormatting sqref="AM80:AO94">
    <cfRule type="cellIs" dxfId="6098" priority="640" stopIfTrue="1" operator="equal">
      <formula>"J"</formula>
    </cfRule>
  </conditionalFormatting>
  <conditionalFormatting sqref="AM80:AO94">
    <cfRule type="cellIs" dxfId="6097" priority="641" stopIfTrue="1" operator="equal">
      <formula>"O"</formula>
    </cfRule>
  </conditionalFormatting>
  <conditionalFormatting sqref="AM80:AO94">
    <cfRule type="expression" dxfId="6096" priority="642" stopIfTrue="1">
      <formula>LEN(TRIM(AM80))=0</formula>
    </cfRule>
  </conditionalFormatting>
  <conditionalFormatting sqref="AP80:AT94">
    <cfRule type="cellIs" dxfId="6095" priority="643" stopIfTrue="1" operator="equal">
      <formula>"E"</formula>
    </cfRule>
  </conditionalFormatting>
  <conditionalFormatting sqref="AP80:AT94">
    <cfRule type="cellIs" dxfId="6094" priority="644" stopIfTrue="1" operator="equal">
      <formula>"S"</formula>
    </cfRule>
  </conditionalFormatting>
  <conditionalFormatting sqref="AP80:AT94">
    <cfRule type="cellIs" dxfId="6093" priority="645" stopIfTrue="1" operator="equal">
      <formula>"M"</formula>
    </cfRule>
  </conditionalFormatting>
  <conditionalFormatting sqref="AP80:AT94">
    <cfRule type="cellIs" dxfId="6092" priority="646" stopIfTrue="1" operator="equal">
      <formula>"J"</formula>
    </cfRule>
  </conditionalFormatting>
  <conditionalFormatting sqref="AP80:AT94">
    <cfRule type="cellIs" dxfId="6091" priority="647" stopIfTrue="1" operator="equal">
      <formula>"O"</formula>
    </cfRule>
  </conditionalFormatting>
  <conditionalFormatting sqref="AP80:AT94">
    <cfRule type="expression" dxfId="6090" priority="648" stopIfTrue="1">
      <formula>LEN(TRIM(AP80))=0</formula>
    </cfRule>
  </conditionalFormatting>
  <conditionalFormatting sqref="AU80:BB94">
    <cfRule type="cellIs" dxfId="6089" priority="649" stopIfTrue="1" operator="equal">
      <formula>"E"</formula>
    </cfRule>
  </conditionalFormatting>
  <conditionalFormatting sqref="AU80:BB94">
    <cfRule type="cellIs" dxfId="6088" priority="650" stopIfTrue="1" operator="equal">
      <formula>"S"</formula>
    </cfRule>
  </conditionalFormatting>
  <conditionalFormatting sqref="AU80:BB94">
    <cfRule type="cellIs" dxfId="6087" priority="651" stopIfTrue="1" operator="equal">
      <formula>"M"</formula>
    </cfRule>
  </conditionalFormatting>
  <conditionalFormatting sqref="AU80:BB94">
    <cfRule type="cellIs" dxfId="6086" priority="652" stopIfTrue="1" operator="equal">
      <formula>"J"</formula>
    </cfRule>
  </conditionalFormatting>
  <conditionalFormatting sqref="AU80:BB94">
    <cfRule type="cellIs" dxfId="6085" priority="653" stopIfTrue="1" operator="equal">
      <formula>"O"</formula>
    </cfRule>
  </conditionalFormatting>
  <conditionalFormatting sqref="AU80:BB94">
    <cfRule type="expression" dxfId="6084" priority="654" stopIfTrue="1">
      <formula>LEN(TRIM(AU80))=0</formula>
    </cfRule>
  </conditionalFormatting>
  <conditionalFormatting sqref="BC80:BG94">
    <cfRule type="cellIs" dxfId="6083" priority="655" stopIfTrue="1" operator="equal">
      <formula>"E"</formula>
    </cfRule>
  </conditionalFormatting>
  <conditionalFormatting sqref="BC80:BG94">
    <cfRule type="cellIs" dxfId="6082" priority="656" stopIfTrue="1" operator="equal">
      <formula>"S"</formula>
    </cfRule>
  </conditionalFormatting>
  <conditionalFormatting sqref="BC80:BG94">
    <cfRule type="cellIs" dxfId="6081" priority="657" stopIfTrue="1" operator="equal">
      <formula>"M"</formula>
    </cfRule>
  </conditionalFormatting>
  <conditionalFormatting sqref="BC80:BG94">
    <cfRule type="cellIs" dxfId="6080" priority="658" stopIfTrue="1" operator="equal">
      <formula>"J"</formula>
    </cfRule>
  </conditionalFormatting>
  <conditionalFormatting sqref="BC80:BG94">
    <cfRule type="cellIs" dxfId="6079" priority="659" stopIfTrue="1" operator="equal">
      <formula>"O"</formula>
    </cfRule>
  </conditionalFormatting>
  <conditionalFormatting sqref="BC80:BG94">
    <cfRule type="expression" dxfId="6078" priority="660" stopIfTrue="1">
      <formula>LEN(TRIM(BC80))=0</formula>
    </cfRule>
  </conditionalFormatting>
  <conditionalFormatting sqref="BH80:BJ94">
    <cfRule type="cellIs" dxfId="6077" priority="661" stopIfTrue="1" operator="equal">
      <formula>"E"</formula>
    </cfRule>
  </conditionalFormatting>
  <conditionalFormatting sqref="BH80:BJ94">
    <cfRule type="cellIs" dxfId="6076" priority="662" stopIfTrue="1" operator="equal">
      <formula>"S"</formula>
    </cfRule>
  </conditionalFormatting>
  <conditionalFormatting sqref="BH80:BJ94">
    <cfRule type="cellIs" dxfId="6075" priority="663" stopIfTrue="1" operator="equal">
      <formula>"M"</formula>
    </cfRule>
  </conditionalFormatting>
  <conditionalFormatting sqref="BH80:BJ94">
    <cfRule type="cellIs" dxfId="6074" priority="664" stopIfTrue="1" operator="equal">
      <formula>"J"</formula>
    </cfRule>
  </conditionalFormatting>
  <conditionalFormatting sqref="BH80:BJ94">
    <cfRule type="cellIs" dxfId="6073" priority="665" stopIfTrue="1" operator="equal">
      <formula>"O"</formula>
    </cfRule>
  </conditionalFormatting>
  <conditionalFormatting sqref="BH80:BJ94">
    <cfRule type="expression" dxfId="6072" priority="666" stopIfTrue="1">
      <formula>LEN(TRIM(BH80))=0</formula>
    </cfRule>
  </conditionalFormatting>
  <conditionalFormatting sqref="BK80:BN94">
    <cfRule type="cellIs" dxfId="6071" priority="667" stopIfTrue="1" operator="equal">
      <formula>"E"</formula>
    </cfRule>
  </conditionalFormatting>
  <conditionalFormatting sqref="BK80:BN94">
    <cfRule type="cellIs" dxfId="6070" priority="668" stopIfTrue="1" operator="equal">
      <formula>"S"</formula>
    </cfRule>
  </conditionalFormatting>
  <conditionalFormatting sqref="BK80:BN94">
    <cfRule type="cellIs" dxfId="6069" priority="669" stopIfTrue="1" operator="equal">
      <formula>"M"</formula>
    </cfRule>
  </conditionalFormatting>
  <conditionalFormatting sqref="BK80:BN94">
    <cfRule type="cellIs" dxfId="6068" priority="670" stopIfTrue="1" operator="equal">
      <formula>"J"</formula>
    </cfRule>
  </conditionalFormatting>
  <conditionalFormatting sqref="BK80:BN94">
    <cfRule type="cellIs" dxfId="6067" priority="671" stopIfTrue="1" operator="equal">
      <formula>"O"</formula>
    </cfRule>
  </conditionalFormatting>
  <conditionalFormatting sqref="BK80:BN94">
    <cfRule type="expression" dxfId="6066" priority="672" stopIfTrue="1">
      <formula>LEN(TRIM(BK80))=0</formula>
    </cfRule>
  </conditionalFormatting>
  <conditionalFormatting sqref="BO80:BV94">
    <cfRule type="cellIs" dxfId="6065" priority="673" stopIfTrue="1" operator="equal">
      <formula>"E"</formula>
    </cfRule>
  </conditionalFormatting>
  <conditionalFormatting sqref="BO80:BV94">
    <cfRule type="cellIs" dxfId="6064" priority="674" stopIfTrue="1" operator="equal">
      <formula>"S"</formula>
    </cfRule>
  </conditionalFormatting>
  <conditionalFormatting sqref="BO80:BV94">
    <cfRule type="cellIs" dxfId="6063" priority="675" stopIfTrue="1" operator="equal">
      <formula>"M"</formula>
    </cfRule>
  </conditionalFormatting>
  <conditionalFormatting sqref="BO80:BV94">
    <cfRule type="cellIs" dxfId="6062" priority="676" stopIfTrue="1" operator="equal">
      <formula>"J"</formula>
    </cfRule>
  </conditionalFormatting>
  <conditionalFormatting sqref="BO80:BV94">
    <cfRule type="cellIs" dxfId="6061" priority="677" stopIfTrue="1" operator="equal">
      <formula>"O"</formula>
    </cfRule>
  </conditionalFormatting>
  <conditionalFormatting sqref="BO80:BV94">
    <cfRule type="expression" dxfId="6060" priority="678" stopIfTrue="1">
      <formula>LEN(TRIM(BO80))=0</formula>
    </cfRule>
  </conditionalFormatting>
  <conditionalFormatting sqref="BW80:CB94">
    <cfRule type="cellIs" dxfId="6059" priority="679" stopIfTrue="1" operator="equal">
      <formula>"E"</formula>
    </cfRule>
  </conditionalFormatting>
  <conditionalFormatting sqref="BW80:CB94">
    <cfRule type="cellIs" dxfId="6058" priority="680" stopIfTrue="1" operator="equal">
      <formula>"S"</formula>
    </cfRule>
  </conditionalFormatting>
  <conditionalFormatting sqref="BW80:CB94">
    <cfRule type="cellIs" dxfId="6057" priority="681" stopIfTrue="1" operator="equal">
      <formula>"M"</formula>
    </cfRule>
  </conditionalFormatting>
  <conditionalFormatting sqref="BW80:CB94">
    <cfRule type="cellIs" dxfId="6056" priority="682" stopIfTrue="1" operator="equal">
      <formula>"J"</formula>
    </cfRule>
  </conditionalFormatting>
  <conditionalFormatting sqref="BW80:CB94">
    <cfRule type="cellIs" dxfId="6055" priority="683" stopIfTrue="1" operator="equal">
      <formula>"O"</formula>
    </cfRule>
  </conditionalFormatting>
  <conditionalFormatting sqref="BW80:CB94">
    <cfRule type="expression" dxfId="6054" priority="684" stopIfTrue="1">
      <formula>LEN(TRIM(BW80))=0</formula>
    </cfRule>
  </conditionalFormatting>
  <conditionalFormatting sqref="CC80:CE94">
    <cfRule type="cellIs" dxfId="6053" priority="685" stopIfTrue="1" operator="equal">
      <formula>"E"</formula>
    </cfRule>
  </conditionalFormatting>
  <conditionalFormatting sqref="CC80:CE94">
    <cfRule type="cellIs" dxfId="6052" priority="686" stopIfTrue="1" operator="equal">
      <formula>"S"</formula>
    </cfRule>
  </conditionalFormatting>
  <conditionalFormatting sqref="CC80:CE94">
    <cfRule type="cellIs" dxfId="6051" priority="687" stopIfTrue="1" operator="equal">
      <formula>"M"</formula>
    </cfRule>
  </conditionalFormatting>
  <conditionalFormatting sqref="CC80:CE94">
    <cfRule type="cellIs" dxfId="6050" priority="688" stopIfTrue="1" operator="equal">
      <formula>"J"</formula>
    </cfRule>
  </conditionalFormatting>
  <conditionalFormatting sqref="CC80:CE94">
    <cfRule type="cellIs" dxfId="6049" priority="689" stopIfTrue="1" operator="equal">
      <formula>"O"</formula>
    </cfRule>
  </conditionalFormatting>
  <conditionalFormatting sqref="CC80:CE94">
    <cfRule type="expression" dxfId="6048" priority="690" stopIfTrue="1">
      <formula>LEN(TRIM(CC80))=0</formula>
    </cfRule>
  </conditionalFormatting>
  <conditionalFormatting sqref="CF80:CI94">
    <cfRule type="cellIs" dxfId="6047" priority="691" stopIfTrue="1" operator="equal">
      <formula>"E"</formula>
    </cfRule>
  </conditionalFormatting>
  <conditionalFormatting sqref="CF80:CI94">
    <cfRule type="cellIs" dxfId="6046" priority="692" stopIfTrue="1" operator="equal">
      <formula>"S"</formula>
    </cfRule>
  </conditionalFormatting>
  <conditionalFormatting sqref="CF80:CI94">
    <cfRule type="cellIs" dxfId="6045" priority="693" stopIfTrue="1" operator="equal">
      <formula>"M"</formula>
    </cfRule>
  </conditionalFormatting>
  <conditionalFormatting sqref="CF80:CI94">
    <cfRule type="cellIs" dxfId="6044" priority="694" stopIfTrue="1" operator="equal">
      <formula>"J"</formula>
    </cfRule>
  </conditionalFormatting>
  <conditionalFormatting sqref="CF80:CI94">
    <cfRule type="cellIs" dxfId="6043" priority="695" stopIfTrue="1" operator="equal">
      <formula>"O"</formula>
    </cfRule>
  </conditionalFormatting>
  <conditionalFormatting sqref="CF80:CI94">
    <cfRule type="expression" dxfId="6042" priority="696" stopIfTrue="1">
      <formula>LEN(TRIM(CF80))=0</formula>
    </cfRule>
  </conditionalFormatting>
  <conditionalFormatting sqref="CK80:CO94">
    <cfRule type="cellIs" dxfId="6041" priority="697" stopIfTrue="1" operator="equal">
      <formula>"E"</formula>
    </cfRule>
  </conditionalFormatting>
  <conditionalFormatting sqref="CK80:CO94">
    <cfRule type="cellIs" dxfId="6040" priority="698" stopIfTrue="1" operator="equal">
      <formula>"S"</formula>
    </cfRule>
  </conditionalFormatting>
  <conditionalFormatting sqref="CK80:CO94">
    <cfRule type="cellIs" dxfId="6039" priority="699" stopIfTrue="1" operator="equal">
      <formula>"M"</formula>
    </cfRule>
  </conditionalFormatting>
  <conditionalFormatting sqref="CK80:CO94">
    <cfRule type="cellIs" dxfId="6038" priority="700" stopIfTrue="1" operator="equal">
      <formula>"J"</formula>
    </cfRule>
  </conditionalFormatting>
  <conditionalFormatting sqref="CK80:CO94">
    <cfRule type="cellIs" dxfId="6037" priority="701" stopIfTrue="1" operator="equal">
      <formula>"O"</formula>
    </cfRule>
  </conditionalFormatting>
  <conditionalFormatting sqref="CK80:CO94">
    <cfRule type="expression" dxfId="6036" priority="702" stopIfTrue="1">
      <formula>LEN(TRIM(CK80))=0</formula>
    </cfRule>
  </conditionalFormatting>
  <conditionalFormatting sqref="CQ80:CU94">
    <cfRule type="cellIs" dxfId="6035" priority="703" stopIfTrue="1" operator="equal">
      <formula>"E"</formula>
    </cfRule>
  </conditionalFormatting>
  <conditionalFormatting sqref="CQ80:CU94">
    <cfRule type="cellIs" dxfId="6034" priority="704" stopIfTrue="1" operator="equal">
      <formula>"S"</formula>
    </cfRule>
  </conditionalFormatting>
  <conditionalFormatting sqref="CQ80:CU94">
    <cfRule type="cellIs" dxfId="6033" priority="705" stopIfTrue="1" operator="equal">
      <formula>"M"</formula>
    </cfRule>
  </conditionalFormatting>
  <conditionalFormatting sqref="CQ80:CU94">
    <cfRule type="cellIs" dxfId="6032" priority="706" stopIfTrue="1" operator="equal">
      <formula>"J"</formula>
    </cfRule>
  </conditionalFormatting>
  <conditionalFormatting sqref="CQ80:CU94">
    <cfRule type="cellIs" dxfId="6031" priority="707" stopIfTrue="1" operator="equal">
      <formula>"O"</formula>
    </cfRule>
  </conditionalFormatting>
  <conditionalFormatting sqref="CQ80:CU94">
    <cfRule type="expression" dxfId="6030" priority="708" stopIfTrue="1">
      <formula>LEN(TRIM(CQ80))=0</formula>
    </cfRule>
  </conditionalFormatting>
  <conditionalFormatting sqref="CW80:DA94">
    <cfRule type="cellIs" dxfId="6029" priority="709" stopIfTrue="1" operator="equal">
      <formula>"E"</formula>
    </cfRule>
  </conditionalFormatting>
  <conditionalFormatting sqref="CW80:DA94">
    <cfRule type="cellIs" dxfId="6028" priority="710" stopIfTrue="1" operator="equal">
      <formula>"S"</formula>
    </cfRule>
  </conditionalFormatting>
  <conditionalFormatting sqref="CW80:DA94">
    <cfRule type="cellIs" dxfId="6027" priority="711" stopIfTrue="1" operator="equal">
      <formula>"M"</formula>
    </cfRule>
  </conditionalFormatting>
  <conditionalFormatting sqref="CW80:DA94">
    <cfRule type="cellIs" dxfId="6026" priority="712" stopIfTrue="1" operator="equal">
      <formula>"J"</formula>
    </cfRule>
  </conditionalFormatting>
  <conditionalFormatting sqref="CW80:DA94">
    <cfRule type="cellIs" dxfId="6025" priority="713" stopIfTrue="1" operator="equal">
      <formula>"O"</formula>
    </cfRule>
  </conditionalFormatting>
  <conditionalFormatting sqref="CW80:DA94">
    <cfRule type="expression" dxfId="6024" priority="714" stopIfTrue="1">
      <formula>LEN(TRIM(CW80))=0</formula>
    </cfRule>
  </conditionalFormatting>
  <conditionalFormatting sqref="D96:K99">
    <cfRule type="cellIs" dxfId="6023" priority="715" stopIfTrue="1" operator="equal">
      <formula>"E"</formula>
    </cfRule>
  </conditionalFormatting>
  <conditionalFormatting sqref="D96:K99">
    <cfRule type="cellIs" dxfId="6022" priority="716" stopIfTrue="1" operator="equal">
      <formula>"S"</formula>
    </cfRule>
  </conditionalFormatting>
  <conditionalFormatting sqref="D96:K99">
    <cfRule type="cellIs" dxfId="6021" priority="717" stopIfTrue="1" operator="equal">
      <formula>"M"</formula>
    </cfRule>
  </conditionalFormatting>
  <conditionalFormatting sqref="D96:K99">
    <cfRule type="cellIs" dxfId="6020" priority="718" stopIfTrue="1" operator="equal">
      <formula>"J"</formula>
    </cfRule>
  </conditionalFormatting>
  <conditionalFormatting sqref="D96:K99">
    <cfRule type="cellIs" dxfId="6019" priority="719" stopIfTrue="1" operator="equal">
      <formula>"O"</formula>
    </cfRule>
  </conditionalFormatting>
  <conditionalFormatting sqref="D96:K99">
    <cfRule type="expression" dxfId="6018" priority="720" stopIfTrue="1">
      <formula>LEN(TRIM(D96))=0</formula>
    </cfRule>
  </conditionalFormatting>
  <conditionalFormatting sqref="L96:O99">
    <cfRule type="cellIs" dxfId="6017" priority="721" stopIfTrue="1" operator="equal">
      <formula>"E"</formula>
    </cfRule>
  </conditionalFormatting>
  <conditionalFormatting sqref="L96:O99">
    <cfRule type="cellIs" dxfId="6016" priority="722" stopIfTrue="1" operator="equal">
      <formula>"S"</formula>
    </cfRule>
  </conditionalFormatting>
  <conditionalFormatting sqref="L96:O99">
    <cfRule type="cellIs" dxfId="6015" priority="723" stopIfTrue="1" operator="equal">
      <formula>"M"</formula>
    </cfRule>
  </conditionalFormatting>
  <conditionalFormatting sqref="L96:O99">
    <cfRule type="cellIs" dxfId="6014" priority="724" stopIfTrue="1" operator="equal">
      <formula>"J"</formula>
    </cfRule>
  </conditionalFormatting>
  <conditionalFormatting sqref="L96:O99">
    <cfRule type="cellIs" dxfId="6013" priority="725" stopIfTrue="1" operator="equal">
      <formula>"O"</formula>
    </cfRule>
  </conditionalFormatting>
  <conditionalFormatting sqref="L96:O99">
    <cfRule type="expression" dxfId="6012" priority="726" stopIfTrue="1">
      <formula>LEN(TRIM(L96))=0</formula>
    </cfRule>
  </conditionalFormatting>
  <conditionalFormatting sqref="P96:AI99">
    <cfRule type="cellIs" dxfId="6011" priority="727" stopIfTrue="1" operator="equal">
      <formula>"E"</formula>
    </cfRule>
  </conditionalFormatting>
  <conditionalFormatting sqref="P96:AI99">
    <cfRule type="cellIs" dxfId="6010" priority="728" stopIfTrue="1" operator="equal">
      <formula>"S"</formula>
    </cfRule>
  </conditionalFormatting>
  <conditionalFormatting sqref="P96:AI99">
    <cfRule type="cellIs" dxfId="6009" priority="729" stopIfTrue="1" operator="equal">
      <formula>"M"</formula>
    </cfRule>
  </conditionalFormatting>
  <conditionalFormatting sqref="P96:AI99">
    <cfRule type="cellIs" dxfId="6008" priority="730" stopIfTrue="1" operator="equal">
      <formula>"J"</formula>
    </cfRule>
  </conditionalFormatting>
  <conditionalFormatting sqref="P96:AI99">
    <cfRule type="cellIs" dxfId="6007" priority="731" stopIfTrue="1" operator="equal">
      <formula>"O"</formula>
    </cfRule>
  </conditionalFormatting>
  <conditionalFormatting sqref="P96:AI99">
    <cfRule type="expression" dxfId="6006" priority="732" stopIfTrue="1">
      <formula>LEN(TRIM(P96))=0</formula>
    </cfRule>
  </conditionalFormatting>
  <conditionalFormatting sqref="AJ96:AL99">
    <cfRule type="cellIs" dxfId="6005" priority="733" stopIfTrue="1" operator="equal">
      <formula>"E"</formula>
    </cfRule>
  </conditionalFormatting>
  <conditionalFormatting sqref="AJ96:AL99">
    <cfRule type="cellIs" dxfId="6004" priority="734" stopIfTrue="1" operator="equal">
      <formula>"S"</formula>
    </cfRule>
  </conditionalFormatting>
  <conditionalFormatting sqref="AJ96:AL99">
    <cfRule type="cellIs" dxfId="6003" priority="735" stopIfTrue="1" operator="equal">
      <formula>"M"</formula>
    </cfRule>
  </conditionalFormatting>
  <conditionalFormatting sqref="AJ96:AL99">
    <cfRule type="cellIs" dxfId="6002" priority="736" stopIfTrue="1" operator="equal">
      <formula>"J"</formula>
    </cfRule>
  </conditionalFormatting>
  <conditionalFormatting sqref="AJ96:AL99">
    <cfRule type="cellIs" dxfId="6001" priority="737" stopIfTrue="1" operator="equal">
      <formula>"O"</formula>
    </cfRule>
  </conditionalFormatting>
  <conditionalFormatting sqref="AJ96:AL99">
    <cfRule type="expression" dxfId="6000" priority="738" stopIfTrue="1">
      <formula>LEN(TRIM(AJ96))=0</formula>
    </cfRule>
  </conditionalFormatting>
  <conditionalFormatting sqref="AM96:AO99">
    <cfRule type="cellIs" dxfId="5999" priority="739" stopIfTrue="1" operator="equal">
      <formula>"E"</formula>
    </cfRule>
  </conditionalFormatting>
  <conditionalFormatting sqref="AM96:AO99">
    <cfRule type="cellIs" dxfId="5998" priority="740" stopIfTrue="1" operator="equal">
      <formula>"S"</formula>
    </cfRule>
  </conditionalFormatting>
  <conditionalFormatting sqref="AM96:AO99">
    <cfRule type="cellIs" dxfId="5997" priority="741" stopIfTrue="1" operator="equal">
      <formula>"M"</formula>
    </cfRule>
  </conditionalFormatting>
  <conditionalFormatting sqref="AM96:AO99">
    <cfRule type="cellIs" dxfId="5996" priority="742" stopIfTrue="1" operator="equal">
      <formula>"J"</formula>
    </cfRule>
  </conditionalFormatting>
  <conditionalFormatting sqref="AM96:AO99">
    <cfRule type="cellIs" dxfId="5995" priority="743" stopIfTrue="1" operator="equal">
      <formula>"O"</formula>
    </cfRule>
  </conditionalFormatting>
  <conditionalFormatting sqref="AM96:AO99">
    <cfRule type="expression" dxfId="5994" priority="744" stopIfTrue="1">
      <formula>LEN(TRIM(AM96))=0</formula>
    </cfRule>
  </conditionalFormatting>
  <conditionalFormatting sqref="AP96:AT99">
    <cfRule type="cellIs" dxfId="5993" priority="745" stopIfTrue="1" operator="equal">
      <formula>"E"</formula>
    </cfRule>
  </conditionalFormatting>
  <conditionalFormatting sqref="AP96:AT99">
    <cfRule type="cellIs" dxfId="5992" priority="746" stopIfTrue="1" operator="equal">
      <formula>"S"</formula>
    </cfRule>
  </conditionalFormatting>
  <conditionalFormatting sqref="AP96:AT99">
    <cfRule type="cellIs" dxfId="5991" priority="747" stopIfTrue="1" operator="equal">
      <formula>"M"</formula>
    </cfRule>
  </conditionalFormatting>
  <conditionalFormatting sqref="AP96:AT99">
    <cfRule type="cellIs" dxfId="5990" priority="748" stopIfTrue="1" operator="equal">
      <formula>"J"</formula>
    </cfRule>
  </conditionalFormatting>
  <conditionalFormatting sqref="AP96:AT99">
    <cfRule type="cellIs" dxfId="5989" priority="749" stopIfTrue="1" operator="equal">
      <formula>"O"</formula>
    </cfRule>
  </conditionalFormatting>
  <conditionalFormatting sqref="AP96:AT99">
    <cfRule type="expression" dxfId="5988" priority="750" stopIfTrue="1">
      <formula>LEN(TRIM(AP96))=0</formula>
    </cfRule>
  </conditionalFormatting>
  <conditionalFormatting sqref="AU96:BB99">
    <cfRule type="cellIs" dxfId="5987" priority="751" stopIfTrue="1" operator="equal">
      <formula>"E"</formula>
    </cfRule>
  </conditionalFormatting>
  <conditionalFormatting sqref="AU96:BB99">
    <cfRule type="cellIs" dxfId="5986" priority="752" stopIfTrue="1" operator="equal">
      <formula>"S"</formula>
    </cfRule>
  </conditionalFormatting>
  <conditionalFormatting sqref="AU96:BB99">
    <cfRule type="cellIs" dxfId="5985" priority="753" stopIfTrue="1" operator="equal">
      <formula>"M"</formula>
    </cfRule>
  </conditionalFormatting>
  <conditionalFormatting sqref="AU96:BB99">
    <cfRule type="cellIs" dxfId="5984" priority="754" stopIfTrue="1" operator="equal">
      <formula>"J"</formula>
    </cfRule>
  </conditionalFormatting>
  <conditionalFormatting sqref="AU96:BB99">
    <cfRule type="cellIs" dxfId="5983" priority="755" stopIfTrue="1" operator="equal">
      <formula>"O"</formula>
    </cfRule>
  </conditionalFormatting>
  <conditionalFormatting sqref="AU96:BB99">
    <cfRule type="expression" dxfId="5982" priority="756" stopIfTrue="1">
      <formula>LEN(TRIM(AU96))=0</formula>
    </cfRule>
  </conditionalFormatting>
  <conditionalFormatting sqref="BC96:BG99">
    <cfRule type="cellIs" dxfId="5981" priority="757" stopIfTrue="1" operator="equal">
      <formula>"E"</formula>
    </cfRule>
  </conditionalFormatting>
  <conditionalFormatting sqref="BC96:BG99">
    <cfRule type="cellIs" dxfId="5980" priority="758" stopIfTrue="1" operator="equal">
      <formula>"S"</formula>
    </cfRule>
  </conditionalFormatting>
  <conditionalFormatting sqref="BC96:BG99">
    <cfRule type="cellIs" dxfId="5979" priority="759" stopIfTrue="1" operator="equal">
      <formula>"M"</formula>
    </cfRule>
  </conditionalFormatting>
  <conditionalFormatting sqref="BC96:BG99">
    <cfRule type="cellIs" dxfId="5978" priority="760" stopIfTrue="1" operator="equal">
      <formula>"J"</formula>
    </cfRule>
  </conditionalFormatting>
  <conditionalFormatting sqref="BC96:BG99">
    <cfRule type="cellIs" dxfId="5977" priority="761" stopIfTrue="1" operator="equal">
      <formula>"O"</formula>
    </cfRule>
  </conditionalFormatting>
  <conditionalFormatting sqref="BC96:BG99">
    <cfRule type="expression" dxfId="5976" priority="762" stopIfTrue="1">
      <formula>LEN(TRIM(BC96))=0</formula>
    </cfRule>
  </conditionalFormatting>
  <conditionalFormatting sqref="BH96:BJ99">
    <cfRule type="cellIs" dxfId="5975" priority="763" stopIfTrue="1" operator="equal">
      <formula>"E"</formula>
    </cfRule>
  </conditionalFormatting>
  <conditionalFormatting sqref="BH96:BJ99">
    <cfRule type="cellIs" dxfId="5974" priority="764" stopIfTrue="1" operator="equal">
      <formula>"S"</formula>
    </cfRule>
  </conditionalFormatting>
  <conditionalFormatting sqref="BH96:BJ99">
    <cfRule type="cellIs" dxfId="5973" priority="765" stopIfTrue="1" operator="equal">
      <formula>"M"</formula>
    </cfRule>
  </conditionalFormatting>
  <conditionalFormatting sqref="BH96:BJ99">
    <cfRule type="cellIs" dxfId="5972" priority="766" stopIfTrue="1" operator="equal">
      <formula>"J"</formula>
    </cfRule>
  </conditionalFormatting>
  <conditionalFormatting sqref="BH96:BJ99">
    <cfRule type="cellIs" dxfId="5971" priority="767" stopIfTrue="1" operator="equal">
      <formula>"O"</formula>
    </cfRule>
  </conditionalFormatting>
  <conditionalFormatting sqref="BH96:BJ99">
    <cfRule type="expression" dxfId="5970" priority="768" stopIfTrue="1">
      <formula>LEN(TRIM(BH96))=0</formula>
    </cfRule>
  </conditionalFormatting>
  <conditionalFormatting sqref="BK96:BN99">
    <cfRule type="cellIs" dxfId="5969" priority="769" stopIfTrue="1" operator="equal">
      <formula>"E"</formula>
    </cfRule>
  </conditionalFormatting>
  <conditionalFormatting sqref="BK96:BN99">
    <cfRule type="cellIs" dxfId="5968" priority="770" stopIfTrue="1" operator="equal">
      <formula>"S"</formula>
    </cfRule>
  </conditionalFormatting>
  <conditionalFormatting sqref="BK96:BN99">
    <cfRule type="cellIs" dxfId="5967" priority="771" stopIfTrue="1" operator="equal">
      <formula>"M"</formula>
    </cfRule>
  </conditionalFormatting>
  <conditionalFormatting sqref="BK96:BN99">
    <cfRule type="cellIs" dxfId="5966" priority="772" stopIfTrue="1" operator="equal">
      <formula>"J"</formula>
    </cfRule>
  </conditionalFormatting>
  <conditionalFormatting sqref="BK96:BN99">
    <cfRule type="cellIs" dxfId="5965" priority="773" stopIfTrue="1" operator="equal">
      <formula>"O"</formula>
    </cfRule>
  </conditionalFormatting>
  <conditionalFormatting sqref="BK96:BN99">
    <cfRule type="expression" dxfId="5964" priority="774" stopIfTrue="1">
      <formula>LEN(TRIM(BK96))=0</formula>
    </cfRule>
  </conditionalFormatting>
  <conditionalFormatting sqref="BO96:BV99">
    <cfRule type="cellIs" dxfId="5963" priority="775" stopIfTrue="1" operator="equal">
      <formula>"E"</formula>
    </cfRule>
  </conditionalFormatting>
  <conditionalFormatting sqref="BO96:BV99">
    <cfRule type="cellIs" dxfId="5962" priority="776" stopIfTrue="1" operator="equal">
      <formula>"S"</formula>
    </cfRule>
  </conditionalFormatting>
  <conditionalFormatting sqref="BO96:BV99">
    <cfRule type="cellIs" dxfId="5961" priority="777" stopIfTrue="1" operator="equal">
      <formula>"M"</formula>
    </cfRule>
  </conditionalFormatting>
  <conditionalFormatting sqref="BO96:BV99">
    <cfRule type="cellIs" dxfId="5960" priority="778" stopIfTrue="1" operator="equal">
      <formula>"J"</formula>
    </cfRule>
  </conditionalFormatting>
  <conditionalFormatting sqref="BO96:BV99">
    <cfRule type="cellIs" dxfId="5959" priority="779" stopIfTrue="1" operator="equal">
      <formula>"O"</formula>
    </cfRule>
  </conditionalFormatting>
  <conditionalFormatting sqref="BO96:BV99">
    <cfRule type="expression" dxfId="5958" priority="780" stopIfTrue="1">
      <formula>LEN(TRIM(BO96))=0</formula>
    </cfRule>
  </conditionalFormatting>
  <conditionalFormatting sqref="BW96:CB99">
    <cfRule type="cellIs" dxfId="5957" priority="781" stopIfTrue="1" operator="equal">
      <formula>"E"</formula>
    </cfRule>
  </conditionalFormatting>
  <conditionalFormatting sqref="BW96:CB99">
    <cfRule type="cellIs" dxfId="5956" priority="782" stopIfTrue="1" operator="equal">
      <formula>"S"</formula>
    </cfRule>
  </conditionalFormatting>
  <conditionalFormatting sqref="BW96:CB99">
    <cfRule type="cellIs" dxfId="5955" priority="783" stopIfTrue="1" operator="equal">
      <formula>"M"</formula>
    </cfRule>
  </conditionalFormatting>
  <conditionalFormatting sqref="BW96:CB99">
    <cfRule type="cellIs" dxfId="5954" priority="784" stopIfTrue="1" operator="equal">
      <formula>"J"</formula>
    </cfRule>
  </conditionalFormatting>
  <conditionalFormatting sqref="BW96:CB99">
    <cfRule type="cellIs" dxfId="5953" priority="785" stopIfTrue="1" operator="equal">
      <formula>"O"</formula>
    </cfRule>
  </conditionalFormatting>
  <conditionalFormatting sqref="BW96:CB99">
    <cfRule type="expression" dxfId="5952" priority="786" stopIfTrue="1">
      <formula>LEN(TRIM(BW96))=0</formula>
    </cfRule>
  </conditionalFormatting>
  <conditionalFormatting sqref="CC96:CE99">
    <cfRule type="cellIs" dxfId="5951" priority="787" stopIfTrue="1" operator="equal">
      <formula>"E"</formula>
    </cfRule>
  </conditionalFormatting>
  <conditionalFormatting sqref="CC96:CE99">
    <cfRule type="cellIs" dxfId="5950" priority="788" stopIfTrue="1" operator="equal">
      <formula>"S"</formula>
    </cfRule>
  </conditionalFormatting>
  <conditionalFormatting sqref="CC96:CE99">
    <cfRule type="cellIs" dxfId="5949" priority="789" stopIfTrue="1" operator="equal">
      <formula>"M"</formula>
    </cfRule>
  </conditionalFormatting>
  <conditionalFormatting sqref="CC96:CE99">
    <cfRule type="cellIs" dxfId="5948" priority="790" stopIfTrue="1" operator="equal">
      <formula>"J"</formula>
    </cfRule>
  </conditionalFormatting>
  <conditionalFormatting sqref="CC96:CE99">
    <cfRule type="cellIs" dxfId="5947" priority="791" stopIfTrue="1" operator="equal">
      <formula>"O"</formula>
    </cfRule>
  </conditionalFormatting>
  <conditionalFormatting sqref="CC96:CE99">
    <cfRule type="expression" dxfId="5946" priority="792" stopIfTrue="1">
      <formula>LEN(TRIM(CC96))=0</formula>
    </cfRule>
  </conditionalFormatting>
  <conditionalFormatting sqref="CF96:CI99">
    <cfRule type="cellIs" dxfId="5945" priority="793" stopIfTrue="1" operator="equal">
      <formula>"E"</formula>
    </cfRule>
  </conditionalFormatting>
  <conditionalFormatting sqref="CF96:CI99">
    <cfRule type="cellIs" dxfId="5944" priority="794" stopIfTrue="1" operator="equal">
      <formula>"S"</formula>
    </cfRule>
  </conditionalFormatting>
  <conditionalFormatting sqref="CF96:CI99">
    <cfRule type="cellIs" dxfId="5943" priority="795" stopIfTrue="1" operator="equal">
      <formula>"M"</formula>
    </cfRule>
  </conditionalFormatting>
  <conditionalFormatting sqref="CF96:CI99">
    <cfRule type="cellIs" dxfId="5942" priority="796" stopIfTrue="1" operator="equal">
      <formula>"J"</formula>
    </cfRule>
  </conditionalFormatting>
  <conditionalFormatting sqref="CF96:CI99">
    <cfRule type="cellIs" dxfId="5941" priority="797" stopIfTrue="1" operator="equal">
      <formula>"O"</formula>
    </cfRule>
  </conditionalFormatting>
  <conditionalFormatting sqref="CF96:CI99">
    <cfRule type="expression" dxfId="5940" priority="798" stopIfTrue="1">
      <formula>LEN(TRIM(CF96))=0</formula>
    </cfRule>
  </conditionalFormatting>
  <conditionalFormatting sqref="CK96:CO99">
    <cfRule type="cellIs" dxfId="5939" priority="799" stopIfTrue="1" operator="equal">
      <formula>"E"</formula>
    </cfRule>
  </conditionalFormatting>
  <conditionalFormatting sqref="CK96:CO99">
    <cfRule type="cellIs" dxfId="5938" priority="800" stopIfTrue="1" operator="equal">
      <formula>"S"</formula>
    </cfRule>
  </conditionalFormatting>
  <conditionalFormatting sqref="CK96:CO99">
    <cfRule type="cellIs" dxfId="5937" priority="801" stopIfTrue="1" operator="equal">
      <formula>"M"</formula>
    </cfRule>
  </conditionalFormatting>
  <conditionalFormatting sqref="CK96:CO99">
    <cfRule type="cellIs" dxfId="5936" priority="802" stopIfTrue="1" operator="equal">
      <formula>"J"</formula>
    </cfRule>
  </conditionalFormatting>
  <conditionalFormatting sqref="CK96:CO99">
    <cfRule type="cellIs" dxfId="5935" priority="803" stopIfTrue="1" operator="equal">
      <formula>"O"</formula>
    </cfRule>
  </conditionalFormatting>
  <conditionalFormatting sqref="CK96:CO99">
    <cfRule type="expression" dxfId="5934" priority="804" stopIfTrue="1">
      <formula>LEN(TRIM(CK96))=0</formula>
    </cfRule>
  </conditionalFormatting>
  <conditionalFormatting sqref="CQ96:CU99">
    <cfRule type="cellIs" dxfId="5933" priority="805" stopIfTrue="1" operator="equal">
      <formula>"E"</formula>
    </cfRule>
  </conditionalFormatting>
  <conditionalFormatting sqref="CQ96:CU99">
    <cfRule type="cellIs" dxfId="5932" priority="806" stopIfTrue="1" operator="equal">
      <formula>"S"</formula>
    </cfRule>
  </conditionalFormatting>
  <conditionalFormatting sqref="CQ96:CU99">
    <cfRule type="cellIs" dxfId="5931" priority="807" stopIfTrue="1" operator="equal">
      <formula>"M"</formula>
    </cfRule>
  </conditionalFormatting>
  <conditionalFormatting sqref="CQ96:CU99">
    <cfRule type="cellIs" dxfId="5930" priority="808" stopIfTrue="1" operator="equal">
      <formula>"J"</formula>
    </cfRule>
  </conditionalFormatting>
  <conditionalFormatting sqref="CQ96:CU99">
    <cfRule type="cellIs" dxfId="5929" priority="809" stopIfTrue="1" operator="equal">
      <formula>"O"</formula>
    </cfRule>
  </conditionalFormatting>
  <conditionalFormatting sqref="CQ96:CU99">
    <cfRule type="expression" dxfId="5928" priority="810" stopIfTrue="1">
      <formula>LEN(TRIM(CQ96))=0</formula>
    </cfRule>
  </conditionalFormatting>
  <conditionalFormatting sqref="CW96:DA99">
    <cfRule type="cellIs" dxfId="5927" priority="811" stopIfTrue="1" operator="equal">
      <formula>"E"</formula>
    </cfRule>
  </conditionalFormatting>
  <conditionalFormatting sqref="CW96:DA99">
    <cfRule type="cellIs" dxfId="5926" priority="812" stopIfTrue="1" operator="equal">
      <formula>"S"</formula>
    </cfRule>
  </conditionalFormatting>
  <conditionalFormatting sqref="CW96:DA99">
    <cfRule type="cellIs" dxfId="5925" priority="813" stopIfTrue="1" operator="equal">
      <formula>"M"</formula>
    </cfRule>
  </conditionalFormatting>
  <conditionalFormatting sqref="CW96:DA99">
    <cfRule type="cellIs" dxfId="5924" priority="814" stopIfTrue="1" operator="equal">
      <formula>"J"</formula>
    </cfRule>
  </conditionalFormatting>
  <conditionalFormatting sqref="CW96:DA99">
    <cfRule type="cellIs" dxfId="5923" priority="815" stopIfTrue="1" operator="equal">
      <formula>"O"</formula>
    </cfRule>
  </conditionalFormatting>
  <conditionalFormatting sqref="CW96:DA99">
    <cfRule type="expression" dxfId="5922" priority="816" stopIfTrue="1">
      <formula>LEN(TRIM(CW96))=0</formula>
    </cfRule>
  </conditionalFormatting>
  <conditionalFormatting sqref="D102:K106">
    <cfRule type="cellIs" dxfId="5921" priority="817" stopIfTrue="1" operator="equal">
      <formula>"E"</formula>
    </cfRule>
  </conditionalFormatting>
  <conditionalFormatting sqref="D102:K106">
    <cfRule type="cellIs" dxfId="5920" priority="818" stopIfTrue="1" operator="equal">
      <formula>"S"</formula>
    </cfRule>
  </conditionalFormatting>
  <conditionalFormatting sqref="D102:K106">
    <cfRule type="cellIs" dxfId="5919" priority="819" stopIfTrue="1" operator="equal">
      <formula>"M"</formula>
    </cfRule>
  </conditionalFormatting>
  <conditionalFormatting sqref="D102:K106">
    <cfRule type="cellIs" dxfId="5918" priority="820" stopIfTrue="1" operator="equal">
      <formula>"J"</formula>
    </cfRule>
  </conditionalFormatting>
  <conditionalFormatting sqref="D102:K106">
    <cfRule type="cellIs" dxfId="5917" priority="821" stopIfTrue="1" operator="equal">
      <formula>"O"</formula>
    </cfRule>
  </conditionalFormatting>
  <conditionalFormatting sqref="D102:K106">
    <cfRule type="expression" dxfId="5916" priority="822" stopIfTrue="1">
      <formula>LEN(TRIM(D102))=0</formula>
    </cfRule>
  </conditionalFormatting>
  <conditionalFormatting sqref="D109:K109">
    <cfRule type="cellIs" dxfId="5915" priority="823" stopIfTrue="1" operator="equal">
      <formula>"E"</formula>
    </cfRule>
  </conditionalFormatting>
  <conditionalFormatting sqref="D109:K109">
    <cfRule type="cellIs" dxfId="5914" priority="824" stopIfTrue="1" operator="equal">
      <formula>"S"</formula>
    </cfRule>
  </conditionalFormatting>
  <conditionalFormatting sqref="D109:K109">
    <cfRule type="cellIs" dxfId="5913" priority="825" stopIfTrue="1" operator="equal">
      <formula>"M"</formula>
    </cfRule>
  </conditionalFormatting>
  <conditionalFormatting sqref="D109:K109">
    <cfRule type="cellIs" dxfId="5912" priority="826" stopIfTrue="1" operator="equal">
      <formula>"J"</formula>
    </cfRule>
  </conditionalFormatting>
  <conditionalFormatting sqref="D109:K109">
    <cfRule type="cellIs" dxfId="5911" priority="827" stopIfTrue="1" operator="equal">
      <formula>"O"</formula>
    </cfRule>
  </conditionalFormatting>
  <conditionalFormatting sqref="D109:K109">
    <cfRule type="expression" dxfId="5910" priority="828" stopIfTrue="1">
      <formula>LEN(TRIM(D109))=0</formula>
    </cfRule>
  </conditionalFormatting>
  <conditionalFormatting sqref="L102:O106">
    <cfRule type="cellIs" dxfId="5909" priority="829" stopIfTrue="1" operator="equal">
      <formula>"E"</formula>
    </cfRule>
  </conditionalFormatting>
  <conditionalFormatting sqref="L102:O106">
    <cfRule type="cellIs" dxfId="5908" priority="830" stopIfTrue="1" operator="equal">
      <formula>"S"</formula>
    </cfRule>
  </conditionalFormatting>
  <conditionalFormatting sqref="L102:O106">
    <cfRule type="cellIs" dxfId="5907" priority="831" stopIfTrue="1" operator="equal">
      <formula>"M"</formula>
    </cfRule>
  </conditionalFormatting>
  <conditionalFormatting sqref="L102:O106">
    <cfRule type="cellIs" dxfId="5906" priority="832" stopIfTrue="1" operator="equal">
      <formula>"J"</formula>
    </cfRule>
  </conditionalFormatting>
  <conditionalFormatting sqref="L102:O106">
    <cfRule type="cellIs" dxfId="5905" priority="833" stopIfTrue="1" operator="equal">
      <formula>"O"</formula>
    </cfRule>
  </conditionalFormatting>
  <conditionalFormatting sqref="L102:O106">
    <cfRule type="expression" dxfId="5904" priority="834" stopIfTrue="1">
      <formula>LEN(TRIM(L102))=0</formula>
    </cfRule>
  </conditionalFormatting>
  <conditionalFormatting sqref="L109:O109">
    <cfRule type="cellIs" dxfId="5903" priority="835" stopIfTrue="1" operator="equal">
      <formula>"E"</formula>
    </cfRule>
  </conditionalFormatting>
  <conditionalFormatting sqref="L109:O109">
    <cfRule type="cellIs" dxfId="5902" priority="836" stopIfTrue="1" operator="equal">
      <formula>"S"</formula>
    </cfRule>
  </conditionalFormatting>
  <conditionalFormatting sqref="L109:O109">
    <cfRule type="cellIs" dxfId="5901" priority="837" stopIfTrue="1" operator="equal">
      <formula>"M"</formula>
    </cfRule>
  </conditionalFormatting>
  <conditionalFormatting sqref="L109:O109">
    <cfRule type="cellIs" dxfId="5900" priority="838" stopIfTrue="1" operator="equal">
      <formula>"J"</formula>
    </cfRule>
  </conditionalFormatting>
  <conditionalFormatting sqref="L109:O109">
    <cfRule type="cellIs" dxfId="5899" priority="839" stopIfTrue="1" operator="equal">
      <formula>"O"</formula>
    </cfRule>
  </conditionalFormatting>
  <conditionalFormatting sqref="L109:O109">
    <cfRule type="expression" dxfId="5898" priority="840" stopIfTrue="1">
      <formula>LEN(TRIM(L109))=0</formula>
    </cfRule>
  </conditionalFormatting>
  <conditionalFormatting sqref="P102:AI106">
    <cfRule type="cellIs" dxfId="5897" priority="841" stopIfTrue="1" operator="equal">
      <formula>"E"</formula>
    </cfRule>
  </conditionalFormatting>
  <conditionalFormatting sqref="P102:AI106">
    <cfRule type="cellIs" dxfId="5896" priority="842" stopIfTrue="1" operator="equal">
      <formula>"S"</formula>
    </cfRule>
  </conditionalFormatting>
  <conditionalFormatting sqref="P102:AI106">
    <cfRule type="cellIs" dxfId="5895" priority="843" stopIfTrue="1" operator="equal">
      <formula>"M"</formula>
    </cfRule>
  </conditionalFormatting>
  <conditionalFormatting sqref="P102:AI106">
    <cfRule type="cellIs" dxfId="5894" priority="844" stopIfTrue="1" operator="equal">
      <formula>"J"</formula>
    </cfRule>
  </conditionalFormatting>
  <conditionalFormatting sqref="P102:AI106">
    <cfRule type="cellIs" dxfId="5893" priority="845" stopIfTrue="1" operator="equal">
      <formula>"O"</formula>
    </cfRule>
  </conditionalFormatting>
  <conditionalFormatting sqref="P102:AI106">
    <cfRule type="expression" dxfId="5892" priority="846" stopIfTrue="1">
      <formula>LEN(TRIM(P102))=0</formula>
    </cfRule>
  </conditionalFormatting>
  <conditionalFormatting sqref="P109:AI109">
    <cfRule type="cellIs" dxfId="5891" priority="847" stopIfTrue="1" operator="equal">
      <formula>"E"</formula>
    </cfRule>
  </conditionalFormatting>
  <conditionalFormatting sqref="P109:AI109">
    <cfRule type="cellIs" dxfId="5890" priority="848" stopIfTrue="1" operator="equal">
      <formula>"S"</formula>
    </cfRule>
  </conditionalFormatting>
  <conditionalFormatting sqref="P109:AI109">
    <cfRule type="cellIs" dxfId="5889" priority="849" stopIfTrue="1" operator="equal">
      <formula>"M"</formula>
    </cfRule>
  </conditionalFormatting>
  <conditionalFormatting sqref="P109:AI109">
    <cfRule type="cellIs" dxfId="5888" priority="850" stopIfTrue="1" operator="equal">
      <formula>"J"</formula>
    </cfRule>
  </conditionalFormatting>
  <conditionalFormatting sqref="P109:AI109">
    <cfRule type="cellIs" dxfId="5887" priority="851" stopIfTrue="1" operator="equal">
      <formula>"O"</formula>
    </cfRule>
  </conditionalFormatting>
  <conditionalFormatting sqref="P109:AI109">
    <cfRule type="expression" dxfId="5886" priority="852" stopIfTrue="1">
      <formula>LEN(TRIM(P109))=0</formula>
    </cfRule>
  </conditionalFormatting>
  <conditionalFormatting sqref="AJ102:AL106">
    <cfRule type="cellIs" dxfId="5885" priority="853" stopIfTrue="1" operator="equal">
      <formula>"E"</formula>
    </cfRule>
  </conditionalFormatting>
  <conditionalFormatting sqref="AJ102:AL106">
    <cfRule type="cellIs" dxfId="5884" priority="854" stopIfTrue="1" operator="equal">
      <formula>"S"</formula>
    </cfRule>
  </conditionalFormatting>
  <conditionalFormatting sqref="AJ102:AL106">
    <cfRule type="cellIs" dxfId="5883" priority="855" stopIfTrue="1" operator="equal">
      <formula>"M"</formula>
    </cfRule>
  </conditionalFormatting>
  <conditionalFormatting sqref="AJ102:AL106">
    <cfRule type="cellIs" dxfId="5882" priority="856" stopIfTrue="1" operator="equal">
      <formula>"J"</formula>
    </cfRule>
  </conditionalFormatting>
  <conditionalFormatting sqref="AJ102:AL106">
    <cfRule type="cellIs" dxfId="5881" priority="857" stopIfTrue="1" operator="equal">
      <formula>"O"</formula>
    </cfRule>
  </conditionalFormatting>
  <conditionalFormatting sqref="AJ102:AL106">
    <cfRule type="expression" dxfId="5880" priority="858" stopIfTrue="1">
      <formula>LEN(TRIM(AJ102))=0</formula>
    </cfRule>
  </conditionalFormatting>
  <conditionalFormatting sqref="AJ109:AL109">
    <cfRule type="cellIs" dxfId="5879" priority="859" stopIfTrue="1" operator="equal">
      <formula>"E"</formula>
    </cfRule>
  </conditionalFormatting>
  <conditionalFormatting sqref="AJ109:AL109">
    <cfRule type="cellIs" dxfId="5878" priority="860" stopIfTrue="1" operator="equal">
      <formula>"S"</formula>
    </cfRule>
  </conditionalFormatting>
  <conditionalFormatting sqref="AJ109:AL109">
    <cfRule type="cellIs" dxfId="5877" priority="861" stopIfTrue="1" operator="equal">
      <formula>"M"</formula>
    </cfRule>
  </conditionalFormatting>
  <conditionalFormatting sqref="AJ109:AL109">
    <cfRule type="cellIs" dxfId="5876" priority="862" stopIfTrue="1" operator="equal">
      <formula>"J"</formula>
    </cfRule>
  </conditionalFormatting>
  <conditionalFormatting sqref="AJ109:AL109">
    <cfRule type="cellIs" dxfId="5875" priority="863" stopIfTrue="1" operator="equal">
      <formula>"O"</formula>
    </cfRule>
  </conditionalFormatting>
  <conditionalFormatting sqref="AJ109:AL109">
    <cfRule type="expression" dxfId="5874" priority="864" stopIfTrue="1">
      <formula>LEN(TRIM(AJ109))=0</formula>
    </cfRule>
  </conditionalFormatting>
  <conditionalFormatting sqref="AM102:AO106">
    <cfRule type="cellIs" dxfId="5873" priority="865" stopIfTrue="1" operator="equal">
      <formula>"E"</formula>
    </cfRule>
  </conditionalFormatting>
  <conditionalFormatting sqref="AM102:AO106">
    <cfRule type="cellIs" dxfId="5872" priority="866" stopIfTrue="1" operator="equal">
      <formula>"S"</formula>
    </cfRule>
  </conditionalFormatting>
  <conditionalFormatting sqref="AM102:AO106">
    <cfRule type="cellIs" dxfId="5871" priority="867" stopIfTrue="1" operator="equal">
      <formula>"M"</formula>
    </cfRule>
  </conditionalFormatting>
  <conditionalFormatting sqref="AM102:AO106">
    <cfRule type="cellIs" dxfId="5870" priority="868" stopIfTrue="1" operator="equal">
      <formula>"J"</formula>
    </cfRule>
  </conditionalFormatting>
  <conditionalFormatting sqref="AM102:AO106">
    <cfRule type="cellIs" dxfId="5869" priority="869" stopIfTrue="1" operator="equal">
      <formula>"O"</formula>
    </cfRule>
  </conditionalFormatting>
  <conditionalFormatting sqref="AM102:AO106">
    <cfRule type="expression" dxfId="5868" priority="870" stopIfTrue="1">
      <formula>LEN(TRIM(AM102))=0</formula>
    </cfRule>
  </conditionalFormatting>
  <conditionalFormatting sqref="AM109:AO109">
    <cfRule type="cellIs" dxfId="5867" priority="871" stopIfTrue="1" operator="equal">
      <formula>"E"</formula>
    </cfRule>
  </conditionalFormatting>
  <conditionalFormatting sqref="AM109:AO109">
    <cfRule type="cellIs" dxfId="5866" priority="872" stopIfTrue="1" operator="equal">
      <formula>"S"</formula>
    </cfRule>
  </conditionalFormatting>
  <conditionalFormatting sqref="AM109:AO109">
    <cfRule type="cellIs" dxfId="5865" priority="873" stopIfTrue="1" operator="equal">
      <formula>"M"</formula>
    </cfRule>
  </conditionalFormatting>
  <conditionalFormatting sqref="AM109:AO109">
    <cfRule type="cellIs" dxfId="5864" priority="874" stopIfTrue="1" operator="equal">
      <formula>"J"</formula>
    </cfRule>
  </conditionalFormatting>
  <conditionalFormatting sqref="AM109:AO109">
    <cfRule type="cellIs" dxfId="5863" priority="875" stopIfTrue="1" operator="equal">
      <formula>"O"</formula>
    </cfRule>
  </conditionalFormatting>
  <conditionalFormatting sqref="AM109:AO109">
    <cfRule type="expression" dxfId="5862" priority="876" stopIfTrue="1">
      <formula>LEN(TRIM(AM109))=0</formula>
    </cfRule>
  </conditionalFormatting>
  <conditionalFormatting sqref="AP102:AT106">
    <cfRule type="cellIs" dxfId="5861" priority="877" stopIfTrue="1" operator="equal">
      <formula>"E"</formula>
    </cfRule>
  </conditionalFormatting>
  <conditionalFormatting sqref="AP102:AT106">
    <cfRule type="cellIs" dxfId="5860" priority="878" stopIfTrue="1" operator="equal">
      <formula>"S"</formula>
    </cfRule>
  </conditionalFormatting>
  <conditionalFormatting sqref="AP102:AT106">
    <cfRule type="cellIs" dxfId="5859" priority="879" stopIfTrue="1" operator="equal">
      <formula>"M"</formula>
    </cfRule>
  </conditionalFormatting>
  <conditionalFormatting sqref="AP102:AT106">
    <cfRule type="cellIs" dxfId="5858" priority="880" stopIfTrue="1" operator="equal">
      <formula>"J"</formula>
    </cfRule>
  </conditionalFormatting>
  <conditionalFormatting sqref="AP102:AT106">
    <cfRule type="cellIs" dxfId="5857" priority="881" stopIfTrue="1" operator="equal">
      <formula>"O"</formula>
    </cfRule>
  </conditionalFormatting>
  <conditionalFormatting sqref="AP102:AT106">
    <cfRule type="expression" dxfId="5856" priority="882" stopIfTrue="1">
      <formula>LEN(TRIM(AP102))=0</formula>
    </cfRule>
  </conditionalFormatting>
  <conditionalFormatting sqref="AP109:AT109">
    <cfRule type="cellIs" dxfId="5855" priority="883" stopIfTrue="1" operator="equal">
      <formula>"E"</formula>
    </cfRule>
  </conditionalFormatting>
  <conditionalFormatting sqref="AP109:AT109">
    <cfRule type="cellIs" dxfId="5854" priority="884" stopIfTrue="1" operator="equal">
      <formula>"S"</formula>
    </cfRule>
  </conditionalFormatting>
  <conditionalFormatting sqref="AP109:AT109">
    <cfRule type="cellIs" dxfId="5853" priority="885" stopIfTrue="1" operator="equal">
      <formula>"M"</formula>
    </cfRule>
  </conditionalFormatting>
  <conditionalFormatting sqref="AP109:AT109">
    <cfRule type="cellIs" dxfId="5852" priority="886" stopIfTrue="1" operator="equal">
      <formula>"J"</formula>
    </cfRule>
  </conditionalFormatting>
  <conditionalFormatting sqref="AP109:AT109">
    <cfRule type="cellIs" dxfId="5851" priority="887" stopIfTrue="1" operator="equal">
      <formula>"O"</formula>
    </cfRule>
  </conditionalFormatting>
  <conditionalFormatting sqref="AP109:AT109">
    <cfRule type="expression" dxfId="5850" priority="888" stopIfTrue="1">
      <formula>LEN(TRIM(AP109))=0</formula>
    </cfRule>
  </conditionalFormatting>
  <conditionalFormatting sqref="AU102:BB106">
    <cfRule type="cellIs" dxfId="5849" priority="889" stopIfTrue="1" operator="equal">
      <formula>"E"</formula>
    </cfRule>
  </conditionalFormatting>
  <conditionalFormatting sqref="AU102:BB106">
    <cfRule type="cellIs" dxfId="5848" priority="890" stopIfTrue="1" operator="equal">
      <formula>"S"</formula>
    </cfRule>
  </conditionalFormatting>
  <conditionalFormatting sqref="AU102:BB106">
    <cfRule type="cellIs" dxfId="5847" priority="891" stopIfTrue="1" operator="equal">
      <formula>"M"</formula>
    </cfRule>
  </conditionalFormatting>
  <conditionalFormatting sqref="AU102:BB106">
    <cfRule type="cellIs" dxfId="5846" priority="892" stopIfTrue="1" operator="equal">
      <formula>"J"</formula>
    </cfRule>
  </conditionalFormatting>
  <conditionalFormatting sqref="AU102:BB106">
    <cfRule type="cellIs" dxfId="5845" priority="893" stopIfTrue="1" operator="equal">
      <formula>"O"</formula>
    </cfRule>
  </conditionalFormatting>
  <conditionalFormatting sqref="AU102:BB106">
    <cfRule type="expression" dxfId="5844" priority="894" stopIfTrue="1">
      <formula>LEN(TRIM(AU102))=0</formula>
    </cfRule>
  </conditionalFormatting>
  <conditionalFormatting sqref="AU109:BB109">
    <cfRule type="cellIs" dxfId="5843" priority="895" stopIfTrue="1" operator="equal">
      <formula>"E"</formula>
    </cfRule>
  </conditionalFormatting>
  <conditionalFormatting sqref="AU109:BB109">
    <cfRule type="cellIs" dxfId="5842" priority="896" stopIfTrue="1" operator="equal">
      <formula>"S"</formula>
    </cfRule>
  </conditionalFormatting>
  <conditionalFormatting sqref="AU109:BB109">
    <cfRule type="cellIs" dxfId="5841" priority="897" stopIfTrue="1" operator="equal">
      <formula>"M"</formula>
    </cfRule>
  </conditionalFormatting>
  <conditionalFormatting sqref="AU109:BB109">
    <cfRule type="cellIs" dxfId="5840" priority="898" stopIfTrue="1" operator="equal">
      <formula>"J"</formula>
    </cfRule>
  </conditionalFormatting>
  <conditionalFormatting sqref="AU109:BB109">
    <cfRule type="cellIs" dxfId="5839" priority="899" stopIfTrue="1" operator="equal">
      <formula>"O"</formula>
    </cfRule>
  </conditionalFormatting>
  <conditionalFormatting sqref="AU109:BB109">
    <cfRule type="expression" dxfId="5838" priority="900" stopIfTrue="1">
      <formula>LEN(TRIM(AU109))=0</formula>
    </cfRule>
  </conditionalFormatting>
  <conditionalFormatting sqref="BC102:BG106">
    <cfRule type="cellIs" dxfId="5837" priority="901" stopIfTrue="1" operator="equal">
      <formula>"E"</formula>
    </cfRule>
  </conditionalFormatting>
  <conditionalFormatting sqref="BC102:BG106">
    <cfRule type="cellIs" dxfId="5836" priority="902" stopIfTrue="1" operator="equal">
      <formula>"S"</formula>
    </cfRule>
  </conditionalFormatting>
  <conditionalFormatting sqref="BC102:BG106">
    <cfRule type="cellIs" dxfId="5835" priority="903" stopIfTrue="1" operator="equal">
      <formula>"M"</formula>
    </cfRule>
  </conditionalFormatting>
  <conditionalFormatting sqref="BC102:BG106">
    <cfRule type="cellIs" dxfId="5834" priority="904" stopIfTrue="1" operator="equal">
      <formula>"J"</formula>
    </cfRule>
  </conditionalFormatting>
  <conditionalFormatting sqref="BC102:BG106">
    <cfRule type="cellIs" dxfId="5833" priority="905" stopIfTrue="1" operator="equal">
      <formula>"O"</formula>
    </cfRule>
  </conditionalFormatting>
  <conditionalFormatting sqref="BC102:BG106">
    <cfRule type="expression" dxfId="5832" priority="906" stopIfTrue="1">
      <formula>LEN(TRIM(BC102))=0</formula>
    </cfRule>
  </conditionalFormatting>
  <conditionalFormatting sqref="BC109:BG109">
    <cfRule type="cellIs" dxfId="5831" priority="907" stopIfTrue="1" operator="equal">
      <formula>"E"</formula>
    </cfRule>
  </conditionalFormatting>
  <conditionalFormatting sqref="BC109:BG109">
    <cfRule type="cellIs" dxfId="5830" priority="908" stopIfTrue="1" operator="equal">
      <formula>"S"</formula>
    </cfRule>
  </conditionalFormatting>
  <conditionalFormatting sqref="BC109:BG109">
    <cfRule type="cellIs" dxfId="5829" priority="909" stopIfTrue="1" operator="equal">
      <formula>"M"</formula>
    </cfRule>
  </conditionalFormatting>
  <conditionalFormatting sqref="BC109:BG109">
    <cfRule type="cellIs" dxfId="5828" priority="910" stopIfTrue="1" operator="equal">
      <formula>"J"</formula>
    </cfRule>
  </conditionalFormatting>
  <conditionalFormatting sqref="BC109:BG109">
    <cfRule type="cellIs" dxfId="5827" priority="911" stopIfTrue="1" operator="equal">
      <formula>"O"</formula>
    </cfRule>
  </conditionalFormatting>
  <conditionalFormatting sqref="BC109:BG109">
    <cfRule type="expression" dxfId="5826" priority="912" stopIfTrue="1">
      <formula>LEN(TRIM(BC109))=0</formula>
    </cfRule>
  </conditionalFormatting>
  <conditionalFormatting sqref="BH102:BJ106">
    <cfRule type="cellIs" dxfId="5825" priority="913" stopIfTrue="1" operator="equal">
      <formula>"E"</formula>
    </cfRule>
  </conditionalFormatting>
  <conditionalFormatting sqref="BH102:BJ106">
    <cfRule type="cellIs" dxfId="5824" priority="914" stopIfTrue="1" operator="equal">
      <formula>"S"</formula>
    </cfRule>
  </conditionalFormatting>
  <conditionalFormatting sqref="BH102:BJ106">
    <cfRule type="cellIs" dxfId="5823" priority="915" stopIfTrue="1" operator="equal">
      <formula>"M"</formula>
    </cfRule>
  </conditionalFormatting>
  <conditionalFormatting sqref="BH102:BJ106">
    <cfRule type="cellIs" dxfId="5822" priority="916" stopIfTrue="1" operator="equal">
      <formula>"J"</formula>
    </cfRule>
  </conditionalFormatting>
  <conditionalFormatting sqref="BH102:BJ106">
    <cfRule type="cellIs" dxfId="5821" priority="917" stopIfTrue="1" operator="equal">
      <formula>"O"</formula>
    </cfRule>
  </conditionalFormatting>
  <conditionalFormatting sqref="BH102:BJ106">
    <cfRule type="expression" dxfId="5820" priority="918" stopIfTrue="1">
      <formula>LEN(TRIM(BH102))=0</formula>
    </cfRule>
  </conditionalFormatting>
  <conditionalFormatting sqref="BH109:BJ109">
    <cfRule type="cellIs" dxfId="5819" priority="919" stopIfTrue="1" operator="equal">
      <formula>"E"</formula>
    </cfRule>
  </conditionalFormatting>
  <conditionalFormatting sqref="BH109:BJ109">
    <cfRule type="cellIs" dxfId="5818" priority="920" stopIfTrue="1" operator="equal">
      <formula>"S"</formula>
    </cfRule>
  </conditionalFormatting>
  <conditionalFormatting sqref="BH109:BJ109">
    <cfRule type="cellIs" dxfId="5817" priority="921" stopIfTrue="1" operator="equal">
      <formula>"M"</formula>
    </cfRule>
  </conditionalFormatting>
  <conditionalFormatting sqref="BH109:BJ109">
    <cfRule type="cellIs" dxfId="5816" priority="922" stopIfTrue="1" operator="equal">
      <formula>"J"</formula>
    </cfRule>
  </conditionalFormatting>
  <conditionalFormatting sqref="BH109:BJ109">
    <cfRule type="cellIs" dxfId="5815" priority="923" stopIfTrue="1" operator="equal">
      <formula>"O"</formula>
    </cfRule>
  </conditionalFormatting>
  <conditionalFormatting sqref="BH109:BJ109">
    <cfRule type="expression" dxfId="5814" priority="924" stopIfTrue="1">
      <formula>LEN(TRIM(BH109))=0</formula>
    </cfRule>
  </conditionalFormatting>
  <conditionalFormatting sqref="BK102:BN106">
    <cfRule type="cellIs" dxfId="5813" priority="925" stopIfTrue="1" operator="equal">
      <formula>"E"</formula>
    </cfRule>
  </conditionalFormatting>
  <conditionalFormatting sqref="BK102:BN106">
    <cfRule type="cellIs" dxfId="5812" priority="926" stopIfTrue="1" operator="equal">
      <formula>"S"</formula>
    </cfRule>
  </conditionalFormatting>
  <conditionalFormatting sqref="BK102:BN106">
    <cfRule type="cellIs" dxfId="5811" priority="927" stopIfTrue="1" operator="equal">
      <formula>"M"</formula>
    </cfRule>
  </conditionalFormatting>
  <conditionalFormatting sqref="BK102:BN106">
    <cfRule type="cellIs" dxfId="5810" priority="928" stopIfTrue="1" operator="equal">
      <formula>"J"</formula>
    </cfRule>
  </conditionalFormatting>
  <conditionalFormatting sqref="BK102:BN106">
    <cfRule type="cellIs" dxfId="5809" priority="929" stopIfTrue="1" operator="equal">
      <formula>"O"</formula>
    </cfRule>
  </conditionalFormatting>
  <conditionalFormatting sqref="BK102:BN106">
    <cfRule type="expression" dxfId="5808" priority="930" stopIfTrue="1">
      <formula>LEN(TRIM(BK102))=0</formula>
    </cfRule>
  </conditionalFormatting>
  <conditionalFormatting sqref="BK109:BN109">
    <cfRule type="cellIs" dxfId="5807" priority="931" stopIfTrue="1" operator="equal">
      <formula>"E"</formula>
    </cfRule>
  </conditionalFormatting>
  <conditionalFormatting sqref="BK109:BN109">
    <cfRule type="cellIs" dxfId="5806" priority="932" stopIfTrue="1" operator="equal">
      <formula>"S"</formula>
    </cfRule>
  </conditionalFormatting>
  <conditionalFormatting sqref="BK109:BN109">
    <cfRule type="cellIs" dxfId="5805" priority="933" stopIfTrue="1" operator="equal">
      <formula>"M"</formula>
    </cfRule>
  </conditionalFormatting>
  <conditionalFormatting sqref="BK109:BN109">
    <cfRule type="cellIs" dxfId="5804" priority="934" stopIfTrue="1" operator="equal">
      <formula>"J"</formula>
    </cfRule>
  </conditionalFormatting>
  <conditionalFormatting sqref="BK109:BN109">
    <cfRule type="cellIs" dxfId="5803" priority="935" stopIfTrue="1" operator="equal">
      <formula>"O"</formula>
    </cfRule>
  </conditionalFormatting>
  <conditionalFormatting sqref="BK109:BN109">
    <cfRule type="expression" dxfId="5802" priority="936" stopIfTrue="1">
      <formula>LEN(TRIM(BK109))=0</formula>
    </cfRule>
  </conditionalFormatting>
  <conditionalFormatting sqref="BO102:BV106">
    <cfRule type="cellIs" dxfId="5801" priority="937" stopIfTrue="1" operator="equal">
      <formula>"E"</formula>
    </cfRule>
  </conditionalFormatting>
  <conditionalFormatting sqref="BO102:BV106">
    <cfRule type="cellIs" dxfId="5800" priority="938" stopIfTrue="1" operator="equal">
      <formula>"S"</formula>
    </cfRule>
  </conditionalFormatting>
  <conditionalFormatting sqref="BO102:BV106">
    <cfRule type="cellIs" dxfId="5799" priority="939" stopIfTrue="1" operator="equal">
      <formula>"M"</formula>
    </cfRule>
  </conditionalFormatting>
  <conditionalFormatting sqref="BO102:BV106">
    <cfRule type="cellIs" dxfId="5798" priority="940" stopIfTrue="1" operator="equal">
      <formula>"J"</formula>
    </cfRule>
  </conditionalFormatting>
  <conditionalFormatting sqref="BO102:BV106">
    <cfRule type="cellIs" dxfId="5797" priority="941" stopIfTrue="1" operator="equal">
      <formula>"O"</formula>
    </cfRule>
  </conditionalFormatting>
  <conditionalFormatting sqref="BO102:BV106">
    <cfRule type="expression" dxfId="5796" priority="942" stopIfTrue="1">
      <formula>LEN(TRIM(BO102))=0</formula>
    </cfRule>
  </conditionalFormatting>
  <conditionalFormatting sqref="BO109:BV109">
    <cfRule type="cellIs" dxfId="5795" priority="943" stopIfTrue="1" operator="equal">
      <formula>"E"</formula>
    </cfRule>
  </conditionalFormatting>
  <conditionalFormatting sqref="BO109:BV109">
    <cfRule type="cellIs" dxfId="5794" priority="944" stopIfTrue="1" operator="equal">
      <formula>"S"</formula>
    </cfRule>
  </conditionalFormatting>
  <conditionalFormatting sqref="BO109:BV109">
    <cfRule type="cellIs" dxfId="5793" priority="945" stopIfTrue="1" operator="equal">
      <formula>"M"</formula>
    </cfRule>
  </conditionalFormatting>
  <conditionalFormatting sqref="BO109:BV109">
    <cfRule type="cellIs" dxfId="5792" priority="946" stopIfTrue="1" operator="equal">
      <formula>"J"</formula>
    </cfRule>
  </conditionalFormatting>
  <conditionalFormatting sqref="BO109:BV109">
    <cfRule type="cellIs" dxfId="5791" priority="947" stopIfTrue="1" operator="equal">
      <formula>"O"</formula>
    </cfRule>
  </conditionalFormatting>
  <conditionalFormatting sqref="BO109:BV109">
    <cfRule type="expression" dxfId="5790" priority="948" stopIfTrue="1">
      <formula>LEN(TRIM(BO109))=0</formula>
    </cfRule>
  </conditionalFormatting>
  <conditionalFormatting sqref="BW102:CB106">
    <cfRule type="cellIs" dxfId="5789" priority="949" stopIfTrue="1" operator="equal">
      <formula>"E"</formula>
    </cfRule>
  </conditionalFormatting>
  <conditionalFormatting sqref="BW102:CB106">
    <cfRule type="cellIs" dxfId="5788" priority="950" stopIfTrue="1" operator="equal">
      <formula>"S"</formula>
    </cfRule>
  </conditionalFormatting>
  <conditionalFormatting sqref="BW102:CB106">
    <cfRule type="cellIs" dxfId="5787" priority="951" stopIfTrue="1" operator="equal">
      <formula>"M"</formula>
    </cfRule>
  </conditionalFormatting>
  <conditionalFormatting sqref="BW102:CB106">
    <cfRule type="cellIs" dxfId="5786" priority="952" stopIfTrue="1" operator="equal">
      <formula>"J"</formula>
    </cfRule>
  </conditionalFormatting>
  <conditionalFormatting sqref="BW102:CB106">
    <cfRule type="cellIs" dxfId="5785" priority="953" stopIfTrue="1" operator="equal">
      <formula>"O"</formula>
    </cfRule>
  </conditionalFormatting>
  <conditionalFormatting sqref="BW102:CB106">
    <cfRule type="expression" dxfId="5784" priority="954" stopIfTrue="1">
      <formula>LEN(TRIM(BW102))=0</formula>
    </cfRule>
  </conditionalFormatting>
  <conditionalFormatting sqref="BW109:CB109">
    <cfRule type="cellIs" dxfId="5783" priority="955" stopIfTrue="1" operator="equal">
      <formula>"E"</formula>
    </cfRule>
  </conditionalFormatting>
  <conditionalFormatting sqref="BW109:CB109">
    <cfRule type="cellIs" dxfId="5782" priority="956" stopIfTrue="1" operator="equal">
      <formula>"S"</formula>
    </cfRule>
  </conditionalFormatting>
  <conditionalFormatting sqref="BW109:CB109">
    <cfRule type="cellIs" dxfId="5781" priority="957" stopIfTrue="1" operator="equal">
      <formula>"M"</formula>
    </cfRule>
  </conditionalFormatting>
  <conditionalFormatting sqref="BW109:CB109">
    <cfRule type="cellIs" dxfId="5780" priority="958" stopIfTrue="1" operator="equal">
      <formula>"J"</formula>
    </cfRule>
  </conditionalFormatting>
  <conditionalFormatting sqref="BW109:CB109">
    <cfRule type="cellIs" dxfId="5779" priority="959" stopIfTrue="1" operator="equal">
      <formula>"O"</formula>
    </cfRule>
  </conditionalFormatting>
  <conditionalFormatting sqref="BW109:CB109">
    <cfRule type="expression" dxfId="5778" priority="960" stopIfTrue="1">
      <formula>LEN(TRIM(BW109))=0</formula>
    </cfRule>
  </conditionalFormatting>
  <conditionalFormatting sqref="CC102:CE106">
    <cfRule type="cellIs" dxfId="5777" priority="961" stopIfTrue="1" operator="equal">
      <formula>"E"</formula>
    </cfRule>
  </conditionalFormatting>
  <conditionalFormatting sqref="CC102:CE106">
    <cfRule type="cellIs" dxfId="5776" priority="962" stopIfTrue="1" operator="equal">
      <formula>"S"</formula>
    </cfRule>
  </conditionalFormatting>
  <conditionalFormatting sqref="CC102:CE106">
    <cfRule type="cellIs" dxfId="5775" priority="963" stopIfTrue="1" operator="equal">
      <formula>"M"</formula>
    </cfRule>
  </conditionalFormatting>
  <conditionalFormatting sqref="CC102:CE106">
    <cfRule type="cellIs" dxfId="5774" priority="964" stopIfTrue="1" operator="equal">
      <formula>"J"</formula>
    </cfRule>
  </conditionalFormatting>
  <conditionalFormatting sqref="CC102:CE106">
    <cfRule type="cellIs" dxfId="5773" priority="965" stopIfTrue="1" operator="equal">
      <formula>"O"</formula>
    </cfRule>
  </conditionalFormatting>
  <conditionalFormatting sqref="CC102:CE106">
    <cfRule type="expression" dxfId="5772" priority="966" stopIfTrue="1">
      <formula>LEN(TRIM(CC102))=0</formula>
    </cfRule>
  </conditionalFormatting>
  <conditionalFormatting sqref="CC109:CE109">
    <cfRule type="cellIs" dxfId="5771" priority="967" stopIfTrue="1" operator="equal">
      <formula>"E"</formula>
    </cfRule>
  </conditionalFormatting>
  <conditionalFormatting sqref="CC109:CE109">
    <cfRule type="cellIs" dxfId="5770" priority="968" stopIfTrue="1" operator="equal">
      <formula>"S"</formula>
    </cfRule>
  </conditionalFormatting>
  <conditionalFormatting sqref="CC109:CE109">
    <cfRule type="cellIs" dxfId="5769" priority="969" stopIfTrue="1" operator="equal">
      <formula>"M"</formula>
    </cfRule>
  </conditionalFormatting>
  <conditionalFormatting sqref="CC109:CE109">
    <cfRule type="cellIs" dxfId="5768" priority="970" stopIfTrue="1" operator="equal">
      <formula>"J"</formula>
    </cfRule>
  </conditionalFormatting>
  <conditionalFormatting sqref="CC109:CE109">
    <cfRule type="cellIs" dxfId="5767" priority="971" stopIfTrue="1" operator="equal">
      <formula>"O"</formula>
    </cfRule>
  </conditionalFormatting>
  <conditionalFormatting sqref="CC109:CE109">
    <cfRule type="expression" dxfId="5766" priority="972" stopIfTrue="1">
      <formula>LEN(TRIM(CC109))=0</formula>
    </cfRule>
  </conditionalFormatting>
  <conditionalFormatting sqref="CF102:CI106">
    <cfRule type="cellIs" dxfId="5765" priority="973" stopIfTrue="1" operator="equal">
      <formula>"E"</formula>
    </cfRule>
  </conditionalFormatting>
  <conditionalFormatting sqref="CF102:CI106">
    <cfRule type="cellIs" dxfId="5764" priority="974" stopIfTrue="1" operator="equal">
      <formula>"S"</formula>
    </cfRule>
  </conditionalFormatting>
  <conditionalFormatting sqref="CF102:CI106">
    <cfRule type="cellIs" dxfId="5763" priority="975" stopIfTrue="1" operator="equal">
      <formula>"M"</formula>
    </cfRule>
  </conditionalFormatting>
  <conditionalFormatting sqref="CF102:CI106">
    <cfRule type="cellIs" dxfId="5762" priority="976" stopIfTrue="1" operator="equal">
      <formula>"J"</formula>
    </cfRule>
  </conditionalFormatting>
  <conditionalFormatting sqref="CF102:CI106">
    <cfRule type="cellIs" dxfId="5761" priority="977" stopIfTrue="1" operator="equal">
      <formula>"O"</formula>
    </cfRule>
  </conditionalFormatting>
  <conditionalFormatting sqref="CF102:CI106">
    <cfRule type="expression" dxfId="5760" priority="978" stopIfTrue="1">
      <formula>LEN(TRIM(CF102))=0</formula>
    </cfRule>
  </conditionalFormatting>
  <conditionalFormatting sqref="CF109:CI109">
    <cfRule type="cellIs" dxfId="5759" priority="979" stopIfTrue="1" operator="equal">
      <formula>"E"</formula>
    </cfRule>
  </conditionalFormatting>
  <conditionalFormatting sqref="CF109:CI109">
    <cfRule type="cellIs" dxfId="5758" priority="980" stopIfTrue="1" operator="equal">
      <formula>"S"</formula>
    </cfRule>
  </conditionalFormatting>
  <conditionalFormatting sqref="CF109:CI109">
    <cfRule type="cellIs" dxfId="5757" priority="981" stopIfTrue="1" operator="equal">
      <formula>"M"</formula>
    </cfRule>
  </conditionalFormatting>
  <conditionalFormatting sqref="CF109:CI109">
    <cfRule type="cellIs" dxfId="5756" priority="982" stopIfTrue="1" operator="equal">
      <formula>"J"</formula>
    </cfRule>
  </conditionalFormatting>
  <conditionalFormatting sqref="CF109:CI109">
    <cfRule type="cellIs" dxfId="5755" priority="983" stopIfTrue="1" operator="equal">
      <formula>"O"</formula>
    </cfRule>
  </conditionalFormatting>
  <conditionalFormatting sqref="CF109:CI109">
    <cfRule type="expression" dxfId="5754" priority="984" stopIfTrue="1">
      <formula>LEN(TRIM(CF109))=0</formula>
    </cfRule>
  </conditionalFormatting>
  <conditionalFormatting sqref="D3:CI3">
    <cfRule type="cellIs" dxfId="5753" priority="985" stopIfTrue="1" operator="equal">
      <formula>"e"</formula>
    </cfRule>
  </conditionalFormatting>
  <conditionalFormatting sqref="D3:CI3">
    <cfRule type="cellIs" dxfId="5752" priority="986" stopIfTrue="1" operator="equal">
      <formula>"i"</formula>
    </cfRule>
  </conditionalFormatting>
  <pageMargins left="0.7" right="0.7" top="0.75" bottom="0.75" header="0.3" footer="0.3"/>
  <drawing r:id="rId1"/>
  <legacyDrawing r:id="rId2"/>
  <controls>
    <mc:AlternateContent xmlns:mc="http://schemas.openxmlformats.org/markup-compatibility/2006">
      <mc:Choice Requires="x14">
        <control shapeId="45057" r:id="rId3" name="butEdit">
          <controlPr defaultSize="0" autoLine="0" r:id="rId4">
            <anchor moveWithCells="1">
              <from>
                <xdr:col>2</xdr:col>
                <xdr:colOff>66675</xdr:colOff>
                <xdr:row>1</xdr:row>
                <xdr:rowOff>1143000</xdr:rowOff>
              </from>
              <to>
                <xdr:col>2</xdr:col>
                <xdr:colOff>1714500</xdr:colOff>
                <xdr:row>1</xdr:row>
                <xdr:rowOff>1600200</xdr:rowOff>
              </to>
            </anchor>
          </controlPr>
        </control>
      </mc:Choice>
      <mc:Fallback>
        <control shapeId="45057" r:id="rId3" name="butEdit"/>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A102"/>
  <sheetViews>
    <sheetView showGridLines="0" zoomScale="110" zoomScaleNormal="110" workbookViewId="0">
      <pane xSplit="3" ySplit="2" topLeftCell="D3" activePane="bottomRight" state="frozenSplit"/>
      <selection pane="topRight" activeCell="D1" sqref="D1"/>
      <selection pane="bottomLeft" activeCell="A3" sqref="A3"/>
      <selection pane="bottomRight" activeCell="D3" sqref="D3"/>
    </sheetView>
  </sheetViews>
  <sheetFormatPr defaultRowHeight="15" x14ac:dyDescent="0.25"/>
  <cols>
    <col min="2" max="2" width="6.5703125" customWidth="1"/>
    <col min="3" max="3" width="31.7109375" customWidth="1"/>
    <col min="4" max="73" width="3.85546875" customWidth="1"/>
    <col min="74" max="74" width="2.5703125" customWidth="1"/>
    <col min="75" max="79" width="3.85546875" customWidth="1"/>
  </cols>
  <sheetData>
    <row r="1" spans="1:79" ht="37.5" customHeight="1" thickTop="1" thickBot="1" x14ac:dyDescent="0.3">
      <c r="A1" s="424" t="s">
        <v>224</v>
      </c>
      <c r="B1" s="424"/>
      <c r="C1" s="425"/>
      <c r="D1" s="431" t="s">
        <v>230</v>
      </c>
      <c r="E1" s="432"/>
      <c r="F1" s="432"/>
      <c r="G1" s="432"/>
      <c r="H1" s="432"/>
      <c r="I1" s="431" t="s">
        <v>231</v>
      </c>
      <c r="J1" s="432"/>
      <c r="K1" s="432"/>
      <c r="L1" s="432"/>
      <c r="M1" s="432"/>
      <c r="N1" s="431" t="s">
        <v>232</v>
      </c>
      <c r="O1" s="432"/>
      <c r="P1" s="432"/>
      <c r="Q1" s="432"/>
      <c r="R1" s="432"/>
      <c r="S1" s="431" t="s">
        <v>233</v>
      </c>
      <c r="T1" s="432"/>
      <c r="U1" s="432"/>
      <c r="V1" s="432"/>
      <c r="W1" s="432"/>
      <c r="X1" s="431" t="s">
        <v>234</v>
      </c>
      <c r="Y1" s="432"/>
      <c r="Z1" s="432"/>
      <c r="AA1" s="432"/>
      <c r="AB1" s="432"/>
      <c r="AC1" s="431" t="s">
        <v>235</v>
      </c>
      <c r="AD1" s="432"/>
      <c r="AE1" s="432"/>
      <c r="AF1" s="432"/>
      <c r="AG1" s="432"/>
      <c r="AH1" s="431" t="s">
        <v>1</v>
      </c>
      <c r="AI1" s="432"/>
      <c r="AJ1" s="432"/>
      <c r="AK1" s="432"/>
      <c r="AL1" s="432"/>
      <c r="AM1" s="431" t="s">
        <v>131</v>
      </c>
      <c r="AN1" s="432"/>
      <c r="AO1" s="432"/>
      <c r="AP1" s="432"/>
      <c r="AQ1" s="432"/>
      <c r="AR1" s="431" t="s">
        <v>3</v>
      </c>
      <c r="AS1" s="432"/>
      <c r="AT1" s="432"/>
      <c r="AU1" s="432"/>
      <c r="AV1" s="432"/>
      <c r="AW1" s="431" t="s">
        <v>4</v>
      </c>
      <c r="AX1" s="432"/>
      <c r="AY1" s="432"/>
      <c r="AZ1" s="432"/>
      <c r="BA1" s="432"/>
      <c r="BB1" s="431" t="s">
        <v>5</v>
      </c>
      <c r="BC1" s="432"/>
      <c r="BD1" s="432"/>
      <c r="BE1" s="432"/>
      <c r="BF1" s="432"/>
      <c r="BG1" s="431" t="s">
        <v>6</v>
      </c>
      <c r="BH1" s="432"/>
      <c r="BI1" s="432"/>
      <c r="BJ1" s="432"/>
      <c r="BK1" s="432"/>
      <c r="BL1" s="431" t="s">
        <v>135</v>
      </c>
      <c r="BM1" s="432"/>
      <c r="BN1" s="432"/>
      <c r="BO1" s="432"/>
      <c r="BP1" s="432"/>
      <c r="BQ1" s="431" t="s">
        <v>236</v>
      </c>
      <c r="BR1" s="432"/>
      <c r="BS1" s="432"/>
      <c r="BT1" s="432"/>
      <c r="BU1" s="433"/>
      <c r="BW1" s="431" t="s">
        <v>306</v>
      </c>
      <c r="BX1" s="432"/>
      <c r="BY1" s="432"/>
      <c r="BZ1" s="432"/>
      <c r="CA1" s="433"/>
    </row>
    <row r="2" spans="1:79" ht="128.1" customHeight="1" thickTop="1" thickBot="1" x14ac:dyDescent="0.3">
      <c r="A2" s="124"/>
      <c r="B2" s="5"/>
      <c r="C2" s="231" t="s">
        <v>216</v>
      </c>
      <c r="D2" s="323" t="s">
        <v>217</v>
      </c>
      <c r="E2" s="324" t="s">
        <v>218</v>
      </c>
      <c r="F2" s="325" t="s">
        <v>219</v>
      </c>
      <c r="G2" s="326" t="s">
        <v>220</v>
      </c>
      <c r="H2" s="328" t="s">
        <v>221</v>
      </c>
      <c r="I2" s="323" t="s">
        <v>217</v>
      </c>
      <c r="J2" s="324" t="s">
        <v>218</v>
      </c>
      <c r="K2" s="325" t="s">
        <v>219</v>
      </c>
      <c r="L2" s="326" t="s">
        <v>220</v>
      </c>
      <c r="M2" s="328" t="s">
        <v>221</v>
      </c>
      <c r="N2" s="323" t="s">
        <v>217</v>
      </c>
      <c r="O2" s="324" t="s">
        <v>218</v>
      </c>
      <c r="P2" s="325" t="s">
        <v>219</v>
      </c>
      <c r="Q2" s="326" t="s">
        <v>220</v>
      </c>
      <c r="R2" s="328" t="s">
        <v>221</v>
      </c>
      <c r="S2" s="323" t="s">
        <v>217</v>
      </c>
      <c r="T2" s="324" t="s">
        <v>218</v>
      </c>
      <c r="U2" s="325" t="s">
        <v>219</v>
      </c>
      <c r="V2" s="326" t="s">
        <v>220</v>
      </c>
      <c r="W2" s="328" t="s">
        <v>221</v>
      </c>
      <c r="X2" s="323" t="s">
        <v>217</v>
      </c>
      <c r="Y2" s="324" t="s">
        <v>218</v>
      </c>
      <c r="Z2" s="325" t="s">
        <v>219</v>
      </c>
      <c r="AA2" s="326" t="s">
        <v>220</v>
      </c>
      <c r="AB2" s="328" t="s">
        <v>221</v>
      </c>
      <c r="AC2" s="323" t="s">
        <v>217</v>
      </c>
      <c r="AD2" s="324" t="s">
        <v>218</v>
      </c>
      <c r="AE2" s="325" t="s">
        <v>219</v>
      </c>
      <c r="AF2" s="326" t="s">
        <v>220</v>
      </c>
      <c r="AG2" s="328" t="s">
        <v>221</v>
      </c>
      <c r="AH2" s="323" t="s">
        <v>217</v>
      </c>
      <c r="AI2" s="324" t="s">
        <v>218</v>
      </c>
      <c r="AJ2" s="325" t="s">
        <v>219</v>
      </c>
      <c r="AK2" s="326" t="s">
        <v>220</v>
      </c>
      <c r="AL2" s="328" t="s">
        <v>221</v>
      </c>
      <c r="AM2" s="323" t="s">
        <v>217</v>
      </c>
      <c r="AN2" s="324" t="s">
        <v>218</v>
      </c>
      <c r="AO2" s="325" t="s">
        <v>219</v>
      </c>
      <c r="AP2" s="326" t="s">
        <v>220</v>
      </c>
      <c r="AQ2" s="328" t="s">
        <v>221</v>
      </c>
      <c r="AR2" s="323" t="s">
        <v>217</v>
      </c>
      <c r="AS2" s="324" t="s">
        <v>218</v>
      </c>
      <c r="AT2" s="325" t="s">
        <v>219</v>
      </c>
      <c r="AU2" s="326" t="s">
        <v>220</v>
      </c>
      <c r="AV2" s="328" t="s">
        <v>221</v>
      </c>
      <c r="AW2" s="323" t="s">
        <v>217</v>
      </c>
      <c r="AX2" s="324" t="s">
        <v>218</v>
      </c>
      <c r="AY2" s="325" t="s">
        <v>219</v>
      </c>
      <c r="AZ2" s="326" t="s">
        <v>220</v>
      </c>
      <c r="BA2" s="328" t="s">
        <v>221</v>
      </c>
      <c r="BB2" s="323" t="s">
        <v>217</v>
      </c>
      <c r="BC2" s="324" t="s">
        <v>218</v>
      </c>
      <c r="BD2" s="325" t="s">
        <v>219</v>
      </c>
      <c r="BE2" s="326" t="s">
        <v>220</v>
      </c>
      <c r="BF2" s="328" t="s">
        <v>221</v>
      </c>
      <c r="BG2" s="323" t="s">
        <v>217</v>
      </c>
      <c r="BH2" s="324" t="s">
        <v>218</v>
      </c>
      <c r="BI2" s="325" t="s">
        <v>219</v>
      </c>
      <c r="BJ2" s="326" t="s">
        <v>220</v>
      </c>
      <c r="BK2" s="328" t="s">
        <v>221</v>
      </c>
      <c r="BL2" s="323" t="s">
        <v>217</v>
      </c>
      <c r="BM2" s="324" t="s">
        <v>218</v>
      </c>
      <c r="BN2" s="325" t="s">
        <v>219</v>
      </c>
      <c r="BO2" s="326" t="s">
        <v>220</v>
      </c>
      <c r="BP2" s="328" t="s">
        <v>221</v>
      </c>
      <c r="BQ2" s="323" t="s">
        <v>217</v>
      </c>
      <c r="BR2" s="324" t="s">
        <v>218</v>
      </c>
      <c r="BS2" s="325" t="s">
        <v>219</v>
      </c>
      <c r="BT2" s="326" t="s">
        <v>220</v>
      </c>
      <c r="BU2" s="327" t="s">
        <v>221</v>
      </c>
      <c r="BW2" s="323" t="s">
        <v>217</v>
      </c>
      <c r="BX2" s="324" t="s">
        <v>218</v>
      </c>
      <c r="BY2" s="325" t="s">
        <v>219</v>
      </c>
      <c r="BZ2" s="326" t="s">
        <v>220</v>
      </c>
      <c r="CA2" s="327" t="s">
        <v>221</v>
      </c>
    </row>
    <row r="3" spans="1:79" ht="15.75" thickTop="1" x14ac:dyDescent="0.25">
      <c r="B3" s="434" t="s">
        <v>48</v>
      </c>
      <c r="C3" s="290" t="s">
        <v>49</v>
      </c>
      <c r="D3" s="332"/>
      <c r="E3" s="333"/>
      <c r="F3" s="333"/>
      <c r="G3" s="333"/>
      <c r="H3" s="334"/>
      <c r="I3" s="332"/>
      <c r="J3" s="333"/>
      <c r="K3" s="333"/>
      <c r="L3" s="333"/>
      <c r="M3" s="334"/>
      <c r="N3" s="332"/>
      <c r="O3" s="333"/>
      <c r="P3" s="333"/>
      <c r="Q3" s="333"/>
      <c r="R3" s="334"/>
      <c r="S3" s="332"/>
      <c r="T3" s="333"/>
      <c r="U3" s="333"/>
      <c r="V3" s="333"/>
      <c r="W3" s="334"/>
      <c r="X3" s="332"/>
      <c r="Y3" s="333"/>
      <c r="Z3" s="333"/>
      <c r="AA3" s="333"/>
      <c r="AB3" s="334"/>
      <c r="AC3" s="332"/>
      <c r="AD3" s="333"/>
      <c r="AE3" s="333"/>
      <c r="AF3" s="333"/>
      <c r="AG3" s="334"/>
      <c r="AH3" s="332">
        <v>1</v>
      </c>
      <c r="AI3" s="333"/>
      <c r="AJ3" s="333"/>
      <c r="AK3" s="333"/>
      <c r="AL3" s="334"/>
      <c r="AM3" s="332"/>
      <c r="AN3" s="333"/>
      <c r="AO3" s="333"/>
      <c r="AP3" s="333"/>
      <c r="AQ3" s="334"/>
      <c r="AR3" s="332"/>
      <c r="AS3" s="333"/>
      <c r="AT3" s="333"/>
      <c r="AU3" s="333"/>
      <c r="AV3" s="334"/>
      <c r="AW3" s="332"/>
      <c r="AX3" s="333"/>
      <c r="AY3" s="333"/>
      <c r="AZ3" s="333"/>
      <c r="BA3" s="334"/>
      <c r="BB3" s="332"/>
      <c r="BC3" s="333"/>
      <c r="BD3" s="333"/>
      <c r="BE3" s="333"/>
      <c r="BF3" s="334"/>
      <c r="BG3" s="332"/>
      <c r="BH3" s="333"/>
      <c r="BI3" s="333"/>
      <c r="BJ3" s="333"/>
      <c r="BK3" s="334"/>
      <c r="BL3" s="332"/>
      <c r="BM3" s="333"/>
      <c r="BN3" s="333"/>
      <c r="BO3" s="333"/>
      <c r="BP3" s="334"/>
      <c r="BQ3" s="332"/>
      <c r="BR3" s="333"/>
      <c r="BS3" s="333"/>
      <c r="BT3" s="333"/>
      <c r="BU3" s="335"/>
      <c r="BW3" s="233" t="str">
        <f>sum_level("o",'Needs 171007_1827'!D3:BU3)</f>
        <v>1</v>
      </c>
      <c r="BX3" s="234" t="str">
        <f>sum_level("j",'Needs 171007_1827'!D3:BU3)</f>
        <v/>
      </c>
      <c r="BY3" s="234" t="str">
        <f>sum_level("m",'Needs 171007_1827'!D3:BU3)</f>
        <v/>
      </c>
      <c r="BZ3" s="234" t="str">
        <f>sum_level("s",'Needs 171007_1827'!D3:BU3)</f>
        <v/>
      </c>
      <c r="CA3" s="235" t="str">
        <f>sum_level("e",'Needs 171007_1827'!D3:BU3)</f>
        <v/>
      </c>
    </row>
    <row r="4" spans="1:79" x14ac:dyDescent="0.25">
      <c r="B4" s="435"/>
      <c r="C4" s="291" t="s">
        <v>54</v>
      </c>
      <c r="D4" s="336"/>
      <c r="E4" s="337"/>
      <c r="F4" s="337"/>
      <c r="G4" s="337"/>
      <c r="H4" s="338"/>
      <c r="I4" s="336"/>
      <c r="J4" s="337"/>
      <c r="K4" s="337"/>
      <c r="L4" s="337"/>
      <c r="M4" s="338"/>
      <c r="N4" s="336"/>
      <c r="O4" s="337"/>
      <c r="P4" s="337"/>
      <c r="Q4" s="337"/>
      <c r="R4" s="338"/>
      <c r="S4" s="336"/>
      <c r="T4" s="337"/>
      <c r="U4" s="337"/>
      <c r="V4" s="337"/>
      <c r="W4" s="338"/>
      <c r="X4" s="336"/>
      <c r="Y4" s="337"/>
      <c r="Z4" s="337"/>
      <c r="AA4" s="337"/>
      <c r="AB4" s="338"/>
      <c r="AC4" s="336"/>
      <c r="AD4" s="337"/>
      <c r="AE4" s="337"/>
      <c r="AF4" s="337"/>
      <c r="AG4" s="338"/>
      <c r="AH4" s="336"/>
      <c r="AI4" s="337">
        <v>2</v>
      </c>
      <c r="AJ4" s="337"/>
      <c r="AK4" s="337"/>
      <c r="AL4" s="338"/>
      <c r="AM4" s="336"/>
      <c r="AN4" s="337"/>
      <c r="AO4" s="337"/>
      <c r="AP4" s="337"/>
      <c r="AQ4" s="338"/>
      <c r="AR4" s="336"/>
      <c r="AS4" s="337"/>
      <c r="AT4" s="337"/>
      <c r="AU4" s="337"/>
      <c r="AV4" s="338"/>
      <c r="AW4" s="336"/>
      <c r="AX4" s="337"/>
      <c r="AY4" s="337"/>
      <c r="AZ4" s="337"/>
      <c r="BA4" s="338"/>
      <c r="BB4" s="336"/>
      <c r="BC4" s="337"/>
      <c r="BD4" s="337"/>
      <c r="BE4" s="337"/>
      <c r="BF4" s="338"/>
      <c r="BG4" s="336"/>
      <c r="BH4" s="337"/>
      <c r="BI4" s="337"/>
      <c r="BJ4" s="337"/>
      <c r="BK4" s="338"/>
      <c r="BL4" s="336"/>
      <c r="BM4" s="337"/>
      <c r="BN4" s="337"/>
      <c r="BO4" s="337"/>
      <c r="BP4" s="338"/>
      <c r="BQ4" s="336"/>
      <c r="BR4" s="337"/>
      <c r="BS4" s="337"/>
      <c r="BT4" s="337"/>
      <c r="BU4" s="339"/>
      <c r="BW4" s="236" t="str">
        <f>sum_level("o",'Needs 171007_1827'!D4:BU4)</f>
        <v/>
      </c>
      <c r="BX4" s="237" t="str">
        <f>sum_level("j",'Needs 171007_1827'!D4:BU4)</f>
        <v>2</v>
      </c>
      <c r="BY4" s="237" t="str">
        <f>sum_level("m",'Needs 171007_1827'!D4:BU4)</f>
        <v/>
      </c>
      <c r="BZ4" s="237" t="str">
        <f>sum_level("s",'Needs 171007_1827'!D4:BU4)</f>
        <v/>
      </c>
      <c r="CA4" s="238" t="str">
        <f>sum_level("e",'Needs 171007_1827'!D4:BU4)</f>
        <v/>
      </c>
    </row>
    <row r="5" spans="1:79" x14ac:dyDescent="0.25">
      <c r="B5" s="435"/>
      <c r="C5" s="291" t="s">
        <v>51</v>
      </c>
      <c r="D5" s="336"/>
      <c r="E5" s="337"/>
      <c r="F5" s="337"/>
      <c r="G5" s="337"/>
      <c r="H5" s="338"/>
      <c r="I5" s="336"/>
      <c r="J5" s="337"/>
      <c r="K5" s="337"/>
      <c r="L5" s="337"/>
      <c r="M5" s="338"/>
      <c r="N5" s="336"/>
      <c r="O5" s="337"/>
      <c r="P5" s="337"/>
      <c r="Q5" s="337"/>
      <c r="R5" s="338"/>
      <c r="S5" s="336"/>
      <c r="T5" s="337"/>
      <c r="U5" s="337"/>
      <c r="V5" s="337"/>
      <c r="W5" s="338"/>
      <c r="X5" s="336"/>
      <c r="Y5" s="337"/>
      <c r="Z5" s="337"/>
      <c r="AA5" s="337"/>
      <c r="AB5" s="338"/>
      <c r="AC5" s="336"/>
      <c r="AD5" s="337"/>
      <c r="AE5" s="337"/>
      <c r="AF5" s="337"/>
      <c r="AG5" s="338"/>
      <c r="AH5" s="336"/>
      <c r="AI5" s="337"/>
      <c r="AJ5" s="337">
        <v>3</v>
      </c>
      <c r="AK5" s="337"/>
      <c r="AL5" s="338"/>
      <c r="AM5" s="336"/>
      <c r="AN5" s="337"/>
      <c r="AO5" s="337"/>
      <c r="AP5" s="337"/>
      <c r="AQ5" s="338"/>
      <c r="AR5" s="336"/>
      <c r="AS5" s="337"/>
      <c r="AT5" s="337"/>
      <c r="AU5" s="337"/>
      <c r="AV5" s="338"/>
      <c r="AW5" s="336"/>
      <c r="AX5" s="337"/>
      <c r="AY5" s="337"/>
      <c r="AZ5" s="337"/>
      <c r="BA5" s="338"/>
      <c r="BB5" s="336"/>
      <c r="BC5" s="337"/>
      <c r="BD5" s="337"/>
      <c r="BE5" s="337"/>
      <c r="BF5" s="338"/>
      <c r="BG5" s="336"/>
      <c r="BH5" s="337"/>
      <c r="BI5" s="337"/>
      <c r="BJ5" s="337"/>
      <c r="BK5" s="338"/>
      <c r="BL5" s="336"/>
      <c r="BM5" s="337"/>
      <c r="BN5" s="337"/>
      <c r="BO5" s="337"/>
      <c r="BP5" s="338"/>
      <c r="BQ5" s="336"/>
      <c r="BR5" s="337"/>
      <c r="BS5" s="337"/>
      <c r="BT5" s="337"/>
      <c r="BU5" s="339"/>
      <c r="BW5" s="236" t="str">
        <f>sum_level("o",'Needs 171007_1827'!D5:BU5)</f>
        <v/>
      </c>
      <c r="BX5" s="237" t="str">
        <f>sum_level("j",'Needs 171007_1827'!D5:BU5)</f>
        <v/>
      </c>
      <c r="BY5" s="237" t="str">
        <f>sum_level("m",'Needs 171007_1827'!D5:BU5)</f>
        <v>3</v>
      </c>
      <c r="BZ5" s="237" t="str">
        <f>sum_level("s",'Needs 171007_1827'!D5:BU5)</f>
        <v/>
      </c>
      <c r="CA5" s="238" t="str">
        <f>sum_level("e",'Needs 171007_1827'!D5:BU5)</f>
        <v/>
      </c>
    </row>
    <row r="6" spans="1:79" x14ac:dyDescent="0.25">
      <c r="B6" s="435"/>
      <c r="C6" s="291" t="s">
        <v>52</v>
      </c>
      <c r="D6" s="336"/>
      <c r="E6" s="337"/>
      <c r="F6" s="337"/>
      <c r="G6" s="337"/>
      <c r="H6" s="338"/>
      <c r="I6" s="336"/>
      <c r="J6" s="337"/>
      <c r="K6" s="337"/>
      <c r="L6" s="337"/>
      <c r="M6" s="338"/>
      <c r="N6" s="336"/>
      <c r="O6" s="337"/>
      <c r="P6" s="337"/>
      <c r="Q6" s="337"/>
      <c r="R6" s="338"/>
      <c r="S6" s="336"/>
      <c r="T6" s="337"/>
      <c r="U6" s="337"/>
      <c r="V6" s="337"/>
      <c r="W6" s="338"/>
      <c r="X6" s="336"/>
      <c r="Y6" s="337"/>
      <c r="Z6" s="337"/>
      <c r="AA6" s="337"/>
      <c r="AB6" s="338"/>
      <c r="AC6" s="336"/>
      <c r="AD6" s="337"/>
      <c r="AE6" s="337"/>
      <c r="AF6" s="337"/>
      <c r="AG6" s="338"/>
      <c r="AH6" s="336"/>
      <c r="AI6" s="337"/>
      <c r="AJ6" s="337"/>
      <c r="AK6" s="337">
        <v>4</v>
      </c>
      <c r="AL6" s="338"/>
      <c r="AM6" s="336"/>
      <c r="AN6" s="337"/>
      <c r="AO6" s="337"/>
      <c r="AP6" s="337"/>
      <c r="AQ6" s="338"/>
      <c r="AR6" s="336"/>
      <c r="AS6" s="337"/>
      <c r="AT6" s="337"/>
      <c r="AU6" s="337"/>
      <c r="AV6" s="338"/>
      <c r="AW6" s="336"/>
      <c r="AX6" s="337"/>
      <c r="AY6" s="337"/>
      <c r="AZ6" s="337"/>
      <c r="BA6" s="338"/>
      <c r="BB6" s="336"/>
      <c r="BC6" s="337"/>
      <c r="BD6" s="337"/>
      <c r="BE6" s="337"/>
      <c r="BF6" s="338"/>
      <c r="BG6" s="336"/>
      <c r="BH6" s="337"/>
      <c r="BI6" s="337"/>
      <c r="BJ6" s="337"/>
      <c r="BK6" s="338"/>
      <c r="BL6" s="336"/>
      <c r="BM6" s="337"/>
      <c r="BN6" s="337"/>
      <c r="BO6" s="337"/>
      <c r="BP6" s="338"/>
      <c r="BQ6" s="336"/>
      <c r="BR6" s="337"/>
      <c r="BS6" s="337"/>
      <c r="BT6" s="337"/>
      <c r="BU6" s="339"/>
      <c r="BW6" s="236" t="str">
        <f>sum_level("o",'Needs 171007_1827'!D6:BU6)</f>
        <v/>
      </c>
      <c r="BX6" s="237" t="str">
        <f>sum_level("j",'Needs 171007_1827'!D6:BU6)</f>
        <v/>
      </c>
      <c r="BY6" s="237" t="str">
        <f>sum_level("m",'Needs 171007_1827'!D6:BU6)</f>
        <v/>
      </c>
      <c r="BZ6" s="237" t="str">
        <f>sum_level("s",'Needs 171007_1827'!D6:BU6)</f>
        <v>4</v>
      </c>
      <c r="CA6" s="238" t="str">
        <f>sum_level("e",'Needs 171007_1827'!D6:BU6)</f>
        <v/>
      </c>
    </row>
    <row r="7" spans="1:79" x14ac:dyDescent="0.25">
      <c r="B7" s="435"/>
      <c r="C7" s="291" t="s">
        <v>53</v>
      </c>
      <c r="D7" s="336"/>
      <c r="E7" s="337"/>
      <c r="F7" s="337"/>
      <c r="G7" s="337"/>
      <c r="H7" s="338"/>
      <c r="I7" s="336"/>
      <c r="J7" s="337"/>
      <c r="K7" s="337"/>
      <c r="L7" s="337"/>
      <c r="M7" s="338"/>
      <c r="N7" s="336"/>
      <c r="O7" s="337"/>
      <c r="P7" s="337"/>
      <c r="Q7" s="337"/>
      <c r="R7" s="338"/>
      <c r="S7" s="336"/>
      <c r="T7" s="337"/>
      <c r="U7" s="337"/>
      <c r="V7" s="337"/>
      <c r="W7" s="338"/>
      <c r="X7" s="336"/>
      <c r="Y7" s="337"/>
      <c r="Z7" s="337"/>
      <c r="AA7" s="337"/>
      <c r="AB7" s="338"/>
      <c r="AC7" s="336"/>
      <c r="AD7" s="337"/>
      <c r="AE7" s="337"/>
      <c r="AF7" s="337"/>
      <c r="AG7" s="338"/>
      <c r="AH7" s="336"/>
      <c r="AI7" s="337"/>
      <c r="AJ7" s="337"/>
      <c r="AK7" s="337"/>
      <c r="AL7" s="338">
        <v>5</v>
      </c>
      <c r="AM7" s="336"/>
      <c r="AN7" s="337"/>
      <c r="AO7" s="337"/>
      <c r="AP7" s="337"/>
      <c r="AQ7" s="338"/>
      <c r="AR7" s="336"/>
      <c r="AS7" s="337"/>
      <c r="AT7" s="337"/>
      <c r="AU7" s="337"/>
      <c r="AV7" s="338"/>
      <c r="AW7" s="336"/>
      <c r="AX7" s="337"/>
      <c r="AY7" s="337"/>
      <c r="AZ7" s="337"/>
      <c r="BA7" s="338"/>
      <c r="BB7" s="336"/>
      <c r="BC7" s="337"/>
      <c r="BD7" s="337"/>
      <c r="BE7" s="337"/>
      <c r="BF7" s="338"/>
      <c r="BG7" s="336"/>
      <c r="BH7" s="337"/>
      <c r="BI7" s="337"/>
      <c r="BJ7" s="337"/>
      <c r="BK7" s="338"/>
      <c r="BL7" s="336"/>
      <c r="BM7" s="337"/>
      <c r="BN7" s="337"/>
      <c r="BO7" s="337"/>
      <c r="BP7" s="338"/>
      <c r="BQ7" s="336"/>
      <c r="BR7" s="337"/>
      <c r="BS7" s="337"/>
      <c r="BT7" s="337"/>
      <c r="BU7" s="339"/>
      <c r="BW7" s="236" t="str">
        <f>sum_level("o",'Needs 171007_1827'!D7:BU7)</f>
        <v/>
      </c>
      <c r="BX7" s="237" t="str">
        <f>sum_level("j",'Needs 171007_1827'!D7:BU7)</f>
        <v/>
      </c>
      <c r="BY7" s="237" t="str">
        <f>sum_level("m",'Needs 171007_1827'!D7:BU7)</f>
        <v/>
      </c>
      <c r="BZ7" s="237" t="str">
        <f>sum_level("s",'Needs 171007_1827'!D7:BU7)</f>
        <v/>
      </c>
      <c r="CA7" s="238" t="str">
        <f>sum_level("e",'Needs 171007_1827'!D7:BU7)</f>
        <v>5</v>
      </c>
    </row>
    <row r="8" spans="1:79" x14ac:dyDescent="0.25">
      <c r="B8" s="435"/>
      <c r="C8" s="291" t="s">
        <v>50</v>
      </c>
      <c r="D8" s="336"/>
      <c r="E8" s="337"/>
      <c r="F8" s="337"/>
      <c r="G8" s="337"/>
      <c r="H8" s="338"/>
      <c r="I8" s="336"/>
      <c r="J8" s="337"/>
      <c r="K8" s="337"/>
      <c r="L8" s="337"/>
      <c r="M8" s="338"/>
      <c r="N8" s="336"/>
      <c r="O8" s="337"/>
      <c r="P8" s="337"/>
      <c r="Q8" s="337"/>
      <c r="R8" s="338"/>
      <c r="S8" s="336"/>
      <c r="T8" s="337"/>
      <c r="U8" s="337"/>
      <c r="V8" s="337"/>
      <c r="W8" s="338"/>
      <c r="X8" s="336"/>
      <c r="Y8" s="337"/>
      <c r="Z8" s="337"/>
      <c r="AA8" s="337"/>
      <c r="AB8" s="338"/>
      <c r="AC8" s="336"/>
      <c r="AD8" s="337"/>
      <c r="AE8" s="337"/>
      <c r="AF8" s="337"/>
      <c r="AG8" s="338"/>
      <c r="AH8" s="336"/>
      <c r="AI8" s="337"/>
      <c r="AJ8" s="337"/>
      <c r="AK8" s="337"/>
      <c r="AL8" s="338"/>
      <c r="AM8" s="336"/>
      <c r="AN8" s="337"/>
      <c r="AO8" s="337"/>
      <c r="AP8" s="337"/>
      <c r="AQ8" s="338"/>
      <c r="AR8" s="336"/>
      <c r="AS8" s="337"/>
      <c r="AT8" s="337"/>
      <c r="AU8" s="337"/>
      <c r="AV8" s="338"/>
      <c r="AW8" s="336"/>
      <c r="AX8" s="337"/>
      <c r="AY8" s="337"/>
      <c r="AZ8" s="337"/>
      <c r="BA8" s="338"/>
      <c r="BB8" s="336"/>
      <c r="BC8" s="337"/>
      <c r="BD8" s="337"/>
      <c r="BE8" s="337"/>
      <c r="BF8" s="338"/>
      <c r="BG8" s="336"/>
      <c r="BH8" s="337"/>
      <c r="BI8" s="337"/>
      <c r="BJ8" s="337"/>
      <c r="BK8" s="338"/>
      <c r="BL8" s="336"/>
      <c r="BM8" s="337"/>
      <c r="BN8" s="337"/>
      <c r="BO8" s="337"/>
      <c r="BP8" s="338"/>
      <c r="BQ8" s="336"/>
      <c r="BR8" s="337"/>
      <c r="BS8" s="337"/>
      <c r="BT8" s="337"/>
      <c r="BU8" s="339"/>
      <c r="BW8" s="236" t="str">
        <f>sum_level("o",'Needs 171007_1827'!D8:BU8)</f>
        <v/>
      </c>
      <c r="BX8" s="237" t="str">
        <f>sum_level("j",'Needs 171007_1827'!D8:BU8)</f>
        <v/>
      </c>
      <c r="BY8" s="237" t="str">
        <f>sum_level("m",'Needs 171007_1827'!D8:BU8)</f>
        <v/>
      </c>
      <c r="BZ8" s="237" t="str">
        <f>sum_level("s",'Needs 171007_1827'!D8:BU8)</f>
        <v/>
      </c>
      <c r="CA8" s="238" t="str">
        <f>sum_level("e",'Needs 171007_1827'!D8:BU8)</f>
        <v/>
      </c>
    </row>
    <row r="9" spans="1:79" x14ac:dyDescent="0.25">
      <c r="B9" s="435"/>
      <c r="C9" s="291" t="s">
        <v>55</v>
      </c>
      <c r="D9" s="336"/>
      <c r="E9" s="337"/>
      <c r="F9" s="337"/>
      <c r="G9" s="337"/>
      <c r="H9" s="338"/>
      <c r="I9" s="336"/>
      <c r="J9" s="337"/>
      <c r="K9" s="337"/>
      <c r="L9" s="337"/>
      <c r="M9" s="338"/>
      <c r="N9" s="336"/>
      <c r="O9" s="337"/>
      <c r="P9" s="337"/>
      <c r="Q9" s="337"/>
      <c r="R9" s="338"/>
      <c r="S9" s="336"/>
      <c r="T9" s="337"/>
      <c r="U9" s="337"/>
      <c r="V9" s="337"/>
      <c r="W9" s="338"/>
      <c r="X9" s="336"/>
      <c r="Y9" s="337"/>
      <c r="Z9" s="337"/>
      <c r="AA9" s="337"/>
      <c r="AB9" s="338"/>
      <c r="AC9" s="336"/>
      <c r="AD9" s="337"/>
      <c r="AE9" s="337"/>
      <c r="AF9" s="337"/>
      <c r="AG9" s="338"/>
      <c r="AH9" s="336"/>
      <c r="AI9" s="337"/>
      <c r="AJ9" s="337"/>
      <c r="AK9" s="337"/>
      <c r="AL9" s="338"/>
      <c r="AM9" s="336">
        <v>6</v>
      </c>
      <c r="AN9" s="337"/>
      <c r="AO9" s="337"/>
      <c r="AP9" s="337"/>
      <c r="AQ9" s="338"/>
      <c r="AR9" s="336"/>
      <c r="AS9" s="337"/>
      <c r="AT9" s="337"/>
      <c r="AU9" s="337"/>
      <c r="AV9" s="338"/>
      <c r="AW9" s="336"/>
      <c r="AX9" s="337"/>
      <c r="AY9" s="337"/>
      <c r="AZ9" s="337"/>
      <c r="BA9" s="338"/>
      <c r="BB9" s="336"/>
      <c r="BC9" s="337"/>
      <c r="BD9" s="337"/>
      <c r="BE9" s="337"/>
      <c r="BF9" s="338"/>
      <c r="BG9" s="336"/>
      <c r="BH9" s="337"/>
      <c r="BI9" s="337"/>
      <c r="BJ9" s="337"/>
      <c r="BK9" s="338"/>
      <c r="BL9" s="336"/>
      <c r="BM9" s="337"/>
      <c r="BN9" s="337"/>
      <c r="BO9" s="337"/>
      <c r="BP9" s="338"/>
      <c r="BQ9" s="336"/>
      <c r="BR9" s="337"/>
      <c r="BS9" s="337"/>
      <c r="BT9" s="337"/>
      <c r="BU9" s="339"/>
      <c r="BW9" s="236" t="str">
        <f>sum_level("o",'Needs 171007_1827'!D9:BU9)</f>
        <v>6</v>
      </c>
      <c r="BX9" s="237" t="str">
        <f>sum_level("j",'Needs 171007_1827'!D9:BU9)</f>
        <v/>
      </c>
      <c r="BY9" s="237" t="str">
        <f>sum_level("m",'Needs 171007_1827'!D9:BU9)</f>
        <v/>
      </c>
      <c r="BZ9" s="237" t="str">
        <f>sum_level("s",'Needs 171007_1827'!D9:BU9)</f>
        <v/>
      </c>
      <c r="CA9" s="238" t="str">
        <f>sum_level("e",'Needs 171007_1827'!D9:BU9)</f>
        <v/>
      </c>
    </row>
    <row r="10" spans="1:79" x14ac:dyDescent="0.25">
      <c r="B10" s="435"/>
      <c r="C10" s="291" t="s">
        <v>56</v>
      </c>
      <c r="D10" s="336"/>
      <c r="E10" s="337"/>
      <c r="F10" s="337"/>
      <c r="G10" s="337"/>
      <c r="H10" s="338"/>
      <c r="I10" s="336"/>
      <c r="J10" s="337"/>
      <c r="K10" s="337"/>
      <c r="L10" s="337"/>
      <c r="M10" s="338"/>
      <c r="N10" s="336"/>
      <c r="O10" s="337"/>
      <c r="P10" s="337"/>
      <c r="Q10" s="337"/>
      <c r="R10" s="338"/>
      <c r="S10" s="336"/>
      <c r="T10" s="337"/>
      <c r="U10" s="337"/>
      <c r="V10" s="337"/>
      <c r="W10" s="338"/>
      <c r="X10" s="336"/>
      <c r="Y10" s="337"/>
      <c r="Z10" s="337"/>
      <c r="AA10" s="337"/>
      <c r="AB10" s="338"/>
      <c r="AC10" s="336"/>
      <c r="AD10" s="337"/>
      <c r="AE10" s="337"/>
      <c r="AF10" s="337"/>
      <c r="AG10" s="338"/>
      <c r="AH10" s="336"/>
      <c r="AI10" s="337"/>
      <c r="AJ10" s="337"/>
      <c r="AK10" s="337"/>
      <c r="AL10" s="338"/>
      <c r="AM10" s="336"/>
      <c r="AN10" s="337">
        <v>7</v>
      </c>
      <c r="AO10" s="337"/>
      <c r="AP10" s="337"/>
      <c r="AQ10" s="338"/>
      <c r="AR10" s="336"/>
      <c r="AS10" s="337"/>
      <c r="AT10" s="337"/>
      <c r="AU10" s="337"/>
      <c r="AV10" s="338"/>
      <c r="AW10" s="336"/>
      <c r="AX10" s="337"/>
      <c r="AY10" s="337"/>
      <c r="AZ10" s="337"/>
      <c r="BA10" s="338"/>
      <c r="BB10" s="336"/>
      <c r="BC10" s="337"/>
      <c r="BD10" s="337"/>
      <c r="BE10" s="337"/>
      <c r="BF10" s="338"/>
      <c r="BG10" s="336"/>
      <c r="BH10" s="337"/>
      <c r="BI10" s="337"/>
      <c r="BJ10" s="337"/>
      <c r="BK10" s="338"/>
      <c r="BL10" s="336"/>
      <c r="BM10" s="337"/>
      <c r="BN10" s="337"/>
      <c r="BO10" s="337"/>
      <c r="BP10" s="338"/>
      <c r="BQ10" s="336"/>
      <c r="BR10" s="337"/>
      <c r="BS10" s="337"/>
      <c r="BT10" s="337"/>
      <c r="BU10" s="339"/>
      <c r="BW10" s="236" t="str">
        <f>sum_level("o",'Needs 171007_1827'!D10:BU10)</f>
        <v/>
      </c>
      <c r="BX10" s="237" t="str">
        <f>sum_level("j",'Needs 171007_1827'!D10:BU10)</f>
        <v>7</v>
      </c>
      <c r="BY10" s="237" t="str">
        <f>sum_level("m",'Needs 171007_1827'!D10:BU10)</f>
        <v/>
      </c>
      <c r="BZ10" s="237" t="str">
        <f>sum_level("s",'Needs 171007_1827'!D10:BU10)</f>
        <v/>
      </c>
      <c r="CA10" s="238" t="str">
        <f>sum_level("e",'Needs 171007_1827'!D10:BU10)</f>
        <v/>
      </c>
    </row>
    <row r="11" spans="1:79" x14ac:dyDescent="0.25">
      <c r="B11" s="435"/>
      <c r="C11" s="291" t="s">
        <v>57</v>
      </c>
      <c r="D11" s="336"/>
      <c r="E11" s="337"/>
      <c r="F11" s="337"/>
      <c r="G11" s="337"/>
      <c r="H11" s="338"/>
      <c r="I11" s="336"/>
      <c r="J11" s="337"/>
      <c r="K11" s="337"/>
      <c r="L11" s="337"/>
      <c r="M11" s="338"/>
      <c r="N11" s="336"/>
      <c r="O11" s="337"/>
      <c r="P11" s="337"/>
      <c r="Q11" s="337"/>
      <c r="R11" s="338"/>
      <c r="S11" s="336"/>
      <c r="T11" s="337"/>
      <c r="U11" s="337"/>
      <c r="V11" s="337"/>
      <c r="W11" s="338"/>
      <c r="X11" s="336"/>
      <c r="Y11" s="337"/>
      <c r="Z11" s="337"/>
      <c r="AA11" s="337"/>
      <c r="AB11" s="338"/>
      <c r="AC11" s="336"/>
      <c r="AD11" s="337"/>
      <c r="AE11" s="337"/>
      <c r="AF11" s="337"/>
      <c r="AG11" s="338"/>
      <c r="AH11" s="336"/>
      <c r="AI11" s="337"/>
      <c r="AJ11" s="337"/>
      <c r="AK11" s="337"/>
      <c r="AL11" s="338"/>
      <c r="AM11" s="336"/>
      <c r="AN11" s="337"/>
      <c r="AO11" s="337">
        <v>8</v>
      </c>
      <c r="AP11" s="337"/>
      <c r="AQ11" s="338"/>
      <c r="AR11" s="336"/>
      <c r="AS11" s="337"/>
      <c r="AT11" s="337"/>
      <c r="AU11" s="337"/>
      <c r="AV11" s="338"/>
      <c r="AW11" s="336"/>
      <c r="AX11" s="337"/>
      <c r="AY11" s="337"/>
      <c r="AZ11" s="337"/>
      <c r="BA11" s="338"/>
      <c r="BB11" s="336"/>
      <c r="BC11" s="337"/>
      <c r="BD11" s="337"/>
      <c r="BE11" s="337"/>
      <c r="BF11" s="338"/>
      <c r="BG11" s="336"/>
      <c r="BH11" s="337"/>
      <c r="BI11" s="337"/>
      <c r="BJ11" s="337"/>
      <c r="BK11" s="338"/>
      <c r="BL11" s="336"/>
      <c r="BM11" s="337"/>
      <c r="BN11" s="337"/>
      <c r="BO11" s="337"/>
      <c r="BP11" s="338"/>
      <c r="BQ11" s="336"/>
      <c r="BR11" s="337"/>
      <c r="BS11" s="337"/>
      <c r="BT11" s="337"/>
      <c r="BU11" s="339"/>
      <c r="BW11" s="236" t="str">
        <f>sum_level("o",'Needs 171007_1827'!D11:BU11)</f>
        <v/>
      </c>
      <c r="BX11" s="237" t="str">
        <f>sum_level("j",'Needs 171007_1827'!D11:BU11)</f>
        <v/>
      </c>
      <c r="BY11" s="237" t="str">
        <f>sum_level("m",'Needs 171007_1827'!D11:BU11)</f>
        <v>8</v>
      </c>
      <c r="BZ11" s="237" t="str">
        <f>sum_level("s",'Needs 171007_1827'!D11:BU11)</f>
        <v/>
      </c>
      <c r="CA11" s="238" t="str">
        <f>sum_level("e",'Needs 171007_1827'!D11:BU11)</f>
        <v/>
      </c>
    </row>
    <row r="12" spans="1:79" x14ac:dyDescent="0.25">
      <c r="B12" s="435"/>
      <c r="C12" s="291" t="s">
        <v>58</v>
      </c>
      <c r="D12" s="336"/>
      <c r="E12" s="337"/>
      <c r="F12" s="337"/>
      <c r="G12" s="337"/>
      <c r="H12" s="338"/>
      <c r="I12" s="336"/>
      <c r="J12" s="337"/>
      <c r="K12" s="337"/>
      <c r="L12" s="337"/>
      <c r="M12" s="338"/>
      <c r="N12" s="336"/>
      <c r="O12" s="337"/>
      <c r="P12" s="337"/>
      <c r="Q12" s="337"/>
      <c r="R12" s="338"/>
      <c r="S12" s="336"/>
      <c r="T12" s="337"/>
      <c r="U12" s="337"/>
      <c r="V12" s="337"/>
      <c r="W12" s="338"/>
      <c r="X12" s="336"/>
      <c r="Y12" s="337"/>
      <c r="Z12" s="337"/>
      <c r="AA12" s="337"/>
      <c r="AB12" s="338"/>
      <c r="AC12" s="336"/>
      <c r="AD12" s="337"/>
      <c r="AE12" s="337"/>
      <c r="AF12" s="337"/>
      <c r="AG12" s="338"/>
      <c r="AH12" s="336"/>
      <c r="AI12" s="337"/>
      <c r="AJ12" s="337"/>
      <c r="AK12" s="337"/>
      <c r="AL12" s="338"/>
      <c r="AM12" s="336"/>
      <c r="AN12" s="337"/>
      <c r="AO12" s="337"/>
      <c r="AP12" s="337">
        <v>9</v>
      </c>
      <c r="AQ12" s="338"/>
      <c r="AR12" s="336"/>
      <c r="AS12" s="337"/>
      <c r="AT12" s="337"/>
      <c r="AU12" s="337"/>
      <c r="AV12" s="338"/>
      <c r="AW12" s="336"/>
      <c r="AX12" s="337"/>
      <c r="AY12" s="337"/>
      <c r="AZ12" s="337"/>
      <c r="BA12" s="338"/>
      <c r="BB12" s="336"/>
      <c r="BC12" s="337"/>
      <c r="BD12" s="337"/>
      <c r="BE12" s="337"/>
      <c r="BF12" s="338"/>
      <c r="BG12" s="336"/>
      <c r="BH12" s="337"/>
      <c r="BI12" s="337"/>
      <c r="BJ12" s="337"/>
      <c r="BK12" s="338"/>
      <c r="BL12" s="336"/>
      <c r="BM12" s="337"/>
      <c r="BN12" s="337"/>
      <c r="BO12" s="337"/>
      <c r="BP12" s="338"/>
      <c r="BQ12" s="336"/>
      <c r="BR12" s="337"/>
      <c r="BS12" s="337"/>
      <c r="BT12" s="337"/>
      <c r="BU12" s="339"/>
      <c r="BW12" s="236" t="str">
        <f>sum_level("o",'Needs 171007_1827'!D12:BU12)</f>
        <v/>
      </c>
      <c r="BX12" s="237" t="str">
        <f>sum_level("j",'Needs 171007_1827'!D12:BU12)</f>
        <v/>
      </c>
      <c r="BY12" s="237" t="str">
        <f>sum_level("m",'Needs 171007_1827'!D12:BU12)</f>
        <v/>
      </c>
      <c r="BZ12" s="237" t="str">
        <f>sum_level("s",'Needs 171007_1827'!D12:BU12)</f>
        <v>9</v>
      </c>
      <c r="CA12" s="238" t="str">
        <f>sum_level("e",'Needs 171007_1827'!D12:BU12)</f>
        <v/>
      </c>
    </row>
    <row r="13" spans="1:79" x14ac:dyDescent="0.25">
      <c r="B13" s="435"/>
      <c r="C13" s="291" t="s">
        <v>59</v>
      </c>
      <c r="D13" s="336"/>
      <c r="E13" s="337"/>
      <c r="F13" s="337"/>
      <c r="G13" s="337"/>
      <c r="H13" s="338"/>
      <c r="I13" s="336"/>
      <c r="J13" s="337"/>
      <c r="K13" s="337"/>
      <c r="L13" s="337"/>
      <c r="M13" s="338"/>
      <c r="N13" s="336"/>
      <c r="O13" s="337"/>
      <c r="P13" s="337"/>
      <c r="Q13" s="337"/>
      <c r="R13" s="338"/>
      <c r="S13" s="336"/>
      <c r="T13" s="337"/>
      <c r="U13" s="337"/>
      <c r="V13" s="337"/>
      <c r="W13" s="338"/>
      <c r="X13" s="336"/>
      <c r="Y13" s="337"/>
      <c r="Z13" s="337"/>
      <c r="AA13" s="337"/>
      <c r="AB13" s="338"/>
      <c r="AC13" s="336"/>
      <c r="AD13" s="337"/>
      <c r="AE13" s="337"/>
      <c r="AF13" s="337"/>
      <c r="AG13" s="338"/>
      <c r="AH13" s="336"/>
      <c r="AI13" s="337"/>
      <c r="AJ13" s="337"/>
      <c r="AK13" s="337"/>
      <c r="AL13" s="338"/>
      <c r="AM13" s="336"/>
      <c r="AN13" s="337"/>
      <c r="AO13" s="337"/>
      <c r="AP13" s="337"/>
      <c r="AQ13" s="338">
        <v>10</v>
      </c>
      <c r="AR13" s="336"/>
      <c r="AS13" s="337"/>
      <c r="AT13" s="337"/>
      <c r="AU13" s="337"/>
      <c r="AV13" s="338"/>
      <c r="AW13" s="336"/>
      <c r="AX13" s="337"/>
      <c r="AY13" s="337"/>
      <c r="AZ13" s="337"/>
      <c r="BA13" s="338"/>
      <c r="BB13" s="336"/>
      <c r="BC13" s="337"/>
      <c r="BD13" s="337"/>
      <c r="BE13" s="337"/>
      <c r="BF13" s="338"/>
      <c r="BG13" s="336"/>
      <c r="BH13" s="337"/>
      <c r="BI13" s="337"/>
      <c r="BJ13" s="337"/>
      <c r="BK13" s="338"/>
      <c r="BL13" s="336"/>
      <c r="BM13" s="337"/>
      <c r="BN13" s="337"/>
      <c r="BO13" s="337"/>
      <c r="BP13" s="338"/>
      <c r="BQ13" s="336"/>
      <c r="BR13" s="337"/>
      <c r="BS13" s="337"/>
      <c r="BT13" s="337"/>
      <c r="BU13" s="339"/>
      <c r="BW13" s="236" t="str">
        <f>sum_level("o",'Needs 171007_1827'!D13:BU13)</f>
        <v/>
      </c>
      <c r="BX13" s="237" t="str">
        <f>sum_level("j",'Needs 171007_1827'!D13:BU13)</f>
        <v/>
      </c>
      <c r="BY13" s="237" t="str">
        <f>sum_level("m",'Needs 171007_1827'!D13:BU13)</f>
        <v/>
      </c>
      <c r="BZ13" s="237" t="str">
        <f>sum_level("s",'Needs 171007_1827'!D13:BU13)</f>
        <v/>
      </c>
      <c r="CA13" s="238" t="str">
        <f>sum_level("e",'Needs 171007_1827'!D13:BU13)</f>
        <v>10</v>
      </c>
    </row>
    <row r="14" spans="1:79" x14ac:dyDescent="0.25">
      <c r="B14" s="435"/>
      <c r="C14" s="291" t="s">
        <v>60</v>
      </c>
      <c r="D14" s="336"/>
      <c r="E14" s="337"/>
      <c r="F14" s="337"/>
      <c r="G14" s="337"/>
      <c r="H14" s="338"/>
      <c r="I14" s="336"/>
      <c r="J14" s="337"/>
      <c r="K14" s="337"/>
      <c r="L14" s="337"/>
      <c r="M14" s="338"/>
      <c r="N14" s="336"/>
      <c r="O14" s="337"/>
      <c r="P14" s="337"/>
      <c r="Q14" s="337"/>
      <c r="R14" s="338"/>
      <c r="S14" s="336"/>
      <c r="T14" s="337"/>
      <c r="U14" s="337"/>
      <c r="V14" s="337"/>
      <c r="W14" s="338"/>
      <c r="X14" s="336"/>
      <c r="Y14" s="337"/>
      <c r="Z14" s="337"/>
      <c r="AA14" s="337"/>
      <c r="AB14" s="338"/>
      <c r="AC14" s="336"/>
      <c r="AD14" s="337"/>
      <c r="AE14" s="337"/>
      <c r="AF14" s="337"/>
      <c r="AG14" s="338"/>
      <c r="AH14" s="336"/>
      <c r="AI14" s="337"/>
      <c r="AJ14" s="337"/>
      <c r="AK14" s="337"/>
      <c r="AL14" s="338"/>
      <c r="AM14" s="336"/>
      <c r="AN14" s="337"/>
      <c r="AO14" s="337"/>
      <c r="AP14" s="337"/>
      <c r="AQ14" s="338"/>
      <c r="AR14" s="336"/>
      <c r="AS14" s="337"/>
      <c r="AT14" s="337"/>
      <c r="AU14" s="337"/>
      <c r="AV14" s="338"/>
      <c r="AW14" s="336"/>
      <c r="AX14" s="337"/>
      <c r="AY14" s="337"/>
      <c r="AZ14" s="337"/>
      <c r="BA14" s="338"/>
      <c r="BB14" s="336"/>
      <c r="BC14" s="337"/>
      <c r="BD14" s="337"/>
      <c r="BE14" s="337"/>
      <c r="BF14" s="338"/>
      <c r="BG14" s="336"/>
      <c r="BH14" s="337"/>
      <c r="BI14" s="337"/>
      <c r="BJ14" s="337"/>
      <c r="BK14" s="338"/>
      <c r="BL14" s="336"/>
      <c r="BM14" s="337"/>
      <c r="BN14" s="337"/>
      <c r="BO14" s="337"/>
      <c r="BP14" s="338"/>
      <c r="BQ14" s="336"/>
      <c r="BR14" s="337"/>
      <c r="BS14" s="337"/>
      <c r="BT14" s="337"/>
      <c r="BU14" s="339"/>
      <c r="BW14" s="236" t="str">
        <f>sum_level("o",'Needs 171007_1827'!D14:BU14)</f>
        <v/>
      </c>
      <c r="BX14" s="237" t="str">
        <f>sum_level("j",'Needs 171007_1827'!D14:BU14)</f>
        <v/>
      </c>
      <c r="BY14" s="237" t="str">
        <f>sum_level("m",'Needs 171007_1827'!D14:BU14)</f>
        <v/>
      </c>
      <c r="BZ14" s="237" t="str">
        <f>sum_level("s",'Needs 171007_1827'!D14:BU14)</f>
        <v/>
      </c>
      <c r="CA14" s="238" t="str">
        <f>sum_level("e",'Needs 171007_1827'!D14:BU14)</f>
        <v/>
      </c>
    </row>
    <row r="15" spans="1:79" ht="15.75" thickBot="1" x14ac:dyDescent="0.3">
      <c r="B15" s="435"/>
      <c r="C15" s="292" t="s">
        <v>61</v>
      </c>
      <c r="D15" s="340"/>
      <c r="E15" s="341"/>
      <c r="F15" s="341"/>
      <c r="G15" s="341"/>
      <c r="H15" s="342"/>
      <c r="I15" s="340"/>
      <c r="J15" s="341"/>
      <c r="K15" s="341"/>
      <c r="L15" s="341"/>
      <c r="M15" s="342"/>
      <c r="N15" s="340"/>
      <c r="O15" s="341"/>
      <c r="P15" s="341"/>
      <c r="Q15" s="341"/>
      <c r="R15" s="342"/>
      <c r="S15" s="340"/>
      <c r="T15" s="341"/>
      <c r="U15" s="341"/>
      <c r="V15" s="341"/>
      <c r="W15" s="342"/>
      <c r="X15" s="340"/>
      <c r="Y15" s="341"/>
      <c r="Z15" s="341"/>
      <c r="AA15" s="341"/>
      <c r="AB15" s="342"/>
      <c r="AC15" s="340"/>
      <c r="AD15" s="341"/>
      <c r="AE15" s="341"/>
      <c r="AF15" s="341"/>
      <c r="AG15" s="342"/>
      <c r="AH15" s="340"/>
      <c r="AI15" s="341"/>
      <c r="AJ15" s="341"/>
      <c r="AK15" s="341"/>
      <c r="AL15" s="342"/>
      <c r="AM15" s="340"/>
      <c r="AN15" s="341"/>
      <c r="AO15" s="341"/>
      <c r="AP15" s="341"/>
      <c r="AQ15" s="342"/>
      <c r="AR15" s="340"/>
      <c r="AS15" s="341"/>
      <c r="AT15" s="341"/>
      <c r="AU15" s="341"/>
      <c r="AV15" s="342"/>
      <c r="AW15" s="340"/>
      <c r="AX15" s="341"/>
      <c r="AY15" s="341"/>
      <c r="AZ15" s="341"/>
      <c r="BA15" s="342"/>
      <c r="BB15" s="340"/>
      <c r="BC15" s="341"/>
      <c r="BD15" s="341"/>
      <c r="BE15" s="341"/>
      <c r="BF15" s="342"/>
      <c r="BG15" s="340"/>
      <c r="BH15" s="341"/>
      <c r="BI15" s="341"/>
      <c r="BJ15" s="341"/>
      <c r="BK15" s="342"/>
      <c r="BL15" s="340"/>
      <c r="BM15" s="341"/>
      <c r="BN15" s="341"/>
      <c r="BO15" s="341"/>
      <c r="BP15" s="342"/>
      <c r="BQ15" s="340"/>
      <c r="BR15" s="341"/>
      <c r="BS15" s="341"/>
      <c r="BT15" s="341"/>
      <c r="BU15" s="343"/>
      <c r="BW15" s="239" t="str">
        <f>sum_level("o",'Needs 171007_1827'!D15:BU15)</f>
        <v/>
      </c>
      <c r="BX15" s="240" t="str">
        <f>sum_level("j",'Needs 171007_1827'!D15:BU15)</f>
        <v/>
      </c>
      <c r="BY15" s="240" t="str">
        <f>sum_level("m",'Needs 171007_1827'!D15:BU15)</f>
        <v/>
      </c>
      <c r="BZ15" s="240" t="str">
        <f>sum_level("s",'Needs 171007_1827'!D15:BU15)</f>
        <v/>
      </c>
      <c r="CA15" s="241" t="str">
        <f>sum_level("e",'Needs 171007_1827'!D15:BU15)</f>
        <v/>
      </c>
    </row>
    <row r="16" spans="1:79" ht="12.75" customHeight="1" thickTop="1" thickBot="1" x14ac:dyDescent="0.3">
      <c r="B16" s="436"/>
      <c r="C16" s="248"/>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W16" s="249"/>
      <c r="BX16" s="249"/>
      <c r="BY16" s="249"/>
      <c r="BZ16" s="249"/>
      <c r="CA16" s="249"/>
    </row>
    <row r="17" spans="2:79" ht="15.75" thickTop="1" x14ac:dyDescent="0.25">
      <c r="B17" s="434" t="s">
        <v>62</v>
      </c>
      <c r="C17" s="290" t="s">
        <v>63</v>
      </c>
      <c r="D17" s="332"/>
      <c r="E17" s="333"/>
      <c r="F17" s="333"/>
      <c r="G17" s="333"/>
      <c r="H17" s="334"/>
      <c r="I17" s="332"/>
      <c r="J17" s="333"/>
      <c r="K17" s="333"/>
      <c r="L17" s="333"/>
      <c r="M17" s="334"/>
      <c r="N17" s="332"/>
      <c r="O17" s="333"/>
      <c r="P17" s="333"/>
      <c r="Q17" s="333"/>
      <c r="R17" s="334"/>
      <c r="S17" s="332"/>
      <c r="T17" s="333"/>
      <c r="U17" s="333"/>
      <c r="V17" s="333"/>
      <c r="W17" s="334"/>
      <c r="X17" s="332"/>
      <c r="Y17" s="333"/>
      <c r="Z17" s="333"/>
      <c r="AA17" s="333"/>
      <c r="AB17" s="334"/>
      <c r="AC17" s="332"/>
      <c r="AD17" s="333"/>
      <c r="AE17" s="333"/>
      <c r="AF17" s="333"/>
      <c r="AG17" s="334"/>
      <c r="AH17" s="332"/>
      <c r="AI17" s="333"/>
      <c r="AJ17" s="333"/>
      <c r="AK17" s="333"/>
      <c r="AL17" s="334"/>
      <c r="AM17" s="332"/>
      <c r="AN17" s="333"/>
      <c r="AO17" s="333"/>
      <c r="AP17" s="333"/>
      <c r="AQ17" s="334"/>
      <c r="AR17" s="332">
        <v>11</v>
      </c>
      <c r="AS17" s="333"/>
      <c r="AT17" s="333"/>
      <c r="AU17" s="333"/>
      <c r="AV17" s="334"/>
      <c r="AW17" s="332"/>
      <c r="AX17" s="333"/>
      <c r="AY17" s="333"/>
      <c r="AZ17" s="333"/>
      <c r="BA17" s="334"/>
      <c r="BB17" s="332"/>
      <c r="BC17" s="333"/>
      <c r="BD17" s="333"/>
      <c r="BE17" s="333"/>
      <c r="BF17" s="334"/>
      <c r="BG17" s="332"/>
      <c r="BH17" s="333"/>
      <c r="BI17" s="333"/>
      <c r="BJ17" s="333"/>
      <c r="BK17" s="334"/>
      <c r="BL17" s="332"/>
      <c r="BM17" s="333"/>
      <c r="BN17" s="333"/>
      <c r="BO17" s="333"/>
      <c r="BP17" s="334"/>
      <c r="BQ17" s="332"/>
      <c r="BR17" s="333"/>
      <c r="BS17" s="333"/>
      <c r="BT17" s="333"/>
      <c r="BU17" s="335"/>
      <c r="BW17" s="233" t="str">
        <f>sum_level("o",'Needs 171007_1827'!D17:BU17)</f>
        <v>11</v>
      </c>
      <c r="BX17" s="234" t="str">
        <f>sum_level("j",'Needs 171007_1827'!D17:BU17)</f>
        <v/>
      </c>
      <c r="BY17" s="234" t="str">
        <f>sum_level("m",'Needs 171007_1827'!D17:BU17)</f>
        <v/>
      </c>
      <c r="BZ17" s="234" t="str">
        <f>sum_level("s",'Needs 171007_1827'!D17:BU17)</f>
        <v/>
      </c>
      <c r="CA17" s="235" t="str">
        <f>sum_level("e",'Needs 171007_1827'!D17:BU17)</f>
        <v/>
      </c>
    </row>
    <row r="18" spans="2:79" x14ac:dyDescent="0.25">
      <c r="B18" s="435"/>
      <c r="C18" s="291" t="s">
        <v>118</v>
      </c>
      <c r="D18" s="336"/>
      <c r="E18" s="337"/>
      <c r="F18" s="337"/>
      <c r="G18" s="337"/>
      <c r="H18" s="338"/>
      <c r="I18" s="336"/>
      <c r="J18" s="337"/>
      <c r="K18" s="337"/>
      <c r="L18" s="337"/>
      <c r="M18" s="338"/>
      <c r="N18" s="336"/>
      <c r="O18" s="337"/>
      <c r="P18" s="337"/>
      <c r="Q18" s="337"/>
      <c r="R18" s="338"/>
      <c r="S18" s="336"/>
      <c r="T18" s="337"/>
      <c r="U18" s="337"/>
      <c r="V18" s="337"/>
      <c r="W18" s="338"/>
      <c r="X18" s="336"/>
      <c r="Y18" s="337"/>
      <c r="Z18" s="337"/>
      <c r="AA18" s="337"/>
      <c r="AB18" s="338"/>
      <c r="AC18" s="336"/>
      <c r="AD18" s="337"/>
      <c r="AE18" s="337"/>
      <c r="AF18" s="337"/>
      <c r="AG18" s="338"/>
      <c r="AH18" s="336"/>
      <c r="AI18" s="337"/>
      <c r="AJ18" s="337"/>
      <c r="AK18" s="337"/>
      <c r="AL18" s="338"/>
      <c r="AM18" s="336"/>
      <c r="AN18" s="337"/>
      <c r="AO18" s="337"/>
      <c r="AP18" s="337"/>
      <c r="AQ18" s="338"/>
      <c r="AR18" s="336"/>
      <c r="AS18" s="337">
        <v>12</v>
      </c>
      <c r="AT18" s="337"/>
      <c r="AU18" s="337"/>
      <c r="AV18" s="338"/>
      <c r="AW18" s="336"/>
      <c r="AX18" s="337"/>
      <c r="AY18" s="337"/>
      <c r="AZ18" s="337"/>
      <c r="BA18" s="338"/>
      <c r="BB18" s="336"/>
      <c r="BC18" s="337"/>
      <c r="BD18" s="337"/>
      <c r="BE18" s="337"/>
      <c r="BF18" s="338"/>
      <c r="BG18" s="336"/>
      <c r="BH18" s="337"/>
      <c r="BI18" s="337"/>
      <c r="BJ18" s="337"/>
      <c r="BK18" s="338"/>
      <c r="BL18" s="336"/>
      <c r="BM18" s="337"/>
      <c r="BN18" s="337"/>
      <c r="BO18" s="337"/>
      <c r="BP18" s="338"/>
      <c r="BQ18" s="336"/>
      <c r="BR18" s="337"/>
      <c r="BS18" s="337"/>
      <c r="BT18" s="337"/>
      <c r="BU18" s="339"/>
      <c r="BW18" s="236" t="str">
        <f>sum_level("o",'Needs 171007_1827'!D18:BU18)</f>
        <v/>
      </c>
      <c r="BX18" s="237" t="str">
        <f>sum_level("j",'Needs 171007_1827'!D18:BU18)</f>
        <v>12</v>
      </c>
      <c r="BY18" s="237" t="str">
        <f>sum_level("m",'Needs 171007_1827'!D18:BU18)</f>
        <v/>
      </c>
      <c r="BZ18" s="237" t="str">
        <f>sum_level("s",'Needs 171007_1827'!D18:BU18)</f>
        <v/>
      </c>
      <c r="CA18" s="238" t="str">
        <f>sum_level("e",'Needs 171007_1827'!D18:BU18)</f>
        <v/>
      </c>
    </row>
    <row r="19" spans="2:79" x14ac:dyDescent="0.25">
      <c r="B19" s="435"/>
      <c r="C19" s="291" t="s">
        <v>64</v>
      </c>
      <c r="D19" s="336"/>
      <c r="E19" s="337"/>
      <c r="F19" s="337"/>
      <c r="G19" s="337"/>
      <c r="H19" s="338"/>
      <c r="I19" s="336"/>
      <c r="J19" s="337"/>
      <c r="K19" s="337"/>
      <c r="L19" s="337"/>
      <c r="M19" s="338"/>
      <c r="N19" s="336"/>
      <c r="O19" s="337"/>
      <c r="P19" s="337"/>
      <c r="Q19" s="337"/>
      <c r="R19" s="338"/>
      <c r="S19" s="336"/>
      <c r="T19" s="337"/>
      <c r="U19" s="337"/>
      <c r="V19" s="337"/>
      <c r="W19" s="338"/>
      <c r="X19" s="336"/>
      <c r="Y19" s="337"/>
      <c r="Z19" s="337"/>
      <c r="AA19" s="337"/>
      <c r="AB19" s="338"/>
      <c r="AC19" s="336"/>
      <c r="AD19" s="337"/>
      <c r="AE19" s="337"/>
      <c r="AF19" s="337"/>
      <c r="AG19" s="338"/>
      <c r="AH19" s="336"/>
      <c r="AI19" s="337"/>
      <c r="AJ19" s="337"/>
      <c r="AK19" s="337"/>
      <c r="AL19" s="338"/>
      <c r="AM19" s="336"/>
      <c r="AN19" s="337"/>
      <c r="AO19" s="337"/>
      <c r="AP19" s="337"/>
      <c r="AQ19" s="338"/>
      <c r="AR19" s="336"/>
      <c r="AS19" s="337"/>
      <c r="AT19" s="337">
        <v>13</v>
      </c>
      <c r="AU19" s="337"/>
      <c r="AV19" s="338"/>
      <c r="AW19" s="336"/>
      <c r="AX19" s="337"/>
      <c r="AY19" s="337"/>
      <c r="AZ19" s="337"/>
      <c r="BA19" s="338"/>
      <c r="BB19" s="336"/>
      <c r="BC19" s="337"/>
      <c r="BD19" s="337"/>
      <c r="BE19" s="337"/>
      <c r="BF19" s="338"/>
      <c r="BG19" s="336"/>
      <c r="BH19" s="337"/>
      <c r="BI19" s="337"/>
      <c r="BJ19" s="337"/>
      <c r="BK19" s="338"/>
      <c r="BL19" s="336"/>
      <c r="BM19" s="337"/>
      <c r="BN19" s="337"/>
      <c r="BO19" s="337"/>
      <c r="BP19" s="338"/>
      <c r="BQ19" s="336"/>
      <c r="BR19" s="337"/>
      <c r="BS19" s="337"/>
      <c r="BT19" s="337"/>
      <c r="BU19" s="339"/>
      <c r="BW19" s="236" t="str">
        <f>sum_level("o",'Needs 171007_1827'!D19:BU19)</f>
        <v/>
      </c>
      <c r="BX19" s="237" t="str">
        <f>sum_level("j",'Needs 171007_1827'!D19:BU19)</f>
        <v/>
      </c>
      <c r="BY19" s="237" t="str">
        <f>sum_level("m",'Needs 171007_1827'!D19:BU19)</f>
        <v>13</v>
      </c>
      <c r="BZ19" s="237" t="str">
        <f>sum_level("s",'Needs 171007_1827'!D19:BU19)</f>
        <v/>
      </c>
      <c r="CA19" s="238" t="str">
        <f>sum_level("e",'Needs 171007_1827'!D19:BU19)</f>
        <v/>
      </c>
    </row>
    <row r="20" spans="2:79" x14ac:dyDescent="0.25">
      <c r="B20" s="435"/>
      <c r="C20" s="291" t="s">
        <v>65</v>
      </c>
      <c r="D20" s="336"/>
      <c r="E20" s="337"/>
      <c r="F20" s="337"/>
      <c r="G20" s="337"/>
      <c r="H20" s="338"/>
      <c r="I20" s="336"/>
      <c r="J20" s="337"/>
      <c r="K20" s="337"/>
      <c r="L20" s="337"/>
      <c r="M20" s="338"/>
      <c r="N20" s="336"/>
      <c r="O20" s="337"/>
      <c r="P20" s="337"/>
      <c r="Q20" s="337"/>
      <c r="R20" s="338"/>
      <c r="S20" s="336"/>
      <c r="T20" s="337"/>
      <c r="U20" s="337"/>
      <c r="V20" s="337"/>
      <c r="W20" s="338"/>
      <c r="X20" s="336"/>
      <c r="Y20" s="337"/>
      <c r="Z20" s="337"/>
      <c r="AA20" s="337"/>
      <c r="AB20" s="338"/>
      <c r="AC20" s="336"/>
      <c r="AD20" s="337"/>
      <c r="AE20" s="337"/>
      <c r="AF20" s="337"/>
      <c r="AG20" s="338"/>
      <c r="AH20" s="336"/>
      <c r="AI20" s="337"/>
      <c r="AJ20" s="337"/>
      <c r="AK20" s="337"/>
      <c r="AL20" s="338"/>
      <c r="AM20" s="336"/>
      <c r="AN20" s="337"/>
      <c r="AO20" s="337"/>
      <c r="AP20" s="337"/>
      <c r="AQ20" s="338"/>
      <c r="AR20" s="336"/>
      <c r="AS20" s="337"/>
      <c r="AT20" s="337"/>
      <c r="AU20" s="337">
        <v>14</v>
      </c>
      <c r="AV20" s="338"/>
      <c r="AW20" s="336"/>
      <c r="AX20" s="337"/>
      <c r="AY20" s="337"/>
      <c r="AZ20" s="337"/>
      <c r="BA20" s="338"/>
      <c r="BB20" s="336"/>
      <c r="BC20" s="337"/>
      <c r="BD20" s="337"/>
      <c r="BE20" s="337"/>
      <c r="BF20" s="338"/>
      <c r="BG20" s="336"/>
      <c r="BH20" s="337"/>
      <c r="BI20" s="337"/>
      <c r="BJ20" s="337"/>
      <c r="BK20" s="338"/>
      <c r="BL20" s="336"/>
      <c r="BM20" s="337"/>
      <c r="BN20" s="337"/>
      <c r="BO20" s="337"/>
      <c r="BP20" s="338"/>
      <c r="BQ20" s="336"/>
      <c r="BR20" s="337"/>
      <c r="BS20" s="337"/>
      <c r="BT20" s="337"/>
      <c r="BU20" s="339"/>
      <c r="BW20" s="236" t="str">
        <f>sum_level("o",'Needs 171007_1827'!D20:BU20)</f>
        <v/>
      </c>
      <c r="BX20" s="237" t="str">
        <f>sum_level("j",'Needs 171007_1827'!D20:BU20)</f>
        <v/>
      </c>
      <c r="BY20" s="237" t="str">
        <f>sum_level("m",'Needs 171007_1827'!D20:BU20)</f>
        <v/>
      </c>
      <c r="BZ20" s="237" t="str">
        <f>sum_level("s",'Needs 171007_1827'!D20:BU20)</f>
        <v>14</v>
      </c>
      <c r="CA20" s="238" t="str">
        <f>sum_level("e",'Needs 171007_1827'!D20:BU20)</f>
        <v/>
      </c>
    </row>
    <row r="21" spans="2:79" x14ac:dyDescent="0.25">
      <c r="B21" s="435"/>
      <c r="C21" s="291" t="s">
        <v>66</v>
      </c>
      <c r="D21" s="336"/>
      <c r="E21" s="337"/>
      <c r="F21" s="337"/>
      <c r="G21" s="337"/>
      <c r="H21" s="338"/>
      <c r="I21" s="336"/>
      <c r="J21" s="337"/>
      <c r="K21" s="337"/>
      <c r="L21" s="337"/>
      <c r="M21" s="338"/>
      <c r="N21" s="336"/>
      <c r="O21" s="337"/>
      <c r="P21" s="337"/>
      <c r="Q21" s="337"/>
      <c r="R21" s="338"/>
      <c r="S21" s="336"/>
      <c r="T21" s="337"/>
      <c r="U21" s="337"/>
      <c r="V21" s="337"/>
      <c r="W21" s="338"/>
      <c r="X21" s="336"/>
      <c r="Y21" s="337"/>
      <c r="Z21" s="337"/>
      <c r="AA21" s="337"/>
      <c r="AB21" s="338"/>
      <c r="AC21" s="336"/>
      <c r="AD21" s="337"/>
      <c r="AE21" s="337"/>
      <c r="AF21" s="337"/>
      <c r="AG21" s="338"/>
      <c r="AH21" s="336"/>
      <c r="AI21" s="337"/>
      <c r="AJ21" s="337"/>
      <c r="AK21" s="337"/>
      <c r="AL21" s="338"/>
      <c r="AM21" s="336"/>
      <c r="AN21" s="337"/>
      <c r="AO21" s="337"/>
      <c r="AP21" s="337"/>
      <c r="AQ21" s="338"/>
      <c r="AR21" s="336"/>
      <c r="AS21" s="337"/>
      <c r="AT21" s="337"/>
      <c r="AU21" s="337"/>
      <c r="AV21" s="338">
        <v>15</v>
      </c>
      <c r="AW21" s="336"/>
      <c r="AX21" s="337"/>
      <c r="AY21" s="337"/>
      <c r="AZ21" s="337"/>
      <c r="BA21" s="338"/>
      <c r="BB21" s="336"/>
      <c r="BC21" s="337"/>
      <c r="BD21" s="337"/>
      <c r="BE21" s="337"/>
      <c r="BF21" s="338"/>
      <c r="BG21" s="336"/>
      <c r="BH21" s="337"/>
      <c r="BI21" s="337"/>
      <c r="BJ21" s="337"/>
      <c r="BK21" s="338"/>
      <c r="BL21" s="336"/>
      <c r="BM21" s="337"/>
      <c r="BN21" s="337"/>
      <c r="BO21" s="337"/>
      <c r="BP21" s="338"/>
      <c r="BQ21" s="336"/>
      <c r="BR21" s="337"/>
      <c r="BS21" s="337"/>
      <c r="BT21" s="337"/>
      <c r="BU21" s="339"/>
      <c r="BW21" s="236" t="str">
        <f>sum_level("o",'Needs 171007_1827'!D21:BU21)</f>
        <v/>
      </c>
      <c r="BX21" s="237" t="str">
        <f>sum_level("j",'Needs 171007_1827'!D21:BU21)</f>
        <v/>
      </c>
      <c r="BY21" s="237" t="str">
        <f>sum_level("m",'Needs 171007_1827'!D21:BU21)</f>
        <v/>
      </c>
      <c r="BZ21" s="237" t="str">
        <f>sum_level("s",'Needs 171007_1827'!D21:BU21)</f>
        <v/>
      </c>
      <c r="CA21" s="238" t="str">
        <f>sum_level("e",'Needs 171007_1827'!D21:BU21)</f>
        <v>15</v>
      </c>
    </row>
    <row r="22" spans="2:79" x14ac:dyDescent="0.25">
      <c r="B22" s="435"/>
      <c r="C22" s="291" t="s">
        <v>67</v>
      </c>
      <c r="D22" s="336"/>
      <c r="E22" s="337"/>
      <c r="F22" s="337"/>
      <c r="G22" s="337"/>
      <c r="H22" s="338"/>
      <c r="I22" s="336"/>
      <c r="J22" s="337"/>
      <c r="K22" s="337"/>
      <c r="L22" s="337"/>
      <c r="M22" s="338"/>
      <c r="N22" s="336"/>
      <c r="O22" s="337"/>
      <c r="P22" s="337"/>
      <c r="Q22" s="337"/>
      <c r="R22" s="338"/>
      <c r="S22" s="336"/>
      <c r="T22" s="337"/>
      <c r="U22" s="337"/>
      <c r="V22" s="337"/>
      <c r="W22" s="338"/>
      <c r="X22" s="336"/>
      <c r="Y22" s="337"/>
      <c r="Z22" s="337"/>
      <c r="AA22" s="337"/>
      <c r="AB22" s="338"/>
      <c r="AC22" s="336"/>
      <c r="AD22" s="337"/>
      <c r="AE22" s="337"/>
      <c r="AF22" s="337"/>
      <c r="AG22" s="338"/>
      <c r="AH22" s="336"/>
      <c r="AI22" s="337"/>
      <c r="AJ22" s="337"/>
      <c r="AK22" s="337"/>
      <c r="AL22" s="338"/>
      <c r="AM22" s="336"/>
      <c r="AN22" s="337"/>
      <c r="AO22" s="337"/>
      <c r="AP22" s="337"/>
      <c r="AQ22" s="338"/>
      <c r="AR22" s="336"/>
      <c r="AS22" s="337"/>
      <c r="AT22" s="337"/>
      <c r="AU22" s="337"/>
      <c r="AV22" s="338"/>
      <c r="AW22" s="336"/>
      <c r="AX22" s="337"/>
      <c r="AY22" s="337"/>
      <c r="AZ22" s="337"/>
      <c r="BA22" s="338"/>
      <c r="BB22" s="336"/>
      <c r="BC22" s="337"/>
      <c r="BD22" s="337"/>
      <c r="BE22" s="337"/>
      <c r="BF22" s="338"/>
      <c r="BG22" s="336"/>
      <c r="BH22" s="337"/>
      <c r="BI22" s="337"/>
      <c r="BJ22" s="337"/>
      <c r="BK22" s="338"/>
      <c r="BL22" s="336"/>
      <c r="BM22" s="337"/>
      <c r="BN22" s="337"/>
      <c r="BO22" s="337"/>
      <c r="BP22" s="338"/>
      <c r="BQ22" s="336"/>
      <c r="BR22" s="337"/>
      <c r="BS22" s="337"/>
      <c r="BT22" s="337"/>
      <c r="BU22" s="339"/>
      <c r="BW22" s="236" t="str">
        <f>sum_level("o",'Needs 171007_1827'!D22:BU22)</f>
        <v/>
      </c>
      <c r="BX22" s="237" t="str">
        <f>sum_level("j",'Needs 171007_1827'!D22:BU22)</f>
        <v/>
      </c>
      <c r="BY22" s="237" t="str">
        <f>sum_level("m",'Needs 171007_1827'!D22:BU22)</f>
        <v/>
      </c>
      <c r="BZ22" s="237" t="str">
        <f>sum_level("s",'Needs 171007_1827'!D22:BU22)</f>
        <v/>
      </c>
      <c r="CA22" s="238" t="str">
        <f>sum_level("e",'Needs 171007_1827'!D22:BU22)</f>
        <v/>
      </c>
    </row>
    <row r="23" spans="2:79" x14ac:dyDescent="0.25">
      <c r="B23" s="435"/>
      <c r="C23" s="291" t="s">
        <v>68</v>
      </c>
      <c r="D23" s="336"/>
      <c r="E23" s="337"/>
      <c r="F23" s="337"/>
      <c r="G23" s="337"/>
      <c r="H23" s="338"/>
      <c r="I23" s="336"/>
      <c r="J23" s="337"/>
      <c r="K23" s="337"/>
      <c r="L23" s="337"/>
      <c r="M23" s="338"/>
      <c r="N23" s="336"/>
      <c r="O23" s="337"/>
      <c r="P23" s="337"/>
      <c r="Q23" s="337"/>
      <c r="R23" s="338"/>
      <c r="S23" s="336"/>
      <c r="T23" s="337"/>
      <c r="U23" s="337"/>
      <c r="V23" s="337"/>
      <c r="W23" s="338"/>
      <c r="X23" s="336"/>
      <c r="Y23" s="337"/>
      <c r="Z23" s="337"/>
      <c r="AA23" s="337"/>
      <c r="AB23" s="338"/>
      <c r="AC23" s="336"/>
      <c r="AD23" s="337"/>
      <c r="AE23" s="337"/>
      <c r="AF23" s="337"/>
      <c r="AG23" s="338"/>
      <c r="AH23" s="336"/>
      <c r="AI23" s="337"/>
      <c r="AJ23" s="337"/>
      <c r="AK23" s="337"/>
      <c r="AL23" s="338"/>
      <c r="AM23" s="336"/>
      <c r="AN23" s="337"/>
      <c r="AO23" s="337"/>
      <c r="AP23" s="337"/>
      <c r="AQ23" s="338"/>
      <c r="AR23" s="336"/>
      <c r="AS23" s="337"/>
      <c r="AT23" s="337"/>
      <c r="AU23" s="337"/>
      <c r="AV23" s="338"/>
      <c r="AW23" s="336"/>
      <c r="AX23" s="337"/>
      <c r="AY23" s="337"/>
      <c r="AZ23" s="337"/>
      <c r="BA23" s="338"/>
      <c r="BB23" s="336"/>
      <c r="BC23" s="337"/>
      <c r="BD23" s="337"/>
      <c r="BE23" s="337"/>
      <c r="BF23" s="338"/>
      <c r="BG23" s="336"/>
      <c r="BH23" s="337"/>
      <c r="BI23" s="337"/>
      <c r="BJ23" s="337"/>
      <c r="BK23" s="338"/>
      <c r="BL23" s="336"/>
      <c r="BM23" s="337"/>
      <c r="BN23" s="337"/>
      <c r="BO23" s="337"/>
      <c r="BP23" s="338"/>
      <c r="BQ23" s="336"/>
      <c r="BR23" s="337"/>
      <c r="BS23" s="337"/>
      <c r="BT23" s="337"/>
      <c r="BU23" s="339"/>
      <c r="BW23" s="236" t="str">
        <f>sum_level("o",'Needs 171007_1827'!D23:BU23)</f>
        <v/>
      </c>
      <c r="BX23" s="237" t="str">
        <f>sum_level("j",'Needs 171007_1827'!D23:BU23)</f>
        <v/>
      </c>
      <c r="BY23" s="237" t="str">
        <f>sum_level("m",'Needs 171007_1827'!D23:BU23)</f>
        <v/>
      </c>
      <c r="BZ23" s="237" t="str">
        <f>sum_level("s",'Needs 171007_1827'!D23:BU23)</f>
        <v/>
      </c>
      <c r="CA23" s="238" t="str">
        <f>sum_level("e",'Needs 171007_1827'!D23:BU23)</f>
        <v/>
      </c>
    </row>
    <row r="24" spans="2:79" x14ac:dyDescent="0.25">
      <c r="B24" s="435"/>
      <c r="C24" s="291" t="s">
        <v>69</v>
      </c>
      <c r="D24" s="336"/>
      <c r="E24" s="337"/>
      <c r="F24" s="337"/>
      <c r="G24" s="337"/>
      <c r="H24" s="338"/>
      <c r="I24" s="336"/>
      <c r="J24" s="337"/>
      <c r="K24" s="337"/>
      <c r="L24" s="337"/>
      <c r="M24" s="338"/>
      <c r="N24" s="336"/>
      <c r="O24" s="337"/>
      <c r="P24" s="337"/>
      <c r="Q24" s="337"/>
      <c r="R24" s="338"/>
      <c r="S24" s="336"/>
      <c r="T24" s="337"/>
      <c r="U24" s="337"/>
      <c r="V24" s="337"/>
      <c r="W24" s="338"/>
      <c r="X24" s="336"/>
      <c r="Y24" s="337"/>
      <c r="Z24" s="337"/>
      <c r="AA24" s="337"/>
      <c r="AB24" s="338"/>
      <c r="AC24" s="336"/>
      <c r="AD24" s="337"/>
      <c r="AE24" s="337"/>
      <c r="AF24" s="337"/>
      <c r="AG24" s="338"/>
      <c r="AH24" s="336"/>
      <c r="AI24" s="337"/>
      <c r="AJ24" s="337"/>
      <c r="AK24" s="337"/>
      <c r="AL24" s="338"/>
      <c r="AM24" s="336"/>
      <c r="AN24" s="337"/>
      <c r="AO24" s="337"/>
      <c r="AP24" s="337"/>
      <c r="AQ24" s="338"/>
      <c r="AR24" s="336"/>
      <c r="AS24" s="337"/>
      <c r="AT24" s="337"/>
      <c r="AU24" s="337"/>
      <c r="AV24" s="338"/>
      <c r="AW24" s="336"/>
      <c r="AX24" s="337"/>
      <c r="AY24" s="337"/>
      <c r="AZ24" s="337"/>
      <c r="BA24" s="338"/>
      <c r="BB24" s="336"/>
      <c r="BC24" s="337"/>
      <c r="BD24" s="337"/>
      <c r="BE24" s="337"/>
      <c r="BF24" s="338"/>
      <c r="BG24" s="336"/>
      <c r="BH24" s="337"/>
      <c r="BI24" s="337"/>
      <c r="BJ24" s="337"/>
      <c r="BK24" s="338"/>
      <c r="BL24" s="336"/>
      <c r="BM24" s="337"/>
      <c r="BN24" s="337"/>
      <c r="BO24" s="337"/>
      <c r="BP24" s="338"/>
      <c r="BQ24" s="336"/>
      <c r="BR24" s="337"/>
      <c r="BS24" s="337"/>
      <c r="BT24" s="337"/>
      <c r="BU24" s="339"/>
      <c r="BW24" s="236" t="str">
        <f>sum_level("o",'Needs 171007_1827'!D24:BU24)</f>
        <v/>
      </c>
      <c r="BX24" s="237" t="str">
        <f>sum_level("j",'Needs 171007_1827'!D24:BU24)</f>
        <v/>
      </c>
      <c r="BY24" s="237" t="str">
        <f>sum_level("m",'Needs 171007_1827'!D24:BU24)</f>
        <v/>
      </c>
      <c r="BZ24" s="237" t="str">
        <f>sum_level("s",'Needs 171007_1827'!D24:BU24)</f>
        <v/>
      </c>
      <c r="CA24" s="238" t="str">
        <f>sum_level("e",'Needs 171007_1827'!D24:BU24)</f>
        <v/>
      </c>
    </row>
    <row r="25" spans="2:79" ht="15.75" thickBot="1" x14ac:dyDescent="0.3">
      <c r="B25" s="435"/>
      <c r="C25" s="292" t="s">
        <v>75</v>
      </c>
      <c r="D25" s="340"/>
      <c r="E25" s="341"/>
      <c r="F25" s="341"/>
      <c r="G25" s="341"/>
      <c r="H25" s="342"/>
      <c r="I25" s="340"/>
      <c r="J25" s="341"/>
      <c r="K25" s="341"/>
      <c r="L25" s="341"/>
      <c r="M25" s="342"/>
      <c r="N25" s="340"/>
      <c r="O25" s="341"/>
      <c r="P25" s="341"/>
      <c r="Q25" s="341"/>
      <c r="R25" s="342"/>
      <c r="S25" s="340"/>
      <c r="T25" s="341"/>
      <c r="U25" s="341"/>
      <c r="V25" s="341"/>
      <c r="W25" s="342"/>
      <c r="X25" s="340"/>
      <c r="Y25" s="341"/>
      <c r="Z25" s="341"/>
      <c r="AA25" s="341"/>
      <c r="AB25" s="342"/>
      <c r="AC25" s="340"/>
      <c r="AD25" s="341"/>
      <c r="AE25" s="341"/>
      <c r="AF25" s="341"/>
      <c r="AG25" s="342"/>
      <c r="AH25" s="340"/>
      <c r="AI25" s="341"/>
      <c r="AJ25" s="341"/>
      <c r="AK25" s="341"/>
      <c r="AL25" s="342"/>
      <c r="AM25" s="340"/>
      <c r="AN25" s="341"/>
      <c r="AO25" s="341"/>
      <c r="AP25" s="341"/>
      <c r="AQ25" s="342"/>
      <c r="AR25" s="340"/>
      <c r="AS25" s="341"/>
      <c r="AT25" s="341"/>
      <c r="AU25" s="341"/>
      <c r="AV25" s="342"/>
      <c r="AW25" s="340"/>
      <c r="AX25" s="341"/>
      <c r="AY25" s="341"/>
      <c r="AZ25" s="341"/>
      <c r="BA25" s="342"/>
      <c r="BB25" s="340"/>
      <c r="BC25" s="341"/>
      <c r="BD25" s="341"/>
      <c r="BE25" s="341"/>
      <c r="BF25" s="342"/>
      <c r="BG25" s="340"/>
      <c r="BH25" s="341"/>
      <c r="BI25" s="341"/>
      <c r="BJ25" s="341"/>
      <c r="BK25" s="342"/>
      <c r="BL25" s="340"/>
      <c r="BM25" s="341"/>
      <c r="BN25" s="341"/>
      <c r="BO25" s="341"/>
      <c r="BP25" s="342"/>
      <c r="BQ25" s="340"/>
      <c r="BR25" s="341"/>
      <c r="BS25" s="341"/>
      <c r="BT25" s="341"/>
      <c r="BU25" s="343"/>
      <c r="BW25" s="239" t="str">
        <f>sum_level("o",'Needs 171007_1827'!D25:BU25)</f>
        <v/>
      </c>
      <c r="BX25" s="240" t="str">
        <f>sum_level("j",'Needs 171007_1827'!D25:BU25)</f>
        <v/>
      </c>
      <c r="BY25" s="240" t="str">
        <f>sum_level("m",'Needs 171007_1827'!D25:BU25)</f>
        <v/>
      </c>
      <c r="BZ25" s="240" t="str">
        <f>sum_level("s",'Needs 171007_1827'!D25:BU25)</f>
        <v/>
      </c>
      <c r="CA25" s="241" t="str">
        <f>sum_level("e",'Needs 171007_1827'!D25:BU25)</f>
        <v/>
      </c>
    </row>
    <row r="26" spans="2:79" ht="12.75" customHeight="1" thickTop="1" thickBot="1" x14ac:dyDescent="0.3">
      <c r="B26" s="436"/>
      <c r="C26" s="248"/>
      <c r="D26" s="344"/>
      <c r="E26" s="344"/>
      <c r="F26" s="344"/>
      <c r="G26" s="344"/>
      <c r="H26" s="344"/>
      <c r="I26" s="344"/>
      <c r="J26" s="344"/>
      <c r="K26" s="344"/>
      <c r="L26" s="344"/>
      <c r="M26" s="344"/>
      <c r="N26" s="344"/>
      <c r="O26" s="344"/>
      <c r="P26" s="344"/>
      <c r="Q26" s="344"/>
      <c r="R26" s="344"/>
      <c r="S26" s="344"/>
      <c r="T26" s="344"/>
      <c r="U26" s="344"/>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344"/>
      <c r="AW26" s="344"/>
      <c r="AX26" s="344"/>
      <c r="AY26" s="344"/>
      <c r="AZ26" s="344"/>
      <c r="BA26" s="344"/>
      <c r="BB26" s="344"/>
      <c r="BC26" s="344"/>
      <c r="BD26" s="344"/>
      <c r="BE26" s="344"/>
      <c r="BF26" s="344"/>
      <c r="BG26" s="344"/>
      <c r="BH26" s="344"/>
      <c r="BI26" s="344"/>
      <c r="BJ26" s="344"/>
      <c r="BK26" s="344"/>
      <c r="BL26" s="344"/>
      <c r="BM26" s="344"/>
      <c r="BN26" s="344"/>
      <c r="BO26" s="344"/>
      <c r="BP26" s="344"/>
      <c r="BQ26" s="344"/>
      <c r="BR26" s="344"/>
      <c r="BS26" s="344"/>
      <c r="BT26" s="344"/>
      <c r="BU26" s="344"/>
      <c r="BW26" s="249"/>
      <c r="BX26" s="249"/>
      <c r="BY26" s="249"/>
      <c r="BZ26" s="249"/>
      <c r="CA26" s="249"/>
    </row>
    <row r="27" spans="2:79" ht="15.75" thickTop="1" x14ac:dyDescent="0.25">
      <c r="B27" s="434" t="s">
        <v>70</v>
      </c>
      <c r="C27" s="290" t="s">
        <v>71</v>
      </c>
      <c r="D27" s="332"/>
      <c r="E27" s="333"/>
      <c r="F27" s="333"/>
      <c r="G27" s="333"/>
      <c r="H27" s="334"/>
      <c r="I27" s="332"/>
      <c r="J27" s="333"/>
      <c r="K27" s="333"/>
      <c r="L27" s="333"/>
      <c r="M27" s="334"/>
      <c r="N27" s="332"/>
      <c r="O27" s="333"/>
      <c r="P27" s="333"/>
      <c r="Q27" s="333"/>
      <c r="R27" s="334"/>
      <c r="S27" s="332"/>
      <c r="T27" s="333"/>
      <c r="U27" s="333"/>
      <c r="V27" s="333"/>
      <c r="W27" s="334"/>
      <c r="X27" s="332"/>
      <c r="Y27" s="333"/>
      <c r="Z27" s="333"/>
      <c r="AA27" s="333"/>
      <c r="AB27" s="334"/>
      <c r="AC27" s="332"/>
      <c r="AD27" s="333"/>
      <c r="AE27" s="333"/>
      <c r="AF27" s="333"/>
      <c r="AG27" s="334"/>
      <c r="AH27" s="332"/>
      <c r="AI27" s="333"/>
      <c r="AJ27" s="333"/>
      <c r="AK27" s="333"/>
      <c r="AL27" s="334"/>
      <c r="AM27" s="332"/>
      <c r="AN27" s="333"/>
      <c r="AO27" s="333"/>
      <c r="AP27" s="333"/>
      <c r="AQ27" s="334"/>
      <c r="AR27" s="332"/>
      <c r="AS27" s="333"/>
      <c r="AT27" s="333"/>
      <c r="AU27" s="333"/>
      <c r="AV27" s="334"/>
      <c r="AW27" s="332">
        <v>16</v>
      </c>
      <c r="AX27" s="333"/>
      <c r="AY27" s="333"/>
      <c r="AZ27" s="333"/>
      <c r="BA27" s="334"/>
      <c r="BB27" s="332"/>
      <c r="BC27" s="333"/>
      <c r="BD27" s="333"/>
      <c r="BE27" s="333"/>
      <c r="BF27" s="334"/>
      <c r="BG27" s="332"/>
      <c r="BH27" s="333"/>
      <c r="BI27" s="333"/>
      <c r="BJ27" s="333"/>
      <c r="BK27" s="334"/>
      <c r="BL27" s="332"/>
      <c r="BM27" s="333"/>
      <c r="BN27" s="333"/>
      <c r="BO27" s="333"/>
      <c r="BP27" s="334"/>
      <c r="BQ27" s="332"/>
      <c r="BR27" s="333"/>
      <c r="BS27" s="333"/>
      <c r="BT27" s="333"/>
      <c r="BU27" s="335"/>
      <c r="BW27" s="233" t="str">
        <f>sum_level("o",'Needs 171007_1827'!D27:BU27)</f>
        <v>16</v>
      </c>
      <c r="BX27" s="234" t="str">
        <f>sum_level("j",'Needs 171007_1827'!D27:BU27)</f>
        <v/>
      </c>
      <c r="BY27" s="234" t="str">
        <f>sum_level("m",'Needs 171007_1827'!D27:BU27)</f>
        <v/>
      </c>
      <c r="BZ27" s="234" t="str">
        <f>sum_level("s",'Needs 171007_1827'!D27:BU27)</f>
        <v/>
      </c>
      <c r="CA27" s="235" t="str">
        <f>sum_level("e",'Needs 171007_1827'!D27:BU27)</f>
        <v/>
      </c>
    </row>
    <row r="28" spans="2:79" x14ac:dyDescent="0.25">
      <c r="B28" s="435"/>
      <c r="C28" s="291" t="s">
        <v>72</v>
      </c>
      <c r="D28" s="336"/>
      <c r="E28" s="337"/>
      <c r="F28" s="337"/>
      <c r="G28" s="337"/>
      <c r="H28" s="338"/>
      <c r="I28" s="336"/>
      <c r="J28" s="337"/>
      <c r="K28" s="337"/>
      <c r="L28" s="337"/>
      <c r="M28" s="338"/>
      <c r="N28" s="336"/>
      <c r="O28" s="337"/>
      <c r="P28" s="337"/>
      <c r="Q28" s="337"/>
      <c r="R28" s="338"/>
      <c r="S28" s="336"/>
      <c r="T28" s="337"/>
      <c r="U28" s="337"/>
      <c r="V28" s="337"/>
      <c r="W28" s="338"/>
      <c r="X28" s="336"/>
      <c r="Y28" s="337"/>
      <c r="Z28" s="337"/>
      <c r="AA28" s="337"/>
      <c r="AB28" s="338"/>
      <c r="AC28" s="336"/>
      <c r="AD28" s="337"/>
      <c r="AE28" s="337"/>
      <c r="AF28" s="337"/>
      <c r="AG28" s="338"/>
      <c r="AH28" s="336"/>
      <c r="AI28" s="337"/>
      <c r="AJ28" s="337"/>
      <c r="AK28" s="337"/>
      <c r="AL28" s="338"/>
      <c r="AM28" s="336"/>
      <c r="AN28" s="337"/>
      <c r="AO28" s="337"/>
      <c r="AP28" s="337"/>
      <c r="AQ28" s="338"/>
      <c r="AR28" s="336"/>
      <c r="AS28" s="337"/>
      <c r="AT28" s="337"/>
      <c r="AU28" s="337"/>
      <c r="AV28" s="338"/>
      <c r="AW28" s="336"/>
      <c r="AX28" s="337">
        <v>17</v>
      </c>
      <c r="AY28" s="337"/>
      <c r="AZ28" s="337"/>
      <c r="BA28" s="338"/>
      <c r="BB28" s="336"/>
      <c r="BC28" s="337"/>
      <c r="BD28" s="337"/>
      <c r="BE28" s="337"/>
      <c r="BF28" s="338"/>
      <c r="BG28" s="336"/>
      <c r="BH28" s="337"/>
      <c r="BI28" s="337"/>
      <c r="BJ28" s="337"/>
      <c r="BK28" s="338"/>
      <c r="BL28" s="336"/>
      <c r="BM28" s="337"/>
      <c r="BN28" s="337"/>
      <c r="BO28" s="337"/>
      <c r="BP28" s="338"/>
      <c r="BQ28" s="336"/>
      <c r="BR28" s="337"/>
      <c r="BS28" s="337"/>
      <c r="BT28" s="337"/>
      <c r="BU28" s="339"/>
      <c r="BW28" s="236" t="str">
        <f>sum_level("o",'Needs 171007_1827'!D28:BU28)</f>
        <v/>
      </c>
      <c r="BX28" s="237" t="str">
        <f>sum_level("j",'Needs 171007_1827'!D28:BU28)</f>
        <v>17</v>
      </c>
      <c r="BY28" s="237" t="str">
        <f>sum_level("m",'Needs 171007_1827'!D28:BU28)</f>
        <v/>
      </c>
      <c r="BZ28" s="237" t="str">
        <f>sum_level("s",'Needs 171007_1827'!D28:BU28)</f>
        <v/>
      </c>
      <c r="CA28" s="238" t="str">
        <f>sum_level("e",'Needs 171007_1827'!D28:BU28)</f>
        <v/>
      </c>
    </row>
    <row r="29" spans="2:79" x14ac:dyDescent="0.25">
      <c r="B29" s="435"/>
      <c r="C29" s="291" t="s">
        <v>73</v>
      </c>
      <c r="D29" s="336"/>
      <c r="E29" s="337"/>
      <c r="F29" s="337"/>
      <c r="G29" s="337"/>
      <c r="H29" s="338"/>
      <c r="I29" s="336"/>
      <c r="J29" s="337"/>
      <c r="K29" s="337"/>
      <c r="L29" s="337"/>
      <c r="M29" s="338"/>
      <c r="N29" s="336"/>
      <c r="O29" s="337"/>
      <c r="P29" s="337"/>
      <c r="Q29" s="337"/>
      <c r="R29" s="338"/>
      <c r="S29" s="336"/>
      <c r="T29" s="337"/>
      <c r="U29" s="337"/>
      <c r="V29" s="337"/>
      <c r="W29" s="338"/>
      <c r="X29" s="336"/>
      <c r="Y29" s="337"/>
      <c r="Z29" s="337"/>
      <c r="AA29" s="337"/>
      <c r="AB29" s="338"/>
      <c r="AC29" s="336"/>
      <c r="AD29" s="337"/>
      <c r="AE29" s="337"/>
      <c r="AF29" s="337"/>
      <c r="AG29" s="338"/>
      <c r="AH29" s="336"/>
      <c r="AI29" s="337"/>
      <c r="AJ29" s="337"/>
      <c r="AK29" s="337"/>
      <c r="AL29" s="338"/>
      <c r="AM29" s="336"/>
      <c r="AN29" s="337"/>
      <c r="AO29" s="337"/>
      <c r="AP29" s="337"/>
      <c r="AQ29" s="338"/>
      <c r="AR29" s="336"/>
      <c r="AS29" s="337"/>
      <c r="AT29" s="337"/>
      <c r="AU29" s="337"/>
      <c r="AV29" s="338"/>
      <c r="AW29" s="336"/>
      <c r="AX29" s="337"/>
      <c r="AY29" s="337">
        <v>18</v>
      </c>
      <c r="AZ29" s="337"/>
      <c r="BA29" s="338"/>
      <c r="BB29" s="336"/>
      <c r="BC29" s="337"/>
      <c r="BD29" s="337"/>
      <c r="BE29" s="337"/>
      <c r="BF29" s="338"/>
      <c r="BG29" s="336"/>
      <c r="BH29" s="337"/>
      <c r="BI29" s="337"/>
      <c r="BJ29" s="337"/>
      <c r="BK29" s="338"/>
      <c r="BL29" s="336"/>
      <c r="BM29" s="337"/>
      <c r="BN29" s="337"/>
      <c r="BO29" s="337"/>
      <c r="BP29" s="338"/>
      <c r="BQ29" s="336"/>
      <c r="BR29" s="337"/>
      <c r="BS29" s="337"/>
      <c r="BT29" s="337"/>
      <c r="BU29" s="339"/>
      <c r="BW29" s="236" t="str">
        <f>sum_level("o",'Needs 171007_1827'!D29:BU29)</f>
        <v/>
      </c>
      <c r="BX29" s="237" t="str">
        <f>sum_level("j",'Needs 171007_1827'!D29:BU29)</f>
        <v/>
      </c>
      <c r="BY29" s="237" t="str">
        <f>sum_level("m",'Needs 171007_1827'!D29:BU29)</f>
        <v>18</v>
      </c>
      <c r="BZ29" s="237" t="str">
        <f>sum_level("s",'Needs 171007_1827'!D29:BU29)</f>
        <v/>
      </c>
      <c r="CA29" s="238" t="str">
        <f>sum_level("e",'Needs 171007_1827'!D29:BU29)</f>
        <v/>
      </c>
    </row>
    <row r="30" spans="2:79" x14ac:dyDescent="0.25">
      <c r="B30" s="435"/>
      <c r="C30" s="291" t="s">
        <v>74</v>
      </c>
      <c r="D30" s="336"/>
      <c r="E30" s="337"/>
      <c r="F30" s="337"/>
      <c r="G30" s="337"/>
      <c r="H30" s="338"/>
      <c r="I30" s="336"/>
      <c r="J30" s="337"/>
      <c r="K30" s="337"/>
      <c r="L30" s="337"/>
      <c r="M30" s="338"/>
      <c r="N30" s="336"/>
      <c r="O30" s="337"/>
      <c r="P30" s="337"/>
      <c r="Q30" s="337"/>
      <c r="R30" s="338"/>
      <c r="S30" s="336"/>
      <c r="T30" s="337"/>
      <c r="U30" s="337"/>
      <c r="V30" s="337"/>
      <c r="W30" s="338"/>
      <c r="X30" s="336"/>
      <c r="Y30" s="337"/>
      <c r="Z30" s="337"/>
      <c r="AA30" s="337"/>
      <c r="AB30" s="338"/>
      <c r="AC30" s="336"/>
      <c r="AD30" s="337"/>
      <c r="AE30" s="337"/>
      <c r="AF30" s="337"/>
      <c r="AG30" s="338"/>
      <c r="AH30" s="336"/>
      <c r="AI30" s="337"/>
      <c r="AJ30" s="337"/>
      <c r="AK30" s="337"/>
      <c r="AL30" s="338"/>
      <c r="AM30" s="336"/>
      <c r="AN30" s="337"/>
      <c r="AO30" s="337"/>
      <c r="AP30" s="337"/>
      <c r="AQ30" s="338"/>
      <c r="AR30" s="336"/>
      <c r="AS30" s="337"/>
      <c r="AT30" s="337"/>
      <c r="AU30" s="337"/>
      <c r="AV30" s="338"/>
      <c r="AW30" s="336"/>
      <c r="AX30" s="337"/>
      <c r="AY30" s="337"/>
      <c r="AZ30" s="337">
        <v>19</v>
      </c>
      <c r="BA30" s="338"/>
      <c r="BB30" s="336"/>
      <c r="BC30" s="337"/>
      <c r="BD30" s="337"/>
      <c r="BE30" s="337"/>
      <c r="BF30" s="338"/>
      <c r="BG30" s="336"/>
      <c r="BH30" s="337"/>
      <c r="BI30" s="337"/>
      <c r="BJ30" s="337"/>
      <c r="BK30" s="338"/>
      <c r="BL30" s="336"/>
      <c r="BM30" s="337"/>
      <c r="BN30" s="337"/>
      <c r="BO30" s="337"/>
      <c r="BP30" s="338"/>
      <c r="BQ30" s="336"/>
      <c r="BR30" s="337"/>
      <c r="BS30" s="337"/>
      <c r="BT30" s="337"/>
      <c r="BU30" s="339"/>
      <c r="BW30" s="236" t="str">
        <f>sum_level("o",'Needs 171007_1827'!D30:BU30)</f>
        <v/>
      </c>
      <c r="BX30" s="237" t="str">
        <f>sum_level("j",'Needs 171007_1827'!D30:BU30)</f>
        <v/>
      </c>
      <c r="BY30" s="237" t="str">
        <f>sum_level("m",'Needs 171007_1827'!D30:BU30)</f>
        <v/>
      </c>
      <c r="BZ30" s="237" t="str">
        <f>sum_level("s",'Needs 171007_1827'!D30:BU30)</f>
        <v>19</v>
      </c>
      <c r="CA30" s="238" t="str">
        <f>sum_level("e",'Needs 171007_1827'!D30:BU30)</f>
        <v/>
      </c>
    </row>
    <row r="31" spans="2:79" x14ac:dyDescent="0.25">
      <c r="B31" s="435"/>
      <c r="C31" s="291" t="s">
        <v>76</v>
      </c>
      <c r="D31" s="336"/>
      <c r="E31" s="337"/>
      <c r="F31" s="337"/>
      <c r="G31" s="337"/>
      <c r="H31" s="338"/>
      <c r="I31" s="336"/>
      <c r="J31" s="337"/>
      <c r="K31" s="337"/>
      <c r="L31" s="337"/>
      <c r="M31" s="338"/>
      <c r="N31" s="336"/>
      <c r="O31" s="337"/>
      <c r="P31" s="337"/>
      <c r="Q31" s="337"/>
      <c r="R31" s="338"/>
      <c r="S31" s="336"/>
      <c r="T31" s="337"/>
      <c r="U31" s="337"/>
      <c r="V31" s="337"/>
      <c r="W31" s="338"/>
      <c r="X31" s="336"/>
      <c r="Y31" s="337"/>
      <c r="Z31" s="337"/>
      <c r="AA31" s="337"/>
      <c r="AB31" s="338"/>
      <c r="AC31" s="336"/>
      <c r="AD31" s="337"/>
      <c r="AE31" s="337"/>
      <c r="AF31" s="337"/>
      <c r="AG31" s="338"/>
      <c r="AH31" s="336"/>
      <c r="AI31" s="337"/>
      <c r="AJ31" s="337"/>
      <c r="AK31" s="337"/>
      <c r="AL31" s="338"/>
      <c r="AM31" s="336"/>
      <c r="AN31" s="337"/>
      <c r="AO31" s="337"/>
      <c r="AP31" s="337"/>
      <c r="AQ31" s="338"/>
      <c r="AR31" s="336"/>
      <c r="AS31" s="337"/>
      <c r="AT31" s="337"/>
      <c r="AU31" s="337"/>
      <c r="AV31" s="338"/>
      <c r="AW31" s="336"/>
      <c r="AX31" s="337"/>
      <c r="AY31" s="337"/>
      <c r="AZ31" s="337"/>
      <c r="BA31" s="338">
        <v>20</v>
      </c>
      <c r="BB31" s="336"/>
      <c r="BC31" s="337"/>
      <c r="BD31" s="337"/>
      <c r="BE31" s="337"/>
      <c r="BF31" s="338"/>
      <c r="BG31" s="336"/>
      <c r="BH31" s="337"/>
      <c r="BI31" s="337"/>
      <c r="BJ31" s="337"/>
      <c r="BK31" s="338"/>
      <c r="BL31" s="336"/>
      <c r="BM31" s="337"/>
      <c r="BN31" s="337"/>
      <c r="BO31" s="337"/>
      <c r="BP31" s="338"/>
      <c r="BQ31" s="336"/>
      <c r="BR31" s="337"/>
      <c r="BS31" s="337"/>
      <c r="BT31" s="337"/>
      <c r="BU31" s="339"/>
      <c r="BW31" s="236" t="str">
        <f>sum_level("o",'Needs 171007_1827'!D31:BU31)</f>
        <v/>
      </c>
      <c r="BX31" s="237" t="str">
        <f>sum_level("j",'Needs 171007_1827'!D31:BU31)</f>
        <v/>
      </c>
      <c r="BY31" s="237" t="str">
        <f>sum_level("m",'Needs 171007_1827'!D31:BU31)</f>
        <v/>
      </c>
      <c r="BZ31" s="237" t="str">
        <f>sum_level("s",'Needs 171007_1827'!D31:BU31)</f>
        <v/>
      </c>
      <c r="CA31" s="238" t="str">
        <f>sum_level("e",'Needs 171007_1827'!D31:BU31)</f>
        <v>20</v>
      </c>
    </row>
    <row r="32" spans="2:79" x14ac:dyDescent="0.25">
      <c r="B32" s="435"/>
      <c r="C32" s="291" t="s">
        <v>77</v>
      </c>
      <c r="D32" s="336"/>
      <c r="E32" s="337"/>
      <c r="F32" s="337"/>
      <c r="G32" s="337"/>
      <c r="H32" s="338"/>
      <c r="I32" s="336"/>
      <c r="J32" s="337"/>
      <c r="K32" s="337"/>
      <c r="L32" s="337"/>
      <c r="M32" s="338"/>
      <c r="N32" s="336"/>
      <c r="O32" s="337"/>
      <c r="P32" s="337"/>
      <c r="Q32" s="337"/>
      <c r="R32" s="338"/>
      <c r="S32" s="336"/>
      <c r="T32" s="337"/>
      <c r="U32" s="337"/>
      <c r="V32" s="337"/>
      <c r="W32" s="338"/>
      <c r="X32" s="336"/>
      <c r="Y32" s="337"/>
      <c r="Z32" s="337"/>
      <c r="AA32" s="337"/>
      <c r="AB32" s="338"/>
      <c r="AC32" s="336"/>
      <c r="AD32" s="337"/>
      <c r="AE32" s="337"/>
      <c r="AF32" s="337"/>
      <c r="AG32" s="338"/>
      <c r="AH32" s="336"/>
      <c r="AI32" s="337"/>
      <c r="AJ32" s="337"/>
      <c r="AK32" s="337"/>
      <c r="AL32" s="338"/>
      <c r="AM32" s="336"/>
      <c r="AN32" s="337"/>
      <c r="AO32" s="337"/>
      <c r="AP32" s="337"/>
      <c r="AQ32" s="338"/>
      <c r="AR32" s="336"/>
      <c r="AS32" s="337"/>
      <c r="AT32" s="337"/>
      <c r="AU32" s="337"/>
      <c r="AV32" s="338"/>
      <c r="AW32" s="336"/>
      <c r="AX32" s="337"/>
      <c r="AY32" s="337"/>
      <c r="AZ32" s="337"/>
      <c r="BA32" s="338"/>
      <c r="BB32" s="336"/>
      <c r="BC32" s="337"/>
      <c r="BD32" s="337"/>
      <c r="BE32" s="337"/>
      <c r="BF32" s="338"/>
      <c r="BG32" s="336"/>
      <c r="BH32" s="337"/>
      <c r="BI32" s="337"/>
      <c r="BJ32" s="337"/>
      <c r="BK32" s="338"/>
      <c r="BL32" s="336"/>
      <c r="BM32" s="337"/>
      <c r="BN32" s="337"/>
      <c r="BO32" s="337"/>
      <c r="BP32" s="338"/>
      <c r="BQ32" s="336"/>
      <c r="BR32" s="337"/>
      <c r="BS32" s="337"/>
      <c r="BT32" s="337"/>
      <c r="BU32" s="339"/>
      <c r="BW32" s="236" t="str">
        <f>sum_level("o",'Needs 171007_1827'!D32:BU32)</f>
        <v/>
      </c>
      <c r="BX32" s="237" t="str">
        <f>sum_level("j",'Needs 171007_1827'!D32:BU32)</f>
        <v/>
      </c>
      <c r="BY32" s="237" t="str">
        <f>sum_level("m",'Needs 171007_1827'!D32:BU32)</f>
        <v/>
      </c>
      <c r="BZ32" s="237" t="str">
        <f>sum_level("s",'Needs 171007_1827'!D32:BU32)</f>
        <v/>
      </c>
      <c r="CA32" s="238" t="str">
        <f>sum_level("e",'Needs 171007_1827'!D32:BU32)</f>
        <v/>
      </c>
    </row>
    <row r="33" spans="2:79" x14ac:dyDescent="0.25">
      <c r="B33" s="435"/>
      <c r="C33" s="291" t="s">
        <v>78</v>
      </c>
      <c r="D33" s="336"/>
      <c r="E33" s="337"/>
      <c r="F33" s="337"/>
      <c r="G33" s="337"/>
      <c r="H33" s="338"/>
      <c r="I33" s="336"/>
      <c r="J33" s="337"/>
      <c r="K33" s="337"/>
      <c r="L33" s="337"/>
      <c r="M33" s="338"/>
      <c r="N33" s="336"/>
      <c r="O33" s="337"/>
      <c r="P33" s="337"/>
      <c r="Q33" s="337"/>
      <c r="R33" s="338"/>
      <c r="S33" s="336"/>
      <c r="T33" s="337"/>
      <c r="U33" s="337"/>
      <c r="V33" s="337"/>
      <c r="W33" s="338"/>
      <c r="X33" s="336"/>
      <c r="Y33" s="337"/>
      <c r="Z33" s="337"/>
      <c r="AA33" s="337"/>
      <c r="AB33" s="338"/>
      <c r="AC33" s="336"/>
      <c r="AD33" s="337"/>
      <c r="AE33" s="337"/>
      <c r="AF33" s="337"/>
      <c r="AG33" s="338"/>
      <c r="AH33" s="336"/>
      <c r="AI33" s="337"/>
      <c r="AJ33" s="337"/>
      <c r="AK33" s="337"/>
      <c r="AL33" s="338"/>
      <c r="AM33" s="336"/>
      <c r="AN33" s="337"/>
      <c r="AO33" s="337"/>
      <c r="AP33" s="337"/>
      <c r="AQ33" s="338"/>
      <c r="AR33" s="336"/>
      <c r="AS33" s="337"/>
      <c r="AT33" s="337"/>
      <c r="AU33" s="337"/>
      <c r="AV33" s="338"/>
      <c r="AW33" s="336"/>
      <c r="AX33" s="337"/>
      <c r="AY33" s="337"/>
      <c r="AZ33" s="337"/>
      <c r="BA33" s="338"/>
      <c r="BB33" s="336"/>
      <c r="BC33" s="337"/>
      <c r="BD33" s="337"/>
      <c r="BE33" s="337"/>
      <c r="BF33" s="338"/>
      <c r="BG33" s="336"/>
      <c r="BH33" s="337"/>
      <c r="BI33" s="337"/>
      <c r="BJ33" s="337"/>
      <c r="BK33" s="338"/>
      <c r="BL33" s="336"/>
      <c r="BM33" s="337"/>
      <c r="BN33" s="337"/>
      <c r="BO33" s="337"/>
      <c r="BP33" s="338"/>
      <c r="BQ33" s="336"/>
      <c r="BR33" s="337"/>
      <c r="BS33" s="337"/>
      <c r="BT33" s="337"/>
      <c r="BU33" s="339"/>
      <c r="BW33" s="236" t="str">
        <f>sum_level("o",'Needs 171007_1827'!D33:BU33)</f>
        <v/>
      </c>
      <c r="BX33" s="237" t="str">
        <f>sum_level("j",'Needs 171007_1827'!D33:BU33)</f>
        <v/>
      </c>
      <c r="BY33" s="237" t="str">
        <f>sum_level("m",'Needs 171007_1827'!D33:BU33)</f>
        <v/>
      </c>
      <c r="BZ33" s="237" t="str">
        <f>sum_level("s",'Needs 171007_1827'!D33:BU33)</f>
        <v/>
      </c>
      <c r="CA33" s="238" t="str">
        <f>sum_level("e",'Needs 171007_1827'!D33:BU33)</f>
        <v/>
      </c>
    </row>
    <row r="34" spans="2:79" x14ac:dyDescent="0.25">
      <c r="B34" s="435"/>
      <c r="C34" s="291" t="s">
        <v>79</v>
      </c>
      <c r="D34" s="336"/>
      <c r="E34" s="337"/>
      <c r="F34" s="337"/>
      <c r="G34" s="337"/>
      <c r="H34" s="338"/>
      <c r="I34" s="336"/>
      <c r="J34" s="337"/>
      <c r="K34" s="337"/>
      <c r="L34" s="337"/>
      <c r="M34" s="338"/>
      <c r="N34" s="336"/>
      <c r="O34" s="337"/>
      <c r="P34" s="337"/>
      <c r="Q34" s="337"/>
      <c r="R34" s="338"/>
      <c r="S34" s="336"/>
      <c r="T34" s="337"/>
      <c r="U34" s="337"/>
      <c r="V34" s="337"/>
      <c r="W34" s="338"/>
      <c r="X34" s="336"/>
      <c r="Y34" s="337"/>
      <c r="Z34" s="337"/>
      <c r="AA34" s="337"/>
      <c r="AB34" s="338"/>
      <c r="AC34" s="336"/>
      <c r="AD34" s="337"/>
      <c r="AE34" s="337"/>
      <c r="AF34" s="337"/>
      <c r="AG34" s="338"/>
      <c r="AH34" s="336"/>
      <c r="AI34" s="337"/>
      <c r="AJ34" s="337"/>
      <c r="AK34" s="337"/>
      <c r="AL34" s="338"/>
      <c r="AM34" s="336"/>
      <c r="AN34" s="337"/>
      <c r="AO34" s="337"/>
      <c r="AP34" s="337"/>
      <c r="AQ34" s="338"/>
      <c r="AR34" s="336"/>
      <c r="AS34" s="337"/>
      <c r="AT34" s="337"/>
      <c r="AU34" s="337"/>
      <c r="AV34" s="338"/>
      <c r="AW34" s="336"/>
      <c r="AX34" s="337"/>
      <c r="AY34" s="337"/>
      <c r="AZ34" s="337"/>
      <c r="BA34" s="338"/>
      <c r="BB34" s="336"/>
      <c r="BC34" s="337"/>
      <c r="BD34" s="337"/>
      <c r="BE34" s="337"/>
      <c r="BF34" s="338"/>
      <c r="BG34" s="336"/>
      <c r="BH34" s="337"/>
      <c r="BI34" s="337"/>
      <c r="BJ34" s="337"/>
      <c r="BK34" s="338"/>
      <c r="BL34" s="336"/>
      <c r="BM34" s="337"/>
      <c r="BN34" s="337"/>
      <c r="BO34" s="337"/>
      <c r="BP34" s="338"/>
      <c r="BQ34" s="336"/>
      <c r="BR34" s="337"/>
      <c r="BS34" s="337"/>
      <c r="BT34" s="337"/>
      <c r="BU34" s="339"/>
      <c r="BW34" s="236" t="str">
        <f>sum_level("o",'Needs 171007_1827'!D34:BU34)</f>
        <v/>
      </c>
      <c r="BX34" s="237" t="str">
        <f>sum_level("j",'Needs 171007_1827'!D34:BU34)</f>
        <v/>
      </c>
      <c r="BY34" s="237" t="str">
        <f>sum_level("m",'Needs 171007_1827'!D34:BU34)</f>
        <v/>
      </c>
      <c r="BZ34" s="237" t="str">
        <f>sum_level("s",'Needs 171007_1827'!D34:BU34)</f>
        <v/>
      </c>
      <c r="CA34" s="238" t="str">
        <f>sum_level("e",'Needs 171007_1827'!D34:BU34)</f>
        <v/>
      </c>
    </row>
    <row r="35" spans="2:79" x14ac:dyDescent="0.25">
      <c r="B35" s="435"/>
      <c r="C35" s="291" t="s">
        <v>80</v>
      </c>
      <c r="D35" s="336"/>
      <c r="E35" s="337"/>
      <c r="F35" s="337"/>
      <c r="G35" s="337"/>
      <c r="H35" s="338"/>
      <c r="I35" s="336"/>
      <c r="J35" s="337"/>
      <c r="K35" s="337"/>
      <c r="L35" s="337"/>
      <c r="M35" s="338"/>
      <c r="N35" s="336"/>
      <c r="O35" s="337"/>
      <c r="P35" s="337"/>
      <c r="Q35" s="337"/>
      <c r="R35" s="338"/>
      <c r="S35" s="336"/>
      <c r="T35" s="337"/>
      <c r="U35" s="337"/>
      <c r="V35" s="337"/>
      <c r="W35" s="338"/>
      <c r="X35" s="336"/>
      <c r="Y35" s="337"/>
      <c r="Z35" s="337"/>
      <c r="AA35" s="337"/>
      <c r="AB35" s="338"/>
      <c r="AC35" s="336"/>
      <c r="AD35" s="337"/>
      <c r="AE35" s="337"/>
      <c r="AF35" s="337"/>
      <c r="AG35" s="338"/>
      <c r="AH35" s="336"/>
      <c r="AI35" s="337"/>
      <c r="AJ35" s="337"/>
      <c r="AK35" s="337"/>
      <c r="AL35" s="338"/>
      <c r="AM35" s="336"/>
      <c r="AN35" s="337"/>
      <c r="AO35" s="337"/>
      <c r="AP35" s="337"/>
      <c r="AQ35" s="338"/>
      <c r="AR35" s="336"/>
      <c r="AS35" s="337"/>
      <c r="AT35" s="337"/>
      <c r="AU35" s="337"/>
      <c r="AV35" s="338"/>
      <c r="AW35" s="336"/>
      <c r="AX35" s="337"/>
      <c r="AY35" s="337"/>
      <c r="AZ35" s="337"/>
      <c r="BA35" s="338"/>
      <c r="BB35" s="336"/>
      <c r="BC35" s="337"/>
      <c r="BD35" s="337"/>
      <c r="BE35" s="337"/>
      <c r="BF35" s="338"/>
      <c r="BG35" s="336"/>
      <c r="BH35" s="337"/>
      <c r="BI35" s="337"/>
      <c r="BJ35" s="337"/>
      <c r="BK35" s="338"/>
      <c r="BL35" s="336"/>
      <c r="BM35" s="337"/>
      <c r="BN35" s="337"/>
      <c r="BO35" s="337"/>
      <c r="BP35" s="338"/>
      <c r="BQ35" s="336"/>
      <c r="BR35" s="337"/>
      <c r="BS35" s="337"/>
      <c r="BT35" s="337"/>
      <c r="BU35" s="339"/>
      <c r="BW35" s="236" t="str">
        <f>sum_level("o",'Needs 171007_1827'!D35:BU35)</f>
        <v/>
      </c>
      <c r="BX35" s="237" t="str">
        <f>sum_level("j",'Needs 171007_1827'!D35:BU35)</f>
        <v/>
      </c>
      <c r="BY35" s="237" t="str">
        <f>sum_level("m",'Needs 171007_1827'!D35:BU35)</f>
        <v/>
      </c>
      <c r="BZ35" s="237" t="str">
        <f>sum_level("s",'Needs 171007_1827'!D35:BU35)</f>
        <v/>
      </c>
      <c r="CA35" s="238" t="str">
        <f>sum_level("e",'Needs 171007_1827'!D35:BU35)</f>
        <v/>
      </c>
    </row>
    <row r="36" spans="2:79" ht="15.75" thickBot="1" x14ac:dyDescent="0.3">
      <c r="B36" s="435"/>
      <c r="C36" s="292" t="s">
        <v>225</v>
      </c>
      <c r="D36" s="340"/>
      <c r="E36" s="341"/>
      <c r="F36" s="341"/>
      <c r="G36" s="341"/>
      <c r="H36" s="342"/>
      <c r="I36" s="340"/>
      <c r="J36" s="341"/>
      <c r="K36" s="341"/>
      <c r="L36" s="341"/>
      <c r="M36" s="342"/>
      <c r="N36" s="340"/>
      <c r="O36" s="341"/>
      <c r="P36" s="341"/>
      <c r="Q36" s="341"/>
      <c r="R36" s="342"/>
      <c r="S36" s="340"/>
      <c r="T36" s="341"/>
      <c r="U36" s="341"/>
      <c r="V36" s="341"/>
      <c r="W36" s="342"/>
      <c r="X36" s="340"/>
      <c r="Y36" s="341"/>
      <c r="Z36" s="341"/>
      <c r="AA36" s="341"/>
      <c r="AB36" s="342"/>
      <c r="AC36" s="340"/>
      <c r="AD36" s="341"/>
      <c r="AE36" s="341"/>
      <c r="AF36" s="341"/>
      <c r="AG36" s="342"/>
      <c r="AH36" s="340"/>
      <c r="AI36" s="341"/>
      <c r="AJ36" s="341"/>
      <c r="AK36" s="341"/>
      <c r="AL36" s="342"/>
      <c r="AM36" s="340"/>
      <c r="AN36" s="341"/>
      <c r="AO36" s="341"/>
      <c r="AP36" s="341"/>
      <c r="AQ36" s="342"/>
      <c r="AR36" s="340"/>
      <c r="AS36" s="341"/>
      <c r="AT36" s="341"/>
      <c r="AU36" s="341"/>
      <c r="AV36" s="342"/>
      <c r="AW36" s="340"/>
      <c r="AX36" s="341"/>
      <c r="AY36" s="341"/>
      <c r="AZ36" s="341"/>
      <c r="BA36" s="342"/>
      <c r="BB36" s="340"/>
      <c r="BC36" s="341"/>
      <c r="BD36" s="341"/>
      <c r="BE36" s="341"/>
      <c r="BF36" s="342"/>
      <c r="BG36" s="340"/>
      <c r="BH36" s="341"/>
      <c r="BI36" s="341"/>
      <c r="BJ36" s="341"/>
      <c r="BK36" s="342"/>
      <c r="BL36" s="340"/>
      <c r="BM36" s="341"/>
      <c r="BN36" s="341"/>
      <c r="BO36" s="341"/>
      <c r="BP36" s="342"/>
      <c r="BQ36" s="340"/>
      <c r="BR36" s="341"/>
      <c r="BS36" s="341"/>
      <c r="BT36" s="341"/>
      <c r="BU36" s="343"/>
      <c r="BW36" s="239" t="str">
        <f>sum_level("o",'Needs 171007_1827'!D36:BU36)</f>
        <v/>
      </c>
      <c r="BX36" s="240" t="str">
        <f>sum_level("j",'Needs 171007_1827'!D36:BU36)</f>
        <v/>
      </c>
      <c r="BY36" s="240" t="str">
        <f>sum_level("m",'Needs 171007_1827'!D36:BU36)</f>
        <v/>
      </c>
      <c r="BZ36" s="240" t="str">
        <f>sum_level("s",'Needs 171007_1827'!D36:BU36)</f>
        <v/>
      </c>
      <c r="CA36" s="241" t="str">
        <f>sum_level("e",'Needs 171007_1827'!D36:BU36)</f>
        <v/>
      </c>
    </row>
    <row r="37" spans="2:79" ht="12.75" customHeight="1" thickTop="1" thickBot="1" x14ac:dyDescent="0.3">
      <c r="B37" s="436"/>
      <c r="C37" s="248"/>
      <c r="D37" s="344"/>
      <c r="E37" s="344"/>
      <c r="F37" s="344"/>
      <c r="G37" s="344"/>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W37" s="249"/>
      <c r="BX37" s="249"/>
      <c r="BY37" s="249"/>
      <c r="BZ37" s="249"/>
      <c r="CA37" s="249"/>
    </row>
    <row r="38" spans="2:79" ht="15.75" thickTop="1" x14ac:dyDescent="0.25">
      <c r="B38" s="434" t="s">
        <v>81</v>
      </c>
      <c r="C38" s="290" t="s">
        <v>82</v>
      </c>
      <c r="D38" s="332"/>
      <c r="E38" s="333"/>
      <c r="F38" s="333"/>
      <c r="G38" s="333"/>
      <c r="H38" s="334"/>
      <c r="I38" s="332"/>
      <c r="J38" s="333"/>
      <c r="K38" s="333"/>
      <c r="L38" s="333"/>
      <c r="M38" s="334"/>
      <c r="N38" s="332"/>
      <c r="O38" s="333"/>
      <c r="P38" s="333"/>
      <c r="Q38" s="333"/>
      <c r="R38" s="334"/>
      <c r="S38" s="332"/>
      <c r="T38" s="333"/>
      <c r="U38" s="333"/>
      <c r="V38" s="333"/>
      <c r="W38" s="334"/>
      <c r="X38" s="332"/>
      <c r="Y38" s="333"/>
      <c r="Z38" s="333"/>
      <c r="AA38" s="333"/>
      <c r="AB38" s="334"/>
      <c r="AC38" s="332"/>
      <c r="AD38" s="333"/>
      <c r="AE38" s="333"/>
      <c r="AF38" s="333"/>
      <c r="AG38" s="334"/>
      <c r="AH38" s="332"/>
      <c r="AI38" s="333"/>
      <c r="AJ38" s="333"/>
      <c r="AK38" s="333"/>
      <c r="AL38" s="334"/>
      <c r="AM38" s="332"/>
      <c r="AN38" s="333"/>
      <c r="AO38" s="333"/>
      <c r="AP38" s="333"/>
      <c r="AQ38" s="334"/>
      <c r="AR38" s="332"/>
      <c r="AS38" s="333"/>
      <c r="AT38" s="333"/>
      <c r="AU38" s="333"/>
      <c r="AV38" s="334"/>
      <c r="AW38" s="332"/>
      <c r="AX38" s="333"/>
      <c r="AY38" s="333"/>
      <c r="AZ38" s="333"/>
      <c r="BA38" s="334"/>
      <c r="BB38" s="332">
        <v>21</v>
      </c>
      <c r="BC38" s="333"/>
      <c r="BD38" s="333"/>
      <c r="BE38" s="333"/>
      <c r="BF38" s="334"/>
      <c r="BG38" s="332"/>
      <c r="BH38" s="333"/>
      <c r="BI38" s="333"/>
      <c r="BJ38" s="333"/>
      <c r="BK38" s="334"/>
      <c r="BL38" s="332"/>
      <c r="BM38" s="333"/>
      <c r="BN38" s="333"/>
      <c r="BO38" s="333"/>
      <c r="BP38" s="334"/>
      <c r="BQ38" s="332"/>
      <c r="BR38" s="333"/>
      <c r="BS38" s="333"/>
      <c r="BT38" s="333"/>
      <c r="BU38" s="335"/>
      <c r="BW38" s="233" t="str">
        <f>sum_level("o",'Needs 171007_1827'!D38:BU38)</f>
        <v>21</v>
      </c>
      <c r="BX38" s="234" t="str">
        <f>sum_level("j",'Needs 171007_1827'!D38:BU38)</f>
        <v/>
      </c>
      <c r="BY38" s="234" t="str">
        <f>sum_level("m",'Needs 171007_1827'!D38:BU38)</f>
        <v/>
      </c>
      <c r="BZ38" s="234" t="str">
        <f>sum_level("s",'Needs 171007_1827'!D38:BU38)</f>
        <v/>
      </c>
      <c r="CA38" s="235" t="str">
        <f>sum_level("e",'Needs 171007_1827'!D38:BU38)</f>
        <v/>
      </c>
    </row>
    <row r="39" spans="2:79" x14ac:dyDescent="0.25">
      <c r="B39" s="435"/>
      <c r="C39" s="291" t="s">
        <v>83</v>
      </c>
      <c r="D39" s="336"/>
      <c r="E39" s="337"/>
      <c r="F39" s="337"/>
      <c r="G39" s="337"/>
      <c r="H39" s="338"/>
      <c r="I39" s="336"/>
      <c r="J39" s="337"/>
      <c r="K39" s="337"/>
      <c r="L39" s="337"/>
      <c r="M39" s="338"/>
      <c r="N39" s="336"/>
      <c r="O39" s="337"/>
      <c r="P39" s="337"/>
      <c r="Q39" s="337"/>
      <c r="R39" s="338"/>
      <c r="S39" s="336"/>
      <c r="T39" s="337"/>
      <c r="U39" s="337"/>
      <c r="V39" s="337"/>
      <c r="W39" s="338"/>
      <c r="X39" s="336"/>
      <c r="Y39" s="337"/>
      <c r="Z39" s="337"/>
      <c r="AA39" s="337"/>
      <c r="AB39" s="338"/>
      <c r="AC39" s="336"/>
      <c r="AD39" s="337"/>
      <c r="AE39" s="337"/>
      <c r="AF39" s="337"/>
      <c r="AG39" s="338"/>
      <c r="AH39" s="336"/>
      <c r="AI39" s="337"/>
      <c r="AJ39" s="337"/>
      <c r="AK39" s="337"/>
      <c r="AL39" s="338"/>
      <c r="AM39" s="336"/>
      <c r="AN39" s="337"/>
      <c r="AO39" s="337"/>
      <c r="AP39" s="337"/>
      <c r="AQ39" s="338"/>
      <c r="AR39" s="336"/>
      <c r="AS39" s="337"/>
      <c r="AT39" s="337"/>
      <c r="AU39" s="337"/>
      <c r="AV39" s="338"/>
      <c r="AW39" s="336"/>
      <c r="AX39" s="337"/>
      <c r="AY39" s="337"/>
      <c r="AZ39" s="337"/>
      <c r="BA39" s="338"/>
      <c r="BB39" s="336"/>
      <c r="BC39" s="337">
        <v>22</v>
      </c>
      <c r="BD39" s="337"/>
      <c r="BE39" s="337"/>
      <c r="BF39" s="338"/>
      <c r="BG39" s="336"/>
      <c r="BH39" s="337"/>
      <c r="BI39" s="337"/>
      <c r="BJ39" s="337"/>
      <c r="BK39" s="338"/>
      <c r="BL39" s="336"/>
      <c r="BM39" s="337"/>
      <c r="BN39" s="337"/>
      <c r="BO39" s="337"/>
      <c r="BP39" s="338"/>
      <c r="BQ39" s="336"/>
      <c r="BR39" s="337"/>
      <c r="BS39" s="337"/>
      <c r="BT39" s="337"/>
      <c r="BU39" s="339"/>
      <c r="BW39" s="236" t="str">
        <f>sum_level("o",'Needs 171007_1827'!D39:BU39)</f>
        <v/>
      </c>
      <c r="BX39" s="237" t="str">
        <f>sum_level("j",'Needs 171007_1827'!D39:BU39)</f>
        <v>22</v>
      </c>
      <c r="BY39" s="237" t="str">
        <f>sum_level("m",'Needs 171007_1827'!D39:BU39)</f>
        <v/>
      </c>
      <c r="BZ39" s="237" t="str">
        <f>sum_level("s",'Needs 171007_1827'!D39:BU39)</f>
        <v/>
      </c>
      <c r="CA39" s="238" t="str">
        <f>sum_level("e",'Needs 171007_1827'!D39:BU39)</f>
        <v/>
      </c>
    </row>
    <row r="40" spans="2:79" x14ac:dyDescent="0.25">
      <c r="B40" s="435"/>
      <c r="C40" s="291" t="s">
        <v>84</v>
      </c>
      <c r="D40" s="336"/>
      <c r="E40" s="337"/>
      <c r="F40" s="337"/>
      <c r="G40" s="337"/>
      <c r="H40" s="338"/>
      <c r="I40" s="336"/>
      <c r="J40" s="337"/>
      <c r="K40" s="337"/>
      <c r="L40" s="337"/>
      <c r="M40" s="338"/>
      <c r="N40" s="336"/>
      <c r="O40" s="337"/>
      <c r="P40" s="337"/>
      <c r="Q40" s="337"/>
      <c r="R40" s="338"/>
      <c r="S40" s="336"/>
      <c r="T40" s="337"/>
      <c r="U40" s="337"/>
      <c r="V40" s="337"/>
      <c r="W40" s="338"/>
      <c r="X40" s="336"/>
      <c r="Y40" s="337"/>
      <c r="Z40" s="337"/>
      <c r="AA40" s="337"/>
      <c r="AB40" s="338"/>
      <c r="AC40" s="336"/>
      <c r="AD40" s="337"/>
      <c r="AE40" s="337"/>
      <c r="AF40" s="337"/>
      <c r="AG40" s="338"/>
      <c r="AH40" s="336"/>
      <c r="AI40" s="337"/>
      <c r="AJ40" s="337"/>
      <c r="AK40" s="337"/>
      <c r="AL40" s="338"/>
      <c r="AM40" s="336"/>
      <c r="AN40" s="337"/>
      <c r="AO40" s="337"/>
      <c r="AP40" s="337"/>
      <c r="AQ40" s="338"/>
      <c r="AR40" s="336"/>
      <c r="AS40" s="337"/>
      <c r="AT40" s="337"/>
      <c r="AU40" s="337"/>
      <c r="AV40" s="338"/>
      <c r="AW40" s="336"/>
      <c r="AX40" s="337"/>
      <c r="AY40" s="337"/>
      <c r="AZ40" s="337"/>
      <c r="BA40" s="338"/>
      <c r="BB40" s="336"/>
      <c r="BC40" s="337"/>
      <c r="BD40" s="337">
        <v>23</v>
      </c>
      <c r="BE40" s="337"/>
      <c r="BF40" s="338"/>
      <c r="BG40" s="336"/>
      <c r="BH40" s="337"/>
      <c r="BI40" s="337"/>
      <c r="BJ40" s="337"/>
      <c r="BK40" s="338"/>
      <c r="BL40" s="336"/>
      <c r="BM40" s="337"/>
      <c r="BN40" s="337"/>
      <c r="BO40" s="337"/>
      <c r="BP40" s="338"/>
      <c r="BQ40" s="336"/>
      <c r="BR40" s="337"/>
      <c r="BS40" s="337"/>
      <c r="BT40" s="337"/>
      <c r="BU40" s="339"/>
      <c r="BW40" s="236" t="str">
        <f>sum_level("o",'Needs 171007_1827'!D40:BU40)</f>
        <v/>
      </c>
      <c r="BX40" s="237" t="str">
        <f>sum_level("j",'Needs 171007_1827'!D40:BU40)</f>
        <v/>
      </c>
      <c r="BY40" s="237" t="str">
        <f>sum_level("m",'Needs 171007_1827'!D40:BU40)</f>
        <v>23</v>
      </c>
      <c r="BZ40" s="237" t="str">
        <f>sum_level("s",'Needs 171007_1827'!D40:BU40)</f>
        <v/>
      </c>
      <c r="CA40" s="238" t="str">
        <f>sum_level("e",'Needs 171007_1827'!D40:BU40)</f>
        <v/>
      </c>
    </row>
    <row r="41" spans="2:79" x14ac:dyDescent="0.25">
      <c r="B41" s="435"/>
      <c r="C41" s="291" t="s">
        <v>85</v>
      </c>
      <c r="D41" s="336"/>
      <c r="E41" s="337"/>
      <c r="F41" s="337"/>
      <c r="G41" s="337"/>
      <c r="H41" s="338"/>
      <c r="I41" s="336"/>
      <c r="J41" s="337"/>
      <c r="K41" s="337"/>
      <c r="L41" s="337"/>
      <c r="M41" s="338"/>
      <c r="N41" s="336"/>
      <c r="O41" s="337"/>
      <c r="P41" s="337"/>
      <c r="Q41" s="337"/>
      <c r="R41" s="338"/>
      <c r="S41" s="336"/>
      <c r="T41" s="337"/>
      <c r="U41" s="337"/>
      <c r="V41" s="337"/>
      <c r="W41" s="338"/>
      <c r="X41" s="336"/>
      <c r="Y41" s="337"/>
      <c r="Z41" s="337"/>
      <c r="AA41" s="337"/>
      <c r="AB41" s="338"/>
      <c r="AC41" s="336"/>
      <c r="AD41" s="337"/>
      <c r="AE41" s="337"/>
      <c r="AF41" s="337"/>
      <c r="AG41" s="338"/>
      <c r="AH41" s="336"/>
      <c r="AI41" s="337"/>
      <c r="AJ41" s="337"/>
      <c r="AK41" s="337"/>
      <c r="AL41" s="338"/>
      <c r="AM41" s="336"/>
      <c r="AN41" s="337"/>
      <c r="AO41" s="337"/>
      <c r="AP41" s="337"/>
      <c r="AQ41" s="338"/>
      <c r="AR41" s="336"/>
      <c r="AS41" s="337"/>
      <c r="AT41" s="337"/>
      <c r="AU41" s="337"/>
      <c r="AV41" s="338"/>
      <c r="AW41" s="336"/>
      <c r="AX41" s="337"/>
      <c r="AY41" s="337"/>
      <c r="AZ41" s="337"/>
      <c r="BA41" s="338"/>
      <c r="BB41" s="336"/>
      <c r="BC41" s="337"/>
      <c r="BD41" s="337"/>
      <c r="BE41" s="337">
        <v>24</v>
      </c>
      <c r="BF41" s="338"/>
      <c r="BG41" s="336"/>
      <c r="BH41" s="337"/>
      <c r="BI41" s="337"/>
      <c r="BJ41" s="337"/>
      <c r="BK41" s="338"/>
      <c r="BL41" s="336"/>
      <c r="BM41" s="337"/>
      <c r="BN41" s="337"/>
      <c r="BO41" s="337"/>
      <c r="BP41" s="338"/>
      <c r="BQ41" s="336"/>
      <c r="BR41" s="337"/>
      <c r="BS41" s="337"/>
      <c r="BT41" s="337"/>
      <c r="BU41" s="339"/>
      <c r="BW41" s="236" t="str">
        <f>sum_level("o",'Needs 171007_1827'!D41:BU41)</f>
        <v/>
      </c>
      <c r="BX41" s="237" t="str">
        <f>sum_level("j",'Needs 171007_1827'!D41:BU41)</f>
        <v/>
      </c>
      <c r="BY41" s="237" t="str">
        <f>sum_level("m",'Needs 171007_1827'!D41:BU41)</f>
        <v/>
      </c>
      <c r="BZ41" s="237" t="str">
        <f>sum_level("s",'Needs 171007_1827'!D41:BU41)</f>
        <v>24</v>
      </c>
      <c r="CA41" s="238" t="str">
        <f>sum_level("e",'Needs 171007_1827'!D41:BU41)</f>
        <v/>
      </c>
    </row>
    <row r="42" spans="2:79" x14ac:dyDescent="0.25">
      <c r="B42" s="435"/>
      <c r="C42" s="291" t="s">
        <v>86</v>
      </c>
      <c r="D42" s="336"/>
      <c r="E42" s="337"/>
      <c r="F42" s="337"/>
      <c r="G42" s="337"/>
      <c r="H42" s="338"/>
      <c r="I42" s="336"/>
      <c r="J42" s="337"/>
      <c r="K42" s="337"/>
      <c r="L42" s="337"/>
      <c r="M42" s="338"/>
      <c r="N42" s="336"/>
      <c r="O42" s="337"/>
      <c r="P42" s="337"/>
      <c r="Q42" s="337"/>
      <c r="R42" s="338"/>
      <c r="S42" s="336"/>
      <c r="T42" s="337"/>
      <c r="U42" s="337"/>
      <c r="V42" s="337"/>
      <c r="W42" s="338"/>
      <c r="X42" s="336"/>
      <c r="Y42" s="337"/>
      <c r="Z42" s="337"/>
      <c r="AA42" s="337"/>
      <c r="AB42" s="338"/>
      <c r="AC42" s="336"/>
      <c r="AD42" s="337"/>
      <c r="AE42" s="337"/>
      <c r="AF42" s="337"/>
      <c r="AG42" s="338"/>
      <c r="AH42" s="336"/>
      <c r="AI42" s="337"/>
      <c r="AJ42" s="337"/>
      <c r="AK42" s="337"/>
      <c r="AL42" s="338"/>
      <c r="AM42" s="336"/>
      <c r="AN42" s="337"/>
      <c r="AO42" s="337"/>
      <c r="AP42" s="337"/>
      <c r="AQ42" s="338"/>
      <c r="AR42" s="336"/>
      <c r="AS42" s="337"/>
      <c r="AT42" s="337"/>
      <c r="AU42" s="337"/>
      <c r="AV42" s="338"/>
      <c r="AW42" s="336"/>
      <c r="AX42" s="337"/>
      <c r="AY42" s="337"/>
      <c r="AZ42" s="337"/>
      <c r="BA42" s="338"/>
      <c r="BB42" s="336"/>
      <c r="BC42" s="337"/>
      <c r="BD42" s="337"/>
      <c r="BE42" s="337"/>
      <c r="BF42" s="338">
        <v>25</v>
      </c>
      <c r="BG42" s="336"/>
      <c r="BH42" s="337"/>
      <c r="BI42" s="337"/>
      <c r="BJ42" s="337"/>
      <c r="BK42" s="338"/>
      <c r="BL42" s="336"/>
      <c r="BM42" s="337"/>
      <c r="BN42" s="337"/>
      <c r="BO42" s="337"/>
      <c r="BP42" s="338"/>
      <c r="BQ42" s="336"/>
      <c r="BR42" s="337"/>
      <c r="BS42" s="337"/>
      <c r="BT42" s="337"/>
      <c r="BU42" s="339"/>
      <c r="BW42" s="236" t="str">
        <f>sum_level("o",'Needs 171007_1827'!D42:BU42)</f>
        <v/>
      </c>
      <c r="BX42" s="237" t="str">
        <f>sum_level("j",'Needs 171007_1827'!D42:BU42)</f>
        <v/>
      </c>
      <c r="BY42" s="237" t="str">
        <f>sum_level("m",'Needs 171007_1827'!D42:BU42)</f>
        <v/>
      </c>
      <c r="BZ42" s="237" t="str">
        <f>sum_level("s",'Needs 171007_1827'!D42:BU42)</f>
        <v/>
      </c>
      <c r="CA42" s="238" t="str">
        <f>sum_level("e",'Needs 171007_1827'!D42:BU42)</f>
        <v>25</v>
      </c>
    </row>
    <row r="43" spans="2:79" x14ac:dyDescent="0.25">
      <c r="B43" s="435"/>
      <c r="C43" s="291" t="s">
        <v>87</v>
      </c>
      <c r="D43" s="336"/>
      <c r="E43" s="337"/>
      <c r="F43" s="337"/>
      <c r="G43" s="337"/>
      <c r="H43" s="338"/>
      <c r="I43" s="336"/>
      <c r="J43" s="337"/>
      <c r="K43" s="337"/>
      <c r="L43" s="337"/>
      <c r="M43" s="338"/>
      <c r="N43" s="336"/>
      <c r="O43" s="337"/>
      <c r="P43" s="337"/>
      <c r="Q43" s="337"/>
      <c r="R43" s="338"/>
      <c r="S43" s="336"/>
      <c r="T43" s="337"/>
      <c r="U43" s="337"/>
      <c r="V43" s="337"/>
      <c r="W43" s="338"/>
      <c r="X43" s="336"/>
      <c r="Y43" s="337"/>
      <c r="Z43" s="337"/>
      <c r="AA43" s="337"/>
      <c r="AB43" s="338"/>
      <c r="AC43" s="336"/>
      <c r="AD43" s="337"/>
      <c r="AE43" s="337"/>
      <c r="AF43" s="337"/>
      <c r="AG43" s="338"/>
      <c r="AH43" s="336"/>
      <c r="AI43" s="337"/>
      <c r="AJ43" s="337"/>
      <c r="AK43" s="337"/>
      <c r="AL43" s="338"/>
      <c r="AM43" s="336"/>
      <c r="AN43" s="337"/>
      <c r="AO43" s="337"/>
      <c r="AP43" s="337"/>
      <c r="AQ43" s="338"/>
      <c r="AR43" s="336"/>
      <c r="AS43" s="337"/>
      <c r="AT43" s="337"/>
      <c r="AU43" s="337"/>
      <c r="AV43" s="338"/>
      <c r="AW43" s="336"/>
      <c r="AX43" s="337"/>
      <c r="AY43" s="337"/>
      <c r="AZ43" s="337"/>
      <c r="BA43" s="338"/>
      <c r="BB43" s="336"/>
      <c r="BC43" s="337"/>
      <c r="BD43" s="337"/>
      <c r="BE43" s="337"/>
      <c r="BF43" s="338"/>
      <c r="BG43" s="336"/>
      <c r="BH43" s="337"/>
      <c r="BI43" s="337"/>
      <c r="BJ43" s="337"/>
      <c r="BK43" s="338"/>
      <c r="BL43" s="336"/>
      <c r="BM43" s="337"/>
      <c r="BN43" s="337"/>
      <c r="BO43" s="337"/>
      <c r="BP43" s="338"/>
      <c r="BQ43" s="336"/>
      <c r="BR43" s="337"/>
      <c r="BS43" s="337"/>
      <c r="BT43" s="337"/>
      <c r="BU43" s="339"/>
      <c r="BW43" s="236" t="str">
        <f>sum_level("o",'Needs 171007_1827'!D43:BU43)</f>
        <v/>
      </c>
      <c r="BX43" s="237" t="str">
        <f>sum_level("j",'Needs 171007_1827'!D43:BU43)</f>
        <v/>
      </c>
      <c r="BY43" s="237" t="str">
        <f>sum_level("m",'Needs 171007_1827'!D43:BU43)</f>
        <v/>
      </c>
      <c r="BZ43" s="237" t="str">
        <f>sum_level("s",'Needs 171007_1827'!D43:BU43)</f>
        <v/>
      </c>
      <c r="CA43" s="238" t="str">
        <f>sum_level("e",'Needs 171007_1827'!D43:BU43)</f>
        <v/>
      </c>
    </row>
    <row r="44" spans="2:79" x14ac:dyDescent="0.25">
      <c r="B44" s="435"/>
      <c r="C44" s="291" t="s">
        <v>88</v>
      </c>
      <c r="D44" s="336"/>
      <c r="E44" s="337"/>
      <c r="F44" s="337"/>
      <c r="G44" s="337"/>
      <c r="H44" s="338"/>
      <c r="I44" s="336"/>
      <c r="J44" s="337"/>
      <c r="K44" s="337"/>
      <c r="L44" s="337"/>
      <c r="M44" s="338"/>
      <c r="N44" s="336"/>
      <c r="O44" s="337"/>
      <c r="P44" s="337"/>
      <c r="Q44" s="337"/>
      <c r="R44" s="338"/>
      <c r="S44" s="336"/>
      <c r="T44" s="337"/>
      <c r="U44" s="337"/>
      <c r="V44" s="337"/>
      <c r="W44" s="338"/>
      <c r="X44" s="336"/>
      <c r="Y44" s="337"/>
      <c r="Z44" s="337"/>
      <c r="AA44" s="337"/>
      <c r="AB44" s="338"/>
      <c r="AC44" s="336"/>
      <c r="AD44" s="337"/>
      <c r="AE44" s="337"/>
      <c r="AF44" s="337"/>
      <c r="AG44" s="338"/>
      <c r="AH44" s="336"/>
      <c r="AI44" s="337"/>
      <c r="AJ44" s="337"/>
      <c r="AK44" s="337"/>
      <c r="AL44" s="338"/>
      <c r="AM44" s="336"/>
      <c r="AN44" s="337"/>
      <c r="AO44" s="337"/>
      <c r="AP44" s="337"/>
      <c r="AQ44" s="338"/>
      <c r="AR44" s="336"/>
      <c r="AS44" s="337"/>
      <c r="AT44" s="337"/>
      <c r="AU44" s="337"/>
      <c r="AV44" s="338"/>
      <c r="AW44" s="336"/>
      <c r="AX44" s="337"/>
      <c r="AY44" s="337"/>
      <c r="AZ44" s="337"/>
      <c r="BA44" s="338"/>
      <c r="BB44" s="336"/>
      <c r="BC44" s="337"/>
      <c r="BD44" s="337"/>
      <c r="BE44" s="337"/>
      <c r="BF44" s="338"/>
      <c r="BG44" s="336"/>
      <c r="BH44" s="337"/>
      <c r="BI44" s="337"/>
      <c r="BJ44" s="337"/>
      <c r="BK44" s="338"/>
      <c r="BL44" s="336"/>
      <c r="BM44" s="337"/>
      <c r="BN44" s="337"/>
      <c r="BO44" s="337"/>
      <c r="BP44" s="338"/>
      <c r="BQ44" s="336"/>
      <c r="BR44" s="337"/>
      <c r="BS44" s="337"/>
      <c r="BT44" s="337"/>
      <c r="BU44" s="339"/>
      <c r="BW44" s="236" t="str">
        <f>sum_level("o",'Needs 171007_1827'!D44:BU44)</f>
        <v/>
      </c>
      <c r="BX44" s="237" t="str">
        <f>sum_level("j",'Needs 171007_1827'!D44:BU44)</f>
        <v/>
      </c>
      <c r="BY44" s="237" t="str">
        <f>sum_level("m",'Needs 171007_1827'!D44:BU44)</f>
        <v/>
      </c>
      <c r="BZ44" s="237" t="str">
        <f>sum_level("s",'Needs 171007_1827'!D44:BU44)</f>
        <v/>
      </c>
      <c r="CA44" s="238" t="str">
        <f>sum_level("e",'Needs 171007_1827'!D44:BU44)</f>
        <v/>
      </c>
    </row>
    <row r="45" spans="2:79" x14ac:dyDescent="0.25">
      <c r="B45" s="435"/>
      <c r="C45" s="291" t="s">
        <v>89</v>
      </c>
      <c r="D45" s="336"/>
      <c r="E45" s="337"/>
      <c r="F45" s="337"/>
      <c r="G45" s="337"/>
      <c r="H45" s="338"/>
      <c r="I45" s="336"/>
      <c r="J45" s="337"/>
      <c r="K45" s="337"/>
      <c r="L45" s="337"/>
      <c r="M45" s="338"/>
      <c r="N45" s="336"/>
      <c r="O45" s="337"/>
      <c r="P45" s="337"/>
      <c r="Q45" s="337"/>
      <c r="R45" s="338"/>
      <c r="S45" s="336"/>
      <c r="T45" s="337"/>
      <c r="U45" s="337"/>
      <c r="V45" s="337"/>
      <c r="W45" s="338"/>
      <c r="X45" s="336"/>
      <c r="Y45" s="337"/>
      <c r="Z45" s="337"/>
      <c r="AA45" s="337"/>
      <c r="AB45" s="338"/>
      <c r="AC45" s="336"/>
      <c r="AD45" s="337"/>
      <c r="AE45" s="337"/>
      <c r="AF45" s="337"/>
      <c r="AG45" s="338"/>
      <c r="AH45" s="336"/>
      <c r="AI45" s="337"/>
      <c r="AJ45" s="337"/>
      <c r="AK45" s="337"/>
      <c r="AL45" s="338"/>
      <c r="AM45" s="336"/>
      <c r="AN45" s="337"/>
      <c r="AO45" s="337"/>
      <c r="AP45" s="337"/>
      <c r="AQ45" s="338"/>
      <c r="AR45" s="336"/>
      <c r="AS45" s="337"/>
      <c r="AT45" s="337"/>
      <c r="AU45" s="337"/>
      <c r="AV45" s="338"/>
      <c r="AW45" s="336"/>
      <c r="AX45" s="337"/>
      <c r="AY45" s="337"/>
      <c r="AZ45" s="337"/>
      <c r="BA45" s="338"/>
      <c r="BB45" s="336"/>
      <c r="BC45" s="337"/>
      <c r="BD45" s="337"/>
      <c r="BE45" s="337"/>
      <c r="BF45" s="338"/>
      <c r="BG45" s="336"/>
      <c r="BH45" s="337"/>
      <c r="BI45" s="337"/>
      <c r="BJ45" s="337"/>
      <c r="BK45" s="338"/>
      <c r="BL45" s="336"/>
      <c r="BM45" s="337"/>
      <c r="BN45" s="337"/>
      <c r="BO45" s="337"/>
      <c r="BP45" s="338"/>
      <c r="BQ45" s="336"/>
      <c r="BR45" s="337"/>
      <c r="BS45" s="337"/>
      <c r="BT45" s="337"/>
      <c r="BU45" s="339"/>
      <c r="BW45" s="236" t="str">
        <f>sum_level("o",'Needs 171007_1827'!D45:BU45)</f>
        <v/>
      </c>
      <c r="BX45" s="237" t="str">
        <f>sum_level("j",'Needs 171007_1827'!D45:BU45)</f>
        <v/>
      </c>
      <c r="BY45" s="237" t="str">
        <f>sum_level("m",'Needs 171007_1827'!D45:BU45)</f>
        <v/>
      </c>
      <c r="BZ45" s="237" t="str">
        <f>sum_level("s",'Needs 171007_1827'!D45:BU45)</f>
        <v/>
      </c>
      <c r="CA45" s="238" t="str">
        <f>sum_level("e",'Needs 171007_1827'!D45:BU45)</f>
        <v/>
      </c>
    </row>
    <row r="46" spans="2:79" x14ac:dyDescent="0.25">
      <c r="B46" s="435"/>
      <c r="C46" s="291" t="s">
        <v>90</v>
      </c>
      <c r="D46" s="336"/>
      <c r="E46" s="337"/>
      <c r="F46" s="337"/>
      <c r="G46" s="337"/>
      <c r="H46" s="338"/>
      <c r="I46" s="336"/>
      <c r="J46" s="337"/>
      <c r="K46" s="337"/>
      <c r="L46" s="337"/>
      <c r="M46" s="338"/>
      <c r="N46" s="336"/>
      <c r="O46" s="337"/>
      <c r="P46" s="337"/>
      <c r="Q46" s="337"/>
      <c r="R46" s="338"/>
      <c r="S46" s="336"/>
      <c r="T46" s="337"/>
      <c r="U46" s="337"/>
      <c r="V46" s="337"/>
      <c r="W46" s="338"/>
      <c r="X46" s="336"/>
      <c r="Y46" s="337"/>
      <c r="Z46" s="337"/>
      <c r="AA46" s="337"/>
      <c r="AB46" s="338"/>
      <c r="AC46" s="336"/>
      <c r="AD46" s="337"/>
      <c r="AE46" s="337"/>
      <c r="AF46" s="337"/>
      <c r="AG46" s="338"/>
      <c r="AH46" s="336"/>
      <c r="AI46" s="337"/>
      <c r="AJ46" s="337"/>
      <c r="AK46" s="337"/>
      <c r="AL46" s="338"/>
      <c r="AM46" s="336"/>
      <c r="AN46" s="337"/>
      <c r="AO46" s="337"/>
      <c r="AP46" s="337"/>
      <c r="AQ46" s="338"/>
      <c r="AR46" s="336"/>
      <c r="AS46" s="337"/>
      <c r="AT46" s="337"/>
      <c r="AU46" s="337"/>
      <c r="AV46" s="338"/>
      <c r="AW46" s="336"/>
      <c r="AX46" s="337"/>
      <c r="AY46" s="337"/>
      <c r="AZ46" s="337"/>
      <c r="BA46" s="338"/>
      <c r="BB46" s="336"/>
      <c r="BC46" s="337"/>
      <c r="BD46" s="337"/>
      <c r="BE46" s="337"/>
      <c r="BF46" s="338"/>
      <c r="BG46" s="336"/>
      <c r="BH46" s="337"/>
      <c r="BI46" s="337"/>
      <c r="BJ46" s="337"/>
      <c r="BK46" s="338"/>
      <c r="BL46" s="336"/>
      <c r="BM46" s="337"/>
      <c r="BN46" s="337"/>
      <c r="BO46" s="337"/>
      <c r="BP46" s="338"/>
      <c r="BQ46" s="336"/>
      <c r="BR46" s="337"/>
      <c r="BS46" s="337"/>
      <c r="BT46" s="337"/>
      <c r="BU46" s="339"/>
      <c r="BW46" s="236" t="str">
        <f>sum_level("o",'Needs 171007_1827'!D46:BU46)</f>
        <v/>
      </c>
      <c r="BX46" s="237" t="str">
        <f>sum_level("j",'Needs 171007_1827'!D46:BU46)</f>
        <v/>
      </c>
      <c r="BY46" s="237" t="str">
        <f>sum_level("m",'Needs 171007_1827'!D46:BU46)</f>
        <v/>
      </c>
      <c r="BZ46" s="237" t="str">
        <f>sum_level("s",'Needs 171007_1827'!D46:BU46)</f>
        <v/>
      </c>
      <c r="CA46" s="238" t="str">
        <f>sum_level("e",'Needs 171007_1827'!D46:BU46)</f>
        <v/>
      </c>
    </row>
    <row r="47" spans="2:79" x14ac:dyDescent="0.25">
      <c r="B47" s="435"/>
      <c r="C47" s="291" t="s">
        <v>91</v>
      </c>
      <c r="D47" s="336"/>
      <c r="E47" s="337"/>
      <c r="F47" s="337"/>
      <c r="G47" s="337"/>
      <c r="H47" s="338"/>
      <c r="I47" s="336"/>
      <c r="J47" s="337"/>
      <c r="K47" s="337"/>
      <c r="L47" s="337"/>
      <c r="M47" s="338"/>
      <c r="N47" s="336"/>
      <c r="O47" s="337"/>
      <c r="P47" s="337"/>
      <c r="Q47" s="337"/>
      <c r="R47" s="338"/>
      <c r="S47" s="336"/>
      <c r="T47" s="337"/>
      <c r="U47" s="337"/>
      <c r="V47" s="337"/>
      <c r="W47" s="338"/>
      <c r="X47" s="336"/>
      <c r="Y47" s="337"/>
      <c r="Z47" s="337"/>
      <c r="AA47" s="337"/>
      <c r="AB47" s="338"/>
      <c r="AC47" s="336"/>
      <c r="AD47" s="337"/>
      <c r="AE47" s="337"/>
      <c r="AF47" s="337"/>
      <c r="AG47" s="338"/>
      <c r="AH47" s="336"/>
      <c r="AI47" s="337"/>
      <c r="AJ47" s="337"/>
      <c r="AK47" s="337"/>
      <c r="AL47" s="338"/>
      <c r="AM47" s="336"/>
      <c r="AN47" s="337"/>
      <c r="AO47" s="337"/>
      <c r="AP47" s="337"/>
      <c r="AQ47" s="338"/>
      <c r="AR47" s="336"/>
      <c r="AS47" s="337"/>
      <c r="AT47" s="337"/>
      <c r="AU47" s="337"/>
      <c r="AV47" s="338"/>
      <c r="AW47" s="336"/>
      <c r="AX47" s="337"/>
      <c r="AY47" s="337"/>
      <c r="AZ47" s="337"/>
      <c r="BA47" s="338"/>
      <c r="BB47" s="336"/>
      <c r="BC47" s="337"/>
      <c r="BD47" s="337"/>
      <c r="BE47" s="337"/>
      <c r="BF47" s="338"/>
      <c r="BG47" s="336"/>
      <c r="BH47" s="337"/>
      <c r="BI47" s="337"/>
      <c r="BJ47" s="337"/>
      <c r="BK47" s="338"/>
      <c r="BL47" s="336"/>
      <c r="BM47" s="337"/>
      <c r="BN47" s="337"/>
      <c r="BO47" s="337"/>
      <c r="BP47" s="338"/>
      <c r="BQ47" s="336"/>
      <c r="BR47" s="337"/>
      <c r="BS47" s="337"/>
      <c r="BT47" s="337"/>
      <c r="BU47" s="339"/>
      <c r="BW47" s="236" t="str">
        <f>sum_level("o",'Needs 171007_1827'!D47:BU47)</f>
        <v/>
      </c>
      <c r="BX47" s="237" t="str">
        <f>sum_level("j",'Needs 171007_1827'!D47:BU47)</f>
        <v/>
      </c>
      <c r="BY47" s="237" t="str">
        <f>sum_level("m",'Needs 171007_1827'!D47:BU47)</f>
        <v/>
      </c>
      <c r="BZ47" s="237" t="str">
        <f>sum_level("s",'Needs 171007_1827'!D47:BU47)</f>
        <v/>
      </c>
      <c r="CA47" s="238" t="str">
        <f>sum_level("e",'Needs 171007_1827'!D47:BU47)</f>
        <v/>
      </c>
    </row>
    <row r="48" spans="2:79" x14ac:dyDescent="0.25">
      <c r="B48" s="435"/>
      <c r="C48" s="291" t="s">
        <v>226</v>
      </c>
      <c r="D48" s="336"/>
      <c r="E48" s="337"/>
      <c r="F48" s="337"/>
      <c r="G48" s="337"/>
      <c r="H48" s="338"/>
      <c r="I48" s="336"/>
      <c r="J48" s="337"/>
      <c r="K48" s="337"/>
      <c r="L48" s="337"/>
      <c r="M48" s="338"/>
      <c r="N48" s="336"/>
      <c r="O48" s="337"/>
      <c r="P48" s="337"/>
      <c r="Q48" s="337"/>
      <c r="R48" s="338"/>
      <c r="S48" s="336"/>
      <c r="T48" s="337"/>
      <c r="U48" s="337"/>
      <c r="V48" s="337"/>
      <c r="W48" s="338"/>
      <c r="X48" s="336"/>
      <c r="Y48" s="337"/>
      <c r="Z48" s="337"/>
      <c r="AA48" s="337"/>
      <c r="AB48" s="338"/>
      <c r="AC48" s="336"/>
      <c r="AD48" s="337"/>
      <c r="AE48" s="337"/>
      <c r="AF48" s="337"/>
      <c r="AG48" s="338"/>
      <c r="AH48" s="336"/>
      <c r="AI48" s="337"/>
      <c r="AJ48" s="337"/>
      <c r="AK48" s="337"/>
      <c r="AL48" s="338"/>
      <c r="AM48" s="336"/>
      <c r="AN48" s="337"/>
      <c r="AO48" s="337"/>
      <c r="AP48" s="337"/>
      <c r="AQ48" s="338"/>
      <c r="AR48" s="336"/>
      <c r="AS48" s="337"/>
      <c r="AT48" s="337"/>
      <c r="AU48" s="337"/>
      <c r="AV48" s="338"/>
      <c r="AW48" s="336"/>
      <c r="AX48" s="337"/>
      <c r="AY48" s="337"/>
      <c r="AZ48" s="337"/>
      <c r="BA48" s="338"/>
      <c r="BB48" s="336"/>
      <c r="BC48" s="337"/>
      <c r="BD48" s="337"/>
      <c r="BE48" s="337"/>
      <c r="BF48" s="338"/>
      <c r="BG48" s="336"/>
      <c r="BH48" s="337"/>
      <c r="BI48" s="337"/>
      <c r="BJ48" s="337"/>
      <c r="BK48" s="338"/>
      <c r="BL48" s="336"/>
      <c r="BM48" s="337"/>
      <c r="BN48" s="337"/>
      <c r="BO48" s="337"/>
      <c r="BP48" s="338"/>
      <c r="BQ48" s="336"/>
      <c r="BR48" s="337"/>
      <c r="BS48" s="337"/>
      <c r="BT48" s="337"/>
      <c r="BU48" s="339"/>
      <c r="BW48" s="236" t="str">
        <f>sum_level("o",'Needs 171007_1827'!D48:BU48)</f>
        <v/>
      </c>
      <c r="BX48" s="237" t="str">
        <f>sum_level("j",'Needs 171007_1827'!D48:BU48)</f>
        <v/>
      </c>
      <c r="BY48" s="237" t="str">
        <f>sum_level("m",'Needs 171007_1827'!D48:BU48)</f>
        <v/>
      </c>
      <c r="BZ48" s="237" t="str">
        <f>sum_level("s",'Needs 171007_1827'!D48:BU48)</f>
        <v/>
      </c>
      <c r="CA48" s="238" t="str">
        <f>sum_level("e",'Needs 171007_1827'!D48:BU48)</f>
        <v/>
      </c>
    </row>
    <row r="49" spans="2:79" ht="15.75" thickBot="1" x14ac:dyDescent="0.3">
      <c r="B49" s="435"/>
      <c r="C49" s="292" t="s">
        <v>227</v>
      </c>
      <c r="D49" s="340"/>
      <c r="E49" s="341"/>
      <c r="F49" s="341"/>
      <c r="G49" s="341"/>
      <c r="H49" s="342"/>
      <c r="I49" s="340"/>
      <c r="J49" s="341"/>
      <c r="K49" s="341"/>
      <c r="L49" s="341"/>
      <c r="M49" s="342"/>
      <c r="N49" s="340"/>
      <c r="O49" s="341"/>
      <c r="P49" s="341"/>
      <c r="Q49" s="341"/>
      <c r="R49" s="342"/>
      <c r="S49" s="340"/>
      <c r="T49" s="341"/>
      <c r="U49" s="341"/>
      <c r="V49" s="341"/>
      <c r="W49" s="342"/>
      <c r="X49" s="340"/>
      <c r="Y49" s="341"/>
      <c r="Z49" s="341"/>
      <c r="AA49" s="341"/>
      <c r="AB49" s="342"/>
      <c r="AC49" s="340"/>
      <c r="AD49" s="341"/>
      <c r="AE49" s="341"/>
      <c r="AF49" s="341"/>
      <c r="AG49" s="342"/>
      <c r="AH49" s="340"/>
      <c r="AI49" s="341"/>
      <c r="AJ49" s="341"/>
      <c r="AK49" s="341"/>
      <c r="AL49" s="342"/>
      <c r="AM49" s="340"/>
      <c r="AN49" s="341"/>
      <c r="AO49" s="341"/>
      <c r="AP49" s="341"/>
      <c r="AQ49" s="342"/>
      <c r="AR49" s="340"/>
      <c r="AS49" s="341"/>
      <c r="AT49" s="341"/>
      <c r="AU49" s="341"/>
      <c r="AV49" s="342"/>
      <c r="AW49" s="340"/>
      <c r="AX49" s="341"/>
      <c r="AY49" s="341"/>
      <c r="AZ49" s="341"/>
      <c r="BA49" s="342"/>
      <c r="BB49" s="340"/>
      <c r="BC49" s="341"/>
      <c r="BD49" s="341"/>
      <c r="BE49" s="341"/>
      <c r="BF49" s="342"/>
      <c r="BG49" s="340"/>
      <c r="BH49" s="341"/>
      <c r="BI49" s="341"/>
      <c r="BJ49" s="341"/>
      <c r="BK49" s="342"/>
      <c r="BL49" s="340"/>
      <c r="BM49" s="341"/>
      <c r="BN49" s="341"/>
      <c r="BO49" s="341"/>
      <c r="BP49" s="342"/>
      <c r="BQ49" s="340"/>
      <c r="BR49" s="341"/>
      <c r="BS49" s="341"/>
      <c r="BT49" s="341"/>
      <c r="BU49" s="343"/>
      <c r="BW49" s="239" t="str">
        <f>sum_level("o",'Needs 171007_1827'!D49:BU49)</f>
        <v/>
      </c>
      <c r="BX49" s="240" t="str">
        <f>sum_level("j",'Needs 171007_1827'!D49:BU49)</f>
        <v/>
      </c>
      <c r="BY49" s="240" t="str">
        <f>sum_level("m",'Needs 171007_1827'!D49:BU49)</f>
        <v/>
      </c>
      <c r="BZ49" s="240" t="str">
        <f>sum_level("s",'Needs 171007_1827'!D49:BU49)</f>
        <v/>
      </c>
      <c r="CA49" s="241" t="str">
        <f>sum_level("e",'Needs 171007_1827'!D49:BU49)</f>
        <v/>
      </c>
    </row>
    <row r="50" spans="2:79" ht="12.75" customHeight="1" thickTop="1" thickBot="1" x14ac:dyDescent="0.3">
      <c r="B50" s="436"/>
      <c r="C50" s="248"/>
      <c r="D50" s="344"/>
      <c r="E50" s="344"/>
      <c r="F50" s="344"/>
      <c r="G50" s="344"/>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c r="BH50" s="344"/>
      <c r="BI50" s="344"/>
      <c r="BJ50" s="344"/>
      <c r="BK50" s="344"/>
      <c r="BL50" s="344"/>
      <c r="BM50" s="344"/>
      <c r="BN50" s="344"/>
      <c r="BO50" s="344"/>
      <c r="BP50" s="344"/>
      <c r="BQ50" s="344"/>
      <c r="BR50" s="344"/>
      <c r="BS50" s="344"/>
      <c r="BT50" s="344"/>
      <c r="BU50" s="344"/>
      <c r="BW50" s="249"/>
      <c r="BX50" s="249"/>
      <c r="BY50" s="249"/>
      <c r="BZ50" s="249"/>
      <c r="CA50" s="249"/>
    </row>
    <row r="51" spans="2:79" ht="15.75" thickTop="1" x14ac:dyDescent="0.25">
      <c r="B51" s="434" t="s">
        <v>122</v>
      </c>
      <c r="C51" s="290" t="s">
        <v>92</v>
      </c>
      <c r="D51" s="332"/>
      <c r="E51" s="333"/>
      <c r="F51" s="333"/>
      <c r="G51" s="333"/>
      <c r="H51" s="334"/>
      <c r="I51" s="332"/>
      <c r="J51" s="333"/>
      <c r="K51" s="333"/>
      <c r="L51" s="333"/>
      <c r="M51" s="334"/>
      <c r="N51" s="332"/>
      <c r="O51" s="333"/>
      <c r="P51" s="333"/>
      <c r="Q51" s="333"/>
      <c r="R51" s="334"/>
      <c r="S51" s="332"/>
      <c r="T51" s="333"/>
      <c r="U51" s="333"/>
      <c r="V51" s="333"/>
      <c r="W51" s="334"/>
      <c r="X51" s="332"/>
      <c r="Y51" s="333"/>
      <c r="Z51" s="333"/>
      <c r="AA51" s="333"/>
      <c r="AB51" s="334"/>
      <c r="AC51" s="332"/>
      <c r="AD51" s="333"/>
      <c r="AE51" s="333"/>
      <c r="AF51" s="333"/>
      <c r="AG51" s="334"/>
      <c r="AH51" s="332"/>
      <c r="AI51" s="333"/>
      <c r="AJ51" s="333"/>
      <c r="AK51" s="333"/>
      <c r="AL51" s="334"/>
      <c r="AM51" s="332"/>
      <c r="AN51" s="333"/>
      <c r="AO51" s="333"/>
      <c r="AP51" s="333"/>
      <c r="AQ51" s="334"/>
      <c r="AR51" s="332"/>
      <c r="AS51" s="333"/>
      <c r="AT51" s="333"/>
      <c r="AU51" s="333"/>
      <c r="AV51" s="334"/>
      <c r="AW51" s="332"/>
      <c r="AX51" s="333"/>
      <c r="AY51" s="333"/>
      <c r="AZ51" s="333"/>
      <c r="BA51" s="334"/>
      <c r="BB51" s="332"/>
      <c r="BC51" s="333"/>
      <c r="BD51" s="333"/>
      <c r="BE51" s="333"/>
      <c r="BF51" s="334"/>
      <c r="BG51" s="332">
        <v>26</v>
      </c>
      <c r="BH51" s="333"/>
      <c r="BI51" s="333"/>
      <c r="BJ51" s="333"/>
      <c r="BK51" s="334"/>
      <c r="BL51" s="332"/>
      <c r="BM51" s="333"/>
      <c r="BN51" s="333"/>
      <c r="BO51" s="333"/>
      <c r="BP51" s="334"/>
      <c r="BQ51" s="332"/>
      <c r="BR51" s="333"/>
      <c r="BS51" s="333"/>
      <c r="BT51" s="333"/>
      <c r="BU51" s="335"/>
      <c r="BW51" s="233" t="str">
        <f>sum_level("o",'Needs 171007_1827'!D51:BU51)</f>
        <v>26</v>
      </c>
      <c r="BX51" s="234" t="str">
        <f>sum_level("j",'Needs 171007_1827'!D51:BU51)</f>
        <v/>
      </c>
      <c r="BY51" s="234" t="str">
        <f>sum_level("m",'Needs 171007_1827'!D51:BU51)</f>
        <v/>
      </c>
      <c r="BZ51" s="234" t="str">
        <f>sum_level("s",'Needs 171007_1827'!D51:BU51)</f>
        <v/>
      </c>
      <c r="CA51" s="235" t="str">
        <f>sum_level("e",'Needs 171007_1827'!D51:BU51)</f>
        <v/>
      </c>
    </row>
    <row r="52" spans="2:79" x14ac:dyDescent="0.25">
      <c r="B52" s="435"/>
      <c r="C52" s="291" t="s">
        <v>93</v>
      </c>
      <c r="D52" s="336"/>
      <c r="E52" s="337"/>
      <c r="F52" s="337"/>
      <c r="G52" s="337"/>
      <c r="H52" s="338"/>
      <c r="I52" s="336"/>
      <c r="J52" s="337"/>
      <c r="K52" s="337"/>
      <c r="L52" s="337"/>
      <c r="M52" s="338"/>
      <c r="N52" s="336"/>
      <c r="O52" s="337"/>
      <c r="P52" s="337"/>
      <c r="Q52" s="337"/>
      <c r="R52" s="338"/>
      <c r="S52" s="336"/>
      <c r="T52" s="337"/>
      <c r="U52" s="337"/>
      <c r="V52" s="337"/>
      <c r="W52" s="338"/>
      <c r="X52" s="336"/>
      <c r="Y52" s="337"/>
      <c r="Z52" s="337"/>
      <c r="AA52" s="337"/>
      <c r="AB52" s="338"/>
      <c r="AC52" s="336"/>
      <c r="AD52" s="337"/>
      <c r="AE52" s="337"/>
      <c r="AF52" s="337"/>
      <c r="AG52" s="338"/>
      <c r="AH52" s="336"/>
      <c r="AI52" s="337"/>
      <c r="AJ52" s="337"/>
      <c r="AK52" s="337"/>
      <c r="AL52" s="338"/>
      <c r="AM52" s="336"/>
      <c r="AN52" s="337"/>
      <c r="AO52" s="337"/>
      <c r="AP52" s="337"/>
      <c r="AQ52" s="338"/>
      <c r="AR52" s="336"/>
      <c r="AS52" s="337"/>
      <c r="AT52" s="337"/>
      <c r="AU52" s="337"/>
      <c r="AV52" s="338"/>
      <c r="AW52" s="336"/>
      <c r="AX52" s="337"/>
      <c r="AY52" s="337"/>
      <c r="AZ52" s="337"/>
      <c r="BA52" s="338"/>
      <c r="BB52" s="336"/>
      <c r="BC52" s="337"/>
      <c r="BD52" s="337"/>
      <c r="BE52" s="337"/>
      <c r="BF52" s="338"/>
      <c r="BG52" s="336"/>
      <c r="BH52" s="337">
        <v>27</v>
      </c>
      <c r="BI52" s="337"/>
      <c r="BJ52" s="337"/>
      <c r="BK52" s="338"/>
      <c r="BL52" s="336"/>
      <c r="BM52" s="337"/>
      <c r="BN52" s="337"/>
      <c r="BO52" s="337"/>
      <c r="BP52" s="338"/>
      <c r="BQ52" s="336"/>
      <c r="BR52" s="337"/>
      <c r="BS52" s="337"/>
      <c r="BT52" s="337"/>
      <c r="BU52" s="339"/>
      <c r="BW52" s="236" t="str">
        <f>sum_level("o",'Needs 171007_1827'!D52:BU52)</f>
        <v/>
      </c>
      <c r="BX52" s="237" t="str">
        <f>sum_level("j",'Needs 171007_1827'!D52:BU52)</f>
        <v>27</v>
      </c>
      <c r="BY52" s="237" t="str">
        <f>sum_level("m",'Needs 171007_1827'!D52:BU52)</f>
        <v/>
      </c>
      <c r="BZ52" s="237" t="str">
        <f>sum_level("s",'Needs 171007_1827'!D52:BU52)</f>
        <v/>
      </c>
      <c r="CA52" s="238" t="str">
        <f>sum_level("e",'Needs 171007_1827'!D52:BU52)</f>
        <v/>
      </c>
    </row>
    <row r="53" spans="2:79" x14ac:dyDescent="0.25">
      <c r="B53" s="435"/>
      <c r="C53" s="291" t="s">
        <v>94</v>
      </c>
      <c r="D53" s="336"/>
      <c r="E53" s="337"/>
      <c r="F53" s="337"/>
      <c r="G53" s="337"/>
      <c r="H53" s="338"/>
      <c r="I53" s="336"/>
      <c r="J53" s="337"/>
      <c r="K53" s="337"/>
      <c r="L53" s="337"/>
      <c r="M53" s="338"/>
      <c r="N53" s="336"/>
      <c r="O53" s="337"/>
      <c r="P53" s="337"/>
      <c r="Q53" s="337"/>
      <c r="R53" s="338"/>
      <c r="S53" s="336"/>
      <c r="T53" s="337"/>
      <c r="U53" s="337"/>
      <c r="V53" s="337"/>
      <c r="W53" s="338"/>
      <c r="X53" s="336"/>
      <c r="Y53" s="337"/>
      <c r="Z53" s="337"/>
      <c r="AA53" s="337"/>
      <c r="AB53" s="338"/>
      <c r="AC53" s="336"/>
      <c r="AD53" s="337"/>
      <c r="AE53" s="337"/>
      <c r="AF53" s="337"/>
      <c r="AG53" s="338"/>
      <c r="AH53" s="336"/>
      <c r="AI53" s="337"/>
      <c r="AJ53" s="337"/>
      <c r="AK53" s="337"/>
      <c r="AL53" s="338"/>
      <c r="AM53" s="336"/>
      <c r="AN53" s="337"/>
      <c r="AO53" s="337"/>
      <c r="AP53" s="337"/>
      <c r="AQ53" s="338"/>
      <c r="AR53" s="336"/>
      <c r="AS53" s="337"/>
      <c r="AT53" s="337"/>
      <c r="AU53" s="337"/>
      <c r="AV53" s="338"/>
      <c r="AW53" s="336"/>
      <c r="AX53" s="337"/>
      <c r="AY53" s="337"/>
      <c r="AZ53" s="337"/>
      <c r="BA53" s="338"/>
      <c r="BB53" s="336"/>
      <c r="BC53" s="337"/>
      <c r="BD53" s="337"/>
      <c r="BE53" s="337"/>
      <c r="BF53" s="338"/>
      <c r="BG53" s="336"/>
      <c r="BH53" s="337"/>
      <c r="BI53" s="337">
        <v>28</v>
      </c>
      <c r="BJ53" s="337"/>
      <c r="BK53" s="338"/>
      <c r="BL53" s="336"/>
      <c r="BM53" s="337"/>
      <c r="BN53" s="337"/>
      <c r="BO53" s="337"/>
      <c r="BP53" s="338"/>
      <c r="BQ53" s="336"/>
      <c r="BR53" s="337"/>
      <c r="BS53" s="337"/>
      <c r="BT53" s="337"/>
      <c r="BU53" s="339"/>
      <c r="BW53" s="236" t="str">
        <f>sum_level("o",'Needs 171007_1827'!D53:BU53)</f>
        <v/>
      </c>
      <c r="BX53" s="237" t="str">
        <f>sum_level("j",'Needs 171007_1827'!D53:BU53)</f>
        <v/>
      </c>
      <c r="BY53" s="237" t="str">
        <f>sum_level("m",'Needs 171007_1827'!D53:BU53)</f>
        <v>28</v>
      </c>
      <c r="BZ53" s="237" t="str">
        <f>sum_level("s",'Needs 171007_1827'!D53:BU53)</f>
        <v/>
      </c>
      <c r="CA53" s="238" t="str">
        <f>sum_level("e",'Needs 171007_1827'!D53:BU53)</f>
        <v/>
      </c>
    </row>
    <row r="54" spans="2:79" x14ac:dyDescent="0.25">
      <c r="B54" s="435"/>
      <c r="C54" s="291" t="s">
        <v>95</v>
      </c>
      <c r="D54" s="336"/>
      <c r="E54" s="337"/>
      <c r="F54" s="337"/>
      <c r="G54" s="337"/>
      <c r="H54" s="338"/>
      <c r="I54" s="336"/>
      <c r="J54" s="337"/>
      <c r="K54" s="337"/>
      <c r="L54" s="337"/>
      <c r="M54" s="338"/>
      <c r="N54" s="336"/>
      <c r="O54" s="337"/>
      <c r="P54" s="337"/>
      <c r="Q54" s="337"/>
      <c r="R54" s="338"/>
      <c r="S54" s="336"/>
      <c r="T54" s="337"/>
      <c r="U54" s="337"/>
      <c r="V54" s="337"/>
      <c r="W54" s="338"/>
      <c r="X54" s="336"/>
      <c r="Y54" s="337"/>
      <c r="Z54" s="337"/>
      <c r="AA54" s="337"/>
      <c r="AB54" s="338"/>
      <c r="AC54" s="336"/>
      <c r="AD54" s="337"/>
      <c r="AE54" s="337"/>
      <c r="AF54" s="337"/>
      <c r="AG54" s="338"/>
      <c r="AH54" s="336"/>
      <c r="AI54" s="337"/>
      <c r="AJ54" s="337"/>
      <c r="AK54" s="337"/>
      <c r="AL54" s="338"/>
      <c r="AM54" s="336"/>
      <c r="AN54" s="337"/>
      <c r="AO54" s="337"/>
      <c r="AP54" s="337"/>
      <c r="AQ54" s="338"/>
      <c r="AR54" s="336"/>
      <c r="AS54" s="337"/>
      <c r="AT54" s="337"/>
      <c r="AU54" s="337"/>
      <c r="AV54" s="338"/>
      <c r="AW54" s="336"/>
      <c r="AX54" s="337"/>
      <c r="AY54" s="337"/>
      <c r="AZ54" s="337"/>
      <c r="BA54" s="338"/>
      <c r="BB54" s="336"/>
      <c r="BC54" s="337"/>
      <c r="BD54" s="337"/>
      <c r="BE54" s="337"/>
      <c r="BF54" s="338"/>
      <c r="BG54" s="336"/>
      <c r="BH54" s="337"/>
      <c r="BI54" s="337"/>
      <c r="BJ54" s="337">
        <v>29</v>
      </c>
      <c r="BK54" s="338"/>
      <c r="BL54" s="336"/>
      <c r="BM54" s="337"/>
      <c r="BN54" s="337"/>
      <c r="BO54" s="337"/>
      <c r="BP54" s="338"/>
      <c r="BQ54" s="336"/>
      <c r="BR54" s="337"/>
      <c r="BS54" s="337"/>
      <c r="BT54" s="337"/>
      <c r="BU54" s="339"/>
      <c r="BW54" s="236" t="str">
        <f>sum_level("o",'Needs 171007_1827'!D54:BU54)</f>
        <v/>
      </c>
      <c r="BX54" s="237" t="str">
        <f>sum_level("j",'Needs 171007_1827'!D54:BU54)</f>
        <v/>
      </c>
      <c r="BY54" s="237" t="str">
        <f>sum_level("m",'Needs 171007_1827'!D54:BU54)</f>
        <v/>
      </c>
      <c r="BZ54" s="237" t="str">
        <f>sum_level("s",'Needs 171007_1827'!D54:BU54)</f>
        <v>29</v>
      </c>
      <c r="CA54" s="238" t="str">
        <f>sum_level("e",'Needs 171007_1827'!D54:BU54)</f>
        <v/>
      </c>
    </row>
    <row r="55" spans="2:79" x14ac:dyDescent="0.25">
      <c r="B55" s="435"/>
      <c r="C55" s="291" t="s">
        <v>96</v>
      </c>
      <c r="D55" s="336"/>
      <c r="E55" s="337"/>
      <c r="F55" s="337"/>
      <c r="G55" s="337"/>
      <c r="H55" s="338"/>
      <c r="I55" s="336"/>
      <c r="J55" s="337"/>
      <c r="K55" s="337"/>
      <c r="L55" s="337"/>
      <c r="M55" s="338"/>
      <c r="N55" s="336"/>
      <c r="O55" s="337"/>
      <c r="P55" s="337"/>
      <c r="Q55" s="337"/>
      <c r="R55" s="338"/>
      <c r="S55" s="336"/>
      <c r="T55" s="337"/>
      <c r="U55" s="337"/>
      <c r="V55" s="337"/>
      <c r="W55" s="338"/>
      <c r="X55" s="336"/>
      <c r="Y55" s="337"/>
      <c r="Z55" s="337"/>
      <c r="AA55" s="337"/>
      <c r="AB55" s="338"/>
      <c r="AC55" s="336"/>
      <c r="AD55" s="337"/>
      <c r="AE55" s="337"/>
      <c r="AF55" s="337"/>
      <c r="AG55" s="338"/>
      <c r="AH55" s="336"/>
      <c r="AI55" s="337"/>
      <c r="AJ55" s="337"/>
      <c r="AK55" s="337"/>
      <c r="AL55" s="338"/>
      <c r="AM55" s="336"/>
      <c r="AN55" s="337"/>
      <c r="AO55" s="337"/>
      <c r="AP55" s="337"/>
      <c r="AQ55" s="338"/>
      <c r="AR55" s="336"/>
      <c r="AS55" s="337"/>
      <c r="AT55" s="337"/>
      <c r="AU55" s="337"/>
      <c r="AV55" s="338"/>
      <c r="AW55" s="336"/>
      <c r="AX55" s="337"/>
      <c r="AY55" s="337"/>
      <c r="AZ55" s="337"/>
      <c r="BA55" s="338"/>
      <c r="BB55" s="336"/>
      <c r="BC55" s="337"/>
      <c r="BD55" s="337"/>
      <c r="BE55" s="337"/>
      <c r="BF55" s="338"/>
      <c r="BG55" s="336"/>
      <c r="BH55" s="337"/>
      <c r="BI55" s="337"/>
      <c r="BJ55" s="337"/>
      <c r="BK55" s="338">
        <v>30</v>
      </c>
      <c r="BL55" s="336"/>
      <c r="BM55" s="337"/>
      <c r="BN55" s="337"/>
      <c r="BO55" s="337"/>
      <c r="BP55" s="338"/>
      <c r="BQ55" s="336"/>
      <c r="BR55" s="337"/>
      <c r="BS55" s="337"/>
      <c r="BT55" s="337"/>
      <c r="BU55" s="339"/>
      <c r="BW55" s="236" t="str">
        <f>sum_level("o",'Needs 171007_1827'!D55:BU55)</f>
        <v/>
      </c>
      <c r="BX55" s="237" t="str">
        <f>sum_level("j",'Needs 171007_1827'!D55:BU55)</f>
        <v/>
      </c>
      <c r="BY55" s="237" t="str">
        <f>sum_level("m",'Needs 171007_1827'!D55:BU55)</f>
        <v/>
      </c>
      <c r="BZ55" s="237" t="str">
        <f>sum_level("s",'Needs 171007_1827'!D55:BU55)</f>
        <v/>
      </c>
      <c r="CA55" s="238" t="str">
        <f>sum_level("e",'Needs 171007_1827'!D55:BU55)</f>
        <v>30</v>
      </c>
    </row>
    <row r="56" spans="2:79" x14ac:dyDescent="0.25">
      <c r="B56" s="435"/>
      <c r="C56" s="291" t="s">
        <v>97</v>
      </c>
      <c r="D56" s="336"/>
      <c r="E56" s="337"/>
      <c r="F56" s="337"/>
      <c r="G56" s="337"/>
      <c r="H56" s="338"/>
      <c r="I56" s="336"/>
      <c r="J56" s="337"/>
      <c r="K56" s="337"/>
      <c r="L56" s="337"/>
      <c r="M56" s="338"/>
      <c r="N56" s="336"/>
      <c r="O56" s="337"/>
      <c r="P56" s="337"/>
      <c r="Q56" s="337"/>
      <c r="R56" s="338"/>
      <c r="S56" s="336"/>
      <c r="T56" s="337"/>
      <c r="U56" s="337"/>
      <c r="V56" s="337"/>
      <c r="W56" s="338"/>
      <c r="X56" s="336"/>
      <c r="Y56" s="337"/>
      <c r="Z56" s="337"/>
      <c r="AA56" s="337"/>
      <c r="AB56" s="338"/>
      <c r="AC56" s="336"/>
      <c r="AD56" s="337"/>
      <c r="AE56" s="337"/>
      <c r="AF56" s="337"/>
      <c r="AG56" s="338"/>
      <c r="AH56" s="336"/>
      <c r="AI56" s="337"/>
      <c r="AJ56" s="337"/>
      <c r="AK56" s="337"/>
      <c r="AL56" s="338"/>
      <c r="AM56" s="336"/>
      <c r="AN56" s="337"/>
      <c r="AO56" s="337"/>
      <c r="AP56" s="337"/>
      <c r="AQ56" s="338"/>
      <c r="AR56" s="336"/>
      <c r="AS56" s="337"/>
      <c r="AT56" s="337"/>
      <c r="AU56" s="337"/>
      <c r="AV56" s="338"/>
      <c r="AW56" s="336"/>
      <c r="AX56" s="337"/>
      <c r="AY56" s="337"/>
      <c r="AZ56" s="337"/>
      <c r="BA56" s="338"/>
      <c r="BB56" s="336"/>
      <c r="BC56" s="337"/>
      <c r="BD56" s="337"/>
      <c r="BE56" s="337"/>
      <c r="BF56" s="338"/>
      <c r="BG56" s="336"/>
      <c r="BH56" s="337"/>
      <c r="BI56" s="337"/>
      <c r="BJ56" s="337"/>
      <c r="BK56" s="338"/>
      <c r="BL56" s="336"/>
      <c r="BM56" s="337"/>
      <c r="BN56" s="337"/>
      <c r="BO56" s="337"/>
      <c r="BP56" s="338"/>
      <c r="BQ56" s="336"/>
      <c r="BR56" s="337"/>
      <c r="BS56" s="337"/>
      <c r="BT56" s="337"/>
      <c r="BU56" s="339"/>
      <c r="BW56" s="236" t="str">
        <f>sum_level("o",'Needs 171007_1827'!D56:BU56)</f>
        <v/>
      </c>
      <c r="BX56" s="237" t="str">
        <f>sum_level("j",'Needs 171007_1827'!D56:BU56)</f>
        <v/>
      </c>
      <c r="BY56" s="237" t="str">
        <f>sum_level("m",'Needs 171007_1827'!D56:BU56)</f>
        <v/>
      </c>
      <c r="BZ56" s="237" t="str">
        <f>sum_level("s",'Needs 171007_1827'!D56:BU56)</f>
        <v/>
      </c>
      <c r="CA56" s="238" t="str">
        <f>sum_level("e",'Needs 171007_1827'!D56:BU56)</f>
        <v/>
      </c>
    </row>
    <row r="57" spans="2:79" x14ac:dyDescent="0.25">
      <c r="B57" s="435"/>
      <c r="C57" s="291" t="s">
        <v>228</v>
      </c>
      <c r="D57" s="336"/>
      <c r="E57" s="337"/>
      <c r="F57" s="337"/>
      <c r="G57" s="337"/>
      <c r="H57" s="338"/>
      <c r="I57" s="336"/>
      <c r="J57" s="337"/>
      <c r="K57" s="337"/>
      <c r="L57" s="337"/>
      <c r="M57" s="338"/>
      <c r="N57" s="336"/>
      <c r="O57" s="337"/>
      <c r="P57" s="337"/>
      <c r="Q57" s="337"/>
      <c r="R57" s="338"/>
      <c r="S57" s="336"/>
      <c r="T57" s="337"/>
      <c r="U57" s="337"/>
      <c r="V57" s="337"/>
      <c r="W57" s="338"/>
      <c r="X57" s="336"/>
      <c r="Y57" s="337"/>
      <c r="Z57" s="337"/>
      <c r="AA57" s="337"/>
      <c r="AB57" s="338"/>
      <c r="AC57" s="336"/>
      <c r="AD57" s="337"/>
      <c r="AE57" s="337"/>
      <c r="AF57" s="337"/>
      <c r="AG57" s="338"/>
      <c r="AH57" s="336"/>
      <c r="AI57" s="337"/>
      <c r="AJ57" s="337"/>
      <c r="AK57" s="337"/>
      <c r="AL57" s="338"/>
      <c r="AM57" s="336"/>
      <c r="AN57" s="337"/>
      <c r="AO57" s="337"/>
      <c r="AP57" s="337"/>
      <c r="AQ57" s="338"/>
      <c r="AR57" s="336"/>
      <c r="AS57" s="337"/>
      <c r="AT57" s="337"/>
      <c r="AU57" s="337"/>
      <c r="AV57" s="338"/>
      <c r="AW57" s="336"/>
      <c r="AX57" s="337"/>
      <c r="AY57" s="337"/>
      <c r="AZ57" s="337"/>
      <c r="BA57" s="338"/>
      <c r="BB57" s="336"/>
      <c r="BC57" s="337"/>
      <c r="BD57" s="337"/>
      <c r="BE57" s="337"/>
      <c r="BF57" s="338"/>
      <c r="BG57" s="336"/>
      <c r="BH57" s="337"/>
      <c r="BI57" s="337"/>
      <c r="BJ57" s="337"/>
      <c r="BK57" s="338"/>
      <c r="BL57" s="336"/>
      <c r="BM57" s="337"/>
      <c r="BN57" s="337"/>
      <c r="BO57" s="337"/>
      <c r="BP57" s="338"/>
      <c r="BQ57" s="336"/>
      <c r="BR57" s="337"/>
      <c r="BS57" s="337"/>
      <c r="BT57" s="337"/>
      <c r="BU57" s="339"/>
      <c r="BW57" s="236" t="str">
        <f>sum_level("o",'Needs 171007_1827'!D57:BU57)</f>
        <v/>
      </c>
      <c r="BX57" s="237" t="str">
        <f>sum_level("j",'Needs 171007_1827'!D57:BU57)</f>
        <v/>
      </c>
      <c r="BY57" s="237" t="str">
        <f>sum_level("m",'Needs 171007_1827'!D57:BU57)</f>
        <v/>
      </c>
      <c r="BZ57" s="237" t="str">
        <f>sum_level("s",'Needs 171007_1827'!D57:BU57)</f>
        <v/>
      </c>
      <c r="CA57" s="238" t="str">
        <f>sum_level("e",'Needs 171007_1827'!D57:BU57)</f>
        <v/>
      </c>
    </row>
    <row r="58" spans="2:79" ht="15.75" thickBot="1" x14ac:dyDescent="0.3">
      <c r="B58" s="435"/>
      <c r="C58" s="292" t="s">
        <v>229</v>
      </c>
      <c r="D58" s="340"/>
      <c r="E58" s="341"/>
      <c r="F58" s="341"/>
      <c r="G58" s="341"/>
      <c r="H58" s="342"/>
      <c r="I58" s="340"/>
      <c r="J58" s="341"/>
      <c r="K58" s="341"/>
      <c r="L58" s="341"/>
      <c r="M58" s="342"/>
      <c r="N58" s="340"/>
      <c r="O58" s="341"/>
      <c r="P58" s="341"/>
      <c r="Q58" s="341"/>
      <c r="R58" s="342"/>
      <c r="S58" s="340"/>
      <c r="T58" s="341"/>
      <c r="U58" s="341"/>
      <c r="V58" s="341"/>
      <c r="W58" s="342"/>
      <c r="X58" s="340"/>
      <c r="Y58" s="341"/>
      <c r="Z58" s="341"/>
      <c r="AA58" s="341"/>
      <c r="AB58" s="342"/>
      <c r="AC58" s="340"/>
      <c r="AD58" s="341"/>
      <c r="AE58" s="341"/>
      <c r="AF58" s="341"/>
      <c r="AG58" s="342"/>
      <c r="AH58" s="340"/>
      <c r="AI58" s="341"/>
      <c r="AJ58" s="341"/>
      <c r="AK58" s="341"/>
      <c r="AL58" s="342"/>
      <c r="AM58" s="340"/>
      <c r="AN58" s="341"/>
      <c r="AO58" s="341"/>
      <c r="AP58" s="341"/>
      <c r="AQ58" s="342"/>
      <c r="AR58" s="340"/>
      <c r="AS58" s="341"/>
      <c r="AT58" s="341"/>
      <c r="AU58" s="341"/>
      <c r="AV58" s="342"/>
      <c r="AW58" s="340"/>
      <c r="AX58" s="341"/>
      <c r="AY58" s="341"/>
      <c r="AZ58" s="341"/>
      <c r="BA58" s="342"/>
      <c r="BB58" s="340"/>
      <c r="BC58" s="341"/>
      <c r="BD58" s="341"/>
      <c r="BE58" s="341"/>
      <c r="BF58" s="342"/>
      <c r="BG58" s="340"/>
      <c r="BH58" s="341"/>
      <c r="BI58" s="341"/>
      <c r="BJ58" s="341"/>
      <c r="BK58" s="342"/>
      <c r="BL58" s="340"/>
      <c r="BM58" s="341"/>
      <c r="BN58" s="341"/>
      <c r="BO58" s="341"/>
      <c r="BP58" s="342"/>
      <c r="BQ58" s="340"/>
      <c r="BR58" s="341"/>
      <c r="BS58" s="341"/>
      <c r="BT58" s="341"/>
      <c r="BU58" s="343"/>
      <c r="BW58" s="239" t="str">
        <f>sum_level("o",'Needs 171007_1827'!D58:BU58)</f>
        <v/>
      </c>
      <c r="BX58" s="240" t="str">
        <f>sum_level("j",'Needs 171007_1827'!D58:BU58)</f>
        <v/>
      </c>
      <c r="BY58" s="240" t="str">
        <f>sum_level("m",'Needs 171007_1827'!D58:BU58)</f>
        <v/>
      </c>
      <c r="BZ58" s="240" t="str">
        <f>sum_level("s",'Needs 171007_1827'!D58:BU58)</f>
        <v/>
      </c>
      <c r="CA58" s="241" t="str">
        <f>sum_level("e",'Needs 171007_1827'!D58:BU58)</f>
        <v/>
      </c>
    </row>
    <row r="59" spans="2:79" ht="12.75" customHeight="1" thickTop="1" thickBot="1" x14ac:dyDescent="0.3">
      <c r="B59" s="436"/>
      <c r="C59" s="248"/>
      <c r="D59" s="344"/>
      <c r="E59" s="344"/>
      <c r="F59" s="344"/>
      <c r="G59" s="344"/>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s="344"/>
      <c r="BN59" s="344"/>
      <c r="BO59" s="344"/>
      <c r="BP59" s="344"/>
      <c r="BQ59" s="344"/>
      <c r="BR59" s="344"/>
      <c r="BS59" s="344"/>
      <c r="BT59" s="344"/>
      <c r="BU59" s="344"/>
      <c r="BW59" s="249"/>
      <c r="BX59" s="249"/>
      <c r="BY59" s="249"/>
      <c r="BZ59" s="249"/>
      <c r="CA59" s="249"/>
    </row>
    <row r="60" spans="2:79" ht="15.75" thickTop="1" x14ac:dyDescent="0.25">
      <c r="B60" s="434" t="s">
        <v>98</v>
      </c>
      <c r="C60" s="290" t="s">
        <v>99</v>
      </c>
      <c r="D60" s="332"/>
      <c r="E60" s="333"/>
      <c r="F60" s="333"/>
      <c r="G60" s="333"/>
      <c r="H60" s="334"/>
      <c r="I60" s="332"/>
      <c r="J60" s="333"/>
      <c r="K60" s="333"/>
      <c r="L60" s="333"/>
      <c r="M60" s="334"/>
      <c r="N60" s="332"/>
      <c r="O60" s="333"/>
      <c r="P60" s="333"/>
      <c r="Q60" s="333"/>
      <c r="R60" s="334"/>
      <c r="S60" s="332"/>
      <c r="T60" s="333"/>
      <c r="U60" s="333"/>
      <c r="V60" s="333"/>
      <c r="W60" s="334"/>
      <c r="X60" s="332"/>
      <c r="Y60" s="333"/>
      <c r="Z60" s="333"/>
      <c r="AA60" s="333"/>
      <c r="AB60" s="334"/>
      <c r="AC60" s="332"/>
      <c r="AD60" s="333"/>
      <c r="AE60" s="333"/>
      <c r="AF60" s="333"/>
      <c r="AG60" s="334"/>
      <c r="AH60" s="332"/>
      <c r="AI60" s="333"/>
      <c r="AJ60" s="333"/>
      <c r="AK60" s="333"/>
      <c r="AL60" s="334"/>
      <c r="AM60" s="332"/>
      <c r="AN60" s="333"/>
      <c r="AO60" s="333"/>
      <c r="AP60" s="333"/>
      <c r="AQ60" s="334"/>
      <c r="AR60" s="332"/>
      <c r="AS60" s="333"/>
      <c r="AT60" s="333"/>
      <c r="AU60" s="333"/>
      <c r="AV60" s="334"/>
      <c r="AW60" s="332"/>
      <c r="AX60" s="333"/>
      <c r="AY60" s="333"/>
      <c r="AZ60" s="333"/>
      <c r="BA60" s="334"/>
      <c r="BB60" s="332"/>
      <c r="BC60" s="333"/>
      <c r="BD60" s="333"/>
      <c r="BE60" s="333"/>
      <c r="BF60" s="334"/>
      <c r="BG60" s="332"/>
      <c r="BH60" s="333"/>
      <c r="BI60" s="333"/>
      <c r="BJ60" s="333"/>
      <c r="BK60" s="334"/>
      <c r="BL60" s="332">
        <v>31</v>
      </c>
      <c r="BM60" s="333"/>
      <c r="BN60" s="333"/>
      <c r="BO60" s="333"/>
      <c r="BP60" s="334"/>
      <c r="BQ60" s="332"/>
      <c r="BR60" s="333"/>
      <c r="BS60" s="333"/>
      <c r="BT60" s="333"/>
      <c r="BU60" s="335"/>
      <c r="BW60" s="233" t="str">
        <f>sum_level("o",'Needs 171007_1827'!D60:BU60)</f>
        <v>31</v>
      </c>
      <c r="BX60" s="234" t="str">
        <f>sum_level("j",'Needs 171007_1827'!D60:BU60)</f>
        <v/>
      </c>
      <c r="BY60" s="234" t="str">
        <f>sum_level("m",'Needs 171007_1827'!D60:BU60)</f>
        <v/>
      </c>
      <c r="BZ60" s="234" t="str">
        <f>sum_level("s",'Needs 171007_1827'!D60:BU60)</f>
        <v/>
      </c>
      <c r="CA60" s="235" t="str">
        <f>sum_level("e",'Needs 171007_1827'!D60:BU60)</f>
        <v/>
      </c>
    </row>
    <row r="61" spans="2:79" x14ac:dyDescent="0.25">
      <c r="B61" s="435"/>
      <c r="C61" s="291" t="s">
        <v>100</v>
      </c>
      <c r="D61" s="336"/>
      <c r="E61" s="337"/>
      <c r="F61" s="337"/>
      <c r="G61" s="337"/>
      <c r="H61" s="338"/>
      <c r="I61" s="336"/>
      <c r="J61" s="337"/>
      <c r="K61" s="337"/>
      <c r="L61" s="337"/>
      <c r="M61" s="338"/>
      <c r="N61" s="336"/>
      <c r="O61" s="337"/>
      <c r="P61" s="337"/>
      <c r="Q61" s="337"/>
      <c r="R61" s="338"/>
      <c r="S61" s="336"/>
      <c r="T61" s="337"/>
      <c r="U61" s="337"/>
      <c r="V61" s="337"/>
      <c r="W61" s="338"/>
      <c r="X61" s="336"/>
      <c r="Y61" s="337"/>
      <c r="Z61" s="337"/>
      <c r="AA61" s="337"/>
      <c r="AB61" s="338"/>
      <c r="AC61" s="336"/>
      <c r="AD61" s="337"/>
      <c r="AE61" s="337"/>
      <c r="AF61" s="337"/>
      <c r="AG61" s="338"/>
      <c r="AH61" s="336"/>
      <c r="AI61" s="337"/>
      <c r="AJ61" s="337"/>
      <c r="AK61" s="337"/>
      <c r="AL61" s="338"/>
      <c r="AM61" s="336"/>
      <c r="AN61" s="337"/>
      <c r="AO61" s="337"/>
      <c r="AP61" s="337"/>
      <c r="AQ61" s="338"/>
      <c r="AR61" s="336"/>
      <c r="AS61" s="337"/>
      <c r="AT61" s="337"/>
      <c r="AU61" s="337"/>
      <c r="AV61" s="338"/>
      <c r="AW61" s="336"/>
      <c r="AX61" s="337"/>
      <c r="AY61" s="337"/>
      <c r="AZ61" s="337"/>
      <c r="BA61" s="338"/>
      <c r="BB61" s="336"/>
      <c r="BC61" s="337"/>
      <c r="BD61" s="337"/>
      <c r="BE61" s="337"/>
      <c r="BF61" s="338"/>
      <c r="BG61" s="336"/>
      <c r="BH61" s="337"/>
      <c r="BI61" s="337"/>
      <c r="BJ61" s="337"/>
      <c r="BK61" s="338"/>
      <c r="BL61" s="336"/>
      <c r="BM61" s="337">
        <v>32</v>
      </c>
      <c r="BN61" s="337"/>
      <c r="BO61" s="337"/>
      <c r="BP61" s="338"/>
      <c r="BQ61" s="336"/>
      <c r="BR61" s="337"/>
      <c r="BS61" s="337"/>
      <c r="BT61" s="337"/>
      <c r="BU61" s="339"/>
      <c r="BW61" s="236" t="str">
        <f>sum_level("o",'Needs 171007_1827'!D61:BU61)</f>
        <v/>
      </c>
      <c r="BX61" s="237" t="str">
        <f>sum_level("j",'Needs 171007_1827'!D61:BU61)</f>
        <v>32</v>
      </c>
      <c r="BY61" s="237" t="str">
        <f>sum_level("m",'Needs 171007_1827'!D61:BU61)</f>
        <v/>
      </c>
      <c r="BZ61" s="237" t="str">
        <f>sum_level("s",'Needs 171007_1827'!D61:BU61)</f>
        <v/>
      </c>
      <c r="CA61" s="238" t="str">
        <f>sum_level("e",'Needs 171007_1827'!D61:BU61)</f>
        <v/>
      </c>
    </row>
    <row r="62" spans="2:79" x14ac:dyDescent="0.25">
      <c r="B62" s="435"/>
      <c r="C62" s="291" t="s">
        <v>101</v>
      </c>
      <c r="D62" s="336"/>
      <c r="E62" s="337"/>
      <c r="F62" s="337"/>
      <c r="G62" s="337"/>
      <c r="H62" s="338"/>
      <c r="I62" s="336"/>
      <c r="J62" s="337"/>
      <c r="K62" s="337"/>
      <c r="L62" s="337"/>
      <c r="M62" s="338"/>
      <c r="N62" s="336"/>
      <c r="O62" s="337"/>
      <c r="P62" s="337"/>
      <c r="Q62" s="337"/>
      <c r="R62" s="338"/>
      <c r="S62" s="336"/>
      <c r="T62" s="337"/>
      <c r="U62" s="337"/>
      <c r="V62" s="337"/>
      <c r="W62" s="338"/>
      <c r="X62" s="336"/>
      <c r="Y62" s="337"/>
      <c r="Z62" s="337"/>
      <c r="AA62" s="337"/>
      <c r="AB62" s="338"/>
      <c r="AC62" s="336"/>
      <c r="AD62" s="337"/>
      <c r="AE62" s="337"/>
      <c r="AF62" s="337"/>
      <c r="AG62" s="338"/>
      <c r="AH62" s="336"/>
      <c r="AI62" s="337"/>
      <c r="AJ62" s="337"/>
      <c r="AK62" s="337"/>
      <c r="AL62" s="338"/>
      <c r="AM62" s="336"/>
      <c r="AN62" s="337"/>
      <c r="AO62" s="337"/>
      <c r="AP62" s="337"/>
      <c r="AQ62" s="338"/>
      <c r="AR62" s="336"/>
      <c r="AS62" s="337"/>
      <c r="AT62" s="337"/>
      <c r="AU62" s="337"/>
      <c r="AV62" s="338"/>
      <c r="AW62" s="336"/>
      <c r="AX62" s="337"/>
      <c r="AY62" s="337"/>
      <c r="AZ62" s="337"/>
      <c r="BA62" s="338"/>
      <c r="BB62" s="336"/>
      <c r="BC62" s="337"/>
      <c r="BD62" s="337"/>
      <c r="BE62" s="337"/>
      <c r="BF62" s="338"/>
      <c r="BG62" s="336"/>
      <c r="BH62" s="337"/>
      <c r="BI62" s="337"/>
      <c r="BJ62" s="337"/>
      <c r="BK62" s="338"/>
      <c r="BL62" s="336"/>
      <c r="BM62" s="337"/>
      <c r="BN62" s="337">
        <v>33</v>
      </c>
      <c r="BO62" s="337"/>
      <c r="BP62" s="338"/>
      <c r="BQ62" s="336"/>
      <c r="BR62" s="337"/>
      <c r="BS62" s="337"/>
      <c r="BT62" s="337"/>
      <c r="BU62" s="339"/>
      <c r="BW62" s="236" t="str">
        <f>sum_level("o",'Needs 171007_1827'!D62:BU62)</f>
        <v/>
      </c>
      <c r="BX62" s="237" t="str">
        <f>sum_level("j",'Needs 171007_1827'!D62:BU62)</f>
        <v/>
      </c>
      <c r="BY62" s="237" t="str">
        <f>sum_level("m",'Needs 171007_1827'!D62:BU62)</f>
        <v>33</v>
      </c>
      <c r="BZ62" s="237" t="str">
        <f>sum_level("s",'Needs 171007_1827'!D62:BU62)</f>
        <v/>
      </c>
      <c r="CA62" s="238" t="str">
        <f>sum_level("e",'Needs 171007_1827'!D62:BU62)</f>
        <v/>
      </c>
    </row>
    <row r="63" spans="2:79" x14ac:dyDescent="0.25">
      <c r="B63" s="435"/>
      <c r="C63" s="291" t="s">
        <v>102</v>
      </c>
      <c r="D63" s="336"/>
      <c r="E63" s="337"/>
      <c r="F63" s="337"/>
      <c r="G63" s="337"/>
      <c r="H63" s="338"/>
      <c r="I63" s="336"/>
      <c r="J63" s="337"/>
      <c r="K63" s="337"/>
      <c r="L63" s="337"/>
      <c r="M63" s="338"/>
      <c r="N63" s="336"/>
      <c r="O63" s="337"/>
      <c r="P63" s="337"/>
      <c r="Q63" s="337"/>
      <c r="R63" s="338"/>
      <c r="S63" s="336"/>
      <c r="T63" s="337"/>
      <c r="U63" s="337"/>
      <c r="V63" s="337"/>
      <c r="W63" s="338"/>
      <c r="X63" s="336"/>
      <c r="Y63" s="337"/>
      <c r="Z63" s="337"/>
      <c r="AA63" s="337"/>
      <c r="AB63" s="338"/>
      <c r="AC63" s="336"/>
      <c r="AD63" s="337"/>
      <c r="AE63" s="337"/>
      <c r="AF63" s="337"/>
      <c r="AG63" s="338"/>
      <c r="AH63" s="336"/>
      <c r="AI63" s="337"/>
      <c r="AJ63" s="337"/>
      <c r="AK63" s="337"/>
      <c r="AL63" s="338"/>
      <c r="AM63" s="336"/>
      <c r="AN63" s="337"/>
      <c r="AO63" s="337"/>
      <c r="AP63" s="337"/>
      <c r="AQ63" s="338"/>
      <c r="AR63" s="336"/>
      <c r="AS63" s="337"/>
      <c r="AT63" s="337"/>
      <c r="AU63" s="337"/>
      <c r="AV63" s="338"/>
      <c r="AW63" s="336"/>
      <c r="AX63" s="337"/>
      <c r="AY63" s="337"/>
      <c r="AZ63" s="337"/>
      <c r="BA63" s="338"/>
      <c r="BB63" s="336"/>
      <c r="BC63" s="337"/>
      <c r="BD63" s="337"/>
      <c r="BE63" s="337"/>
      <c r="BF63" s="338"/>
      <c r="BG63" s="336"/>
      <c r="BH63" s="337"/>
      <c r="BI63" s="337"/>
      <c r="BJ63" s="337"/>
      <c r="BK63" s="338"/>
      <c r="BL63" s="336"/>
      <c r="BM63" s="337"/>
      <c r="BN63" s="337"/>
      <c r="BO63" s="337">
        <v>34</v>
      </c>
      <c r="BP63" s="338"/>
      <c r="BQ63" s="336"/>
      <c r="BR63" s="337"/>
      <c r="BS63" s="337"/>
      <c r="BT63" s="337"/>
      <c r="BU63" s="339"/>
      <c r="BW63" s="236" t="str">
        <f>sum_level("o",'Needs 171007_1827'!D63:BU63)</f>
        <v/>
      </c>
      <c r="BX63" s="237" t="str">
        <f>sum_level("j",'Needs 171007_1827'!D63:BU63)</f>
        <v/>
      </c>
      <c r="BY63" s="237" t="str">
        <f>sum_level("m",'Needs 171007_1827'!D63:BU63)</f>
        <v/>
      </c>
      <c r="BZ63" s="237" t="str">
        <f>sum_level("s",'Needs 171007_1827'!D63:BU63)</f>
        <v>34</v>
      </c>
      <c r="CA63" s="238" t="str">
        <f>sum_level("e",'Needs 171007_1827'!D63:BU63)</f>
        <v/>
      </c>
    </row>
    <row r="64" spans="2:79" x14ac:dyDescent="0.25">
      <c r="B64" s="435"/>
      <c r="C64" s="291" t="s">
        <v>103</v>
      </c>
      <c r="D64" s="336"/>
      <c r="E64" s="337"/>
      <c r="F64" s="337"/>
      <c r="G64" s="337"/>
      <c r="H64" s="338"/>
      <c r="I64" s="336"/>
      <c r="J64" s="337"/>
      <c r="K64" s="337"/>
      <c r="L64" s="337"/>
      <c r="M64" s="338"/>
      <c r="N64" s="336"/>
      <c r="O64" s="337"/>
      <c r="P64" s="337"/>
      <c r="Q64" s="337"/>
      <c r="R64" s="338"/>
      <c r="S64" s="336"/>
      <c r="T64" s="337"/>
      <c r="U64" s="337"/>
      <c r="V64" s="337"/>
      <c r="W64" s="338"/>
      <c r="X64" s="336"/>
      <c r="Y64" s="337"/>
      <c r="Z64" s="337"/>
      <c r="AA64" s="337"/>
      <c r="AB64" s="338"/>
      <c r="AC64" s="336"/>
      <c r="AD64" s="337"/>
      <c r="AE64" s="337"/>
      <c r="AF64" s="337"/>
      <c r="AG64" s="338"/>
      <c r="AH64" s="336"/>
      <c r="AI64" s="337"/>
      <c r="AJ64" s="337"/>
      <c r="AK64" s="337"/>
      <c r="AL64" s="338"/>
      <c r="AM64" s="336"/>
      <c r="AN64" s="337"/>
      <c r="AO64" s="337"/>
      <c r="AP64" s="337"/>
      <c r="AQ64" s="338"/>
      <c r="AR64" s="336"/>
      <c r="AS64" s="337"/>
      <c r="AT64" s="337"/>
      <c r="AU64" s="337"/>
      <c r="AV64" s="338"/>
      <c r="AW64" s="336"/>
      <c r="AX64" s="337"/>
      <c r="AY64" s="337"/>
      <c r="AZ64" s="337"/>
      <c r="BA64" s="338"/>
      <c r="BB64" s="336"/>
      <c r="BC64" s="337"/>
      <c r="BD64" s="337"/>
      <c r="BE64" s="337"/>
      <c r="BF64" s="338"/>
      <c r="BG64" s="336"/>
      <c r="BH64" s="337"/>
      <c r="BI64" s="337"/>
      <c r="BJ64" s="337"/>
      <c r="BK64" s="338"/>
      <c r="BL64" s="336"/>
      <c r="BM64" s="337"/>
      <c r="BN64" s="337"/>
      <c r="BO64" s="337"/>
      <c r="BP64" s="338">
        <v>35</v>
      </c>
      <c r="BQ64" s="336"/>
      <c r="BR64" s="337"/>
      <c r="BS64" s="337"/>
      <c r="BT64" s="337"/>
      <c r="BU64" s="339"/>
      <c r="BW64" s="236" t="str">
        <f>sum_level("o",'Needs 171007_1827'!D64:BU64)</f>
        <v/>
      </c>
      <c r="BX64" s="237" t="str">
        <f>sum_level("j",'Needs 171007_1827'!D64:BU64)</f>
        <v/>
      </c>
      <c r="BY64" s="237" t="str">
        <f>sum_level("m",'Needs 171007_1827'!D64:BU64)</f>
        <v/>
      </c>
      <c r="BZ64" s="237" t="str">
        <f>sum_level("s",'Needs 171007_1827'!D64:BU64)</f>
        <v/>
      </c>
      <c r="CA64" s="238" t="str">
        <f>sum_level("e",'Needs 171007_1827'!D64:BU64)</f>
        <v>35</v>
      </c>
    </row>
    <row r="65" spans="2:79" x14ac:dyDescent="0.25">
      <c r="B65" s="435"/>
      <c r="C65" s="291" t="s">
        <v>104</v>
      </c>
      <c r="D65" s="336"/>
      <c r="E65" s="337"/>
      <c r="F65" s="337"/>
      <c r="G65" s="337"/>
      <c r="H65" s="338"/>
      <c r="I65" s="336"/>
      <c r="J65" s="337"/>
      <c r="K65" s="337"/>
      <c r="L65" s="337"/>
      <c r="M65" s="338"/>
      <c r="N65" s="336"/>
      <c r="O65" s="337"/>
      <c r="P65" s="337"/>
      <c r="Q65" s="337"/>
      <c r="R65" s="338"/>
      <c r="S65" s="336"/>
      <c r="T65" s="337"/>
      <c r="U65" s="337"/>
      <c r="V65" s="337"/>
      <c r="W65" s="338"/>
      <c r="X65" s="336"/>
      <c r="Y65" s="337"/>
      <c r="Z65" s="337"/>
      <c r="AA65" s="337"/>
      <c r="AB65" s="338"/>
      <c r="AC65" s="336"/>
      <c r="AD65" s="337"/>
      <c r="AE65" s="337"/>
      <c r="AF65" s="337"/>
      <c r="AG65" s="338"/>
      <c r="AH65" s="336"/>
      <c r="AI65" s="337"/>
      <c r="AJ65" s="337"/>
      <c r="AK65" s="337"/>
      <c r="AL65" s="338"/>
      <c r="AM65" s="336"/>
      <c r="AN65" s="337"/>
      <c r="AO65" s="337"/>
      <c r="AP65" s="337"/>
      <c r="AQ65" s="338"/>
      <c r="AR65" s="336"/>
      <c r="AS65" s="337"/>
      <c r="AT65" s="337"/>
      <c r="AU65" s="337"/>
      <c r="AV65" s="338"/>
      <c r="AW65" s="336"/>
      <c r="AX65" s="337"/>
      <c r="AY65" s="337"/>
      <c r="AZ65" s="337"/>
      <c r="BA65" s="338"/>
      <c r="BB65" s="336"/>
      <c r="BC65" s="337"/>
      <c r="BD65" s="337"/>
      <c r="BE65" s="337"/>
      <c r="BF65" s="338"/>
      <c r="BG65" s="336"/>
      <c r="BH65" s="337"/>
      <c r="BI65" s="337"/>
      <c r="BJ65" s="337"/>
      <c r="BK65" s="338"/>
      <c r="BL65" s="336"/>
      <c r="BM65" s="337"/>
      <c r="BN65" s="337"/>
      <c r="BO65" s="337"/>
      <c r="BP65" s="338"/>
      <c r="BQ65" s="336"/>
      <c r="BR65" s="337"/>
      <c r="BS65" s="337"/>
      <c r="BT65" s="337"/>
      <c r="BU65" s="339"/>
      <c r="BW65" s="236" t="str">
        <f>sum_level("o",'Needs 171007_1827'!D65:BU65)</f>
        <v/>
      </c>
      <c r="BX65" s="237" t="str">
        <f>sum_level("j",'Needs 171007_1827'!D65:BU65)</f>
        <v/>
      </c>
      <c r="BY65" s="237" t="str">
        <f>sum_level("m",'Needs 171007_1827'!D65:BU65)</f>
        <v/>
      </c>
      <c r="BZ65" s="237" t="str">
        <f>sum_level("s",'Needs 171007_1827'!D65:BU65)</f>
        <v/>
      </c>
      <c r="CA65" s="238" t="str">
        <f>sum_level("e",'Needs 171007_1827'!D65:BU65)</f>
        <v/>
      </c>
    </row>
    <row r="66" spans="2:79" x14ac:dyDescent="0.25">
      <c r="B66" s="435"/>
      <c r="C66" s="291" t="s">
        <v>105</v>
      </c>
      <c r="D66" s="336"/>
      <c r="E66" s="337"/>
      <c r="F66" s="337"/>
      <c r="G66" s="337"/>
      <c r="H66" s="338"/>
      <c r="I66" s="336"/>
      <c r="J66" s="337"/>
      <c r="K66" s="337"/>
      <c r="L66" s="337"/>
      <c r="M66" s="338"/>
      <c r="N66" s="336"/>
      <c r="O66" s="337"/>
      <c r="P66" s="337"/>
      <c r="Q66" s="337"/>
      <c r="R66" s="338"/>
      <c r="S66" s="336"/>
      <c r="T66" s="337"/>
      <c r="U66" s="337"/>
      <c r="V66" s="337"/>
      <c r="W66" s="338"/>
      <c r="X66" s="336"/>
      <c r="Y66" s="337"/>
      <c r="Z66" s="337"/>
      <c r="AA66" s="337"/>
      <c r="AB66" s="338"/>
      <c r="AC66" s="336"/>
      <c r="AD66" s="337"/>
      <c r="AE66" s="337"/>
      <c r="AF66" s="337"/>
      <c r="AG66" s="338"/>
      <c r="AH66" s="336"/>
      <c r="AI66" s="337"/>
      <c r="AJ66" s="337"/>
      <c r="AK66" s="337"/>
      <c r="AL66" s="338"/>
      <c r="AM66" s="336"/>
      <c r="AN66" s="337"/>
      <c r="AO66" s="337"/>
      <c r="AP66" s="337"/>
      <c r="AQ66" s="338"/>
      <c r="AR66" s="336"/>
      <c r="AS66" s="337"/>
      <c r="AT66" s="337"/>
      <c r="AU66" s="337"/>
      <c r="AV66" s="338"/>
      <c r="AW66" s="336"/>
      <c r="AX66" s="337"/>
      <c r="AY66" s="337"/>
      <c r="AZ66" s="337"/>
      <c r="BA66" s="338"/>
      <c r="BB66" s="336"/>
      <c r="BC66" s="337"/>
      <c r="BD66" s="337"/>
      <c r="BE66" s="337"/>
      <c r="BF66" s="338"/>
      <c r="BG66" s="336"/>
      <c r="BH66" s="337"/>
      <c r="BI66" s="337"/>
      <c r="BJ66" s="337"/>
      <c r="BK66" s="338"/>
      <c r="BL66" s="336"/>
      <c r="BM66" s="337"/>
      <c r="BN66" s="337"/>
      <c r="BO66" s="337"/>
      <c r="BP66" s="338"/>
      <c r="BQ66" s="336"/>
      <c r="BR66" s="337"/>
      <c r="BS66" s="337"/>
      <c r="BT66" s="337"/>
      <c r="BU66" s="339"/>
      <c r="BW66" s="236" t="str">
        <f>sum_level("o",'Needs 171007_1827'!D66:BU66)</f>
        <v/>
      </c>
      <c r="BX66" s="237" t="str">
        <f>sum_level("j",'Needs 171007_1827'!D66:BU66)</f>
        <v/>
      </c>
      <c r="BY66" s="237" t="str">
        <f>sum_level("m",'Needs 171007_1827'!D66:BU66)</f>
        <v/>
      </c>
      <c r="BZ66" s="237" t="str">
        <f>sum_level("s",'Needs 171007_1827'!D66:BU66)</f>
        <v/>
      </c>
      <c r="CA66" s="238" t="str">
        <f>sum_level("e",'Needs 171007_1827'!D66:BU66)</f>
        <v/>
      </c>
    </row>
    <row r="67" spans="2:79" x14ac:dyDescent="0.25">
      <c r="B67" s="435"/>
      <c r="C67" s="291" t="s">
        <v>106</v>
      </c>
      <c r="D67" s="336"/>
      <c r="E67" s="337"/>
      <c r="F67" s="337"/>
      <c r="G67" s="337"/>
      <c r="H67" s="338"/>
      <c r="I67" s="336"/>
      <c r="J67" s="337"/>
      <c r="K67" s="337"/>
      <c r="L67" s="337"/>
      <c r="M67" s="338"/>
      <c r="N67" s="336"/>
      <c r="O67" s="337"/>
      <c r="P67" s="337"/>
      <c r="Q67" s="337"/>
      <c r="R67" s="338"/>
      <c r="S67" s="336"/>
      <c r="T67" s="337"/>
      <c r="U67" s="337"/>
      <c r="V67" s="337"/>
      <c r="W67" s="338"/>
      <c r="X67" s="336"/>
      <c r="Y67" s="337"/>
      <c r="Z67" s="337"/>
      <c r="AA67" s="337"/>
      <c r="AB67" s="338"/>
      <c r="AC67" s="336"/>
      <c r="AD67" s="337"/>
      <c r="AE67" s="337"/>
      <c r="AF67" s="337"/>
      <c r="AG67" s="338"/>
      <c r="AH67" s="336"/>
      <c r="AI67" s="337"/>
      <c r="AJ67" s="337"/>
      <c r="AK67" s="337"/>
      <c r="AL67" s="338"/>
      <c r="AM67" s="336"/>
      <c r="AN67" s="337"/>
      <c r="AO67" s="337"/>
      <c r="AP67" s="337"/>
      <c r="AQ67" s="338"/>
      <c r="AR67" s="336"/>
      <c r="AS67" s="337"/>
      <c r="AT67" s="337"/>
      <c r="AU67" s="337"/>
      <c r="AV67" s="338"/>
      <c r="AW67" s="336"/>
      <c r="AX67" s="337"/>
      <c r="AY67" s="337"/>
      <c r="AZ67" s="337"/>
      <c r="BA67" s="338"/>
      <c r="BB67" s="336"/>
      <c r="BC67" s="337"/>
      <c r="BD67" s="337"/>
      <c r="BE67" s="337"/>
      <c r="BF67" s="338"/>
      <c r="BG67" s="336"/>
      <c r="BH67" s="337"/>
      <c r="BI67" s="337"/>
      <c r="BJ67" s="337"/>
      <c r="BK67" s="338"/>
      <c r="BL67" s="336"/>
      <c r="BM67" s="337"/>
      <c r="BN67" s="337"/>
      <c r="BO67" s="337"/>
      <c r="BP67" s="338"/>
      <c r="BQ67" s="336"/>
      <c r="BR67" s="337"/>
      <c r="BS67" s="337"/>
      <c r="BT67" s="337"/>
      <c r="BU67" s="339"/>
      <c r="BW67" s="236" t="str">
        <f>sum_level("o",'Needs 171007_1827'!D67:BU67)</f>
        <v/>
      </c>
      <c r="BX67" s="237" t="str">
        <f>sum_level("j",'Needs 171007_1827'!D67:BU67)</f>
        <v/>
      </c>
      <c r="BY67" s="237" t="str">
        <f>sum_level("m",'Needs 171007_1827'!D67:BU67)</f>
        <v/>
      </c>
      <c r="BZ67" s="237" t="str">
        <f>sum_level("s",'Needs 171007_1827'!D67:BU67)</f>
        <v/>
      </c>
      <c r="CA67" s="238" t="str">
        <f>sum_level("e",'Needs 171007_1827'!D67:BU67)</f>
        <v/>
      </c>
    </row>
    <row r="68" spans="2:79" x14ac:dyDescent="0.25">
      <c r="B68" s="435"/>
      <c r="C68" s="291" t="s">
        <v>107</v>
      </c>
      <c r="D68" s="336"/>
      <c r="E68" s="337"/>
      <c r="F68" s="337"/>
      <c r="G68" s="337"/>
      <c r="H68" s="338"/>
      <c r="I68" s="336"/>
      <c r="J68" s="337"/>
      <c r="K68" s="337"/>
      <c r="L68" s="337"/>
      <c r="M68" s="338"/>
      <c r="N68" s="336"/>
      <c r="O68" s="337"/>
      <c r="P68" s="337"/>
      <c r="Q68" s="337"/>
      <c r="R68" s="338"/>
      <c r="S68" s="336"/>
      <c r="T68" s="337"/>
      <c r="U68" s="337"/>
      <c r="V68" s="337"/>
      <c r="W68" s="338"/>
      <c r="X68" s="336"/>
      <c r="Y68" s="337"/>
      <c r="Z68" s="337"/>
      <c r="AA68" s="337"/>
      <c r="AB68" s="338"/>
      <c r="AC68" s="336"/>
      <c r="AD68" s="337"/>
      <c r="AE68" s="337"/>
      <c r="AF68" s="337"/>
      <c r="AG68" s="338"/>
      <c r="AH68" s="336"/>
      <c r="AI68" s="337"/>
      <c r="AJ68" s="337"/>
      <c r="AK68" s="337"/>
      <c r="AL68" s="338"/>
      <c r="AM68" s="336"/>
      <c r="AN68" s="337"/>
      <c r="AO68" s="337"/>
      <c r="AP68" s="337"/>
      <c r="AQ68" s="338"/>
      <c r="AR68" s="336"/>
      <c r="AS68" s="337"/>
      <c r="AT68" s="337"/>
      <c r="AU68" s="337"/>
      <c r="AV68" s="338"/>
      <c r="AW68" s="336"/>
      <c r="AX68" s="337"/>
      <c r="AY68" s="337"/>
      <c r="AZ68" s="337"/>
      <c r="BA68" s="338"/>
      <c r="BB68" s="336"/>
      <c r="BC68" s="337"/>
      <c r="BD68" s="337"/>
      <c r="BE68" s="337"/>
      <c r="BF68" s="338"/>
      <c r="BG68" s="336"/>
      <c r="BH68" s="337"/>
      <c r="BI68" s="337"/>
      <c r="BJ68" s="337"/>
      <c r="BK68" s="338"/>
      <c r="BL68" s="336"/>
      <c r="BM68" s="337"/>
      <c r="BN68" s="337"/>
      <c r="BO68" s="337"/>
      <c r="BP68" s="338"/>
      <c r="BQ68" s="336"/>
      <c r="BR68" s="337"/>
      <c r="BS68" s="337"/>
      <c r="BT68" s="337"/>
      <c r="BU68" s="339"/>
      <c r="BW68" s="236" t="str">
        <f>sum_level("o",'Needs 171007_1827'!D68:BU68)</f>
        <v/>
      </c>
      <c r="BX68" s="237" t="str">
        <f>sum_level("j",'Needs 171007_1827'!D68:BU68)</f>
        <v/>
      </c>
      <c r="BY68" s="237" t="str">
        <f>sum_level("m",'Needs 171007_1827'!D68:BU68)</f>
        <v/>
      </c>
      <c r="BZ68" s="237" t="str">
        <f>sum_level("s",'Needs 171007_1827'!D68:BU68)</f>
        <v/>
      </c>
      <c r="CA68" s="238" t="str">
        <f>sum_level("e",'Needs 171007_1827'!D68:BU68)</f>
        <v/>
      </c>
    </row>
    <row r="69" spans="2:79" x14ac:dyDescent="0.25">
      <c r="B69" s="435"/>
      <c r="C69" s="291" t="s">
        <v>108</v>
      </c>
      <c r="D69" s="336"/>
      <c r="E69" s="337"/>
      <c r="F69" s="337"/>
      <c r="G69" s="337"/>
      <c r="H69" s="338"/>
      <c r="I69" s="336"/>
      <c r="J69" s="337"/>
      <c r="K69" s="337"/>
      <c r="L69" s="337"/>
      <c r="M69" s="338"/>
      <c r="N69" s="336"/>
      <c r="O69" s="337"/>
      <c r="P69" s="337"/>
      <c r="Q69" s="337"/>
      <c r="R69" s="338"/>
      <c r="S69" s="336"/>
      <c r="T69" s="337"/>
      <c r="U69" s="337"/>
      <c r="V69" s="337"/>
      <c r="W69" s="338"/>
      <c r="X69" s="336"/>
      <c r="Y69" s="337"/>
      <c r="Z69" s="337"/>
      <c r="AA69" s="337"/>
      <c r="AB69" s="338"/>
      <c r="AC69" s="336"/>
      <c r="AD69" s="337"/>
      <c r="AE69" s="337"/>
      <c r="AF69" s="337"/>
      <c r="AG69" s="338"/>
      <c r="AH69" s="336"/>
      <c r="AI69" s="337"/>
      <c r="AJ69" s="337"/>
      <c r="AK69" s="337"/>
      <c r="AL69" s="338"/>
      <c r="AM69" s="336"/>
      <c r="AN69" s="337"/>
      <c r="AO69" s="337"/>
      <c r="AP69" s="337"/>
      <c r="AQ69" s="338"/>
      <c r="AR69" s="336"/>
      <c r="AS69" s="337"/>
      <c r="AT69" s="337"/>
      <c r="AU69" s="337"/>
      <c r="AV69" s="338"/>
      <c r="AW69" s="336"/>
      <c r="AX69" s="337"/>
      <c r="AY69" s="337"/>
      <c r="AZ69" s="337"/>
      <c r="BA69" s="338"/>
      <c r="BB69" s="336"/>
      <c r="BC69" s="337"/>
      <c r="BD69" s="337"/>
      <c r="BE69" s="337"/>
      <c r="BF69" s="338"/>
      <c r="BG69" s="336"/>
      <c r="BH69" s="337"/>
      <c r="BI69" s="337"/>
      <c r="BJ69" s="337"/>
      <c r="BK69" s="338"/>
      <c r="BL69" s="336"/>
      <c r="BM69" s="337"/>
      <c r="BN69" s="337"/>
      <c r="BO69" s="337"/>
      <c r="BP69" s="338"/>
      <c r="BQ69" s="336"/>
      <c r="BR69" s="337"/>
      <c r="BS69" s="337"/>
      <c r="BT69" s="337"/>
      <c r="BU69" s="339"/>
      <c r="BW69" s="236" t="str">
        <f>sum_level("o",'Needs 171007_1827'!D69:BU69)</f>
        <v/>
      </c>
      <c r="BX69" s="237" t="str">
        <f>sum_level("j",'Needs 171007_1827'!D69:BU69)</f>
        <v/>
      </c>
      <c r="BY69" s="237" t="str">
        <f>sum_level("m",'Needs 171007_1827'!D69:BU69)</f>
        <v/>
      </c>
      <c r="BZ69" s="237" t="str">
        <f>sum_level("s",'Needs 171007_1827'!D69:BU69)</f>
        <v/>
      </c>
      <c r="CA69" s="238" t="str">
        <f>sum_level("e",'Needs 171007_1827'!D69:BU69)</f>
        <v/>
      </c>
    </row>
    <row r="70" spans="2:79" x14ac:dyDescent="0.25">
      <c r="B70" s="435"/>
      <c r="C70" s="291" t="s">
        <v>109</v>
      </c>
      <c r="D70" s="336"/>
      <c r="E70" s="337"/>
      <c r="F70" s="337"/>
      <c r="G70" s="337"/>
      <c r="H70" s="338"/>
      <c r="I70" s="336"/>
      <c r="J70" s="337"/>
      <c r="K70" s="337"/>
      <c r="L70" s="337"/>
      <c r="M70" s="338"/>
      <c r="N70" s="336"/>
      <c r="O70" s="337"/>
      <c r="P70" s="337"/>
      <c r="Q70" s="337"/>
      <c r="R70" s="338"/>
      <c r="S70" s="336"/>
      <c r="T70" s="337"/>
      <c r="U70" s="337"/>
      <c r="V70" s="337"/>
      <c r="W70" s="338"/>
      <c r="X70" s="336"/>
      <c r="Y70" s="337"/>
      <c r="Z70" s="337"/>
      <c r="AA70" s="337"/>
      <c r="AB70" s="338"/>
      <c r="AC70" s="336"/>
      <c r="AD70" s="337"/>
      <c r="AE70" s="337"/>
      <c r="AF70" s="337"/>
      <c r="AG70" s="338"/>
      <c r="AH70" s="336"/>
      <c r="AI70" s="337"/>
      <c r="AJ70" s="337"/>
      <c r="AK70" s="337"/>
      <c r="AL70" s="338"/>
      <c r="AM70" s="336"/>
      <c r="AN70" s="337"/>
      <c r="AO70" s="337"/>
      <c r="AP70" s="337"/>
      <c r="AQ70" s="338"/>
      <c r="AR70" s="336"/>
      <c r="AS70" s="337"/>
      <c r="AT70" s="337"/>
      <c r="AU70" s="337"/>
      <c r="AV70" s="338"/>
      <c r="AW70" s="336"/>
      <c r="AX70" s="337"/>
      <c r="AY70" s="337"/>
      <c r="AZ70" s="337"/>
      <c r="BA70" s="338"/>
      <c r="BB70" s="336"/>
      <c r="BC70" s="337"/>
      <c r="BD70" s="337"/>
      <c r="BE70" s="337"/>
      <c r="BF70" s="338"/>
      <c r="BG70" s="336"/>
      <c r="BH70" s="337"/>
      <c r="BI70" s="337"/>
      <c r="BJ70" s="337"/>
      <c r="BK70" s="338"/>
      <c r="BL70" s="336"/>
      <c r="BM70" s="337"/>
      <c r="BN70" s="337"/>
      <c r="BO70" s="337"/>
      <c r="BP70" s="338"/>
      <c r="BQ70" s="336"/>
      <c r="BR70" s="337"/>
      <c r="BS70" s="337"/>
      <c r="BT70" s="337"/>
      <c r="BU70" s="339"/>
      <c r="BW70" s="236" t="str">
        <f>sum_level("o",'Needs 171007_1827'!D70:BU70)</f>
        <v/>
      </c>
      <c r="BX70" s="237" t="str">
        <f>sum_level("j",'Needs 171007_1827'!D70:BU70)</f>
        <v/>
      </c>
      <c r="BY70" s="237" t="str">
        <f>sum_level("m",'Needs 171007_1827'!D70:BU70)</f>
        <v/>
      </c>
      <c r="BZ70" s="237" t="str">
        <f>sum_level("s",'Needs 171007_1827'!D70:BU70)</f>
        <v/>
      </c>
      <c r="CA70" s="238" t="str">
        <f>sum_level("e",'Needs 171007_1827'!D70:BU70)</f>
        <v/>
      </c>
    </row>
    <row r="71" spans="2:79" x14ac:dyDescent="0.25">
      <c r="B71" s="435"/>
      <c r="C71" s="291" t="s">
        <v>110</v>
      </c>
      <c r="D71" s="336"/>
      <c r="E71" s="337"/>
      <c r="F71" s="337"/>
      <c r="G71" s="337"/>
      <c r="H71" s="338"/>
      <c r="I71" s="336"/>
      <c r="J71" s="337"/>
      <c r="K71" s="337"/>
      <c r="L71" s="337"/>
      <c r="M71" s="338"/>
      <c r="N71" s="336"/>
      <c r="O71" s="337"/>
      <c r="P71" s="337"/>
      <c r="Q71" s="337"/>
      <c r="R71" s="338"/>
      <c r="S71" s="336"/>
      <c r="T71" s="337"/>
      <c r="U71" s="337"/>
      <c r="V71" s="337"/>
      <c r="W71" s="338"/>
      <c r="X71" s="336"/>
      <c r="Y71" s="337"/>
      <c r="Z71" s="337"/>
      <c r="AA71" s="337"/>
      <c r="AB71" s="338"/>
      <c r="AC71" s="336"/>
      <c r="AD71" s="337"/>
      <c r="AE71" s="337"/>
      <c r="AF71" s="337"/>
      <c r="AG71" s="338"/>
      <c r="AH71" s="336"/>
      <c r="AI71" s="337"/>
      <c r="AJ71" s="337"/>
      <c r="AK71" s="337"/>
      <c r="AL71" s="338"/>
      <c r="AM71" s="336"/>
      <c r="AN71" s="337"/>
      <c r="AO71" s="337"/>
      <c r="AP71" s="337"/>
      <c r="AQ71" s="338"/>
      <c r="AR71" s="336"/>
      <c r="AS71" s="337"/>
      <c r="AT71" s="337"/>
      <c r="AU71" s="337"/>
      <c r="AV71" s="338"/>
      <c r="AW71" s="336"/>
      <c r="AX71" s="337"/>
      <c r="AY71" s="337"/>
      <c r="AZ71" s="337"/>
      <c r="BA71" s="338"/>
      <c r="BB71" s="336"/>
      <c r="BC71" s="337"/>
      <c r="BD71" s="337"/>
      <c r="BE71" s="337"/>
      <c r="BF71" s="338"/>
      <c r="BG71" s="336"/>
      <c r="BH71" s="337"/>
      <c r="BI71" s="337"/>
      <c r="BJ71" s="337"/>
      <c r="BK71" s="338"/>
      <c r="BL71" s="336"/>
      <c r="BM71" s="337"/>
      <c r="BN71" s="337"/>
      <c r="BO71" s="337"/>
      <c r="BP71" s="338"/>
      <c r="BQ71" s="336"/>
      <c r="BR71" s="337"/>
      <c r="BS71" s="337"/>
      <c r="BT71" s="337"/>
      <c r="BU71" s="339"/>
      <c r="BW71" s="236" t="str">
        <f>sum_level("o",'Needs 171007_1827'!D71:BU71)</f>
        <v/>
      </c>
      <c r="BX71" s="237" t="str">
        <f>sum_level("j",'Needs 171007_1827'!D71:BU71)</f>
        <v/>
      </c>
      <c r="BY71" s="237" t="str">
        <f>sum_level("m",'Needs 171007_1827'!D71:BU71)</f>
        <v/>
      </c>
      <c r="BZ71" s="237" t="str">
        <f>sum_level("s",'Needs 171007_1827'!D71:BU71)</f>
        <v/>
      </c>
      <c r="CA71" s="238" t="str">
        <f>sum_level("e",'Needs 171007_1827'!D71:BU71)</f>
        <v/>
      </c>
    </row>
    <row r="72" spans="2:79" x14ac:dyDescent="0.25">
      <c r="B72" s="435"/>
      <c r="C72" s="291" t="s">
        <v>111</v>
      </c>
      <c r="D72" s="336"/>
      <c r="E72" s="337"/>
      <c r="F72" s="337"/>
      <c r="G72" s="337"/>
      <c r="H72" s="338"/>
      <c r="I72" s="336"/>
      <c r="J72" s="337"/>
      <c r="K72" s="337"/>
      <c r="L72" s="337"/>
      <c r="M72" s="338"/>
      <c r="N72" s="336"/>
      <c r="O72" s="337"/>
      <c r="P72" s="337"/>
      <c r="Q72" s="337"/>
      <c r="R72" s="338"/>
      <c r="S72" s="336"/>
      <c r="T72" s="337"/>
      <c r="U72" s="337"/>
      <c r="V72" s="337"/>
      <c r="W72" s="338"/>
      <c r="X72" s="336"/>
      <c r="Y72" s="337"/>
      <c r="Z72" s="337"/>
      <c r="AA72" s="337"/>
      <c r="AB72" s="338"/>
      <c r="AC72" s="336"/>
      <c r="AD72" s="337"/>
      <c r="AE72" s="337"/>
      <c r="AF72" s="337"/>
      <c r="AG72" s="338"/>
      <c r="AH72" s="336"/>
      <c r="AI72" s="337"/>
      <c r="AJ72" s="337"/>
      <c r="AK72" s="337"/>
      <c r="AL72" s="338"/>
      <c r="AM72" s="336"/>
      <c r="AN72" s="337"/>
      <c r="AO72" s="337"/>
      <c r="AP72" s="337"/>
      <c r="AQ72" s="338"/>
      <c r="AR72" s="336"/>
      <c r="AS72" s="337"/>
      <c r="AT72" s="337"/>
      <c r="AU72" s="337"/>
      <c r="AV72" s="338"/>
      <c r="AW72" s="336"/>
      <c r="AX72" s="337"/>
      <c r="AY72" s="337"/>
      <c r="AZ72" s="337"/>
      <c r="BA72" s="338"/>
      <c r="BB72" s="336"/>
      <c r="BC72" s="337"/>
      <c r="BD72" s="337"/>
      <c r="BE72" s="337"/>
      <c r="BF72" s="338"/>
      <c r="BG72" s="336"/>
      <c r="BH72" s="337"/>
      <c r="BI72" s="337"/>
      <c r="BJ72" s="337"/>
      <c r="BK72" s="338"/>
      <c r="BL72" s="336"/>
      <c r="BM72" s="337"/>
      <c r="BN72" s="337"/>
      <c r="BO72" s="337"/>
      <c r="BP72" s="338"/>
      <c r="BQ72" s="336"/>
      <c r="BR72" s="337"/>
      <c r="BS72" s="337"/>
      <c r="BT72" s="337"/>
      <c r="BU72" s="339"/>
      <c r="BW72" s="236" t="str">
        <f>sum_level("o",'Needs 171007_1827'!D72:BU72)</f>
        <v/>
      </c>
      <c r="BX72" s="237" t="str">
        <f>sum_level("j",'Needs 171007_1827'!D72:BU72)</f>
        <v/>
      </c>
      <c r="BY72" s="237" t="str">
        <f>sum_level("m",'Needs 171007_1827'!D72:BU72)</f>
        <v/>
      </c>
      <c r="BZ72" s="237" t="str">
        <f>sum_level("s",'Needs 171007_1827'!D72:BU72)</f>
        <v/>
      </c>
      <c r="CA72" s="238" t="str">
        <f>sum_level("e",'Needs 171007_1827'!D72:BU72)</f>
        <v/>
      </c>
    </row>
    <row r="73" spans="2:79" x14ac:dyDescent="0.25">
      <c r="B73" s="435"/>
      <c r="C73" s="291" t="s">
        <v>112</v>
      </c>
      <c r="D73" s="336"/>
      <c r="E73" s="337"/>
      <c r="F73" s="337"/>
      <c r="G73" s="337"/>
      <c r="H73" s="338"/>
      <c r="I73" s="336"/>
      <c r="J73" s="337"/>
      <c r="K73" s="337"/>
      <c r="L73" s="337"/>
      <c r="M73" s="338"/>
      <c r="N73" s="336"/>
      <c r="O73" s="337"/>
      <c r="P73" s="337"/>
      <c r="Q73" s="337"/>
      <c r="R73" s="338"/>
      <c r="S73" s="336"/>
      <c r="T73" s="337"/>
      <c r="U73" s="337"/>
      <c r="V73" s="337"/>
      <c r="W73" s="338"/>
      <c r="X73" s="336"/>
      <c r="Y73" s="337"/>
      <c r="Z73" s="337"/>
      <c r="AA73" s="337"/>
      <c r="AB73" s="338"/>
      <c r="AC73" s="336"/>
      <c r="AD73" s="337"/>
      <c r="AE73" s="337"/>
      <c r="AF73" s="337"/>
      <c r="AG73" s="338"/>
      <c r="AH73" s="336"/>
      <c r="AI73" s="337"/>
      <c r="AJ73" s="337"/>
      <c r="AK73" s="337"/>
      <c r="AL73" s="338"/>
      <c r="AM73" s="336"/>
      <c r="AN73" s="337"/>
      <c r="AO73" s="337"/>
      <c r="AP73" s="337"/>
      <c r="AQ73" s="338"/>
      <c r="AR73" s="336"/>
      <c r="AS73" s="337"/>
      <c r="AT73" s="337"/>
      <c r="AU73" s="337"/>
      <c r="AV73" s="338"/>
      <c r="AW73" s="336"/>
      <c r="AX73" s="337"/>
      <c r="AY73" s="337"/>
      <c r="AZ73" s="337"/>
      <c r="BA73" s="338"/>
      <c r="BB73" s="336"/>
      <c r="BC73" s="337"/>
      <c r="BD73" s="337"/>
      <c r="BE73" s="337"/>
      <c r="BF73" s="338"/>
      <c r="BG73" s="336"/>
      <c r="BH73" s="337"/>
      <c r="BI73" s="337"/>
      <c r="BJ73" s="337"/>
      <c r="BK73" s="338"/>
      <c r="BL73" s="336"/>
      <c r="BM73" s="337"/>
      <c r="BN73" s="337"/>
      <c r="BO73" s="337"/>
      <c r="BP73" s="338"/>
      <c r="BQ73" s="336"/>
      <c r="BR73" s="337"/>
      <c r="BS73" s="337"/>
      <c r="BT73" s="337"/>
      <c r="BU73" s="339"/>
      <c r="BW73" s="236" t="str">
        <f>sum_level("o",'Needs 171007_1827'!D73:BU73)</f>
        <v/>
      </c>
      <c r="BX73" s="237" t="str">
        <f>sum_level("j",'Needs 171007_1827'!D73:BU73)</f>
        <v/>
      </c>
      <c r="BY73" s="237" t="str">
        <f>sum_level("m",'Needs 171007_1827'!D73:BU73)</f>
        <v/>
      </c>
      <c r="BZ73" s="237" t="str">
        <f>sum_level("s",'Needs 171007_1827'!D73:BU73)</f>
        <v/>
      </c>
      <c r="CA73" s="238" t="str">
        <f>sum_level("e",'Needs 171007_1827'!D73:BU73)</f>
        <v/>
      </c>
    </row>
    <row r="74" spans="2:79" x14ac:dyDescent="0.25">
      <c r="B74" s="435"/>
      <c r="C74" s="291" t="s">
        <v>113</v>
      </c>
      <c r="D74" s="336"/>
      <c r="E74" s="337"/>
      <c r="F74" s="337"/>
      <c r="G74" s="337"/>
      <c r="H74" s="338"/>
      <c r="I74" s="336"/>
      <c r="J74" s="337"/>
      <c r="K74" s="337"/>
      <c r="L74" s="337"/>
      <c r="M74" s="338"/>
      <c r="N74" s="336"/>
      <c r="O74" s="337"/>
      <c r="P74" s="337"/>
      <c r="Q74" s="337"/>
      <c r="R74" s="338"/>
      <c r="S74" s="336"/>
      <c r="T74" s="337"/>
      <c r="U74" s="337"/>
      <c r="V74" s="337"/>
      <c r="W74" s="338"/>
      <c r="X74" s="336"/>
      <c r="Y74" s="337"/>
      <c r="Z74" s="337"/>
      <c r="AA74" s="337"/>
      <c r="AB74" s="338"/>
      <c r="AC74" s="336"/>
      <c r="AD74" s="337"/>
      <c r="AE74" s="337"/>
      <c r="AF74" s="337"/>
      <c r="AG74" s="338"/>
      <c r="AH74" s="336"/>
      <c r="AI74" s="337"/>
      <c r="AJ74" s="337"/>
      <c r="AK74" s="337"/>
      <c r="AL74" s="338"/>
      <c r="AM74" s="336"/>
      <c r="AN74" s="337"/>
      <c r="AO74" s="337"/>
      <c r="AP74" s="337"/>
      <c r="AQ74" s="338"/>
      <c r="AR74" s="336"/>
      <c r="AS74" s="337"/>
      <c r="AT74" s="337"/>
      <c r="AU74" s="337"/>
      <c r="AV74" s="338"/>
      <c r="AW74" s="336"/>
      <c r="AX74" s="337"/>
      <c r="AY74" s="337"/>
      <c r="AZ74" s="337"/>
      <c r="BA74" s="338"/>
      <c r="BB74" s="336"/>
      <c r="BC74" s="337"/>
      <c r="BD74" s="337"/>
      <c r="BE74" s="337"/>
      <c r="BF74" s="338"/>
      <c r="BG74" s="336"/>
      <c r="BH74" s="337"/>
      <c r="BI74" s="337"/>
      <c r="BJ74" s="337"/>
      <c r="BK74" s="338"/>
      <c r="BL74" s="336"/>
      <c r="BM74" s="337"/>
      <c r="BN74" s="337"/>
      <c r="BO74" s="337"/>
      <c r="BP74" s="338"/>
      <c r="BQ74" s="336"/>
      <c r="BR74" s="337"/>
      <c r="BS74" s="337"/>
      <c r="BT74" s="337"/>
      <c r="BU74" s="339"/>
      <c r="BW74" s="236" t="str">
        <f>sum_level("o",'Needs 171007_1827'!D74:BU74)</f>
        <v/>
      </c>
      <c r="BX74" s="237" t="str">
        <f>sum_level("j",'Needs 171007_1827'!D74:BU74)</f>
        <v/>
      </c>
      <c r="BY74" s="237" t="str">
        <f>sum_level("m",'Needs 171007_1827'!D74:BU74)</f>
        <v/>
      </c>
      <c r="BZ74" s="237" t="str">
        <f>sum_level("s",'Needs 171007_1827'!D74:BU74)</f>
        <v/>
      </c>
      <c r="CA74" s="238" t="str">
        <f>sum_level("e",'Needs 171007_1827'!D74:BU74)</f>
        <v/>
      </c>
    </row>
    <row r="75" spans="2:79" x14ac:dyDescent="0.25">
      <c r="B75" s="435"/>
      <c r="C75" s="291" t="s">
        <v>114</v>
      </c>
      <c r="D75" s="336"/>
      <c r="E75" s="337"/>
      <c r="F75" s="337"/>
      <c r="G75" s="337"/>
      <c r="H75" s="338"/>
      <c r="I75" s="336"/>
      <c r="J75" s="337"/>
      <c r="K75" s="337"/>
      <c r="L75" s="337"/>
      <c r="M75" s="338"/>
      <c r="N75" s="336"/>
      <c r="O75" s="337"/>
      <c r="P75" s="337"/>
      <c r="Q75" s="337"/>
      <c r="R75" s="338"/>
      <c r="S75" s="336"/>
      <c r="T75" s="337"/>
      <c r="U75" s="337"/>
      <c r="V75" s="337"/>
      <c r="W75" s="338"/>
      <c r="X75" s="336"/>
      <c r="Y75" s="337"/>
      <c r="Z75" s="337"/>
      <c r="AA75" s="337"/>
      <c r="AB75" s="338"/>
      <c r="AC75" s="336"/>
      <c r="AD75" s="337"/>
      <c r="AE75" s="337"/>
      <c r="AF75" s="337"/>
      <c r="AG75" s="338"/>
      <c r="AH75" s="336"/>
      <c r="AI75" s="337"/>
      <c r="AJ75" s="337"/>
      <c r="AK75" s="337"/>
      <c r="AL75" s="338"/>
      <c r="AM75" s="336"/>
      <c r="AN75" s="337"/>
      <c r="AO75" s="337"/>
      <c r="AP75" s="337"/>
      <c r="AQ75" s="338"/>
      <c r="AR75" s="336"/>
      <c r="AS75" s="337"/>
      <c r="AT75" s="337"/>
      <c r="AU75" s="337"/>
      <c r="AV75" s="338"/>
      <c r="AW75" s="336"/>
      <c r="AX75" s="337"/>
      <c r="AY75" s="337"/>
      <c r="AZ75" s="337"/>
      <c r="BA75" s="338"/>
      <c r="BB75" s="336"/>
      <c r="BC75" s="337"/>
      <c r="BD75" s="337"/>
      <c r="BE75" s="337"/>
      <c r="BF75" s="338"/>
      <c r="BG75" s="336"/>
      <c r="BH75" s="337"/>
      <c r="BI75" s="337"/>
      <c r="BJ75" s="337"/>
      <c r="BK75" s="338"/>
      <c r="BL75" s="336"/>
      <c r="BM75" s="337"/>
      <c r="BN75" s="337"/>
      <c r="BO75" s="337"/>
      <c r="BP75" s="338"/>
      <c r="BQ75" s="336"/>
      <c r="BR75" s="337"/>
      <c r="BS75" s="337"/>
      <c r="BT75" s="337"/>
      <c r="BU75" s="339"/>
      <c r="BW75" s="236" t="str">
        <f>sum_level("o",'Needs 171007_1827'!D75:BU75)</f>
        <v/>
      </c>
      <c r="BX75" s="237" t="str">
        <f>sum_level("j",'Needs 171007_1827'!D75:BU75)</f>
        <v/>
      </c>
      <c r="BY75" s="237" t="str">
        <f>sum_level("m",'Needs 171007_1827'!D75:BU75)</f>
        <v/>
      </c>
      <c r="BZ75" s="237" t="str">
        <f>sum_level("s",'Needs 171007_1827'!D75:BU75)</f>
        <v/>
      </c>
      <c r="CA75" s="238" t="str">
        <f>sum_level("e",'Needs 171007_1827'!D75:BU75)</f>
        <v/>
      </c>
    </row>
    <row r="76" spans="2:79" x14ac:dyDescent="0.25">
      <c r="B76" s="435"/>
      <c r="C76" s="291" t="s">
        <v>115</v>
      </c>
      <c r="D76" s="336"/>
      <c r="E76" s="337"/>
      <c r="F76" s="337"/>
      <c r="G76" s="337"/>
      <c r="H76" s="338"/>
      <c r="I76" s="336"/>
      <c r="J76" s="337"/>
      <c r="K76" s="337"/>
      <c r="L76" s="337"/>
      <c r="M76" s="338"/>
      <c r="N76" s="336"/>
      <c r="O76" s="337"/>
      <c r="P76" s="337"/>
      <c r="Q76" s="337"/>
      <c r="R76" s="338"/>
      <c r="S76" s="336"/>
      <c r="T76" s="337"/>
      <c r="U76" s="337"/>
      <c r="V76" s="337"/>
      <c r="W76" s="338"/>
      <c r="X76" s="336"/>
      <c r="Y76" s="337"/>
      <c r="Z76" s="337"/>
      <c r="AA76" s="337"/>
      <c r="AB76" s="338"/>
      <c r="AC76" s="336"/>
      <c r="AD76" s="337"/>
      <c r="AE76" s="337"/>
      <c r="AF76" s="337"/>
      <c r="AG76" s="338"/>
      <c r="AH76" s="336"/>
      <c r="AI76" s="337"/>
      <c r="AJ76" s="337"/>
      <c r="AK76" s="337"/>
      <c r="AL76" s="338"/>
      <c r="AM76" s="336"/>
      <c r="AN76" s="337"/>
      <c r="AO76" s="337"/>
      <c r="AP76" s="337"/>
      <c r="AQ76" s="338"/>
      <c r="AR76" s="336"/>
      <c r="AS76" s="337"/>
      <c r="AT76" s="337"/>
      <c r="AU76" s="337"/>
      <c r="AV76" s="338"/>
      <c r="AW76" s="336"/>
      <c r="AX76" s="337"/>
      <c r="AY76" s="337"/>
      <c r="AZ76" s="337"/>
      <c r="BA76" s="338"/>
      <c r="BB76" s="336"/>
      <c r="BC76" s="337"/>
      <c r="BD76" s="337"/>
      <c r="BE76" s="337"/>
      <c r="BF76" s="338"/>
      <c r="BG76" s="336"/>
      <c r="BH76" s="337"/>
      <c r="BI76" s="337"/>
      <c r="BJ76" s="337"/>
      <c r="BK76" s="338"/>
      <c r="BL76" s="336"/>
      <c r="BM76" s="337"/>
      <c r="BN76" s="337"/>
      <c r="BO76" s="337"/>
      <c r="BP76" s="338"/>
      <c r="BQ76" s="336"/>
      <c r="BR76" s="337"/>
      <c r="BS76" s="337"/>
      <c r="BT76" s="337"/>
      <c r="BU76" s="339"/>
      <c r="BW76" s="236" t="str">
        <f>sum_level("o",'Needs 171007_1827'!D76:BU76)</f>
        <v/>
      </c>
      <c r="BX76" s="237" t="str">
        <f>sum_level("j",'Needs 171007_1827'!D76:BU76)</f>
        <v/>
      </c>
      <c r="BY76" s="237" t="str">
        <f>sum_level("m",'Needs 171007_1827'!D76:BU76)</f>
        <v/>
      </c>
      <c r="BZ76" s="237" t="str">
        <f>sum_level("s",'Needs 171007_1827'!D76:BU76)</f>
        <v/>
      </c>
      <c r="CA76" s="238" t="str">
        <f>sum_level("e",'Needs 171007_1827'!D76:BU76)</f>
        <v/>
      </c>
    </row>
    <row r="77" spans="2:79" ht="15.75" thickBot="1" x14ac:dyDescent="0.3">
      <c r="B77" s="435"/>
      <c r="C77" s="292" t="s">
        <v>116</v>
      </c>
      <c r="D77" s="340"/>
      <c r="E77" s="341"/>
      <c r="F77" s="341"/>
      <c r="G77" s="341"/>
      <c r="H77" s="342"/>
      <c r="I77" s="340"/>
      <c r="J77" s="341"/>
      <c r="K77" s="341"/>
      <c r="L77" s="341"/>
      <c r="M77" s="342"/>
      <c r="N77" s="340"/>
      <c r="O77" s="341"/>
      <c r="P77" s="341"/>
      <c r="Q77" s="341"/>
      <c r="R77" s="342"/>
      <c r="S77" s="340"/>
      <c r="T77" s="341"/>
      <c r="U77" s="341"/>
      <c r="V77" s="341"/>
      <c r="W77" s="342"/>
      <c r="X77" s="340"/>
      <c r="Y77" s="341"/>
      <c r="Z77" s="341"/>
      <c r="AA77" s="341"/>
      <c r="AB77" s="342"/>
      <c r="AC77" s="340"/>
      <c r="AD77" s="341"/>
      <c r="AE77" s="341"/>
      <c r="AF77" s="341"/>
      <c r="AG77" s="342"/>
      <c r="AH77" s="340"/>
      <c r="AI77" s="341"/>
      <c r="AJ77" s="341"/>
      <c r="AK77" s="341"/>
      <c r="AL77" s="342"/>
      <c r="AM77" s="340"/>
      <c r="AN77" s="341"/>
      <c r="AO77" s="341"/>
      <c r="AP77" s="341"/>
      <c r="AQ77" s="342"/>
      <c r="AR77" s="340"/>
      <c r="AS77" s="341"/>
      <c r="AT77" s="341"/>
      <c r="AU77" s="341"/>
      <c r="AV77" s="342"/>
      <c r="AW77" s="340"/>
      <c r="AX77" s="341"/>
      <c r="AY77" s="341"/>
      <c r="AZ77" s="341"/>
      <c r="BA77" s="342"/>
      <c r="BB77" s="340"/>
      <c r="BC77" s="341"/>
      <c r="BD77" s="341"/>
      <c r="BE77" s="341"/>
      <c r="BF77" s="342"/>
      <c r="BG77" s="340"/>
      <c r="BH77" s="341"/>
      <c r="BI77" s="341"/>
      <c r="BJ77" s="341"/>
      <c r="BK77" s="342"/>
      <c r="BL77" s="340"/>
      <c r="BM77" s="341"/>
      <c r="BN77" s="341"/>
      <c r="BO77" s="341"/>
      <c r="BP77" s="342"/>
      <c r="BQ77" s="340"/>
      <c r="BR77" s="341"/>
      <c r="BS77" s="341"/>
      <c r="BT77" s="341"/>
      <c r="BU77" s="343"/>
      <c r="BW77" s="239" t="str">
        <f>sum_level("o",'Needs 171007_1827'!D77:BU77)</f>
        <v/>
      </c>
      <c r="BX77" s="240" t="str">
        <f>sum_level("j",'Needs 171007_1827'!D77:BU77)</f>
        <v/>
      </c>
      <c r="BY77" s="240" t="str">
        <f>sum_level("m",'Needs 171007_1827'!D77:BU77)</f>
        <v/>
      </c>
      <c r="BZ77" s="240" t="str">
        <f>sum_level("s",'Needs 171007_1827'!D77:BU77)</f>
        <v/>
      </c>
      <c r="CA77" s="241" t="str">
        <f>sum_level("e",'Needs 171007_1827'!D77:BU77)</f>
        <v/>
      </c>
    </row>
    <row r="78" spans="2:79" ht="12.75" customHeight="1" thickTop="1" thickBot="1" x14ac:dyDescent="0.3">
      <c r="B78" s="436"/>
      <c r="C78" s="248"/>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s="344"/>
      <c r="BN78" s="344"/>
      <c r="BO78" s="344"/>
      <c r="BP78" s="344"/>
      <c r="BQ78" s="344"/>
      <c r="BR78" s="344"/>
      <c r="BS78" s="344"/>
      <c r="BT78" s="344"/>
      <c r="BU78" s="344"/>
      <c r="BW78" s="249"/>
      <c r="BX78" s="249"/>
      <c r="BY78" s="249"/>
      <c r="BZ78" s="249"/>
      <c r="CA78" s="249"/>
    </row>
    <row r="79" spans="2:79" ht="15.75" thickTop="1" x14ac:dyDescent="0.25">
      <c r="B79" s="434" t="s">
        <v>267</v>
      </c>
      <c r="C79" s="290" t="s">
        <v>269</v>
      </c>
      <c r="D79" s="332"/>
      <c r="E79" s="333"/>
      <c r="F79" s="333"/>
      <c r="G79" s="333"/>
      <c r="H79" s="334"/>
      <c r="I79" s="332"/>
      <c r="J79" s="333"/>
      <c r="K79" s="333"/>
      <c r="L79" s="333"/>
      <c r="M79" s="334"/>
      <c r="N79" s="332"/>
      <c r="O79" s="333"/>
      <c r="P79" s="333"/>
      <c r="Q79" s="333"/>
      <c r="R79" s="334"/>
      <c r="S79" s="332"/>
      <c r="T79" s="333"/>
      <c r="U79" s="333"/>
      <c r="V79" s="333"/>
      <c r="W79" s="334"/>
      <c r="X79" s="332"/>
      <c r="Y79" s="333"/>
      <c r="Z79" s="333"/>
      <c r="AA79" s="333"/>
      <c r="AB79" s="334"/>
      <c r="AC79" s="332"/>
      <c r="AD79" s="333"/>
      <c r="AE79" s="333"/>
      <c r="AF79" s="333"/>
      <c r="AG79" s="334"/>
      <c r="AH79" s="332"/>
      <c r="AI79" s="333"/>
      <c r="AJ79" s="333"/>
      <c r="AK79" s="333"/>
      <c r="AL79" s="334"/>
      <c r="AM79" s="332"/>
      <c r="AN79" s="333"/>
      <c r="AO79" s="333"/>
      <c r="AP79" s="333"/>
      <c r="AQ79" s="334"/>
      <c r="AR79" s="332"/>
      <c r="AS79" s="333"/>
      <c r="AT79" s="333"/>
      <c r="AU79" s="333"/>
      <c r="AV79" s="334"/>
      <c r="AW79" s="332"/>
      <c r="AX79" s="333"/>
      <c r="AY79" s="333"/>
      <c r="AZ79" s="333"/>
      <c r="BA79" s="334"/>
      <c r="BB79" s="332"/>
      <c r="BC79" s="333"/>
      <c r="BD79" s="333"/>
      <c r="BE79" s="333"/>
      <c r="BF79" s="334"/>
      <c r="BG79" s="332"/>
      <c r="BH79" s="333"/>
      <c r="BI79" s="333"/>
      <c r="BJ79" s="333"/>
      <c r="BK79" s="334"/>
      <c r="BL79" s="332"/>
      <c r="BM79" s="333"/>
      <c r="BN79" s="333"/>
      <c r="BO79" s="333"/>
      <c r="BP79" s="334"/>
      <c r="BQ79" s="332"/>
      <c r="BR79" s="333"/>
      <c r="BS79" s="333"/>
      <c r="BT79" s="333"/>
      <c r="BU79" s="335"/>
      <c r="BW79" s="233" t="str">
        <f>sum_level("o",'Needs 171007_1827'!D79:BU79)</f>
        <v/>
      </c>
      <c r="BX79" s="234" t="str">
        <f>sum_level("j",'Needs 171007_1827'!D79:BU79)</f>
        <v/>
      </c>
      <c r="BY79" s="234" t="str">
        <f>sum_level("m",'Needs 171007_1827'!D79:BU79)</f>
        <v/>
      </c>
      <c r="BZ79" s="234" t="str">
        <f>sum_level("s",'Needs 171007_1827'!D79:BU79)</f>
        <v/>
      </c>
      <c r="CA79" s="235" t="str">
        <f>sum_level("e",'Needs 171007_1827'!D79:BU79)</f>
        <v/>
      </c>
    </row>
    <row r="80" spans="2:79" x14ac:dyDescent="0.25">
      <c r="B80" s="435"/>
      <c r="C80" s="291" t="s">
        <v>270</v>
      </c>
      <c r="D80" s="336"/>
      <c r="E80" s="337"/>
      <c r="F80" s="337"/>
      <c r="G80" s="337"/>
      <c r="H80" s="338"/>
      <c r="I80" s="336"/>
      <c r="J80" s="337"/>
      <c r="K80" s="337"/>
      <c r="L80" s="337"/>
      <c r="M80" s="338"/>
      <c r="N80" s="336"/>
      <c r="O80" s="337"/>
      <c r="P80" s="337"/>
      <c r="Q80" s="337"/>
      <c r="R80" s="338"/>
      <c r="S80" s="336"/>
      <c r="T80" s="337"/>
      <c r="U80" s="337"/>
      <c r="V80" s="337"/>
      <c r="W80" s="338"/>
      <c r="X80" s="336"/>
      <c r="Y80" s="337"/>
      <c r="Z80" s="337"/>
      <c r="AA80" s="337"/>
      <c r="AB80" s="338"/>
      <c r="AC80" s="336"/>
      <c r="AD80" s="337"/>
      <c r="AE80" s="337"/>
      <c r="AF80" s="337"/>
      <c r="AG80" s="338"/>
      <c r="AH80" s="336"/>
      <c r="AI80" s="337"/>
      <c r="AJ80" s="337"/>
      <c r="AK80" s="337"/>
      <c r="AL80" s="338"/>
      <c r="AM80" s="336"/>
      <c r="AN80" s="337"/>
      <c r="AO80" s="337"/>
      <c r="AP80" s="337"/>
      <c r="AQ80" s="338"/>
      <c r="AR80" s="336"/>
      <c r="AS80" s="337"/>
      <c r="AT80" s="337"/>
      <c r="AU80" s="337"/>
      <c r="AV80" s="338"/>
      <c r="AW80" s="336"/>
      <c r="AX80" s="337"/>
      <c r="AY80" s="337"/>
      <c r="AZ80" s="337"/>
      <c r="BA80" s="338"/>
      <c r="BB80" s="336"/>
      <c r="BC80" s="337"/>
      <c r="BD80" s="337"/>
      <c r="BE80" s="337"/>
      <c r="BF80" s="338"/>
      <c r="BG80" s="336"/>
      <c r="BH80" s="337"/>
      <c r="BI80" s="337"/>
      <c r="BJ80" s="337"/>
      <c r="BK80" s="338"/>
      <c r="BL80" s="336"/>
      <c r="BM80" s="337"/>
      <c r="BN80" s="337"/>
      <c r="BO80" s="337"/>
      <c r="BP80" s="338"/>
      <c r="BQ80" s="336"/>
      <c r="BR80" s="337"/>
      <c r="BS80" s="337"/>
      <c r="BT80" s="337"/>
      <c r="BU80" s="339"/>
      <c r="BW80" s="236" t="str">
        <f>sum_level("o",'Needs 171007_1827'!D80:BU80)</f>
        <v/>
      </c>
      <c r="BX80" s="237" t="str">
        <f>sum_level("j",'Needs 171007_1827'!D80:BU80)</f>
        <v/>
      </c>
      <c r="BY80" s="237" t="str">
        <f>sum_level("m",'Needs 171007_1827'!D80:BU80)</f>
        <v/>
      </c>
      <c r="BZ80" s="237" t="str">
        <f>sum_level("s",'Needs 171007_1827'!D80:BU80)</f>
        <v/>
      </c>
      <c r="CA80" s="238" t="str">
        <f>sum_level("e",'Needs 171007_1827'!D80:BU80)</f>
        <v/>
      </c>
    </row>
    <row r="81" spans="2:79" x14ac:dyDescent="0.25">
      <c r="B81" s="435"/>
      <c r="C81" s="291" t="s">
        <v>271</v>
      </c>
      <c r="D81" s="336"/>
      <c r="E81" s="337"/>
      <c r="F81" s="337"/>
      <c r="G81" s="337"/>
      <c r="H81" s="338"/>
      <c r="I81" s="336"/>
      <c r="J81" s="337"/>
      <c r="K81" s="337"/>
      <c r="L81" s="337"/>
      <c r="M81" s="338"/>
      <c r="N81" s="336"/>
      <c r="O81" s="337"/>
      <c r="P81" s="337"/>
      <c r="Q81" s="337"/>
      <c r="R81" s="338"/>
      <c r="S81" s="336"/>
      <c r="T81" s="337"/>
      <c r="U81" s="337"/>
      <c r="V81" s="337"/>
      <c r="W81" s="338"/>
      <c r="X81" s="336"/>
      <c r="Y81" s="337"/>
      <c r="Z81" s="337"/>
      <c r="AA81" s="337"/>
      <c r="AB81" s="338"/>
      <c r="AC81" s="336"/>
      <c r="AD81" s="337"/>
      <c r="AE81" s="337"/>
      <c r="AF81" s="337"/>
      <c r="AG81" s="338"/>
      <c r="AH81" s="336"/>
      <c r="AI81" s="337"/>
      <c r="AJ81" s="337"/>
      <c r="AK81" s="337"/>
      <c r="AL81" s="338"/>
      <c r="AM81" s="336"/>
      <c r="AN81" s="337"/>
      <c r="AO81" s="337"/>
      <c r="AP81" s="337"/>
      <c r="AQ81" s="338"/>
      <c r="AR81" s="336"/>
      <c r="AS81" s="337"/>
      <c r="AT81" s="337"/>
      <c r="AU81" s="337"/>
      <c r="AV81" s="338"/>
      <c r="AW81" s="336"/>
      <c r="AX81" s="337"/>
      <c r="AY81" s="337"/>
      <c r="AZ81" s="337"/>
      <c r="BA81" s="338"/>
      <c r="BB81" s="336"/>
      <c r="BC81" s="337"/>
      <c r="BD81" s="337"/>
      <c r="BE81" s="337"/>
      <c r="BF81" s="338"/>
      <c r="BG81" s="336"/>
      <c r="BH81" s="337"/>
      <c r="BI81" s="337"/>
      <c r="BJ81" s="337"/>
      <c r="BK81" s="338"/>
      <c r="BL81" s="336"/>
      <c r="BM81" s="337"/>
      <c r="BN81" s="337"/>
      <c r="BO81" s="337"/>
      <c r="BP81" s="338"/>
      <c r="BQ81" s="336"/>
      <c r="BR81" s="337"/>
      <c r="BS81" s="337"/>
      <c r="BT81" s="337"/>
      <c r="BU81" s="339"/>
      <c r="BW81" s="236" t="str">
        <f>sum_level("o",'Needs 171007_1827'!D81:BU81)</f>
        <v/>
      </c>
      <c r="BX81" s="237" t="str">
        <f>sum_level("j",'Needs 171007_1827'!D81:BU81)</f>
        <v/>
      </c>
      <c r="BY81" s="237" t="str">
        <f>sum_level("m",'Needs 171007_1827'!D81:BU81)</f>
        <v/>
      </c>
      <c r="BZ81" s="237" t="str">
        <f>sum_level("s",'Needs 171007_1827'!D81:BU81)</f>
        <v/>
      </c>
      <c r="CA81" s="238" t="str">
        <f>sum_level("e",'Needs 171007_1827'!D81:BU81)</f>
        <v/>
      </c>
    </row>
    <row r="82" spans="2:79" x14ac:dyDescent="0.25">
      <c r="B82" s="435"/>
      <c r="C82" s="291" t="s">
        <v>272</v>
      </c>
      <c r="D82" s="336"/>
      <c r="E82" s="337"/>
      <c r="F82" s="337"/>
      <c r="G82" s="337"/>
      <c r="H82" s="338"/>
      <c r="I82" s="336"/>
      <c r="J82" s="337"/>
      <c r="K82" s="337"/>
      <c r="L82" s="337"/>
      <c r="M82" s="338"/>
      <c r="N82" s="336"/>
      <c r="O82" s="337"/>
      <c r="P82" s="337"/>
      <c r="Q82" s="337"/>
      <c r="R82" s="338"/>
      <c r="S82" s="336"/>
      <c r="T82" s="337"/>
      <c r="U82" s="337"/>
      <c r="V82" s="337"/>
      <c r="W82" s="338"/>
      <c r="X82" s="336"/>
      <c r="Y82" s="337"/>
      <c r="Z82" s="337"/>
      <c r="AA82" s="337"/>
      <c r="AB82" s="338"/>
      <c r="AC82" s="336"/>
      <c r="AD82" s="337"/>
      <c r="AE82" s="337"/>
      <c r="AF82" s="337"/>
      <c r="AG82" s="338"/>
      <c r="AH82" s="336"/>
      <c r="AI82" s="337"/>
      <c r="AJ82" s="337"/>
      <c r="AK82" s="337"/>
      <c r="AL82" s="338"/>
      <c r="AM82" s="336"/>
      <c r="AN82" s="337"/>
      <c r="AO82" s="337"/>
      <c r="AP82" s="337"/>
      <c r="AQ82" s="338"/>
      <c r="AR82" s="336"/>
      <c r="AS82" s="337"/>
      <c r="AT82" s="337"/>
      <c r="AU82" s="337"/>
      <c r="AV82" s="338"/>
      <c r="AW82" s="336"/>
      <c r="AX82" s="337"/>
      <c r="AY82" s="337"/>
      <c r="AZ82" s="337"/>
      <c r="BA82" s="338"/>
      <c r="BB82" s="336"/>
      <c r="BC82" s="337"/>
      <c r="BD82" s="337"/>
      <c r="BE82" s="337"/>
      <c r="BF82" s="338"/>
      <c r="BG82" s="336"/>
      <c r="BH82" s="337"/>
      <c r="BI82" s="337"/>
      <c r="BJ82" s="337"/>
      <c r="BK82" s="338"/>
      <c r="BL82" s="336"/>
      <c r="BM82" s="337"/>
      <c r="BN82" s="337"/>
      <c r="BO82" s="337"/>
      <c r="BP82" s="338"/>
      <c r="BQ82" s="336"/>
      <c r="BR82" s="337"/>
      <c r="BS82" s="337"/>
      <c r="BT82" s="337"/>
      <c r="BU82" s="339"/>
      <c r="BW82" s="236" t="str">
        <f>sum_level("o",'Needs 171007_1827'!D82:BU82)</f>
        <v/>
      </c>
      <c r="BX82" s="237" t="str">
        <f>sum_level("j",'Needs 171007_1827'!D82:BU82)</f>
        <v/>
      </c>
      <c r="BY82" s="237" t="str">
        <f>sum_level("m",'Needs 171007_1827'!D82:BU82)</f>
        <v/>
      </c>
      <c r="BZ82" s="237" t="str">
        <f>sum_level("s",'Needs 171007_1827'!D82:BU82)</f>
        <v/>
      </c>
      <c r="CA82" s="238" t="str">
        <f>sum_level("e",'Needs 171007_1827'!D82:BU82)</f>
        <v/>
      </c>
    </row>
    <row r="83" spans="2:79" x14ac:dyDescent="0.25">
      <c r="B83" s="435"/>
      <c r="C83" s="291" t="s">
        <v>273</v>
      </c>
      <c r="D83" s="336"/>
      <c r="E83" s="337"/>
      <c r="F83" s="337"/>
      <c r="G83" s="337"/>
      <c r="H83" s="338"/>
      <c r="I83" s="336"/>
      <c r="J83" s="337"/>
      <c r="K83" s="337"/>
      <c r="L83" s="337"/>
      <c r="M83" s="338"/>
      <c r="N83" s="336"/>
      <c r="O83" s="337"/>
      <c r="P83" s="337"/>
      <c r="Q83" s="337"/>
      <c r="R83" s="338"/>
      <c r="S83" s="336"/>
      <c r="T83" s="337"/>
      <c r="U83" s="337"/>
      <c r="V83" s="337"/>
      <c r="W83" s="338"/>
      <c r="X83" s="336"/>
      <c r="Y83" s="337"/>
      <c r="Z83" s="337"/>
      <c r="AA83" s="337"/>
      <c r="AB83" s="338"/>
      <c r="AC83" s="336"/>
      <c r="AD83" s="337"/>
      <c r="AE83" s="337"/>
      <c r="AF83" s="337"/>
      <c r="AG83" s="338"/>
      <c r="AH83" s="336"/>
      <c r="AI83" s="337"/>
      <c r="AJ83" s="337"/>
      <c r="AK83" s="337"/>
      <c r="AL83" s="338"/>
      <c r="AM83" s="336"/>
      <c r="AN83" s="337"/>
      <c r="AO83" s="337"/>
      <c r="AP83" s="337"/>
      <c r="AQ83" s="338"/>
      <c r="AR83" s="336"/>
      <c r="AS83" s="337"/>
      <c r="AT83" s="337"/>
      <c r="AU83" s="337"/>
      <c r="AV83" s="338"/>
      <c r="AW83" s="336"/>
      <c r="AX83" s="337"/>
      <c r="AY83" s="337"/>
      <c r="AZ83" s="337"/>
      <c r="BA83" s="338"/>
      <c r="BB83" s="336"/>
      <c r="BC83" s="337"/>
      <c r="BD83" s="337"/>
      <c r="BE83" s="337"/>
      <c r="BF83" s="338"/>
      <c r="BG83" s="336"/>
      <c r="BH83" s="337"/>
      <c r="BI83" s="337"/>
      <c r="BJ83" s="337"/>
      <c r="BK83" s="338"/>
      <c r="BL83" s="336"/>
      <c r="BM83" s="337"/>
      <c r="BN83" s="337"/>
      <c r="BO83" s="337"/>
      <c r="BP83" s="338"/>
      <c r="BQ83" s="336"/>
      <c r="BR83" s="337"/>
      <c r="BS83" s="337"/>
      <c r="BT83" s="337"/>
      <c r="BU83" s="339"/>
      <c r="BW83" s="236" t="str">
        <f>sum_level("o",'Needs 171007_1827'!D83:BU83)</f>
        <v/>
      </c>
      <c r="BX83" s="237" t="str">
        <f>sum_level("j",'Needs 171007_1827'!D83:BU83)</f>
        <v/>
      </c>
      <c r="BY83" s="237" t="str">
        <f>sum_level("m",'Needs 171007_1827'!D83:BU83)</f>
        <v/>
      </c>
      <c r="BZ83" s="237" t="str">
        <f>sum_level("s",'Needs 171007_1827'!D83:BU83)</f>
        <v/>
      </c>
      <c r="CA83" s="238" t="str">
        <f>sum_level("e",'Needs 171007_1827'!D83:BU83)</f>
        <v/>
      </c>
    </row>
    <row r="84" spans="2:79" x14ac:dyDescent="0.25">
      <c r="B84" s="435"/>
      <c r="C84" s="291" t="s">
        <v>274</v>
      </c>
      <c r="D84" s="336"/>
      <c r="E84" s="337"/>
      <c r="F84" s="337"/>
      <c r="G84" s="337"/>
      <c r="H84" s="338"/>
      <c r="I84" s="336"/>
      <c r="J84" s="337"/>
      <c r="K84" s="337"/>
      <c r="L84" s="337"/>
      <c r="M84" s="338"/>
      <c r="N84" s="336"/>
      <c r="O84" s="337"/>
      <c r="P84" s="337"/>
      <c r="Q84" s="337"/>
      <c r="R84" s="338"/>
      <c r="S84" s="336"/>
      <c r="T84" s="337"/>
      <c r="U84" s="337"/>
      <c r="V84" s="337"/>
      <c r="W84" s="338"/>
      <c r="X84" s="336"/>
      <c r="Y84" s="337"/>
      <c r="Z84" s="337"/>
      <c r="AA84" s="337"/>
      <c r="AB84" s="338"/>
      <c r="AC84" s="336"/>
      <c r="AD84" s="337"/>
      <c r="AE84" s="337"/>
      <c r="AF84" s="337"/>
      <c r="AG84" s="338"/>
      <c r="AH84" s="336"/>
      <c r="AI84" s="337"/>
      <c r="AJ84" s="337"/>
      <c r="AK84" s="337"/>
      <c r="AL84" s="338"/>
      <c r="AM84" s="336"/>
      <c r="AN84" s="337"/>
      <c r="AO84" s="337"/>
      <c r="AP84" s="337"/>
      <c r="AQ84" s="338"/>
      <c r="AR84" s="336"/>
      <c r="AS84" s="337"/>
      <c r="AT84" s="337"/>
      <c r="AU84" s="337"/>
      <c r="AV84" s="338"/>
      <c r="AW84" s="336"/>
      <c r="AX84" s="337"/>
      <c r="AY84" s="337"/>
      <c r="AZ84" s="337"/>
      <c r="BA84" s="338"/>
      <c r="BB84" s="336"/>
      <c r="BC84" s="337"/>
      <c r="BD84" s="337"/>
      <c r="BE84" s="337"/>
      <c r="BF84" s="338"/>
      <c r="BG84" s="336"/>
      <c r="BH84" s="337"/>
      <c r="BI84" s="337"/>
      <c r="BJ84" s="337"/>
      <c r="BK84" s="338"/>
      <c r="BL84" s="336"/>
      <c r="BM84" s="337"/>
      <c r="BN84" s="337"/>
      <c r="BO84" s="337"/>
      <c r="BP84" s="338"/>
      <c r="BQ84" s="336"/>
      <c r="BR84" s="337"/>
      <c r="BS84" s="337"/>
      <c r="BT84" s="337"/>
      <c r="BU84" s="339"/>
      <c r="BW84" s="236" t="str">
        <f>sum_level("o",'Needs 171007_1827'!D84:BU84)</f>
        <v/>
      </c>
      <c r="BX84" s="237" t="str">
        <f>sum_level("j",'Needs 171007_1827'!D84:BU84)</f>
        <v/>
      </c>
      <c r="BY84" s="237" t="str">
        <f>sum_level("m",'Needs 171007_1827'!D84:BU84)</f>
        <v/>
      </c>
      <c r="BZ84" s="237" t="str">
        <f>sum_level("s",'Needs 171007_1827'!D84:BU84)</f>
        <v/>
      </c>
      <c r="CA84" s="238" t="str">
        <f>sum_level("e",'Needs 171007_1827'!D84:BU84)</f>
        <v/>
      </c>
    </row>
    <row r="85" spans="2:79" x14ac:dyDescent="0.25">
      <c r="B85" s="435"/>
      <c r="C85" s="291" t="s">
        <v>275</v>
      </c>
      <c r="D85" s="336"/>
      <c r="E85" s="337"/>
      <c r="F85" s="337"/>
      <c r="G85" s="337"/>
      <c r="H85" s="338"/>
      <c r="I85" s="336"/>
      <c r="J85" s="337"/>
      <c r="K85" s="337"/>
      <c r="L85" s="337"/>
      <c r="M85" s="338"/>
      <c r="N85" s="336"/>
      <c r="O85" s="337"/>
      <c r="P85" s="337"/>
      <c r="Q85" s="337"/>
      <c r="R85" s="338"/>
      <c r="S85" s="336"/>
      <c r="T85" s="337"/>
      <c r="U85" s="337"/>
      <c r="V85" s="337"/>
      <c r="W85" s="338"/>
      <c r="X85" s="336"/>
      <c r="Y85" s="337"/>
      <c r="Z85" s="337"/>
      <c r="AA85" s="337"/>
      <c r="AB85" s="338"/>
      <c r="AC85" s="336"/>
      <c r="AD85" s="337"/>
      <c r="AE85" s="337"/>
      <c r="AF85" s="337"/>
      <c r="AG85" s="338"/>
      <c r="AH85" s="336"/>
      <c r="AI85" s="337"/>
      <c r="AJ85" s="337"/>
      <c r="AK85" s="337"/>
      <c r="AL85" s="338"/>
      <c r="AM85" s="336"/>
      <c r="AN85" s="337"/>
      <c r="AO85" s="337"/>
      <c r="AP85" s="337"/>
      <c r="AQ85" s="338"/>
      <c r="AR85" s="336"/>
      <c r="AS85" s="337"/>
      <c r="AT85" s="337"/>
      <c r="AU85" s="337"/>
      <c r="AV85" s="338"/>
      <c r="AW85" s="336"/>
      <c r="AX85" s="337"/>
      <c r="AY85" s="337"/>
      <c r="AZ85" s="337"/>
      <c r="BA85" s="338"/>
      <c r="BB85" s="336"/>
      <c r="BC85" s="337"/>
      <c r="BD85" s="337"/>
      <c r="BE85" s="337"/>
      <c r="BF85" s="338"/>
      <c r="BG85" s="336"/>
      <c r="BH85" s="337"/>
      <c r="BI85" s="337"/>
      <c r="BJ85" s="337"/>
      <c r="BK85" s="338"/>
      <c r="BL85" s="336"/>
      <c r="BM85" s="337"/>
      <c r="BN85" s="337"/>
      <c r="BO85" s="337"/>
      <c r="BP85" s="338"/>
      <c r="BQ85" s="336"/>
      <c r="BR85" s="337"/>
      <c r="BS85" s="337"/>
      <c r="BT85" s="337"/>
      <c r="BU85" s="339"/>
      <c r="BW85" s="236" t="str">
        <f>sum_level("o",'Needs 171007_1827'!D85:BU85)</f>
        <v/>
      </c>
      <c r="BX85" s="237" t="str">
        <f>sum_level("j",'Needs 171007_1827'!D85:BU85)</f>
        <v/>
      </c>
      <c r="BY85" s="237" t="str">
        <f>sum_level("m",'Needs 171007_1827'!D85:BU85)</f>
        <v/>
      </c>
      <c r="BZ85" s="237" t="str">
        <f>sum_level("s",'Needs 171007_1827'!D85:BU85)</f>
        <v/>
      </c>
      <c r="CA85" s="238" t="str">
        <f>sum_level("e",'Needs 171007_1827'!D85:BU85)</f>
        <v/>
      </c>
    </row>
    <row r="86" spans="2:79" x14ac:dyDescent="0.25">
      <c r="B86" s="435"/>
      <c r="C86" s="291" t="s">
        <v>281</v>
      </c>
      <c r="D86" s="336"/>
      <c r="E86" s="337"/>
      <c r="F86" s="337"/>
      <c r="G86" s="337"/>
      <c r="H86" s="338"/>
      <c r="I86" s="336"/>
      <c r="J86" s="337"/>
      <c r="K86" s="337"/>
      <c r="L86" s="337"/>
      <c r="M86" s="338"/>
      <c r="N86" s="336"/>
      <c r="O86" s="337"/>
      <c r="P86" s="337"/>
      <c r="Q86" s="337"/>
      <c r="R86" s="338"/>
      <c r="S86" s="336"/>
      <c r="T86" s="337"/>
      <c r="U86" s="337"/>
      <c r="V86" s="337"/>
      <c r="W86" s="338"/>
      <c r="X86" s="336"/>
      <c r="Y86" s="337"/>
      <c r="Z86" s="337"/>
      <c r="AA86" s="337"/>
      <c r="AB86" s="338"/>
      <c r="AC86" s="336"/>
      <c r="AD86" s="337"/>
      <c r="AE86" s="337"/>
      <c r="AF86" s="337"/>
      <c r="AG86" s="338"/>
      <c r="AH86" s="336"/>
      <c r="AI86" s="337"/>
      <c r="AJ86" s="337"/>
      <c r="AK86" s="337"/>
      <c r="AL86" s="338"/>
      <c r="AM86" s="336"/>
      <c r="AN86" s="337"/>
      <c r="AO86" s="337"/>
      <c r="AP86" s="337"/>
      <c r="AQ86" s="338"/>
      <c r="AR86" s="336"/>
      <c r="AS86" s="337"/>
      <c r="AT86" s="337"/>
      <c r="AU86" s="337"/>
      <c r="AV86" s="338"/>
      <c r="AW86" s="336"/>
      <c r="AX86" s="337"/>
      <c r="AY86" s="337"/>
      <c r="AZ86" s="337"/>
      <c r="BA86" s="338"/>
      <c r="BB86" s="336"/>
      <c r="BC86" s="337"/>
      <c r="BD86" s="337"/>
      <c r="BE86" s="337"/>
      <c r="BF86" s="338"/>
      <c r="BG86" s="336"/>
      <c r="BH86" s="337"/>
      <c r="BI86" s="337"/>
      <c r="BJ86" s="337"/>
      <c r="BK86" s="338"/>
      <c r="BL86" s="336"/>
      <c r="BM86" s="337"/>
      <c r="BN86" s="337"/>
      <c r="BO86" s="337"/>
      <c r="BP86" s="338"/>
      <c r="BQ86" s="336"/>
      <c r="BR86" s="337"/>
      <c r="BS86" s="337"/>
      <c r="BT86" s="337"/>
      <c r="BU86" s="339"/>
      <c r="BW86" s="236" t="str">
        <f>sum_level("o",'Needs 171007_1827'!D86:BU86)</f>
        <v/>
      </c>
      <c r="BX86" s="237" t="str">
        <f>sum_level("j",'Needs 171007_1827'!D86:BU86)</f>
        <v/>
      </c>
      <c r="BY86" s="237" t="str">
        <f>sum_level("m",'Needs 171007_1827'!D86:BU86)</f>
        <v/>
      </c>
      <c r="BZ86" s="237" t="str">
        <f>sum_level("s",'Needs 171007_1827'!D86:BU86)</f>
        <v/>
      </c>
      <c r="CA86" s="238" t="str">
        <f>sum_level("e",'Needs 171007_1827'!D86:BU86)</f>
        <v/>
      </c>
    </row>
    <row r="87" spans="2:79" x14ac:dyDescent="0.25">
      <c r="B87" s="435"/>
      <c r="C87" s="291" t="s">
        <v>276</v>
      </c>
      <c r="D87" s="336"/>
      <c r="E87" s="337"/>
      <c r="F87" s="337"/>
      <c r="G87" s="337"/>
      <c r="H87" s="338"/>
      <c r="I87" s="336"/>
      <c r="J87" s="337"/>
      <c r="K87" s="337"/>
      <c r="L87" s="337"/>
      <c r="M87" s="338"/>
      <c r="N87" s="336"/>
      <c r="O87" s="337"/>
      <c r="P87" s="337"/>
      <c r="Q87" s="337"/>
      <c r="R87" s="338"/>
      <c r="S87" s="336"/>
      <c r="T87" s="337"/>
      <c r="U87" s="337"/>
      <c r="V87" s="337"/>
      <c r="W87" s="338"/>
      <c r="X87" s="336"/>
      <c r="Y87" s="337"/>
      <c r="Z87" s="337"/>
      <c r="AA87" s="337"/>
      <c r="AB87" s="338"/>
      <c r="AC87" s="336"/>
      <c r="AD87" s="337"/>
      <c r="AE87" s="337"/>
      <c r="AF87" s="337"/>
      <c r="AG87" s="338"/>
      <c r="AH87" s="336"/>
      <c r="AI87" s="337"/>
      <c r="AJ87" s="337"/>
      <c r="AK87" s="337"/>
      <c r="AL87" s="338"/>
      <c r="AM87" s="336"/>
      <c r="AN87" s="337"/>
      <c r="AO87" s="337"/>
      <c r="AP87" s="337"/>
      <c r="AQ87" s="338"/>
      <c r="AR87" s="336"/>
      <c r="AS87" s="337"/>
      <c r="AT87" s="337"/>
      <c r="AU87" s="337"/>
      <c r="AV87" s="338"/>
      <c r="AW87" s="336"/>
      <c r="AX87" s="337"/>
      <c r="AY87" s="337"/>
      <c r="AZ87" s="337"/>
      <c r="BA87" s="338"/>
      <c r="BB87" s="336"/>
      <c r="BC87" s="337"/>
      <c r="BD87" s="337"/>
      <c r="BE87" s="337"/>
      <c r="BF87" s="338"/>
      <c r="BG87" s="336"/>
      <c r="BH87" s="337"/>
      <c r="BI87" s="337"/>
      <c r="BJ87" s="337"/>
      <c r="BK87" s="338"/>
      <c r="BL87" s="336"/>
      <c r="BM87" s="337"/>
      <c r="BN87" s="337"/>
      <c r="BO87" s="337"/>
      <c r="BP87" s="338"/>
      <c r="BQ87" s="336"/>
      <c r="BR87" s="337"/>
      <c r="BS87" s="337"/>
      <c r="BT87" s="337"/>
      <c r="BU87" s="339"/>
      <c r="BW87" s="236" t="str">
        <f>sum_level("o",'Needs 171007_1827'!D87:BU87)</f>
        <v/>
      </c>
      <c r="BX87" s="237" t="str">
        <f>sum_level("j",'Needs 171007_1827'!D87:BU87)</f>
        <v/>
      </c>
      <c r="BY87" s="237" t="str">
        <f>sum_level("m",'Needs 171007_1827'!D87:BU87)</f>
        <v/>
      </c>
      <c r="BZ87" s="237" t="str">
        <f>sum_level("s",'Needs 171007_1827'!D87:BU87)</f>
        <v/>
      </c>
      <c r="CA87" s="238" t="str">
        <f>sum_level("e",'Needs 171007_1827'!D87:BU87)</f>
        <v/>
      </c>
    </row>
    <row r="88" spans="2:79" x14ac:dyDescent="0.25">
      <c r="B88" s="435"/>
      <c r="C88" s="291" t="s">
        <v>277</v>
      </c>
      <c r="D88" s="336"/>
      <c r="E88" s="337"/>
      <c r="F88" s="337"/>
      <c r="G88" s="337"/>
      <c r="H88" s="338"/>
      <c r="I88" s="336"/>
      <c r="J88" s="337"/>
      <c r="K88" s="337"/>
      <c r="L88" s="337"/>
      <c r="M88" s="338"/>
      <c r="N88" s="336"/>
      <c r="O88" s="337"/>
      <c r="P88" s="337"/>
      <c r="Q88" s="337"/>
      <c r="R88" s="338"/>
      <c r="S88" s="336"/>
      <c r="T88" s="337"/>
      <c r="U88" s="337"/>
      <c r="V88" s="337"/>
      <c r="W88" s="338"/>
      <c r="X88" s="336"/>
      <c r="Y88" s="337"/>
      <c r="Z88" s="337"/>
      <c r="AA88" s="337"/>
      <c r="AB88" s="338"/>
      <c r="AC88" s="336"/>
      <c r="AD88" s="337"/>
      <c r="AE88" s="337"/>
      <c r="AF88" s="337"/>
      <c r="AG88" s="338"/>
      <c r="AH88" s="336"/>
      <c r="AI88" s="337"/>
      <c r="AJ88" s="337"/>
      <c r="AK88" s="337"/>
      <c r="AL88" s="338"/>
      <c r="AM88" s="336"/>
      <c r="AN88" s="337"/>
      <c r="AO88" s="337"/>
      <c r="AP88" s="337"/>
      <c r="AQ88" s="338"/>
      <c r="AR88" s="336"/>
      <c r="AS88" s="337"/>
      <c r="AT88" s="337"/>
      <c r="AU88" s="337"/>
      <c r="AV88" s="338"/>
      <c r="AW88" s="336"/>
      <c r="AX88" s="337"/>
      <c r="AY88" s="337"/>
      <c r="AZ88" s="337"/>
      <c r="BA88" s="338"/>
      <c r="BB88" s="336"/>
      <c r="BC88" s="337"/>
      <c r="BD88" s="337"/>
      <c r="BE88" s="337"/>
      <c r="BF88" s="338"/>
      <c r="BG88" s="336"/>
      <c r="BH88" s="337"/>
      <c r="BI88" s="337"/>
      <c r="BJ88" s="337"/>
      <c r="BK88" s="338"/>
      <c r="BL88" s="336"/>
      <c r="BM88" s="337"/>
      <c r="BN88" s="337"/>
      <c r="BO88" s="337"/>
      <c r="BP88" s="338"/>
      <c r="BQ88" s="336"/>
      <c r="BR88" s="337"/>
      <c r="BS88" s="337"/>
      <c r="BT88" s="337"/>
      <c r="BU88" s="339"/>
      <c r="BW88" s="236" t="str">
        <f>sum_level("o",'Needs 171007_1827'!D88:BU88)</f>
        <v/>
      </c>
      <c r="BX88" s="237" t="str">
        <f>sum_level("j",'Needs 171007_1827'!D88:BU88)</f>
        <v/>
      </c>
      <c r="BY88" s="237" t="str">
        <f>sum_level("m",'Needs 171007_1827'!D88:BU88)</f>
        <v/>
      </c>
      <c r="BZ88" s="237" t="str">
        <f>sum_level("s",'Needs 171007_1827'!D88:BU88)</f>
        <v/>
      </c>
      <c r="CA88" s="238" t="str">
        <f>sum_level("e",'Needs 171007_1827'!D88:BU88)</f>
        <v/>
      </c>
    </row>
    <row r="89" spans="2:79" x14ac:dyDescent="0.25">
      <c r="B89" s="435"/>
      <c r="C89" s="291" t="s">
        <v>278</v>
      </c>
      <c r="D89" s="336"/>
      <c r="E89" s="337"/>
      <c r="F89" s="337"/>
      <c r="G89" s="337"/>
      <c r="H89" s="338"/>
      <c r="I89" s="336"/>
      <c r="J89" s="337"/>
      <c r="K89" s="337"/>
      <c r="L89" s="337"/>
      <c r="M89" s="338"/>
      <c r="N89" s="336"/>
      <c r="O89" s="337"/>
      <c r="P89" s="337"/>
      <c r="Q89" s="337"/>
      <c r="R89" s="338"/>
      <c r="S89" s="336"/>
      <c r="T89" s="337"/>
      <c r="U89" s="337"/>
      <c r="V89" s="337"/>
      <c r="W89" s="338"/>
      <c r="X89" s="336"/>
      <c r="Y89" s="337"/>
      <c r="Z89" s="337"/>
      <c r="AA89" s="337"/>
      <c r="AB89" s="338"/>
      <c r="AC89" s="336"/>
      <c r="AD89" s="337"/>
      <c r="AE89" s="337"/>
      <c r="AF89" s="337"/>
      <c r="AG89" s="338"/>
      <c r="AH89" s="336"/>
      <c r="AI89" s="337"/>
      <c r="AJ89" s="337"/>
      <c r="AK89" s="337"/>
      <c r="AL89" s="338"/>
      <c r="AM89" s="336"/>
      <c r="AN89" s="337"/>
      <c r="AO89" s="337"/>
      <c r="AP89" s="337"/>
      <c r="AQ89" s="338"/>
      <c r="AR89" s="336"/>
      <c r="AS89" s="337"/>
      <c r="AT89" s="337"/>
      <c r="AU89" s="337"/>
      <c r="AV89" s="338"/>
      <c r="AW89" s="336"/>
      <c r="AX89" s="337"/>
      <c r="AY89" s="337"/>
      <c r="AZ89" s="337"/>
      <c r="BA89" s="338"/>
      <c r="BB89" s="336"/>
      <c r="BC89" s="337"/>
      <c r="BD89" s="337"/>
      <c r="BE89" s="337"/>
      <c r="BF89" s="338"/>
      <c r="BG89" s="336"/>
      <c r="BH89" s="337"/>
      <c r="BI89" s="337"/>
      <c r="BJ89" s="337"/>
      <c r="BK89" s="338"/>
      <c r="BL89" s="336"/>
      <c r="BM89" s="337"/>
      <c r="BN89" s="337"/>
      <c r="BO89" s="337"/>
      <c r="BP89" s="338"/>
      <c r="BQ89" s="336"/>
      <c r="BR89" s="337"/>
      <c r="BS89" s="337"/>
      <c r="BT89" s="337"/>
      <c r="BU89" s="339"/>
      <c r="BW89" s="236" t="str">
        <f>sum_level("o",'Needs 171007_1827'!D89:BU89)</f>
        <v/>
      </c>
      <c r="BX89" s="237" t="str">
        <f>sum_level("j",'Needs 171007_1827'!D89:BU89)</f>
        <v/>
      </c>
      <c r="BY89" s="237" t="str">
        <f>sum_level("m",'Needs 171007_1827'!D89:BU89)</f>
        <v/>
      </c>
      <c r="BZ89" s="237" t="str">
        <f>sum_level("s",'Needs 171007_1827'!D89:BU89)</f>
        <v/>
      </c>
      <c r="CA89" s="238" t="str">
        <f>sum_level("e",'Needs 171007_1827'!D89:BU89)</f>
        <v/>
      </c>
    </row>
    <row r="90" spans="2:79" x14ac:dyDescent="0.25">
      <c r="B90" s="435"/>
      <c r="C90" s="291" t="s">
        <v>282</v>
      </c>
      <c r="D90" s="336"/>
      <c r="E90" s="337"/>
      <c r="F90" s="337"/>
      <c r="G90" s="337"/>
      <c r="H90" s="338"/>
      <c r="I90" s="336"/>
      <c r="J90" s="337"/>
      <c r="K90" s="337"/>
      <c r="L90" s="337"/>
      <c r="M90" s="338"/>
      <c r="N90" s="336"/>
      <c r="O90" s="337"/>
      <c r="P90" s="337"/>
      <c r="Q90" s="337"/>
      <c r="R90" s="338"/>
      <c r="S90" s="336"/>
      <c r="T90" s="337"/>
      <c r="U90" s="337"/>
      <c r="V90" s="337"/>
      <c r="W90" s="338"/>
      <c r="X90" s="336"/>
      <c r="Y90" s="337"/>
      <c r="Z90" s="337"/>
      <c r="AA90" s="337"/>
      <c r="AB90" s="338"/>
      <c r="AC90" s="336"/>
      <c r="AD90" s="337"/>
      <c r="AE90" s="337"/>
      <c r="AF90" s="337"/>
      <c r="AG90" s="338"/>
      <c r="AH90" s="336"/>
      <c r="AI90" s="337"/>
      <c r="AJ90" s="337"/>
      <c r="AK90" s="337"/>
      <c r="AL90" s="338"/>
      <c r="AM90" s="336"/>
      <c r="AN90" s="337"/>
      <c r="AO90" s="337"/>
      <c r="AP90" s="337"/>
      <c r="AQ90" s="338"/>
      <c r="AR90" s="336"/>
      <c r="AS90" s="337"/>
      <c r="AT90" s="337"/>
      <c r="AU90" s="337"/>
      <c r="AV90" s="338"/>
      <c r="AW90" s="336"/>
      <c r="AX90" s="337"/>
      <c r="AY90" s="337"/>
      <c r="AZ90" s="337"/>
      <c r="BA90" s="338"/>
      <c r="BB90" s="336"/>
      <c r="BC90" s="337"/>
      <c r="BD90" s="337"/>
      <c r="BE90" s="337"/>
      <c r="BF90" s="338"/>
      <c r="BG90" s="336"/>
      <c r="BH90" s="337"/>
      <c r="BI90" s="337"/>
      <c r="BJ90" s="337"/>
      <c r="BK90" s="338"/>
      <c r="BL90" s="336"/>
      <c r="BM90" s="337"/>
      <c r="BN90" s="337"/>
      <c r="BO90" s="337"/>
      <c r="BP90" s="338"/>
      <c r="BQ90" s="336"/>
      <c r="BR90" s="337"/>
      <c r="BS90" s="337"/>
      <c r="BT90" s="337"/>
      <c r="BU90" s="339"/>
      <c r="BW90" s="236" t="str">
        <f>sum_level("o",'Needs 171007_1827'!D90:BU90)</f>
        <v/>
      </c>
      <c r="BX90" s="237" t="str">
        <f>sum_level("j",'Needs 171007_1827'!D90:BU90)</f>
        <v/>
      </c>
      <c r="BY90" s="237" t="str">
        <f>sum_level("m",'Needs 171007_1827'!D90:BU90)</f>
        <v/>
      </c>
      <c r="BZ90" s="237" t="str">
        <f>sum_level("s",'Needs 171007_1827'!D90:BU90)</f>
        <v/>
      </c>
      <c r="CA90" s="238" t="str">
        <f>sum_level("e",'Needs 171007_1827'!D90:BU90)</f>
        <v/>
      </c>
    </row>
    <row r="91" spans="2:79" x14ac:dyDescent="0.25">
      <c r="B91" s="435"/>
      <c r="C91" s="291" t="s">
        <v>283</v>
      </c>
      <c r="D91" s="336"/>
      <c r="E91" s="337"/>
      <c r="F91" s="337"/>
      <c r="G91" s="337"/>
      <c r="H91" s="338"/>
      <c r="I91" s="336"/>
      <c r="J91" s="337"/>
      <c r="K91" s="337"/>
      <c r="L91" s="337"/>
      <c r="M91" s="338"/>
      <c r="N91" s="336"/>
      <c r="O91" s="337"/>
      <c r="P91" s="337"/>
      <c r="Q91" s="337"/>
      <c r="R91" s="338"/>
      <c r="S91" s="336"/>
      <c r="T91" s="337"/>
      <c r="U91" s="337"/>
      <c r="V91" s="337"/>
      <c r="W91" s="338"/>
      <c r="X91" s="336"/>
      <c r="Y91" s="337"/>
      <c r="Z91" s="337"/>
      <c r="AA91" s="337"/>
      <c r="AB91" s="338"/>
      <c r="AC91" s="336"/>
      <c r="AD91" s="337"/>
      <c r="AE91" s="337"/>
      <c r="AF91" s="337"/>
      <c r="AG91" s="338"/>
      <c r="AH91" s="336"/>
      <c r="AI91" s="337"/>
      <c r="AJ91" s="337"/>
      <c r="AK91" s="337"/>
      <c r="AL91" s="338"/>
      <c r="AM91" s="336"/>
      <c r="AN91" s="337"/>
      <c r="AO91" s="337"/>
      <c r="AP91" s="337"/>
      <c r="AQ91" s="338"/>
      <c r="AR91" s="336"/>
      <c r="AS91" s="337"/>
      <c r="AT91" s="337"/>
      <c r="AU91" s="337"/>
      <c r="AV91" s="338"/>
      <c r="AW91" s="336"/>
      <c r="AX91" s="337"/>
      <c r="AY91" s="337"/>
      <c r="AZ91" s="337"/>
      <c r="BA91" s="338"/>
      <c r="BB91" s="336"/>
      <c r="BC91" s="337"/>
      <c r="BD91" s="337"/>
      <c r="BE91" s="337"/>
      <c r="BF91" s="338"/>
      <c r="BG91" s="336"/>
      <c r="BH91" s="337"/>
      <c r="BI91" s="337"/>
      <c r="BJ91" s="337"/>
      <c r="BK91" s="338"/>
      <c r="BL91" s="336"/>
      <c r="BM91" s="337"/>
      <c r="BN91" s="337"/>
      <c r="BO91" s="337"/>
      <c r="BP91" s="338"/>
      <c r="BQ91" s="336"/>
      <c r="BR91" s="337"/>
      <c r="BS91" s="337"/>
      <c r="BT91" s="337"/>
      <c r="BU91" s="339"/>
      <c r="BW91" s="236" t="str">
        <f>sum_level("o",'Needs 171007_1827'!D91:BU91)</f>
        <v/>
      </c>
      <c r="BX91" s="237" t="str">
        <f>sum_level("j",'Needs 171007_1827'!D91:BU91)</f>
        <v/>
      </c>
      <c r="BY91" s="237" t="str">
        <f>sum_level("m",'Needs 171007_1827'!D91:BU91)</f>
        <v/>
      </c>
      <c r="BZ91" s="237" t="str">
        <f>sum_level("s",'Needs 171007_1827'!D91:BU91)</f>
        <v/>
      </c>
      <c r="CA91" s="238" t="str">
        <f>sum_level("e",'Needs 171007_1827'!D91:BU91)</f>
        <v/>
      </c>
    </row>
    <row r="92" spans="2:79" x14ac:dyDescent="0.25">
      <c r="B92" s="435"/>
      <c r="C92" s="291" t="s">
        <v>279</v>
      </c>
      <c r="D92" s="336"/>
      <c r="E92" s="337"/>
      <c r="F92" s="337"/>
      <c r="G92" s="337"/>
      <c r="H92" s="338"/>
      <c r="I92" s="336"/>
      <c r="J92" s="337"/>
      <c r="K92" s="337"/>
      <c r="L92" s="337"/>
      <c r="M92" s="338"/>
      <c r="N92" s="336"/>
      <c r="O92" s="337"/>
      <c r="P92" s="337"/>
      <c r="Q92" s="337"/>
      <c r="R92" s="338"/>
      <c r="S92" s="336"/>
      <c r="T92" s="337"/>
      <c r="U92" s="337"/>
      <c r="V92" s="337"/>
      <c r="W92" s="338"/>
      <c r="X92" s="336"/>
      <c r="Y92" s="337"/>
      <c r="Z92" s="337"/>
      <c r="AA92" s="337"/>
      <c r="AB92" s="338"/>
      <c r="AC92" s="336"/>
      <c r="AD92" s="337"/>
      <c r="AE92" s="337"/>
      <c r="AF92" s="337"/>
      <c r="AG92" s="338"/>
      <c r="AH92" s="336"/>
      <c r="AI92" s="337"/>
      <c r="AJ92" s="337"/>
      <c r="AK92" s="337"/>
      <c r="AL92" s="338"/>
      <c r="AM92" s="336"/>
      <c r="AN92" s="337"/>
      <c r="AO92" s="337"/>
      <c r="AP92" s="337"/>
      <c r="AQ92" s="338"/>
      <c r="AR92" s="336"/>
      <c r="AS92" s="337"/>
      <c r="AT92" s="337"/>
      <c r="AU92" s="337"/>
      <c r="AV92" s="338"/>
      <c r="AW92" s="336"/>
      <c r="AX92" s="337"/>
      <c r="AY92" s="337"/>
      <c r="AZ92" s="337"/>
      <c r="BA92" s="338"/>
      <c r="BB92" s="336"/>
      <c r="BC92" s="337"/>
      <c r="BD92" s="337"/>
      <c r="BE92" s="337"/>
      <c r="BF92" s="338"/>
      <c r="BG92" s="336"/>
      <c r="BH92" s="337"/>
      <c r="BI92" s="337"/>
      <c r="BJ92" s="337"/>
      <c r="BK92" s="338"/>
      <c r="BL92" s="336"/>
      <c r="BM92" s="337"/>
      <c r="BN92" s="337"/>
      <c r="BO92" s="337"/>
      <c r="BP92" s="338"/>
      <c r="BQ92" s="336"/>
      <c r="BR92" s="337"/>
      <c r="BS92" s="337"/>
      <c r="BT92" s="337"/>
      <c r="BU92" s="339"/>
      <c r="BW92" s="236" t="str">
        <f>sum_level("o",'Needs 171007_1827'!D92:BU92)</f>
        <v/>
      </c>
      <c r="BX92" s="237" t="str">
        <f>sum_level("j",'Needs 171007_1827'!D92:BU92)</f>
        <v/>
      </c>
      <c r="BY92" s="237" t="str">
        <f>sum_level("m",'Needs 171007_1827'!D92:BU92)</f>
        <v/>
      </c>
      <c r="BZ92" s="237" t="str">
        <f>sum_level("s",'Needs 171007_1827'!D92:BU92)</f>
        <v/>
      </c>
      <c r="CA92" s="238" t="str">
        <f>sum_level("e",'Needs 171007_1827'!D92:BU92)</f>
        <v/>
      </c>
    </row>
    <row r="93" spans="2:79" ht="15.75" thickBot="1" x14ac:dyDescent="0.3">
      <c r="B93" s="435"/>
      <c r="C93" s="292" t="s">
        <v>280</v>
      </c>
      <c r="D93" s="340"/>
      <c r="E93" s="341"/>
      <c r="F93" s="341"/>
      <c r="G93" s="341"/>
      <c r="H93" s="342"/>
      <c r="I93" s="340"/>
      <c r="J93" s="341"/>
      <c r="K93" s="341"/>
      <c r="L93" s="341"/>
      <c r="M93" s="342"/>
      <c r="N93" s="340"/>
      <c r="O93" s="341"/>
      <c r="P93" s="341"/>
      <c r="Q93" s="341"/>
      <c r="R93" s="342"/>
      <c r="S93" s="340"/>
      <c r="T93" s="341"/>
      <c r="U93" s="341"/>
      <c r="V93" s="341"/>
      <c r="W93" s="342"/>
      <c r="X93" s="340"/>
      <c r="Y93" s="341"/>
      <c r="Z93" s="341"/>
      <c r="AA93" s="341"/>
      <c r="AB93" s="342"/>
      <c r="AC93" s="340"/>
      <c r="AD93" s="341"/>
      <c r="AE93" s="341"/>
      <c r="AF93" s="341"/>
      <c r="AG93" s="342"/>
      <c r="AH93" s="340"/>
      <c r="AI93" s="341"/>
      <c r="AJ93" s="341"/>
      <c r="AK93" s="341"/>
      <c r="AL93" s="342"/>
      <c r="AM93" s="340"/>
      <c r="AN93" s="341"/>
      <c r="AO93" s="341"/>
      <c r="AP93" s="341"/>
      <c r="AQ93" s="342"/>
      <c r="AR93" s="340"/>
      <c r="AS93" s="341"/>
      <c r="AT93" s="341"/>
      <c r="AU93" s="341"/>
      <c r="AV93" s="342"/>
      <c r="AW93" s="340"/>
      <c r="AX93" s="341"/>
      <c r="AY93" s="341"/>
      <c r="AZ93" s="341"/>
      <c r="BA93" s="342"/>
      <c r="BB93" s="340"/>
      <c r="BC93" s="341"/>
      <c r="BD93" s="341"/>
      <c r="BE93" s="341"/>
      <c r="BF93" s="342"/>
      <c r="BG93" s="340"/>
      <c r="BH93" s="341"/>
      <c r="BI93" s="341"/>
      <c r="BJ93" s="341"/>
      <c r="BK93" s="342"/>
      <c r="BL93" s="340"/>
      <c r="BM93" s="341"/>
      <c r="BN93" s="341"/>
      <c r="BO93" s="341"/>
      <c r="BP93" s="342"/>
      <c r="BQ93" s="340"/>
      <c r="BR93" s="341"/>
      <c r="BS93" s="341"/>
      <c r="BT93" s="341"/>
      <c r="BU93" s="343"/>
      <c r="BW93" s="239" t="str">
        <f>sum_level("o",'Needs 171007_1827'!D93:BU93)</f>
        <v/>
      </c>
      <c r="BX93" s="240" t="str">
        <f>sum_level("j",'Needs 171007_1827'!D93:BU93)</f>
        <v/>
      </c>
      <c r="BY93" s="240" t="str">
        <f>sum_level("m",'Needs 171007_1827'!D93:BU93)</f>
        <v/>
      </c>
      <c r="BZ93" s="240" t="str">
        <f>sum_level("s",'Needs 171007_1827'!D93:BU93)</f>
        <v/>
      </c>
      <c r="CA93" s="241" t="str">
        <f>sum_level("e",'Needs 171007_1827'!D93:BU93)</f>
        <v/>
      </c>
    </row>
    <row r="94" spans="2:79" ht="12.75" customHeight="1" thickTop="1" thickBot="1" x14ac:dyDescent="0.3">
      <c r="B94" s="436"/>
      <c r="C94" s="248"/>
      <c r="D94" s="344"/>
      <c r="E94" s="344"/>
      <c r="F94" s="344"/>
      <c r="G94" s="344"/>
      <c r="H94" s="344"/>
      <c r="I94" s="344"/>
      <c r="J94" s="344"/>
      <c r="K94" s="344"/>
      <c r="L94" s="344"/>
      <c r="M94" s="344"/>
      <c r="N94" s="344"/>
      <c r="O94" s="344"/>
      <c r="P94" s="344"/>
      <c r="Q94" s="344"/>
      <c r="R94" s="344"/>
      <c r="S94" s="344"/>
      <c r="T94" s="344"/>
      <c r="U94" s="344"/>
      <c r="V94" s="344"/>
      <c r="W94" s="344"/>
      <c r="X94" s="344"/>
      <c r="Y94" s="344"/>
      <c r="Z94" s="344"/>
      <c r="AA94" s="344"/>
      <c r="AB94" s="344"/>
      <c r="AC94" s="344"/>
      <c r="AD94" s="344"/>
      <c r="AE94" s="344"/>
      <c r="AF94" s="344"/>
      <c r="AG94" s="344"/>
      <c r="AH94" s="344"/>
      <c r="AI94" s="344"/>
      <c r="AJ94" s="344"/>
      <c r="AK94" s="344"/>
      <c r="AL94" s="344"/>
      <c r="AM94" s="344"/>
      <c r="AN94" s="344"/>
      <c r="AO94" s="344"/>
      <c r="AP94" s="344"/>
      <c r="AQ94" s="344"/>
      <c r="AR94" s="344"/>
      <c r="AS94" s="344"/>
      <c r="AT94" s="344"/>
      <c r="AU94" s="344"/>
      <c r="AV94" s="344"/>
      <c r="AW94" s="344"/>
      <c r="AX94" s="344"/>
      <c r="AY94" s="344"/>
      <c r="AZ94" s="344"/>
      <c r="BA94" s="344"/>
      <c r="BB94" s="344"/>
      <c r="BC94" s="344"/>
      <c r="BD94" s="344"/>
      <c r="BE94" s="344"/>
      <c r="BF94" s="344"/>
      <c r="BG94" s="344"/>
      <c r="BH94" s="344"/>
      <c r="BI94" s="344"/>
      <c r="BJ94" s="344"/>
      <c r="BK94" s="344"/>
      <c r="BL94" s="344"/>
      <c r="BM94" s="344"/>
      <c r="BN94" s="344"/>
      <c r="BO94" s="344"/>
      <c r="BP94" s="344"/>
      <c r="BQ94" s="344"/>
      <c r="BR94" s="344"/>
      <c r="BS94" s="344"/>
      <c r="BT94" s="344"/>
      <c r="BU94" s="344"/>
      <c r="BW94" s="249"/>
      <c r="BX94" s="249"/>
      <c r="BY94" s="249"/>
      <c r="BZ94" s="249"/>
      <c r="CA94" s="249"/>
    </row>
    <row r="95" spans="2:79" ht="15.75" thickTop="1" x14ac:dyDescent="0.25">
      <c r="B95" s="434" t="s">
        <v>266</v>
      </c>
      <c r="C95" s="290" t="s">
        <v>184</v>
      </c>
      <c r="D95" s="332"/>
      <c r="E95" s="333"/>
      <c r="F95" s="333"/>
      <c r="G95" s="333"/>
      <c r="H95" s="334"/>
      <c r="I95" s="332"/>
      <c r="J95" s="333"/>
      <c r="K95" s="333"/>
      <c r="L95" s="333"/>
      <c r="M95" s="334"/>
      <c r="N95" s="332"/>
      <c r="O95" s="333"/>
      <c r="P95" s="333"/>
      <c r="Q95" s="333"/>
      <c r="R95" s="334"/>
      <c r="S95" s="332"/>
      <c r="T95" s="333"/>
      <c r="U95" s="333"/>
      <c r="V95" s="333"/>
      <c r="W95" s="334"/>
      <c r="X95" s="332"/>
      <c r="Y95" s="333"/>
      <c r="Z95" s="333"/>
      <c r="AA95" s="333"/>
      <c r="AB95" s="334"/>
      <c r="AC95" s="332"/>
      <c r="AD95" s="333"/>
      <c r="AE95" s="333"/>
      <c r="AF95" s="333"/>
      <c r="AG95" s="334"/>
      <c r="AH95" s="332"/>
      <c r="AI95" s="333"/>
      <c r="AJ95" s="333"/>
      <c r="AK95" s="333"/>
      <c r="AL95" s="334"/>
      <c r="AM95" s="332"/>
      <c r="AN95" s="333"/>
      <c r="AO95" s="333"/>
      <c r="AP95" s="333"/>
      <c r="AQ95" s="334"/>
      <c r="AR95" s="332"/>
      <c r="AS95" s="333"/>
      <c r="AT95" s="333"/>
      <c r="AU95" s="333"/>
      <c r="AV95" s="334"/>
      <c r="AW95" s="332"/>
      <c r="AX95" s="333"/>
      <c r="AY95" s="333"/>
      <c r="AZ95" s="333"/>
      <c r="BA95" s="334"/>
      <c r="BB95" s="332"/>
      <c r="BC95" s="333"/>
      <c r="BD95" s="333"/>
      <c r="BE95" s="333"/>
      <c r="BF95" s="334"/>
      <c r="BG95" s="332"/>
      <c r="BH95" s="333"/>
      <c r="BI95" s="333"/>
      <c r="BJ95" s="333"/>
      <c r="BK95" s="334"/>
      <c r="BL95" s="332"/>
      <c r="BM95" s="333"/>
      <c r="BN95" s="333"/>
      <c r="BO95" s="333"/>
      <c r="BP95" s="334"/>
      <c r="BQ95" s="332"/>
      <c r="BR95" s="333"/>
      <c r="BS95" s="333"/>
      <c r="BT95" s="333"/>
      <c r="BU95" s="335"/>
      <c r="BW95" s="233" t="str">
        <f>sum_level("o",'Needs 171007_1827'!D95:BU95)</f>
        <v/>
      </c>
      <c r="BX95" s="234" t="str">
        <f>sum_level("j",'Needs 171007_1827'!D95:BU95)</f>
        <v/>
      </c>
      <c r="BY95" s="234" t="str">
        <f>sum_level("m",'Needs 171007_1827'!D95:BU95)</f>
        <v/>
      </c>
      <c r="BZ95" s="234" t="str">
        <f>sum_level("s",'Needs 171007_1827'!D95:BU95)</f>
        <v/>
      </c>
      <c r="CA95" s="235" t="str">
        <f>sum_level("e",'Needs 171007_1827'!D95:BU95)</f>
        <v/>
      </c>
    </row>
    <row r="96" spans="2:79" x14ac:dyDescent="0.25">
      <c r="B96" s="435"/>
      <c r="C96" s="291" t="s">
        <v>123</v>
      </c>
      <c r="D96" s="336"/>
      <c r="E96" s="337"/>
      <c r="F96" s="337"/>
      <c r="G96" s="337"/>
      <c r="H96" s="338"/>
      <c r="I96" s="336"/>
      <c r="J96" s="337"/>
      <c r="K96" s="337"/>
      <c r="L96" s="337"/>
      <c r="M96" s="338"/>
      <c r="N96" s="336"/>
      <c r="O96" s="337"/>
      <c r="P96" s="337"/>
      <c r="Q96" s="337"/>
      <c r="R96" s="338"/>
      <c r="S96" s="336"/>
      <c r="T96" s="337"/>
      <c r="U96" s="337"/>
      <c r="V96" s="337"/>
      <c r="W96" s="338"/>
      <c r="X96" s="336"/>
      <c r="Y96" s="337"/>
      <c r="Z96" s="337"/>
      <c r="AA96" s="337"/>
      <c r="AB96" s="338"/>
      <c r="AC96" s="336"/>
      <c r="AD96" s="337"/>
      <c r="AE96" s="337"/>
      <c r="AF96" s="337"/>
      <c r="AG96" s="338"/>
      <c r="AH96" s="336"/>
      <c r="AI96" s="337"/>
      <c r="AJ96" s="337"/>
      <c r="AK96" s="337"/>
      <c r="AL96" s="338"/>
      <c r="AM96" s="336"/>
      <c r="AN96" s="337"/>
      <c r="AO96" s="337"/>
      <c r="AP96" s="337"/>
      <c r="AQ96" s="338"/>
      <c r="AR96" s="336"/>
      <c r="AS96" s="337"/>
      <c r="AT96" s="337"/>
      <c r="AU96" s="337"/>
      <c r="AV96" s="338"/>
      <c r="AW96" s="336"/>
      <c r="AX96" s="337"/>
      <c r="AY96" s="337"/>
      <c r="AZ96" s="337"/>
      <c r="BA96" s="338"/>
      <c r="BB96" s="336"/>
      <c r="BC96" s="337"/>
      <c r="BD96" s="337"/>
      <c r="BE96" s="337"/>
      <c r="BF96" s="338"/>
      <c r="BG96" s="336"/>
      <c r="BH96" s="337"/>
      <c r="BI96" s="337"/>
      <c r="BJ96" s="337"/>
      <c r="BK96" s="338"/>
      <c r="BL96" s="336"/>
      <c r="BM96" s="337"/>
      <c r="BN96" s="337"/>
      <c r="BO96" s="337"/>
      <c r="BP96" s="338"/>
      <c r="BQ96" s="336"/>
      <c r="BR96" s="337"/>
      <c r="BS96" s="337"/>
      <c r="BT96" s="337"/>
      <c r="BU96" s="339"/>
      <c r="BW96" s="236" t="str">
        <f>sum_level("o",'Needs 171007_1827'!D96:BU96)</f>
        <v/>
      </c>
      <c r="BX96" s="237" t="str">
        <f>sum_level("j",'Needs 171007_1827'!D96:BU96)</f>
        <v/>
      </c>
      <c r="BY96" s="237" t="str">
        <f>sum_level("m",'Needs 171007_1827'!D96:BU96)</f>
        <v/>
      </c>
      <c r="BZ96" s="237" t="str">
        <f>sum_level("s",'Needs 171007_1827'!D96:BU96)</f>
        <v/>
      </c>
      <c r="CA96" s="238" t="str">
        <f>sum_level("e",'Needs 171007_1827'!D96:BU96)</f>
        <v/>
      </c>
    </row>
    <row r="97" spans="2:79" x14ac:dyDescent="0.25">
      <c r="B97" s="435"/>
      <c r="C97" s="291" t="s">
        <v>268</v>
      </c>
      <c r="D97" s="336"/>
      <c r="E97" s="337"/>
      <c r="F97" s="337"/>
      <c r="G97" s="337"/>
      <c r="H97" s="338"/>
      <c r="I97" s="336"/>
      <c r="J97" s="337"/>
      <c r="K97" s="337"/>
      <c r="L97" s="337"/>
      <c r="M97" s="338"/>
      <c r="N97" s="336"/>
      <c r="O97" s="337"/>
      <c r="P97" s="337"/>
      <c r="Q97" s="337"/>
      <c r="R97" s="338"/>
      <c r="S97" s="336"/>
      <c r="T97" s="337"/>
      <c r="U97" s="337"/>
      <c r="V97" s="337"/>
      <c r="W97" s="338"/>
      <c r="X97" s="336"/>
      <c r="Y97" s="337"/>
      <c r="Z97" s="337"/>
      <c r="AA97" s="337"/>
      <c r="AB97" s="338"/>
      <c r="AC97" s="336"/>
      <c r="AD97" s="337"/>
      <c r="AE97" s="337"/>
      <c r="AF97" s="337"/>
      <c r="AG97" s="338"/>
      <c r="AH97" s="336"/>
      <c r="AI97" s="337"/>
      <c r="AJ97" s="337"/>
      <c r="AK97" s="337"/>
      <c r="AL97" s="338"/>
      <c r="AM97" s="336"/>
      <c r="AN97" s="337"/>
      <c r="AO97" s="337"/>
      <c r="AP97" s="337"/>
      <c r="AQ97" s="338"/>
      <c r="AR97" s="336"/>
      <c r="AS97" s="337"/>
      <c r="AT97" s="337"/>
      <c r="AU97" s="337"/>
      <c r="AV97" s="338"/>
      <c r="AW97" s="336"/>
      <c r="AX97" s="337"/>
      <c r="AY97" s="337"/>
      <c r="AZ97" s="337"/>
      <c r="BA97" s="338"/>
      <c r="BB97" s="336"/>
      <c r="BC97" s="337"/>
      <c r="BD97" s="337"/>
      <c r="BE97" s="337"/>
      <c r="BF97" s="338"/>
      <c r="BG97" s="336"/>
      <c r="BH97" s="337"/>
      <c r="BI97" s="337"/>
      <c r="BJ97" s="337"/>
      <c r="BK97" s="338"/>
      <c r="BL97" s="336"/>
      <c r="BM97" s="337"/>
      <c r="BN97" s="337"/>
      <c r="BO97" s="337"/>
      <c r="BP97" s="338"/>
      <c r="BQ97" s="336"/>
      <c r="BR97" s="337"/>
      <c r="BS97" s="337"/>
      <c r="BT97" s="337"/>
      <c r="BU97" s="339"/>
      <c r="BW97" s="236" t="str">
        <f>sum_level("o",'Needs 171007_1827'!D97:BU97)</f>
        <v/>
      </c>
      <c r="BX97" s="237" t="str">
        <f>sum_level("j",'Needs 171007_1827'!D97:BU97)</f>
        <v/>
      </c>
      <c r="BY97" s="237" t="str">
        <f>sum_level("m",'Needs 171007_1827'!D97:BU97)</f>
        <v/>
      </c>
      <c r="BZ97" s="237" t="str">
        <f>sum_level("s",'Needs 171007_1827'!D97:BU97)</f>
        <v/>
      </c>
      <c r="CA97" s="238" t="str">
        <f>sum_level("e",'Needs 171007_1827'!D97:BU97)</f>
        <v/>
      </c>
    </row>
    <row r="98" spans="2:79" ht="15.75" thickBot="1" x14ac:dyDescent="0.3">
      <c r="B98" s="435"/>
      <c r="C98" s="292" t="s">
        <v>143</v>
      </c>
      <c r="D98" s="340"/>
      <c r="E98" s="341"/>
      <c r="F98" s="341"/>
      <c r="G98" s="341"/>
      <c r="H98" s="342"/>
      <c r="I98" s="340"/>
      <c r="J98" s="341"/>
      <c r="K98" s="341"/>
      <c r="L98" s="341"/>
      <c r="M98" s="342"/>
      <c r="N98" s="340"/>
      <c r="O98" s="341"/>
      <c r="P98" s="341"/>
      <c r="Q98" s="341"/>
      <c r="R98" s="342"/>
      <c r="S98" s="340"/>
      <c r="T98" s="341"/>
      <c r="U98" s="341"/>
      <c r="V98" s="341"/>
      <c r="W98" s="342"/>
      <c r="X98" s="340"/>
      <c r="Y98" s="341"/>
      <c r="Z98" s="341"/>
      <c r="AA98" s="341"/>
      <c r="AB98" s="342"/>
      <c r="AC98" s="340"/>
      <c r="AD98" s="341"/>
      <c r="AE98" s="341"/>
      <c r="AF98" s="341"/>
      <c r="AG98" s="342"/>
      <c r="AH98" s="340"/>
      <c r="AI98" s="341"/>
      <c r="AJ98" s="341"/>
      <c r="AK98" s="341"/>
      <c r="AL98" s="342"/>
      <c r="AM98" s="340"/>
      <c r="AN98" s="341"/>
      <c r="AO98" s="341"/>
      <c r="AP98" s="341"/>
      <c r="AQ98" s="342"/>
      <c r="AR98" s="340"/>
      <c r="AS98" s="341"/>
      <c r="AT98" s="341"/>
      <c r="AU98" s="341"/>
      <c r="AV98" s="342"/>
      <c r="AW98" s="340"/>
      <c r="AX98" s="341"/>
      <c r="AY98" s="341"/>
      <c r="AZ98" s="341"/>
      <c r="BA98" s="342"/>
      <c r="BB98" s="340"/>
      <c r="BC98" s="341"/>
      <c r="BD98" s="341"/>
      <c r="BE98" s="341"/>
      <c r="BF98" s="342"/>
      <c r="BG98" s="340"/>
      <c r="BH98" s="341"/>
      <c r="BI98" s="341"/>
      <c r="BJ98" s="341"/>
      <c r="BK98" s="342"/>
      <c r="BL98" s="340"/>
      <c r="BM98" s="341"/>
      <c r="BN98" s="341"/>
      <c r="BO98" s="341"/>
      <c r="BP98" s="342"/>
      <c r="BQ98" s="340"/>
      <c r="BR98" s="341"/>
      <c r="BS98" s="341"/>
      <c r="BT98" s="341"/>
      <c r="BU98" s="343"/>
      <c r="BW98" s="239" t="str">
        <f>sum_level("o",'Needs 171007_1827'!D98:BU98)</f>
        <v/>
      </c>
      <c r="BX98" s="240" t="str">
        <f>sum_level("j",'Needs 171007_1827'!D98:BU98)</f>
        <v/>
      </c>
      <c r="BY98" s="240" t="str">
        <f>sum_level("m",'Needs 171007_1827'!D98:BU98)</f>
        <v/>
      </c>
      <c r="BZ98" s="240" t="str">
        <f>sum_level("s",'Needs 171007_1827'!D98:BU98)</f>
        <v/>
      </c>
      <c r="CA98" s="241" t="str">
        <f>sum_level("e",'Needs 171007_1827'!D98:BU98)</f>
        <v/>
      </c>
    </row>
    <row r="99" spans="2:79" ht="12.75" customHeight="1" thickTop="1" thickBot="1" x14ac:dyDescent="0.3">
      <c r="B99" s="437"/>
      <c r="C99" s="248"/>
      <c r="D99" s="344"/>
      <c r="E99" s="344"/>
      <c r="F99" s="344"/>
      <c r="G99" s="344"/>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c r="BH99" s="344"/>
      <c r="BI99" s="344"/>
      <c r="BJ99" s="344"/>
      <c r="BK99" s="344"/>
      <c r="BL99" s="344"/>
      <c r="BM99" s="344"/>
      <c r="BN99" s="344"/>
      <c r="BO99" s="344"/>
      <c r="BP99" s="344"/>
      <c r="BQ99" s="344"/>
      <c r="BR99" s="344"/>
      <c r="BS99" s="344"/>
      <c r="BT99" s="344"/>
      <c r="BU99" s="344"/>
      <c r="BW99" s="249"/>
      <c r="BX99" s="249"/>
      <c r="BY99" s="249"/>
      <c r="BZ99" s="249"/>
      <c r="CA99" s="249"/>
    </row>
    <row r="100" spans="2:79" ht="16.5" thickTop="1" thickBot="1" x14ac:dyDescent="0.3"/>
    <row r="101" spans="2:79" ht="16.5" thickTop="1" thickBot="1" x14ac:dyDescent="0.3">
      <c r="C101" s="297" t="s">
        <v>222</v>
      </c>
      <c r="D101" s="232">
        <f t="shared" ref="D101:AI101" si="0">SUM(D3:D99)</f>
        <v>0</v>
      </c>
      <c r="E101" s="246">
        <f t="shared" si="0"/>
        <v>0</v>
      </c>
      <c r="F101" s="246">
        <f t="shared" si="0"/>
        <v>0</v>
      </c>
      <c r="G101" s="246">
        <f t="shared" si="0"/>
        <v>0</v>
      </c>
      <c r="H101" s="244">
        <f t="shared" si="0"/>
        <v>0</v>
      </c>
      <c r="I101" s="245">
        <f t="shared" si="0"/>
        <v>0</v>
      </c>
      <c r="J101" s="246">
        <f t="shared" si="0"/>
        <v>0</v>
      </c>
      <c r="K101" s="246">
        <f t="shared" si="0"/>
        <v>0</v>
      </c>
      <c r="L101" s="246">
        <f t="shared" si="0"/>
        <v>0</v>
      </c>
      <c r="M101" s="244">
        <f t="shared" si="0"/>
        <v>0</v>
      </c>
      <c r="N101" s="245">
        <f t="shared" si="0"/>
        <v>0</v>
      </c>
      <c r="O101" s="246">
        <f t="shared" si="0"/>
        <v>0</v>
      </c>
      <c r="P101" s="246">
        <f t="shared" si="0"/>
        <v>0</v>
      </c>
      <c r="Q101" s="246">
        <f t="shared" si="0"/>
        <v>0</v>
      </c>
      <c r="R101" s="244">
        <f t="shared" si="0"/>
        <v>0</v>
      </c>
      <c r="S101" s="245">
        <f t="shared" si="0"/>
        <v>0</v>
      </c>
      <c r="T101" s="246">
        <f t="shared" si="0"/>
        <v>0</v>
      </c>
      <c r="U101" s="246">
        <f t="shared" si="0"/>
        <v>0</v>
      </c>
      <c r="V101" s="246">
        <f t="shared" si="0"/>
        <v>0</v>
      </c>
      <c r="W101" s="244">
        <f t="shared" si="0"/>
        <v>0</v>
      </c>
      <c r="X101" s="245">
        <f t="shared" si="0"/>
        <v>0</v>
      </c>
      <c r="Y101" s="246">
        <f t="shared" si="0"/>
        <v>0</v>
      </c>
      <c r="Z101" s="246">
        <f t="shared" si="0"/>
        <v>0</v>
      </c>
      <c r="AA101" s="246">
        <f t="shared" si="0"/>
        <v>0</v>
      </c>
      <c r="AB101" s="244">
        <f t="shared" si="0"/>
        <v>0</v>
      </c>
      <c r="AC101" s="245">
        <f t="shared" si="0"/>
        <v>0</v>
      </c>
      <c r="AD101" s="246">
        <f t="shared" si="0"/>
        <v>0</v>
      </c>
      <c r="AE101" s="246">
        <f t="shared" si="0"/>
        <v>0</v>
      </c>
      <c r="AF101" s="246">
        <f t="shared" si="0"/>
        <v>0</v>
      </c>
      <c r="AG101" s="244">
        <f t="shared" si="0"/>
        <v>0</v>
      </c>
      <c r="AH101" s="245">
        <f t="shared" si="0"/>
        <v>1</v>
      </c>
      <c r="AI101" s="246">
        <f t="shared" si="0"/>
        <v>2</v>
      </c>
      <c r="AJ101" s="246">
        <f t="shared" ref="AJ101:BO101" si="1">SUM(AJ3:AJ99)</f>
        <v>3</v>
      </c>
      <c r="AK101" s="246">
        <f t="shared" si="1"/>
        <v>4</v>
      </c>
      <c r="AL101" s="244">
        <f t="shared" si="1"/>
        <v>5</v>
      </c>
      <c r="AM101" s="245">
        <f t="shared" si="1"/>
        <v>6</v>
      </c>
      <c r="AN101" s="246">
        <f t="shared" si="1"/>
        <v>7</v>
      </c>
      <c r="AO101" s="246">
        <f t="shared" si="1"/>
        <v>8</v>
      </c>
      <c r="AP101" s="246">
        <f t="shared" si="1"/>
        <v>9</v>
      </c>
      <c r="AQ101" s="244">
        <f t="shared" si="1"/>
        <v>10</v>
      </c>
      <c r="AR101" s="245">
        <f t="shared" si="1"/>
        <v>11</v>
      </c>
      <c r="AS101" s="246">
        <f t="shared" si="1"/>
        <v>12</v>
      </c>
      <c r="AT101" s="246">
        <f t="shared" si="1"/>
        <v>13</v>
      </c>
      <c r="AU101" s="246">
        <f t="shared" si="1"/>
        <v>14</v>
      </c>
      <c r="AV101" s="244">
        <f t="shared" si="1"/>
        <v>15</v>
      </c>
      <c r="AW101" s="245">
        <f t="shared" si="1"/>
        <v>16</v>
      </c>
      <c r="AX101" s="246">
        <f t="shared" si="1"/>
        <v>17</v>
      </c>
      <c r="AY101" s="246">
        <f t="shared" si="1"/>
        <v>18</v>
      </c>
      <c r="AZ101" s="246">
        <f t="shared" si="1"/>
        <v>19</v>
      </c>
      <c r="BA101" s="244">
        <f t="shared" si="1"/>
        <v>20</v>
      </c>
      <c r="BB101" s="245">
        <f t="shared" si="1"/>
        <v>21</v>
      </c>
      <c r="BC101" s="246">
        <f t="shared" si="1"/>
        <v>22</v>
      </c>
      <c r="BD101" s="246">
        <f t="shared" si="1"/>
        <v>23</v>
      </c>
      <c r="BE101" s="246">
        <f t="shared" si="1"/>
        <v>24</v>
      </c>
      <c r="BF101" s="244">
        <f t="shared" si="1"/>
        <v>25</v>
      </c>
      <c r="BG101" s="245">
        <f t="shared" si="1"/>
        <v>26</v>
      </c>
      <c r="BH101" s="246">
        <f t="shared" si="1"/>
        <v>27</v>
      </c>
      <c r="BI101" s="246">
        <f t="shared" si="1"/>
        <v>28</v>
      </c>
      <c r="BJ101" s="246">
        <f t="shared" si="1"/>
        <v>29</v>
      </c>
      <c r="BK101" s="244">
        <f t="shared" si="1"/>
        <v>30</v>
      </c>
      <c r="BL101" s="245">
        <f t="shared" si="1"/>
        <v>31</v>
      </c>
      <c r="BM101" s="246">
        <f t="shared" si="1"/>
        <v>32</v>
      </c>
      <c r="BN101" s="246">
        <f t="shared" si="1"/>
        <v>33</v>
      </c>
      <c r="BO101" s="246">
        <f t="shared" si="1"/>
        <v>34</v>
      </c>
      <c r="BP101" s="244">
        <f t="shared" ref="BP101:BU101" si="2">SUM(BP3:BP99)</f>
        <v>35</v>
      </c>
      <c r="BQ101" s="245">
        <f t="shared" si="2"/>
        <v>0</v>
      </c>
      <c r="BR101" s="246">
        <f t="shared" si="2"/>
        <v>0</v>
      </c>
      <c r="BS101" s="246">
        <f t="shared" si="2"/>
        <v>0</v>
      </c>
      <c r="BT101" s="246">
        <f t="shared" si="2"/>
        <v>0</v>
      </c>
      <c r="BU101" s="247">
        <f t="shared" si="2"/>
        <v>0</v>
      </c>
    </row>
    <row r="102" spans="2:79" ht="15.75" thickTop="1" x14ac:dyDescent="0.25"/>
  </sheetData>
  <mergeCells count="24">
    <mergeCell ref="B17:B26"/>
    <mergeCell ref="B27:B37"/>
    <mergeCell ref="AH1:AL1"/>
    <mergeCell ref="AM1:AQ1"/>
    <mergeCell ref="AR1:AV1"/>
    <mergeCell ref="D1:H1"/>
    <mergeCell ref="I1:M1"/>
    <mergeCell ref="N1:R1"/>
    <mergeCell ref="S1:W1"/>
    <mergeCell ref="X1:AB1"/>
    <mergeCell ref="AC1:AG1"/>
    <mergeCell ref="A1:C1"/>
    <mergeCell ref="BL1:BP1"/>
    <mergeCell ref="BQ1:BU1"/>
    <mergeCell ref="BW1:CA1"/>
    <mergeCell ref="B3:B16"/>
    <mergeCell ref="AW1:BA1"/>
    <mergeCell ref="BB1:BF1"/>
    <mergeCell ref="BG1:BK1"/>
    <mergeCell ref="B38:B50"/>
    <mergeCell ref="B51:B59"/>
    <mergeCell ref="B60:B78"/>
    <mergeCell ref="B79:B94"/>
    <mergeCell ref="B95:B99"/>
  </mergeCells>
  <conditionalFormatting sqref="D3:H15">
    <cfRule type="expression" dxfId="5751" priority="1" stopIfTrue="1">
      <formula>LEN(TRIM(D3))=0</formula>
    </cfRule>
  </conditionalFormatting>
  <conditionalFormatting sqref="I3:M15">
    <cfRule type="expression" dxfId="5750" priority="2" stopIfTrue="1">
      <formula>LEN(TRIM(I3))=0</formula>
    </cfRule>
  </conditionalFormatting>
  <conditionalFormatting sqref="N3:R15">
    <cfRule type="expression" dxfId="5749" priority="3" stopIfTrue="1">
      <formula>LEN(TRIM(N3))=0</formula>
    </cfRule>
  </conditionalFormatting>
  <conditionalFormatting sqref="S3:W15">
    <cfRule type="expression" dxfId="5748" priority="4" stopIfTrue="1">
      <formula>LEN(TRIM(S3))=0</formula>
    </cfRule>
  </conditionalFormatting>
  <conditionalFormatting sqref="X3:AB15">
    <cfRule type="expression" dxfId="5747" priority="5" stopIfTrue="1">
      <formula>LEN(TRIM(X3))=0</formula>
    </cfRule>
  </conditionalFormatting>
  <conditionalFormatting sqref="AC3:AG15">
    <cfRule type="expression" dxfId="5746" priority="6" stopIfTrue="1">
      <formula>LEN(TRIM(AC3))=0</formula>
    </cfRule>
  </conditionalFormatting>
  <conditionalFormatting sqref="AH3:AL15">
    <cfRule type="expression" dxfId="5745" priority="7" stopIfTrue="1">
      <formula>LEN(TRIM(AH3))=0</formula>
    </cfRule>
  </conditionalFormatting>
  <conditionalFormatting sqref="AM3:AQ15">
    <cfRule type="expression" dxfId="5744" priority="8" stopIfTrue="1">
      <formula>LEN(TRIM(AM3))=0</formula>
    </cfRule>
  </conditionalFormatting>
  <conditionalFormatting sqref="AR3:AV15">
    <cfRule type="expression" dxfId="5743" priority="9" stopIfTrue="1">
      <formula>LEN(TRIM(AR3))=0</formula>
    </cfRule>
  </conditionalFormatting>
  <conditionalFormatting sqref="AW3:BA15">
    <cfRule type="expression" dxfId="5742" priority="10" stopIfTrue="1">
      <formula>LEN(TRIM(AW3))=0</formula>
    </cfRule>
  </conditionalFormatting>
  <conditionalFormatting sqref="BB3:BF15">
    <cfRule type="expression" dxfId="5741" priority="11" stopIfTrue="1">
      <formula>LEN(TRIM(BB3))=0</formula>
    </cfRule>
  </conditionalFormatting>
  <conditionalFormatting sqref="BG3:BK15">
    <cfRule type="expression" dxfId="5740" priority="12" stopIfTrue="1">
      <formula>LEN(TRIM(BG3))=0</formula>
    </cfRule>
  </conditionalFormatting>
  <conditionalFormatting sqref="BL3:BP15">
    <cfRule type="expression" dxfId="5739" priority="13" stopIfTrue="1">
      <formula>LEN(TRIM(BL3))=0</formula>
    </cfRule>
  </conditionalFormatting>
  <conditionalFormatting sqref="BQ3:BU15">
    <cfRule type="expression" dxfId="5738" priority="14" stopIfTrue="1">
      <formula>LEN(TRIM(BQ3))=0</formula>
    </cfRule>
  </conditionalFormatting>
  <conditionalFormatting sqref="BW3:CA15">
    <cfRule type="expression" dxfId="5737" priority="15" stopIfTrue="1">
      <formula>LEN(TRIM(BW3))=0</formula>
    </cfRule>
  </conditionalFormatting>
  <conditionalFormatting sqref="D17:H25">
    <cfRule type="expression" dxfId="5736" priority="16" stopIfTrue="1">
      <formula>LEN(TRIM(D17))=0</formula>
    </cfRule>
  </conditionalFormatting>
  <conditionalFormatting sqref="I17:M25">
    <cfRule type="expression" dxfId="5735" priority="17" stopIfTrue="1">
      <formula>LEN(TRIM(I17))=0</formula>
    </cfRule>
  </conditionalFormatting>
  <conditionalFormatting sqref="N17:R25">
    <cfRule type="expression" dxfId="5734" priority="18" stopIfTrue="1">
      <formula>LEN(TRIM(N17))=0</formula>
    </cfRule>
  </conditionalFormatting>
  <conditionalFormatting sqref="S17:W25">
    <cfRule type="expression" dxfId="5733" priority="19" stopIfTrue="1">
      <formula>LEN(TRIM(S17))=0</formula>
    </cfRule>
  </conditionalFormatting>
  <conditionalFormatting sqref="X17:AB25">
    <cfRule type="expression" dxfId="5732" priority="20" stopIfTrue="1">
      <formula>LEN(TRIM(X17))=0</formula>
    </cfRule>
  </conditionalFormatting>
  <conditionalFormatting sqref="AC17:AG25">
    <cfRule type="expression" dxfId="5731" priority="21" stopIfTrue="1">
      <formula>LEN(TRIM(AC17))=0</formula>
    </cfRule>
  </conditionalFormatting>
  <conditionalFormatting sqref="AH17:AL25">
    <cfRule type="expression" dxfId="5730" priority="22" stopIfTrue="1">
      <formula>LEN(TRIM(AH17))=0</formula>
    </cfRule>
  </conditionalFormatting>
  <conditionalFormatting sqref="AM17:AQ25">
    <cfRule type="expression" dxfId="5729" priority="23" stopIfTrue="1">
      <formula>LEN(TRIM(AM17))=0</formula>
    </cfRule>
  </conditionalFormatting>
  <conditionalFormatting sqref="AR17:AV25">
    <cfRule type="expression" dxfId="5728" priority="24" stopIfTrue="1">
      <formula>LEN(TRIM(AR17))=0</formula>
    </cfRule>
  </conditionalFormatting>
  <conditionalFormatting sqref="AW17:BA25">
    <cfRule type="expression" dxfId="5727" priority="25" stopIfTrue="1">
      <formula>LEN(TRIM(AW17))=0</formula>
    </cfRule>
  </conditionalFormatting>
  <conditionalFormatting sqref="BB17:BF25">
    <cfRule type="expression" dxfId="5726" priority="26" stopIfTrue="1">
      <formula>LEN(TRIM(BB17))=0</formula>
    </cfRule>
  </conditionalFormatting>
  <conditionalFormatting sqref="BG17:BK25">
    <cfRule type="expression" dxfId="5725" priority="27" stopIfTrue="1">
      <formula>LEN(TRIM(BG17))=0</formula>
    </cfRule>
  </conditionalFormatting>
  <conditionalFormatting sqref="BL17:BP25">
    <cfRule type="expression" dxfId="5724" priority="28" stopIfTrue="1">
      <formula>LEN(TRIM(BL17))=0</formula>
    </cfRule>
  </conditionalFormatting>
  <conditionalFormatting sqref="BQ17:BU25">
    <cfRule type="expression" dxfId="5723" priority="29" stopIfTrue="1">
      <formula>LEN(TRIM(BQ17))=0</formula>
    </cfRule>
  </conditionalFormatting>
  <conditionalFormatting sqref="BW17:CA25">
    <cfRule type="expression" dxfId="5722" priority="30" stopIfTrue="1">
      <formula>LEN(TRIM(BW17))=0</formula>
    </cfRule>
  </conditionalFormatting>
  <conditionalFormatting sqref="D27:H36">
    <cfRule type="expression" dxfId="5721" priority="31" stopIfTrue="1">
      <formula>LEN(TRIM(D27))=0</formula>
    </cfRule>
  </conditionalFormatting>
  <conditionalFormatting sqref="I27:M36">
    <cfRule type="expression" dxfId="5720" priority="32" stopIfTrue="1">
      <formula>LEN(TRIM(I27))=0</formula>
    </cfRule>
  </conditionalFormatting>
  <conditionalFormatting sqref="N27:R36">
    <cfRule type="expression" dxfId="5719" priority="33" stopIfTrue="1">
      <formula>LEN(TRIM(N27))=0</formula>
    </cfRule>
  </conditionalFormatting>
  <conditionalFormatting sqref="S27:W36">
    <cfRule type="expression" dxfId="5718" priority="34" stopIfTrue="1">
      <formula>LEN(TRIM(S27))=0</formula>
    </cfRule>
  </conditionalFormatting>
  <conditionalFormatting sqref="X27:AB36">
    <cfRule type="expression" dxfId="5717" priority="35" stopIfTrue="1">
      <formula>LEN(TRIM(X27))=0</formula>
    </cfRule>
  </conditionalFormatting>
  <conditionalFormatting sqref="AC27:AG36">
    <cfRule type="expression" dxfId="5716" priority="36" stopIfTrue="1">
      <formula>LEN(TRIM(AC27))=0</formula>
    </cfRule>
  </conditionalFormatting>
  <conditionalFormatting sqref="AH27:AL36">
    <cfRule type="expression" dxfId="5715" priority="37" stopIfTrue="1">
      <formula>LEN(TRIM(AH27))=0</formula>
    </cfRule>
  </conditionalFormatting>
  <conditionalFormatting sqref="AM27:AQ36">
    <cfRule type="expression" dxfId="5714" priority="38" stopIfTrue="1">
      <formula>LEN(TRIM(AM27))=0</formula>
    </cfRule>
  </conditionalFormatting>
  <conditionalFormatting sqref="AR27:AV36">
    <cfRule type="expression" dxfId="5713" priority="39" stopIfTrue="1">
      <formula>LEN(TRIM(AR27))=0</formula>
    </cfRule>
  </conditionalFormatting>
  <conditionalFormatting sqref="AW27:BA36">
    <cfRule type="expression" dxfId="5712" priority="40" stopIfTrue="1">
      <formula>LEN(TRIM(AW27))=0</formula>
    </cfRule>
  </conditionalFormatting>
  <conditionalFormatting sqref="BB27:BF36">
    <cfRule type="expression" dxfId="5711" priority="41" stopIfTrue="1">
      <formula>LEN(TRIM(BB27))=0</formula>
    </cfRule>
  </conditionalFormatting>
  <conditionalFormatting sqref="BG27:BK36">
    <cfRule type="expression" dxfId="5710" priority="42" stopIfTrue="1">
      <formula>LEN(TRIM(BG27))=0</formula>
    </cfRule>
  </conditionalFormatting>
  <conditionalFormatting sqref="BL27:BP36">
    <cfRule type="expression" dxfId="5709" priority="43" stopIfTrue="1">
      <formula>LEN(TRIM(BL27))=0</formula>
    </cfRule>
  </conditionalFormatting>
  <conditionalFormatting sqref="BQ27:BU36">
    <cfRule type="expression" dxfId="5708" priority="44" stopIfTrue="1">
      <formula>LEN(TRIM(BQ27))=0</formula>
    </cfRule>
  </conditionalFormatting>
  <conditionalFormatting sqref="BW27:CA36">
    <cfRule type="expression" dxfId="5707" priority="45" stopIfTrue="1">
      <formula>LEN(TRIM(BW27))=0</formula>
    </cfRule>
  </conditionalFormatting>
  <conditionalFormatting sqref="D38:H49">
    <cfRule type="expression" dxfId="5706" priority="46" stopIfTrue="1">
      <formula>LEN(TRIM(D38))=0</formula>
    </cfRule>
  </conditionalFormatting>
  <conditionalFormatting sqref="I38:M49">
    <cfRule type="expression" dxfId="5705" priority="47" stopIfTrue="1">
      <formula>LEN(TRIM(I38))=0</formula>
    </cfRule>
  </conditionalFormatting>
  <conditionalFormatting sqref="N38:R49">
    <cfRule type="expression" dxfId="5704" priority="48" stopIfTrue="1">
      <formula>LEN(TRIM(N38))=0</formula>
    </cfRule>
  </conditionalFormatting>
  <conditionalFormatting sqref="S38:W49">
    <cfRule type="expression" dxfId="5703" priority="49" stopIfTrue="1">
      <formula>LEN(TRIM(S38))=0</formula>
    </cfRule>
  </conditionalFormatting>
  <conditionalFormatting sqref="X38:AB49">
    <cfRule type="expression" dxfId="5702" priority="50" stopIfTrue="1">
      <formula>LEN(TRIM(X38))=0</formula>
    </cfRule>
  </conditionalFormatting>
  <conditionalFormatting sqref="AC38:AG49">
    <cfRule type="expression" dxfId="5701" priority="51" stopIfTrue="1">
      <formula>LEN(TRIM(AC38))=0</formula>
    </cfRule>
  </conditionalFormatting>
  <conditionalFormatting sqref="AH38:AL49">
    <cfRule type="expression" dxfId="5700" priority="52" stopIfTrue="1">
      <formula>LEN(TRIM(AH38))=0</formula>
    </cfRule>
  </conditionalFormatting>
  <conditionalFormatting sqref="AM38:AQ49">
    <cfRule type="expression" dxfId="5699" priority="53" stopIfTrue="1">
      <formula>LEN(TRIM(AM38))=0</formula>
    </cfRule>
  </conditionalFormatting>
  <conditionalFormatting sqref="AR38:AV49">
    <cfRule type="expression" dxfId="5698" priority="54" stopIfTrue="1">
      <formula>LEN(TRIM(AR38))=0</formula>
    </cfRule>
  </conditionalFormatting>
  <conditionalFormatting sqref="AW38:BA49">
    <cfRule type="expression" dxfId="5697" priority="55" stopIfTrue="1">
      <formula>LEN(TRIM(AW38))=0</formula>
    </cfRule>
  </conditionalFormatting>
  <conditionalFormatting sqref="BB38:BF49">
    <cfRule type="expression" dxfId="5696" priority="56" stopIfTrue="1">
      <formula>LEN(TRIM(BB38))=0</formula>
    </cfRule>
  </conditionalFormatting>
  <conditionalFormatting sqref="BG38:BK49">
    <cfRule type="expression" dxfId="5695" priority="57" stopIfTrue="1">
      <formula>LEN(TRIM(BG38))=0</formula>
    </cfRule>
  </conditionalFormatting>
  <conditionalFormatting sqref="BL38:BP49">
    <cfRule type="expression" dxfId="5694" priority="58" stopIfTrue="1">
      <formula>LEN(TRIM(BL38))=0</formula>
    </cfRule>
  </conditionalFormatting>
  <conditionalFormatting sqref="BQ38:BU49">
    <cfRule type="expression" dxfId="5693" priority="59" stopIfTrue="1">
      <formula>LEN(TRIM(BQ38))=0</formula>
    </cfRule>
  </conditionalFormatting>
  <conditionalFormatting sqref="BW38:CA49">
    <cfRule type="expression" dxfId="5692" priority="60" stopIfTrue="1">
      <formula>LEN(TRIM(BW38))=0</formula>
    </cfRule>
  </conditionalFormatting>
  <conditionalFormatting sqref="D51:H58">
    <cfRule type="expression" dxfId="5691" priority="61" stopIfTrue="1">
      <formula>LEN(TRIM(D51))=0</formula>
    </cfRule>
  </conditionalFormatting>
  <conditionalFormatting sqref="I51:M58">
    <cfRule type="expression" dxfId="5690" priority="62" stopIfTrue="1">
      <formula>LEN(TRIM(I51))=0</formula>
    </cfRule>
  </conditionalFormatting>
  <conditionalFormatting sqref="N51:R58">
    <cfRule type="expression" dxfId="5689" priority="63" stopIfTrue="1">
      <formula>LEN(TRIM(N51))=0</formula>
    </cfRule>
  </conditionalFormatting>
  <conditionalFormatting sqref="S51:W58">
    <cfRule type="expression" dxfId="5688" priority="64" stopIfTrue="1">
      <formula>LEN(TRIM(S51))=0</formula>
    </cfRule>
  </conditionalFormatting>
  <conditionalFormatting sqref="X51:AB58">
    <cfRule type="expression" dxfId="5687" priority="65" stopIfTrue="1">
      <formula>LEN(TRIM(X51))=0</formula>
    </cfRule>
  </conditionalFormatting>
  <conditionalFormatting sqref="AC51:AG58">
    <cfRule type="expression" dxfId="5686" priority="66" stopIfTrue="1">
      <formula>LEN(TRIM(AC51))=0</formula>
    </cfRule>
  </conditionalFormatting>
  <conditionalFormatting sqref="AH51:AL58">
    <cfRule type="expression" dxfId="5685" priority="67" stopIfTrue="1">
      <formula>LEN(TRIM(AH51))=0</formula>
    </cfRule>
  </conditionalFormatting>
  <conditionalFormatting sqref="AM51:AQ58">
    <cfRule type="expression" dxfId="5684" priority="68" stopIfTrue="1">
      <formula>LEN(TRIM(AM51))=0</formula>
    </cfRule>
  </conditionalFormatting>
  <conditionalFormatting sqref="AR51:AV58">
    <cfRule type="expression" dxfId="5683" priority="69" stopIfTrue="1">
      <formula>LEN(TRIM(AR51))=0</formula>
    </cfRule>
  </conditionalFormatting>
  <conditionalFormatting sqref="AW51:BA58">
    <cfRule type="expression" dxfId="5682" priority="70" stopIfTrue="1">
      <formula>LEN(TRIM(AW51))=0</formula>
    </cfRule>
  </conditionalFormatting>
  <conditionalFormatting sqref="BB51:BF58">
    <cfRule type="expression" dxfId="5681" priority="71" stopIfTrue="1">
      <formula>LEN(TRIM(BB51))=0</formula>
    </cfRule>
  </conditionalFormatting>
  <conditionalFormatting sqref="BG51:BK58">
    <cfRule type="expression" dxfId="5680" priority="72" stopIfTrue="1">
      <formula>LEN(TRIM(BG51))=0</formula>
    </cfRule>
  </conditionalFormatting>
  <conditionalFormatting sqref="BL51:BP58">
    <cfRule type="expression" dxfId="5679" priority="73" stopIfTrue="1">
      <formula>LEN(TRIM(BL51))=0</formula>
    </cfRule>
  </conditionalFormatting>
  <conditionalFormatting sqref="BQ51:BU58">
    <cfRule type="expression" dxfId="5678" priority="74" stopIfTrue="1">
      <formula>LEN(TRIM(BQ51))=0</formula>
    </cfRule>
  </conditionalFormatting>
  <conditionalFormatting sqref="BW51:CA58">
    <cfRule type="expression" dxfId="5677" priority="75" stopIfTrue="1">
      <formula>LEN(TRIM(BW51))=0</formula>
    </cfRule>
  </conditionalFormatting>
  <conditionalFormatting sqref="D60:H77">
    <cfRule type="expression" dxfId="5676" priority="76" stopIfTrue="1">
      <formula>LEN(TRIM(D60))=0</formula>
    </cfRule>
  </conditionalFormatting>
  <conditionalFormatting sqref="I60:M77">
    <cfRule type="expression" dxfId="5675" priority="77" stopIfTrue="1">
      <formula>LEN(TRIM(I60))=0</formula>
    </cfRule>
  </conditionalFormatting>
  <conditionalFormatting sqref="N60:R77">
    <cfRule type="expression" dxfId="5674" priority="78" stopIfTrue="1">
      <formula>LEN(TRIM(N60))=0</formula>
    </cfRule>
  </conditionalFormatting>
  <conditionalFormatting sqref="S60:W77">
    <cfRule type="expression" dxfId="5673" priority="79" stopIfTrue="1">
      <formula>LEN(TRIM(S60))=0</formula>
    </cfRule>
  </conditionalFormatting>
  <conditionalFormatting sqref="X60:AB77">
    <cfRule type="expression" dxfId="5672" priority="80" stopIfTrue="1">
      <formula>LEN(TRIM(X60))=0</formula>
    </cfRule>
  </conditionalFormatting>
  <conditionalFormatting sqref="AC60:AG77">
    <cfRule type="expression" dxfId="5671" priority="81" stopIfTrue="1">
      <formula>LEN(TRIM(AC60))=0</formula>
    </cfRule>
  </conditionalFormatting>
  <conditionalFormatting sqref="AH60:AL77">
    <cfRule type="expression" dxfId="5670" priority="82" stopIfTrue="1">
      <formula>LEN(TRIM(AH60))=0</formula>
    </cfRule>
  </conditionalFormatting>
  <conditionalFormatting sqref="AM60:AQ77">
    <cfRule type="expression" dxfId="5669" priority="83" stopIfTrue="1">
      <formula>LEN(TRIM(AM60))=0</formula>
    </cfRule>
  </conditionalFormatting>
  <conditionalFormatting sqref="AR60:AV77">
    <cfRule type="expression" dxfId="5668" priority="84" stopIfTrue="1">
      <formula>LEN(TRIM(AR60))=0</formula>
    </cfRule>
  </conditionalFormatting>
  <conditionalFormatting sqref="AW60:BA77">
    <cfRule type="expression" dxfId="5667" priority="85" stopIfTrue="1">
      <formula>LEN(TRIM(AW60))=0</formula>
    </cfRule>
  </conditionalFormatting>
  <conditionalFormatting sqref="BB60:BF77">
    <cfRule type="expression" dxfId="5666" priority="86" stopIfTrue="1">
      <formula>LEN(TRIM(BB60))=0</formula>
    </cfRule>
  </conditionalFormatting>
  <conditionalFormatting sqref="BG60:BK77">
    <cfRule type="expression" dxfId="5665" priority="87" stopIfTrue="1">
      <formula>LEN(TRIM(BG60))=0</formula>
    </cfRule>
  </conditionalFormatting>
  <conditionalFormatting sqref="BL60:BP77">
    <cfRule type="expression" dxfId="5664" priority="88" stopIfTrue="1">
      <formula>LEN(TRIM(BL60))=0</formula>
    </cfRule>
  </conditionalFormatting>
  <conditionalFormatting sqref="BQ60:BU77">
    <cfRule type="expression" dxfId="5663" priority="89" stopIfTrue="1">
      <formula>LEN(TRIM(BQ60))=0</formula>
    </cfRule>
  </conditionalFormatting>
  <conditionalFormatting sqref="BW60:CA77">
    <cfRule type="expression" dxfId="5662" priority="90" stopIfTrue="1">
      <formula>LEN(TRIM(BW60))=0</formula>
    </cfRule>
  </conditionalFormatting>
  <conditionalFormatting sqref="D79:H93">
    <cfRule type="expression" dxfId="5661" priority="91" stopIfTrue="1">
      <formula>LEN(TRIM(D79))=0</formula>
    </cfRule>
  </conditionalFormatting>
  <conditionalFormatting sqref="I79:M93">
    <cfRule type="expression" dxfId="5660" priority="92" stopIfTrue="1">
      <formula>LEN(TRIM(I79))=0</formula>
    </cfRule>
  </conditionalFormatting>
  <conditionalFormatting sqref="N79:R93">
    <cfRule type="expression" dxfId="5659" priority="93" stopIfTrue="1">
      <formula>LEN(TRIM(N79))=0</formula>
    </cfRule>
  </conditionalFormatting>
  <conditionalFormatting sqref="S79:W93">
    <cfRule type="expression" dxfId="5658" priority="94" stopIfTrue="1">
      <formula>LEN(TRIM(S79))=0</formula>
    </cfRule>
  </conditionalFormatting>
  <conditionalFormatting sqref="X79:AB93">
    <cfRule type="expression" dxfId="5657" priority="95" stopIfTrue="1">
      <formula>LEN(TRIM(X79))=0</formula>
    </cfRule>
  </conditionalFormatting>
  <conditionalFormatting sqref="AC79:AG93">
    <cfRule type="expression" dxfId="5656" priority="96" stopIfTrue="1">
      <formula>LEN(TRIM(AC79))=0</formula>
    </cfRule>
  </conditionalFormatting>
  <conditionalFormatting sqref="AH79:AL93">
    <cfRule type="expression" dxfId="5655" priority="97" stopIfTrue="1">
      <formula>LEN(TRIM(AH79))=0</formula>
    </cfRule>
  </conditionalFormatting>
  <conditionalFormatting sqref="AM79:AQ93">
    <cfRule type="expression" dxfId="5654" priority="98" stopIfTrue="1">
      <formula>LEN(TRIM(AM79))=0</formula>
    </cfRule>
  </conditionalFormatting>
  <conditionalFormatting sqref="AR79:AV93">
    <cfRule type="expression" dxfId="5653" priority="99" stopIfTrue="1">
      <formula>LEN(TRIM(AR79))=0</formula>
    </cfRule>
  </conditionalFormatting>
  <conditionalFormatting sqref="AW79:BA93">
    <cfRule type="expression" dxfId="5652" priority="100" stopIfTrue="1">
      <formula>LEN(TRIM(AW79))=0</formula>
    </cfRule>
  </conditionalFormatting>
  <conditionalFormatting sqref="BB79:BF93">
    <cfRule type="expression" dxfId="5651" priority="101" stopIfTrue="1">
      <formula>LEN(TRIM(BB79))=0</formula>
    </cfRule>
  </conditionalFormatting>
  <conditionalFormatting sqref="BG79:BK93">
    <cfRule type="expression" dxfId="5650" priority="102" stopIfTrue="1">
      <formula>LEN(TRIM(BG79))=0</formula>
    </cfRule>
  </conditionalFormatting>
  <conditionalFormatting sqref="BL79:BP93">
    <cfRule type="expression" dxfId="5649" priority="103" stopIfTrue="1">
      <formula>LEN(TRIM(BL79))=0</formula>
    </cfRule>
  </conditionalFormatting>
  <conditionalFormatting sqref="BQ79:BU93">
    <cfRule type="expression" dxfId="5648" priority="104" stopIfTrue="1">
      <formula>LEN(TRIM(BQ79))=0</formula>
    </cfRule>
  </conditionalFormatting>
  <conditionalFormatting sqref="BW79:CA93">
    <cfRule type="expression" dxfId="5647" priority="105" stopIfTrue="1">
      <formula>LEN(TRIM(BW79))=0</formula>
    </cfRule>
  </conditionalFormatting>
  <conditionalFormatting sqref="D95:H98">
    <cfRule type="expression" dxfId="5646" priority="106" stopIfTrue="1">
      <formula>LEN(TRIM(D95))=0</formula>
    </cfRule>
  </conditionalFormatting>
  <conditionalFormatting sqref="I95:M98">
    <cfRule type="expression" dxfId="5645" priority="107" stopIfTrue="1">
      <formula>LEN(TRIM(I95))=0</formula>
    </cfRule>
  </conditionalFormatting>
  <conditionalFormatting sqref="N95:R98">
    <cfRule type="expression" dxfId="5644" priority="108" stopIfTrue="1">
      <formula>LEN(TRIM(N95))=0</formula>
    </cfRule>
  </conditionalFormatting>
  <conditionalFormatting sqref="S95:W98">
    <cfRule type="expression" dxfId="5643" priority="109" stopIfTrue="1">
      <formula>LEN(TRIM(S95))=0</formula>
    </cfRule>
  </conditionalFormatting>
  <conditionalFormatting sqref="X95:AB98">
    <cfRule type="expression" dxfId="5642" priority="110" stopIfTrue="1">
      <formula>LEN(TRIM(X95))=0</formula>
    </cfRule>
  </conditionalFormatting>
  <conditionalFormatting sqref="AC95:AG98">
    <cfRule type="expression" dxfId="5641" priority="111" stopIfTrue="1">
      <formula>LEN(TRIM(AC95))=0</formula>
    </cfRule>
  </conditionalFormatting>
  <conditionalFormatting sqref="AH95:AL98">
    <cfRule type="expression" dxfId="5640" priority="112" stopIfTrue="1">
      <formula>LEN(TRIM(AH95))=0</formula>
    </cfRule>
  </conditionalFormatting>
  <conditionalFormatting sqref="AM95:AQ98">
    <cfRule type="expression" dxfId="5639" priority="113" stopIfTrue="1">
      <formula>LEN(TRIM(AM95))=0</formula>
    </cfRule>
  </conditionalFormatting>
  <conditionalFormatting sqref="AR95:AV98">
    <cfRule type="expression" dxfId="5638" priority="114" stopIfTrue="1">
      <formula>LEN(TRIM(AR95))=0</formula>
    </cfRule>
  </conditionalFormatting>
  <conditionalFormatting sqref="AW95:BA98">
    <cfRule type="expression" dxfId="5637" priority="115" stopIfTrue="1">
      <formula>LEN(TRIM(AW95))=0</formula>
    </cfRule>
  </conditionalFormatting>
  <conditionalFormatting sqref="BB95:BF98">
    <cfRule type="expression" dxfId="5636" priority="116" stopIfTrue="1">
      <formula>LEN(TRIM(BB95))=0</formula>
    </cfRule>
  </conditionalFormatting>
  <conditionalFormatting sqref="BG95:BK98">
    <cfRule type="expression" dxfId="5635" priority="117" stopIfTrue="1">
      <formula>LEN(TRIM(BG95))=0</formula>
    </cfRule>
  </conditionalFormatting>
  <conditionalFormatting sqref="BL95:BP98">
    <cfRule type="expression" dxfId="5634" priority="118" stopIfTrue="1">
      <formula>LEN(TRIM(BL95))=0</formula>
    </cfRule>
  </conditionalFormatting>
  <conditionalFormatting sqref="BQ95:BU98">
    <cfRule type="expression" dxfId="5633" priority="119" stopIfTrue="1">
      <formula>LEN(TRIM(BQ95))=0</formula>
    </cfRule>
  </conditionalFormatting>
  <conditionalFormatting sqref="BW95:CA98">
    <cfRule type="expression" dxfId="5632" priority="120" stopIfTrue="1">
      <formula>LEN(TRIM(BW95))=0</formula>
    </cfRule>
  </conditionalFormatting>
  <conditionalFormatting sqref="D101:H101">
    <cfRule type="expression" dxfId="5631" priority="121" stopIfTrue="1">
      <formula>LEN(TRIM(D101))=0</formula>
    </cfRule>
  </conditionalFormatting>
  <conditionalFormatting sqref="I101:M101">
    <cfRule type="expression" dxfId="5630" priority="122" stopIfTrue="1">
      <formula>LEN(TRIM(I101))=0</formula>
    </cfRule>
  </conditionalFormatting>
  <conditionalFormatting sqref="N101:R101">
    <cfRule type="expression" dxfId="5629" priority="123" stopIfTrue="1">
      <formula>LEN(TRIM(N101))=0</formula>
    </cfRule>
  </conditionalFormatting>
  <conditionalFormatting sqref="S101:W101">
    <cfRule type="expression" dxfId="5628" priority="124" stopIfTrue="1">
      <formula>LEN(TRIM(S101))=0</formula>
    </cfRule>
  </conditionalFormatting>
  <conditionalFormatting sqref="X101:AB101">
    <cfRule type="expression" dxfId="5627" priority="125" stopIfTrue="1">
      <formula>LEN(TRIM(X101))=0</formula>
    </cfRule>
  </conditionalFormatting>
  <conditionalFormatting sqref="AC101:AG101">
    <cfRule type="expression" dxfId="5626" priority="126" stopIfTrue="1">
      <formula>LEN(TRIM(AC101))=0</formula>
    </cfRule>
  </conditionalFormatting>
  <conditionalFormatting sqref="AH101:AL101">
    <cfRule type="expression" dxfId="5625" priority="127" stopIfTrue="1">
      <formula>LEN(TRIM(AH101))=0</formula>
    </cfRule>
  </conditionalFormatting>
  <conditionalFormatting sqref="AM101:AQ101">
    <cfRule type="expression" dxfId="5624" priority="128" stopIfTrue="1">
      <formula>LEN(TRIM(AM101))=0</formula>
    </cfRule>
  </conditionalFormatting>
  <conditionalFormatting sqref="AR101:AV101">
    <cfRule type="expression" dxfId="5623" priority="129" stopIfTrue="1">
      <formula>LEN(TRIM(AR101))=0</formula>
    </cfRule>
  </conditionalFormatting>
  <conditionalFormatting sqref="AW101:BA101">
    <cfRule type="expression" dxfId="5622" priority="130" stopIfTrue="1">
      <formula>LEN(TRIM(AW101))=0</formula>
    </cfRule>
  </conditionalFormatting>
  <conditionalFormatting sqref="BB101:BF101">
    <cfRule type="expression" dxfId="5621" priority="131" stopIfTrue="1">
      <formula>LEN(TRIM(BB101))=0</formula>
    </cfRule>
  </conditionalFormatting>
  <conditionalFormatting sqref="BG101:BK101">
    <cfRule type="expression" dxfId="5620" priority="132" stopIfTrue="1">
      <formula>LEN(TRIM(BG101))=0</formula>
    </cfRule>
  </conditionalFormatting>
  <conditionalFormatting sqref="BL101:BP101">
    <cfRule type="expression" dxfId="5619" priority="133" stopIfTrue="1">
      <formula>LEN(TRIM(BL101))=0</formula>
    </cfRule>
  </conditionalFormatting>
  <conditionalFormatting sqref="BQ101:BU101">
    <cfRule type="expression" dxfId="5618" priority="134" stopIfTrue="1">
      <formula>LEN(TRIM(BQ101))=0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DA110"/>
  <sheetViews>
    <sheetView showGridLines="0" zoomScale="70" zoomScaleNormal="70" workbookViewId="0">
      <pane xSplit="3" ySplit="3" topLeftCell="D4" activePane="bottomRight" state="frozenSplit"/>
      <selection pane="topRight" activeCell="D1" sqref="D1"/>
      <selection pane="bottomLeft" activeCell="A4" sqref="A4"/>
      <selection pane="bottomRight" activeCell="D4" sqref="D4"/>
    </sheetView>
  </sheetViews>
  <sheetFormatPr defaultRowHeight="15" x14ac:dyDescent="0.25"/>
  <cols>
    <col min="1" max="1" width="11.7109375" customWidth="1"/>
    <col min="2" max="2" width="6.5703125" customWidth="1"/>
    <col min="3" max="3" width="31.7109375" customWidth="1"/>
    <col min="4" max="87" width="3.85546875" customWidth="1"/>
    <col min="88" max="88" width="2.5703125" customWidth="1"/>
    <col min="89" max="93" width="3.85546875" customWidth="1"/>
    <col min="94" max="94" width="2.5703125" customWidth="1"/>
    <col min="95" max="99" width="3.85546875" customWidth="1"/>
    <col min="100" max="100" width="2.5703125" customWidth="1"/>
    <col min="101" max="105" width="3.85546875" customWidth="1"/>
  </cols>
  <sheetData>
    <row r="1" spans="1:105" ht="37.5" customHeight="1" thickTop="1" thickBot="1" x14ac:dyDescent="0.3">
      <c r="A1" s="424" t="s">
        <v>0</v>
      </c>
      <c r="B1" s="424"/>
      <c r="C1" s="425"/>
      <c r="D1" s="431" t="s">
        <v>230</v>
      </c>
      <c r="E1" s="432"/>
      <c r="F1" s="432"/>
      <c r="G1" s="432"/>
      <c r="H1" s="432"/>
      <c r="I1" s="432"/>
      <c r="J1" s="432"/>
      <c r="K1" s="432"/>
      <c r="L1" s="431" t="s">
        <v>231</v>
      </c>
      <c r="M1" s="432"/>
      <c r="N1" s="432"/>
      <c r="O1" s="432"/>
      <c r="P1" s="431" t="s">
        <v>232</v>
      </c>
      <c r="Q1" s="432"/>
      <c r="R1" s="432"/>
      <c r="S1" s="432"/>
      <c r="T1" s="432"/>
      <c r="U1" s="432"/>
      <c r="V1" s="432"/>
      <c r="W1" s="432"/>
      <c r="X1" s="432"/>
      <c r="Y1" s="432"/>
      <c r="Z1" s="432"/>
      <c r="AA1" s="432"/>
      <c r="AB1" s="432"/>
      <c r="AC1" s="432"/>
      <c r="AD1" s="432"/>
      <c r="AE1" s="432"/>
      <c r="AF1" s="432"/>
      <c r="AG1" s="432"/>
      <c r="AH1" s="432"/>
      <c r="AI1" s="432"/>
      <c r="AJ1" s="431" t="s">
        <v>233</v>
      </c>
      <c r="AK1" s="432"/>
      <c r="AL1" s="432"/>
      <c r="AM1" s="431" t="s">
        <v>234</v>
      </c>
      <c r="AN1" s="432"/>
      <c r="AO1" s="432"/>
      <c r="AP1" s="431" t="s">
        <v>235</v>
      </c>
      <c r="AQ1" s="432"/>
      <c r="AR1" s="432"/>
      <c r="AS1" s="432"/>
      <c r="AT1" s="432"/>
      <c r="AU1" s="431" t="s">
        <v>1</v>
      </c>
      <c r="AV1" s="432"/>
      <c r="AW1" s="432"/>
      <c r="AX1" s="432"/>
      <c r="AY1" s="432"/>
      <c r="AZ1" s="432"/>
      <c r="BA1" s="432"/>
      <c r="BB1" s="432"/>
      <c r="BC1" s="431" t="s">
        <v>131</v>
      </c>
      <c r="BD1" s="432"/>
      <c r="BE1" s="432"/>
      <c r="BF1" s="432"/>
      <c r="BG1" s="432"/>
      <c r="BH1" s="431" t="s">
        <v>3</v>
      </c>
      <c r="BI1" s="432"/>
      <c r="BJ1" s="432"/>
      <c r="BK1" s="431" t="s">
        <v>4</v>
      </c>
      <c r="BL1" s="432"/>
      <c r="BM1" s="432"/>
      <c r="BN1" s="432"/>
      <c r="BO1" s="431" t="s">
        <v>5</v>
      </c>
      <c r="BP1" s="432"/>
      <c r="BQ1" s="432"/>
      <c r="BR1" s="432"/>
      <c r="BS1" s="432"/>
      <c r="BT1" s="432"/>
      <c r="BU1" s="432"/>
      <c r="BV1" s="432"/>
      <c r="BW1" s="431" t="s">
        <v>6</v>
      </c>
      <c r="BX1" s="432"/>
      <c r="BY1" s="432"/>
      <c r="BZ1" s="432"/>
      <c r="CA1" s="432"/>
      <c r="CB1" s="432"/>
      <c r="CC1" s="431" t="s">
        <v>135</v>
      </c>
      <c r="CD1" s="432"/>
      <c r="CE1" s="432"/>
      <c r="CF1" s="431" t="s">
        <v>236</v>
      </c>
      <c r="CG1" s="432"/>
      <c r="CH1" s="432"/>
      <c r="CI1" s="433"/>
      <c r="CK1" s="431" t="s">
        <v>304</v>
      </c>
      <c r="CL1" s="432"/>
      <c r="CM1" s="432"/>
      <c r="CN1" s="432"/>
      <c r="CO1" s="433"/>
      <c r="CQ1" s="431" t="s">
        <v>223</v>
      </c>
      <c r="CR1" s="432"/>
      <c r="CS1" s="432"/>
      <c r="CT1" s="432"/>
      <c r="CU1" s="433"/>
      <c r="CW1" s="431" t="s">
        <v>305</v>
      </c>
      <c r="CX1" s="432"/>
      <c r="CY1" s="432"/>
      <c r="CZ1" s="432"/>
      <c r="DA1" s="433"/>
    </row>
    <row r="2" spans="1:105" ht="128.1" customHeight="1" thickTop="1" thickBot="1" x14ac:dyDescent="0.3">
      <c r="A2" s="4" t="s">
        <v>9</v>
      </c>
      <c r="B2" s="5"/>
      <c r="C2" s="231" t="s">
        <v>216</v>
      </c>
      <c r="D2" s="287" t="s">
        <v>241</v>
      </c>
      <c r="E2" s="288" t="s">
        <v>242</v>
      </c>
      <c r="F2" s="288" t="s">
        <v>238</v>
      </c>
      <c r="G2" s="288" t="s">
        <v>11</v>
      </c>
      <c r="H2" s="288" t="s">
        <v>10</v>
      </c>
      <c r="I2" s="288" t="s">
        <v>125</v>
      </c>
      <c r="J2" s="288" t="s">
        <v>12</v>
      </c>
      <c r="K2" s="293" t="s">
        <v>241</v>
      </c>
      <c r="L2" s="287" t="s">
        <v>13</v>
      </c>
      <c r="M2" s="288" t="s">
        <v>38</v>
      </c>
      <c r="N2" s="288" t="s">
        <v>243</v>
      </c>
      <c r="O2" s="293" t="s">
        <v>244</v>
      </c>
      <c r="P2" s="287" t="s">
        <v>35</v>
      </c>
      <c r="Q2" s="288" t="s">
        <v>18</v>
      </c>
      <c r="R2" s="288" t="s">
        <v>239</v>
      </c>
      <c r="S2" s="288" t="s">
        <v>28</v>
      </c>
      <c r="T2" s="288" t="s">
        <v>245</v>
      </c>
      <c r="U2" s="288" t="s">
        <v>246</v>
      </c>
      <c r="V2" s="288" t="s">
        <v>284</v>
      </c>
      <c r="W2" s="288" t="s">
        <v>248</v>
      </c>
      <c r="X2" s="288" t="s">
        <v>247</v>
      </c>
      <c r="Y2" s="288" t="s">
        <v>249</v>
      </c>
      <c r="Z2" s="288" t="s">
        <v>250</v>
      </c>
      <c r="AA2" s="288" t="s">
        <v>251</v>
      </c>
      <c r="AB2" s="288" t="s">
        <v>31</v>
      </c>
      <c r="AC2" s="288" t="s">
        <v>34</v>
      </c>
      <c r="AD2" s="288" t="s">
        <v>252</v>
      </c>
      <c r="AE2" s="288" t="s">
        <v>36</v>
      </c>
      <c r="AF2" s="288" t="s">
        <v>16</v>
      </c>
      <c r="AG2" s="288" t="s">
        <v>253</v>
      </c>
      <c r="AH2" s="288" t="s">
        <v>37</v>
      </c>
      <c r="AI2" s="293" t="s">
        <v>124</v>
      </c>
      <c r="AJ2" s="287" t="s">
        <v>254</v>
      </c>
      <c r="AK2" s="288" t="s">
        <v>255</v>
      </c>
      <c r="AL2" s="293" t="s">
        <v>256</v>
      </c>
      <c r="AM2" s="287" t="s">
        <v>257</v>
      </c>
      <c r="AN2" s="288" t="s">
        <v>22</v>
      </c>
      <c r="AO2" s="293" t="s">
        <v>258</v>
      </c>
      <c r="AP2" s="287" t="s">
        <v>262</v>
      </c>
      <c r="AQ2" s="288" t="s">
        <v>260</v>
      </c>
      <c r="AR2" s="288" t="s">
        <v>19</v>
      </c>
      <c r="AS2" s="288" t="s">
        <v>261</v>
      </c>
      <c r="AT2" s="293" t="s">
        <v>259</v>
      </c>
      <c r="AU2" s="287" t="s">
        <v>10</v>
      </c>
      <c r="AV2" s="288" t="s">
        <v>11</v>
      </c>
      <c r="AW2" s="288" t="s">
        <v>12</v>
      </c>
      <c r="AX2" s="288" t="s">
        <v>13</v>
      </c>
      <c r="AY2" s="288" t="s">
        <v>14</v>
      </c>
      <c r="AZ2" s="288" t="s">
        <v>125</v>
      </c>
      <c r="BA2" s="288" t="s">
        <v>121</v>
      </c>
      <c r="BB2" s="293" t="s">
        <v>15</v>
      </c>
      <c r="BC2" s="287" t="s">
        <v>16</v>
      </c>
      <c r="BD2" s="288" t="s">
        <v>17</v>
      </c>
      <c r="BE2" s="288" t="s">
        <v>18</v>
      </c>
      <c r="BF2" s="288" t="s">
        <v>19</v>
      </c>
      <c r="BG2" s="293" t="s">
        <v>20</v>
      </c>
      <c r="BH2" s="287" t="s">
        <v>21</v>
      </c>
      <c r="BI2" s="288" t="s">
        <v>22</v>
      </c>
      <c r="BJ2" s="293" t="s">
        <v>20</v>
      </c>
      <c r="BK2" s="287" t="s">
        <v>28</v>
      </c>
      <c r="BL2" s="288" t="s">
        <v>24</v>
      </c>
      <c r="BM2" s="288" t="s">
        <v>27</v>
      </c>
      <c r="BN2" s="293" t="s">
        <v>124</v>
      </c>
      <c r="BO2" s="287" t="s">
        <v>33</v>
      </c>
      <c r="BP2" s="288" t="s">
        <v>29</v>
      </c>
      <c r="BQ2" s="288" t="s">
        <v>30</v>
      </c>
      <c r="BR2" s="288" t="s">
        <v>181</v>
      </c>
      <c r="BS2" s="288" t="s">
        <v>26</v>
      </c>
      <c r="BT2" s="288" t="s">
        <v>31</v>
      </c>
      <c r="BU2" s="288" t="s">
        <v>32</v>
      </c>
      <c r="BV2" s="293" t="s">
        <v>23</v>
      </c>
      <c r="BW2" s="287" t="s">
        <v>34</v>
      </c>
      <c r="BX2" s="288" t="s">
        <v>25</v>
      </c>
      <c r="BY2" s="288" t="s">
        <v>35</v>
      </c>
      <c r="BZ2" s="288" t="s">
        <v>38</v>
      </c>
      <c r="CA2" s="288" t="s">
        <v>36</v>
      </c>
      <c r="CB2" s="293" t="s">
        <v>37</v>
      </c>
      <c r="CC2" s="287" t="s">
        <v>133</v>
      </c>
      <c r="CD2" s="288" t="s">
        <v>39</v>
      </c>
      <c r="CE2" s="293" t="s">
        <v>40</v>
      </c>
      <c r="CF2" s="287" t="s">
        <v>263</v>
      </c>
      <c r="CG2" s="288" t="s">
        <v>240</v>
      </c>
      <c r="CH2" s="288" t="s">
        <v>265</v>
      </c>
      <c r="CI2" s="289" t="s">
        <v>264</v>
      </c>
      <c r="CK2" s="304" t="s">
        <v>217</v>
      </c>
      <c r="CL2" s="305" t="s">
        <v>218</v>
      </c>
      <c r="CM2" s="306" t="s">
        <v>219</v>
      </c>
      <c r="CN2" s="307" t="s">
        <v>220</v>
      </c>
      <c r="CO2" s="308" t="s">
        <v>221</v>
      </c>
      <c r="CQ2" s="304" t="s">
        <v>217</v>
      </c>
      <c r="CR2" s="305" t="s">
        <v>218</v>
      </c>
      <c r="CS2" s="306" t="s">
        <v>219</v>
      </c>
      <c r="CT2" s="307" t="s">
        <v>220</v>
      </c>
      <c r="CU2" s="308" t="s">
        <v>221</v>
      </c>
      <c r="CW2" s="304" t="s">
        <v>217</v>
      </c>
      <c r="CX2" s="305" t="s">
        <v>218</v>
      </c>
      <c r="CY2" s="306" t="s">
        <v>219</v>
      </c>
      <c r="CZ2" s="307" t="s">
        <v>220</v>
      </c>
      <c r="DA2" s="308" t="s">
        <v>221</v>
      </c>
    </row>
    <row r="3" spans="1:105" ht="12.75" customHeight="1" thickTop="1" thickBot="1" x14ac:dyDescent="0.3">
      <c r="A3" s="5"/>
      <c r="B3" s="3"/>
      <c r="C3" s="100" t="s">
        <v>126</v>
      </c>
      <c r="D3" s="309" t="s">
        <v>139</v>
      </c>
      <c r="E3" s="309" t="s">
        <v>237</v>
      </c>
      <c r="F3" s="309" t="s">
        <v>237</v>
      </c>
      <c r="G3" s="309" t="s">
        <v>237</v>
      </c>
      <c r="H3" s="309" t="s">
        <v>237</v>
      </c>
      <c r="I3" s="309" t="s">
        <v>139</v>
      </c>
      <c r="J3" s="309" t="s">
        <v>237</v>
      </c>
      <c r="K3" s="309" t="s">
        <v>139</v>
      </c>
      <c r="L3" s="309" t="s">
        <v>237</v>
      </c>
      <c r="M3" s="309" t="s">
        <v>237</v>
      </c>
      <c r="N3" s="309" t="s">
        <v>237</v>
      </c>
      <c r="O3" s="309" t="s">
        <v>237</v>
      </c>
      <c r="P3" s="309" t="s">
        <v>237</v>
      </c>
      <c r="Q3" s="309" t="s">
        <v>237</v>
      </c>
      <c r="R3" s="309" t="s">
        <v>237</v>
      </c>
      <c r="S3" s="309" t="s">
        <v>237</v>
      </c>
      <c r="T3" s="309" t="s">
        <v>237</v>
      </c>
      <c r="U3" s="309" t="s">
        <v>139</v>
      </c>
      <c r="V3" s="309" t="s">
        <v>139</v>
      </c>
      <c r="W3" s="309" t="s">
        <v>139</v>
      </c>
      <c r="X3" s="309" t="s">
        <v>139</v>
      </c>
      <c r="Y3" s="309" t="s">
        <v>237</v>
      </c>
      <c r="Z3" s="309" t="s">
        <v>237</v>
      </c>
      <c r="AA3" s="309" t="s">
        <v>139</v>
      </c>
      <c r="AB3" s="309" t="s">
        <v>139</v>
      </c>
      <c r="AC3" s="309" t="s">
        <v>237</v>
      </c>
      <c r="AD3" s="309" t="s">
        <v>139</v>
      </c>
      <c r="AE3" s="309" t="s">
        <v>237</v>
      </c>
      <c r="AF3" s="309" t="s">
        <v>237</v>
      </c>
      <c r="AG3" s="309" t="s">
        <v>237</v>
      </c>
      <c r="AH3" s="309" t="s">
        <v>237</v>
      </c>
      <c r="AI3" s="309" t="s">
        <v>139</v>
      </c>
      <c r="AJ3" s="309" t="s">
        <v>237</v>
      </c>
      <c r="AK3" s="309" t="s">
        <v>139</v>
      </c>
      <c r="AL3" s="309" t="s">
        <v>139</v>
      </c>
      <c r="AM3" s="309" t="s">
        <v>237</v>
      </c>
      <c r="AN3" s="309" t="s">
        <v>237</v>
      </c>
      <c r="AO3" s="309" t="s">
        <v>139</v>
      </c>
      <c r="AP3" s="309" t="s">
        <v>139</v>
      </c>
      <c r="AQ3" s="309" t="s">
        <v>237</v>
      </c>
      <c r="AR3" s="309" t="s">
        <v>237</v>
      </c>
      <c r="AS3" s="309" t="s">
        <v>237</v>
      </c>
      <c r="AT3" s="309" t="s">
        <v>237</v>
      </c>
      <c r="AU3" s="309" t="s">
        <v>46</v>
      </c>
      <c r="AV3" s="309" t="s">
        <v>46</v>
      </c>
      <c r="AW3" s="309" t="s">
        <v>46</v>
      </c>
      <c r="AX3" s="309" t="s">
        <v>46</v>
      </c>
      <c r="AY3" s="309" t="s">
        <v>46</v>
      </c>
      <c r="AZ3" s="309" t="s">
        <v>47</v>
      </c>
      <c r="BA3" s="309" t="s">
        <v>47</v>
      </c>
      <c r="BB3" s="309" t="s">
        <v>47</v>
      </c>
      <c r="BC3" s="309" t="s">
        <v>46</v>
      </c>
      <c r="BD3" s="309" t="s">
        <v>46</v>
      </c>
      <c r="BE3" s="309" t="s">
        <v>46</v>
      </c>
      <c r="BF3" s="309" t="s">
        <v>46</v>
      </c>
      <c r="BG3" s="309" t="s">
        <v>46</v>
      </c>
      <c r="BH3" s="309" t="s">
        <v>46</v>
      </c>
      <c r="BI3" s="309" t="s">
        <v>46</v>
      </c>
      <c r="BJ3" s="309" t="s">
        <v>46</v>
      </c>
      <c r="BK3" s="309" t="s">
        <v>46</v>
      </c>
      <c r="BL3" s="309" t="s">
        <v>47</v>
      </c>
      <c r="BM3" s="309" t="s">
        <v>47</v>
      </c>
      <c r="BN3" s="309" t="s">
        <v>47</v>
      </c>
      <c r="BO3" s="309" t="s">
        <v>46</v>
      </c>
      <c r="BP3" s="309" t="s">
        <v>46</v>
      </c>
      <c r="BQ3" s="309" t="s">
        <v>46</v>
      </c>
      <c r="BR3" s="309" t="s">
        <v>47</v>
      </c>
      <c r="BS3" s="309" t="s">
        <v>47</v>
      </c>
      <c r="BT3" s="309" t="s">
        <v>47</v>
      </c>
      <c r="BU3" s="309" t="s">
        <v>47</v>
      </c>
      <c r="BV3" s="309" t="s">
        <v>47</v>
      </c>
      <c r="BW3" s="309" t="s">
        <v>46</v>
      </c>
      <c r="BX3" s="309" t="s">
        <v>46</v>
      </c>
      <c r="BY3" s="309" t="s">
        <v>46</v>
      </c>
      <c r="BZ3" s="309" t="s">
        <v>46</v>
      </c>
      <c r="CA3" s="309" t="s">
        <v>46</v>
      </c>
      <c r="CB3" s="309" t="s">
        <v>46</v>
      </c>
      <c r="CC3" s="309" t="s">
        <v>46</v>
      </c>
      <c r="CD3" s="309" t="s">
        <v>46</v>
      </c>
      <c r="CE3" s="309" t="s">
        <v>46</v>
      </c>
      <c r="CF3" s="309" t="s">
        <v>139</v>
      </c>
      <c r="CG3" s="309" t="s">
        <v>237</v>
      </c>
      <c r="CH3" s="309" t="s">
        <v>237</v>
      </c>
      <c r="CI3" s="309" t="s">
        <v>237</v>
      </c>
      <c r="CK3" s="303"/>
      <c r="CL3" s="303"/>
      <c r="CM3" s="303"/>
      <c r="CN3" s="303"/>
      <c r="CO3" s="303"/>
      <c r="CQ3" s="303"/>
      <c r="CR3" s="303"/>
      <c r="CS3" s="303"/>
      <c r="CT3" s="303"/>
      <c r="CU3" s="303"/>
      <c r="CW3" s="303"/>
      <c r="CX3" s="303"/>
      <c r="CY3" s="303"/>
      <c r="CZ3" s="303"/>
      <c r="DA3" s="303"/>
    </row>
    <row r="4" spans="1:105" ht="15.75" thickTop="1" x14ac:dyDescent="0.25">
      <c r="B4" s="434" t="s">
        <v>48</v>
      </c>
      <c r="C4" s="290" t="s">
        <v>49</v>
      </c>
      <c r="D4" s="310"/>
      <c r="E4" s="311"/>
      <c r="F4" s="311"/>
      <c r="G4" s="311"/>
      <c r="H4" s="311"/>
      <c r="I4" s="311"/>
      <c r="J4" s="311"/>
      <c r="K4" s="312"/>
      <c r="L4" s="310"/>
      <c r="M4" s="311"/>
      <c r="N4" s="311"/>
      <c r="O4" s="312"/>
      <c r="P4" s="310"/>
      <c r="Q4" s="311"/>
      <c r="R4" s="311"/>
      <c r="S4" s="311"/>
      <c r="T4" s="311"/>
      <c r="U4" s="311"/>
      <c r="V4" s="311"/>
      <c r="W4" s="311"/>
      <c r="X4" s="311"/>
      <c r="Y4" s="311"/>
      <c r="Z4" s="311"/>
      <c r="AA4" s="311"/>
      <c r="AB4" s="311"/>
      <c r="AC4" s="311"/>
      <c r="AD4" s="311"/>
      <c r="AE4" s="311"/>
      <c r="AF4" s="311"/>
      <c r="AG4" s="311"/>
      <c r="AH4" s="311"/>
      <c r="AI4" s="312"/>
      <c r="AJ4" s="310"/>
      <c r="AK4" s="311"/>
      <c r="AL4" s="312"/>
      <c r="AM4" s="310"/>
      <c r="AN4" s="311"/>
      <c r="AO4" s="312"/>
      <c r="AP4" s="310"/>
      <c r="AQ4" s="311"/>
      <c r="AR4" s="311"/>
      <c r="AS4" s="311"/>
      <c r="AT4" s="312"/>
      <c r="AU4" s="310" t="s">
        <v>148</v>
      </c>
      <c r="AV4" s="311" t="s">
        <v>148</v>
      </c>
      <c r="AW4" s="311" t="s">
        <v>150</v>
      </c>
      <c r="AX4" s="311" t="s">
        <v>147</v>
      </c>
      <c r="AY4" s="311" t="s">
        <v>147</v>
      </c>
      <c r="AZ4" s="311"/>
      <c r="BA4" s="311"/>
      <c r="BB4" s="312"/>
      <c r="BC4" s="310" t="s">
        <v>147</v>
      </c>
      <c r="BD4" s="311" t="s">
        <v>147</v>
      </c>
      <c r="BE4" s="311"/>
      <c r="BF4" s="311"/>
      <c r="BG4" s="312"/>
      <c r="BH4" s="310"/>
      <c r="BI4" s="311" t="s">
        <v>147</v>
      </c>
      <c r="BJ4" s="312"/>
      <c r="BK4" s="310"/>
      <c r="BL4" s="311" t="s">
        <v>147</v>
      </c>
      <c r="BM4" s="311"/>
      <c r="BN4" s="312" t="s">
        <v>147</v>
      </c>
      <c r="BO4" s="310" t="s">
        <v>150</v>
      </c>
      <c r="BP4" s="311" t="s">
        <v>148</v>
      </c>
      <c r="BQ4" s="311" t="s">
        <v>147</v>
      </c>
      <c r="BR4" s="311"/>
      <c r="BS4" s="311" t="s">
        <v>147</v>
      </c>
      <c r="BT4" s="311" t="s">
        <v>150</v>
      </c>
      <c r="BU4" s="311" t="s">
        <v>150</v>
      </c>
      <c r="BV4" s="312"/>
      <c r="BW4" s="310" t="s">
        <v>148</v>
      </c>
      <c r="BX4" s="311"/>
      <c r="BY4" s="311"/>
      <c r="BZ4" s="311" t="s">
        <v>147</v>
      </c>
      <c r="CA4" s="311"/>
      <c r="CB4" s="312"/>
      <c r="CC4" s="310"/>
      <c r="CD4" s="311"/>
      <c r="CE4" s="312"/>
      <c r="CF4" s="310"/>
      <c r="CG4" s="311"/>
      <c r="CH4" s="311"/>
      <c r="CI4" s="313"/>
      <c r="CK4" s="233" t="str">
        <f t="shared" ref="CK4:CK16" si="0">IF(COUNTIF(D4:CI4,"o")&gt;0,COUNTIF(D4:CI4,"o"),"")</f>
        <v/>
      </c>
      <c r="CL4" s="234">
        <f t="shared" ref="CL4:CL16" si="1">IF(COUNTIF(D4:CI4,"j")&gt;0,COUNTIF(D4:CI4,"j"),"")</f>
        <v>10</v>
      </c>
      <c r="CM4" s="234">
        <f t="shared" ref="CM4:CM16" si="2">IF(COUNTIF(D4:CI4,"m")&gt;0,COUNTIF(D4:CI4,"m"),"")</f>
        <v>4</v>
      </c>
      <c r="CN4" s="234">
        <f t="shared" ref="CN4:CN16" si="3">IF(COUNTIF(D4:CI4,"s")&gt;0,COUNTIF(D4:CI4,"s"),"")</f>
        <v>4</v>
      </c>
      <c r="CO4" s="235" t="str">
        <f t="shared" ref="CO4:CO16" si="4">IF(COUNTIF(D4:CI4,"e")&gt;0,COUNTIF(D4:CI4,"e"),"")</f>
        <v/>
      </c>
      <c r="CQ4" s="233" t="str">
        <f>desired_skills(C4,"Systemen/Oracle","o")</f>
        <v>1</v>
      </c>
      <c r="CR4" s="234" t="str">
        <f>desired_skills(C4,"Systemen/Oracle","j")</f>
        <v/>
      </c>
      <c r="CS4" s="234" t="str">
        <f>desired_skills(C4,"Systemen/Oracle","m")</f>
        <v/>
      </c>
      <c r="CT4" s="234" t="str">
        <f>desired_skills(C4,"Systemen/Oracle","s")</f>
        <v/>
      </c>
      <c r="CU4" s="235" t="str">
        <f>desired_skills(C4,"Systemen/Oracle","e")</f>
        <v/>
      </c>
      <c r="CW4" s="233" t="str">
        <f>calc_gap('Matrix 171007_1818'!$CK$4,'Matrix 171007_1818'!$CQ$4)</f>
        <v/>
      </c>
      <c r="CX4" s="234" t="str">
        <f>calc_gap('Matrix 171007_1818'!$CL$4,'Matrix 171007_1818'!$CR$4)</f>
        <v/>
      </c>
      <c r="CY4" s="234" t="str">
        <f>calc_gap('Matrix 171007_1818'!$CM$4,'Matrix 171007_1818'!$CS$4)</f>
        <v/>
      </c>
      <c r="CZ4" s="234" t="str">
        <f>calc_gap('Matrix 171007_1818'!$CN$4,'Matrix 171007_1818'!$CT$4)</f>
        <v/>
      </c>
      <c r="DA4" s="235" t="str">
        <f>calc_gap('Matrix 171007_1818'!$CO$4,'Matrix 171007_1818'!$CU$4)</f>
        <v/>
      </c>
    </row>
    <row r="5" spans="1:105" x14ac:dyDescent="0.25">
      <c r="B5" s="435"/>
      <c r="C5" s="291" t="s">
        <v>54</v>
      </c>
      <c r="D5" s="314"/>
      <c r="E5" s="315"/>
      <c r="F5" s="315"/>
      <c r="G5" s="315"/>
      <c r="H5" s="315"/>
      <c r="I5" s="315"/>
      <c r="J5" s="315"/>
      <c r="K5" s="316"/>
      <c r="L5" s="314"/>
      <c r="M5" s="315"/>
      <c r="N5" s="315"/>
      <c r="O5" s="316"/>
      <c r="P5" s="314"/>
      <c r="Q5" s="315"/>
      <c r="R5" s="315"/>
      <c r="S5" s="315"/>
      <c r="T5" s="315"/>
      <c r="U5" s="315"/>
      <c r="V5" s="315"/>
      <c r="W5" s="315"/>
      <c r="X5" s="315"/>
      <c r="Y5" s="315"/>
      <c r="Z5" s="315"/>
      <c r="AA5" s="315"/>
      <c r="AB5" s="315"/>
      <c r="AC5" s="315"/>
      <c r="AD5" s="315"/>
      <c r="AE5" s="315"/>
      <c r="AF5" s="315"/>
      <c r="AG5" s="315"/>
      <c r="AH5" s="315"/>
      <c r="AI5" s="316"/>
      <c r="AJ5" s="314"/>
      <c r="AK5" s="315"/>
      <c r="AL5" s="316"/>
      <c r="AM5" s="314"/>
      <c r="AN5" s="315"/>
      <c r="AO5" s="316"/>
      <c r="AP5" s="314"/>
      <c r="AQ5" s="315"/>
      <c r="AR5" s="315"/>
      <c r="AS5" s="315"/>
      <c r="AT5" s="316"/>
      <c r="AU5" s="314" t="s">
        <v>148</v>
      </c>
      <c r="AV5" s="315" t="s">
        <v>150</v>
      </c>
      <c r="AW5" s="315" t="s">
        <v>150</v>
      </c>
      <c r="AX5" s="315" t="s">
        <v>148</v>
      </c>
      <c r="AY5" s="315" t="s">
        <v>148</v>
      </c>
      <c r="AZ5" s="315"/>
      <c r="BA5" s="315"/>
      <c r="BB5" s="316" t="s">
        <v>147</v>
      </c>
      <c r="BC5" s="314" t="s">
        <v>147</v>
      </c>
      <c r="BD5" s="315" t="s">
        <v>147</v>
      </c>
      <c r="BE5" s="315"/>
      <c r="BF5" s="315"/>
      <c r="BG5" s="316"/>
      <c r="BH5" s="314"/>
      <c r="BI5" s="315"/>
      <c r="BJ5" s="316"/>
      <c r="BK5" s="314" t="s">
        <v>148</v>
      </c>
      <c r="BL5" s="315" t="s">
        <v>147</v>
      </c>
      <c r="BM5" s="315"/>
      <c r="BN5" s="316" t="s">
        <v>147</v>
      </c>
      <c r="BO5" s="314" t="s">
        <v>150</v>
      </c>
      <c r="BP5" s="315" t="s">
        <v>150</v>
      </c>
      <c r="BQ5" s="315" t="s">
        <v>148</v>
      </c>
      <c r="BR5" s="315"/>
      <c r="BS5" s="315" t="s">
        <v>147</v>
      </c>
      <c r="BT5" s="315" t="s">
        <v>150</v>
      </c>
      <c r="BU5" s="315" t="s">
        <v>150</v>
      </c>
      <c r="BV5" s="316"/>
      <c r="BW5" s="314" t="s">
        <v>150</v>
      </c>
      <c r="BX5" s="315" t="s">
        <v>148</v>
      </c>
      <c r="BY5" s="315" t="s">
        <v>150</v>
      </c>
      <c r="BZ5" s="315" t="s">
        <v>150</v>
      </c>
      <c r="CA5" s="315" t="s">
        <v>150</v>
      </c>
      <c r="CB5" s="316" t="s">
        <v>150</v>
      </c>
      <c r="CC5" s="314" t="s">
        <v>148</v>
      </c>
      <c r="CD5" s="315"/>
      <c r="CE5" s="316"/>
      <c r="CF5" s="314"/>
      <c r="CG5" s="315"/>
      <c r="CH5" s="315"/>
      <c r="CI5" s="317"/>
      <c r="CK5" s="236" t="str">
        <f t="shared" si="0"/>
        <v/>
      </c>
      <c r="CL5" s="237">
        <f t="shared" si="1"/>
        <v>6</v>
      </c>
      <c r="CM5" s="237">
        <f t="shared" si="2"/>
        <v>7</v>
      </c>
      <c r="CN5" s="237">
        <f t="shared" si="3"/>
        <v>11</v>
      </c>
      <c r="CO5" s="238" t="str">
        <f t="shared" si="4"/>
        <v/>
      </c>
      <c r="CQ5" s="236" t="str">
        <f>desired_skills(C5,"Systemen/OBIP","o")</f>
        <v/>
      </c>
      <c r="CR5" s="237" t="str">
        <f>desired_skills(C5,"Systemen/OBIP","j")</f>
        <v>2</v>
      </c>
      <c r="CS5" s="237" t="str">
        <f>desired_skills(C5,"Systemen/OBIP","m")</f>
        <v/>
      </c>
      <c r="CT5" s="237" t="str">
        <f>desired_skills(C5,"Systemen/OBIP","s")</f>
        <v/>
      </c>
      <c r="CU5" s="238" t="str">
        <f>desired_skills(C5,"Systemen/OBIP","e")</f>
        <v/>
      </c>
      <c r="CW5" s="236" t="str">
        <f>calc_gap('Matrix 171007_1818'!$CK$5,'Matrix 171007_1818'!$CQ$5)</f>
        <v/>
      </c>
      <c r="CX5" s="237" t="str">
        <f>calc_gap('Matrix 171007_1818'!$CL$5,'Matrix 171007_1818'!$CR$5)</f>
        <v>-4</v>
      </c>
      <c r="CY5" s="237" t="str">
        <f>calc_gap('Matrix 171007_1818'!$CM$5,'Matrix 171007_1818'!$CS$5)</f>
        <v/>
      </c>
      <c r="CZ5" s="237" t="str">
        <f>calc_gap('Matrix 171007_1818'!$CN$5,'Matrix 171007_1818'!$CT$5)</f>
        <v/>
      </c>
      <c r="DA5" s="238" t="str">
        <f>calc_gap('Matrix 171007_1818'!$CO$5,'Matrix 171007_1818'!$CU$5)</f>
        <v/>
      </c>
    </row>
    <row r="6" spans="1:105" x14ac:dyDescent="0.25">
      <c r="B6" s="435"/>
      <c r="C6" s="291" t="s">
        <v>51</v>
      </c>
      <c r="D6" s="314"/>
      <c r="E6" s="315"/>
      <c r="F6" s="315"/>
      <c r="G6" s="315"/>
      <c r="H6" s="315"/>
      <c r="I6" s="315"/>
      <c r="J6" s="315"/>
      <c r="K6" s="316"/>
      <c r="L6" s="314"/>
      <c r="M6" s="315"/>
      <c r="N6" s="315"/>
      <c r="O6" s="316"/>
      <c r="P6" s="314"/>
      <c r="Q6" s="315"/>
      <c r="R6" s="315"/>
      <c r="S6" s="315"/>
      <c r="T6" s="315"/>
      <c r="U6" s="315"/>
      <c r="V6" s="315"/>
      <c r="W6" s="315"/>
      <c r="X6" s="315"/>
      <c r="Y6" s="315"/>
      <c r="Z6" s="315"/>
      <c r="AA6" s="315"/>
      <c r="AB6" s="315"/>
      <c r="AC6" s="315"/>
      <c r="AD6" s="315"/>
      <c r="AE6" s="315"/>
      <c r="AF6" s="315"/>
      <c r="AG6" s="315"/>
      <c r="AH6" s="315"/>
      <c r="AI6" s="316"/>
      <c r="AJ6" s="314"/>
      <c r="AK6" s="315"/>
      <c r="AL6" s="316"/>
      <c r="AM6" s="314"/>
      <c r="AN6" s="315"/>
      <c r="AO6" s="316"/>
      <c r="AP6" s="314"/>
      <c r="AQ6" s="315"/>
      <c r="AR6" s="315"/>
      <c r="AS6" s="315"/>
      <c r="AT6" s="316"/>
      <c r="AU6" s="314" t="s">
        <v>148</v>
      </c>
      <c r="AV6" s="315" t="s">
        <v>148</v>
      </c>
      <c r="AW6" s="315" t="s">
        <v>149</v>
      </c>
      <c r="AX6" s="315" t="s">
        <v>148</v>
      </c>
      <c r="AY6" s="315" t="s">
        <v>147</v>
      </c>
      <c r="AZ6" s="315"/>
      <c r="BA6" s="315"/>
      <c r="BB6" s="316" t="s">
        <v>147</v>
      </c>
      <c r="BC6" s="314" t="s">
        <v>149</v>
      </c>
      <c r="BD6" s="315" t="s">
        <v>148</v>
      </c>
      <c r="BE6" s="315"/>
      <c r="BF6" s="315"/>
      <c r="BG6" s="316"/>
      <c r="BH6" s="314"/>
      <c r="BI6" s="315"/>
      <c r="BJ6" s="316"/>
      <c r="BK6" s="314" t="s">
        <v>47</v>
      </c>
      <c r="BL6" s="315" t="s">
        <v>148</v>
      </c>
      <c r="BM6" s="315"/>
      <c r="BN6" s="316" t="s">
        <v>148</v>
      </c>
      <c r="BO6" s="314" t="s">
        <v>150</v>
      </c>
      <c r="BP6" s="315" t="s">
        <v>47</v>
      </c>
      <c r="BQ6" s="315" t="s">
        <v>148</v>
      </c>
      <c r="BR6" s="315"/>
      <c r="BS6" s="315" t="s">
        <v>147</v>
      </c>
      <c r="BT6" s="315" t="s">
        <v>148</v>
      </c>
      <c r="BU6" s="315" t="s">
        <v>150</v>
      </c>
      <c r="BV6" s="316"/>
      <c r="BW6" s="314" t="s">
        <v>47</v>
      </c>
      <c r="BX6" s="315" t="s">
        <v>148</v>
      </c>
      <c r="BY6" s="315" t="s">
        <v>150</v>
      </c>
      <c r="BZ6" s="315" t="s">
        <v>47</v>
      </c>
      <c r="CA6" s="315" t="s">
        <v>150</v>
      </c>
      <c r="CB6" s="316" t="s">
        <v>150</v>
      </c>
      <c r="CC6" s="314" t="s">
        <v>150</v>
      </c>
      <c r="CD6" s="315" t="s">
        <v>148</v>
      </c>
      <c r="CE6" s="316"/>
      <c r="CF6" s="314"/>
      <c r="CG6" s="315"/>
      <c r="CH6" s="315"/>
      <c r="CI6" s="317"/>
      <c r="CK6" s="236">
        <f t="shared" si="0"/>
        <v>2</v>
      </c>
      <c r="CL6" s="237">
        <f t="shared" si="1"/>
        <v>3</v>
      </c>
      <c r="CM6" s="237">
        <f t="shared" si="2"/>
        <v>10</v>
      </c>
      <c r="CN6" s="237">
        <f t="shared" si="3"/>
        <v>6</v>
      </c>
      <c r="CO6" s="238">
        <f t="shared" si="4"/>
        <v>4</v>
      </c>
      <c r="CQ6" s="236" t="str">
        <f>desired_skills(C6,"Systemen/Raboshop","o")</f>
        <v/>
      </c>
      <c r="CR6" s="237" t="str">
        <f>desired_skills(C6,"Systemen/Raboshop","j")</f>
        <v/>
      </c>
      <c r="CS6" s="237" t="str">
        <f>desired_skills(C6,"Systemen/Raboshop","m")</f>
        <v>3</v>
      </c>
      <c r="CT6" s="237" t="str">
        <f>desired_skills(C6,"Systemen/Raboshop","s")</f>
        <v/>
      </c>
      <c r="CU6" s="238" t="str">
        <f>desired_skills(C6,"Systemen/Raboshop","e")</f>
        <v/>
      </c>
      <c r="CW6" s="236" t="str">
        <f>calc_gap('Matrix 171007_1818'!$CK$6,'Matrix 171007_1818'!$CQ$6)</f>
        <v/>
      </c>
      <c r="CX6" s="237" t="str">
        <f>calc_gap('Matrix 171007_1818'!$CL$6,'Matrix 171007_1818'!$CR$6)</f>
        <v/>
      </c>
      <c r="CY6" s="237" t="str">
        <f>calc_gap('Matrix 171007_1818'!$CM$6,'Matrix 171007_1818'!$CS$6)</f>
        <v>-7</v>
      </c>
      <c r="CZ6" s="237" t="str">
        <f>calc_gap('Matrix 171007_1818'!$CN$6,'Matrix 171007_1818'!$CT$6)</f>
        <v/>
      </c>
      <c r="DA6" s="238" t="str">
        <f>calc_gap('Matrix 171007_1818'!$CO$6,'Matrix 171007_1818'!$CU$6)</f>
        <v/>
      </c>
    </row>
    <row r="7" spans="1:105" x14ac:dyDescent="0.25">
      <c r="B7" s="435"/>
      <c r="C7" s="291" t="s">
        <v>52</v>
      </c>
      <c r="D7" s="314"/>
      <c r="E7" s="315"/>
      <c r="F7" s="315"/>
      <c r="G7" s="315"/>
      <c r="H7" s="315"/>
      <c r="I7" s="315"/>
      <c r="J7" s="315"/>
      <c r="K7" s="316"/>
      <c r="L7" s="314"/>
      <c r="M7" s="315"/>
      <c r="N7" s="315"/>
      <c r="O7" s="316"/>
      <c r="P7" s="314"/>
      <c r="Q7" s="315"/>
      <c r="R7" s="315"/>
      <c r="S7" s="315"/>
      <c r="T7" s="315"/>
      <c r="U7" s="315"/>
      <c r="V7" s="315"/>
      <c r="W7" s="315"/>
      <c r="X7" s="315"/>
      <c r="Y7" s="315"/>
      <c r="Z7" s="315"/>
      <c r="AA7" s="315"/>
      <c r="AB7" s="315"/>
      <c r="AC7" s="315"/>
      <c r="AD7" s="315"/>
      <c r="AE7" s="315"/>
      <c r="AF7" s="315"/>
      <c r="AG7" s="315"/>
      <c r="AH7" s="315"/>
      <c r="AI7" s="316"/>
      <c r="AJ7" s="314"/>
      <c r="AK7" s="315"/>
      <c r="AL7" s="316"/>
      <c r="AM7" s="314"/>
      <c r="AN7" s="315"/>
      <c r="AO7" s="316"/>
      <c r="AP7" s="314"/>
      <c r="AQ7" s="315"/>
      <c r="AR7" s="315"/>
      <c r="AS7" s="315"/>
      <c r="AT7" s="316"/>
      <c r="AU7" s="314" t="s">
        <v>148</v>
      </c>
      <c r="AV7" s="315" t="s">
        <v>148</v>
      </c>
      <c r="AW7" s="315" t="s">
        <v>149</v>
      </c>
      <c r="AX7" s="315" t="s">
        <v>147</v>
      </c>
      <c r="AY7" s="315" t="s">
        <v>147</v>
      </c>
      <c r="AZ7" s="315"/>
      <c r="BA7" s="315"/>
      <c r="BB7" s="316"/>
      <c r="BC7" s="314" t="s">
        <v>149</v>
      </c>
      <c r="BD7" s="315" t="s">
        <v>150</v>
      </c>
      <c r="BE7" s="315"/>
      <c r="BF7" s="315"/>
      <c r="BG7" s="316"/>
      <c r="BH7" s="314"/>
      <c r="BI7" s="315"/>
      <c r="BJ7" s="316"/>
      <c r="BK7" s="314" t="s">
        <v>150</v>
      </c>
      <c r="BL7" s="315" t="s">
        <v>148</v>
      </c>
      <c r="BM7" s="315"/>
      <c r="BN7" s="316" t="s">
        <v>147</v>
      </c>
      <c r="BO7" s="314" t="s">
        <v>150</v>
      </c>
      <c r="BP7" s="315" t="s">
        <v>47</v>
      </c>
      <c r="BQ7" s="315" t="s">
        <v>148</v>
      </c>
      <c r="BR7" s="315"/>
      <c r="BS7" s="315" t="s">
        <v>147</v>
      </c>
      <c r="BT7" s="315" t="s">
        <v>148</v>
      </c>
      <c r="BU7" s="315" t="s">
        <v>150</v>
      </c>
      <c r="BV7" s="316"/>
      <c r="BW7" s="314" t="s">
        <v>47</v>
      </c>
      <c r="BX7" s="315" t="s">
        <v>147</v>
      </c>
      <c r="BY7" s="315" t="s">
        <v>147</v>
      </c>
      <c r="BZ7" s="315" t="s">
        <v>47</v>
      </c>
      <c r="CA7" s="315" t="s">
        <v>147</v>
      </c>
      <c r="CB7" s="316" t="s">
        <v>147</v>
      </c>
      <c r="CC7" s="314" t="s">
        <v>147</v>
      </c>
      <c r="CD7" s="315"/>
      <c r="CE7" s="316"/>
      <c r="CF7" s="314"/>
      <c r="CG7" s="315"/>
      <c r="CH7" s="315"/>
      <c r="CI7" s="317"/>
      <c r="CK7" s="236">
        <f t="shared" si="0"/>
        <v>2</v>
      </c>
      <c r="CL7" s="237">
        <f t="shared" si="1"/>
        <v>9</v>
      </c>
      <c r="CM7" s="237">
        <f t="shared" si="2"/>
        <v>5</v>
      </c>
      <c r="CN7" s="237">
        <f t="shared" si="3"/>
        <v>4</v>
      </c>
      <c r="CO7" s="238">
        <f t="shared" si="4"/>
        <v>3</v>
      </c>
      <c r="CQ7" s="236" t="str">
        <f>desired_skills(C7,"Systemen/HP Servicemanager","o")</f>
        <v/>
      </c>
      <c r="CR7" s="237" t="str">
        <f>desired_skills(C7,"Systemen/HP Servicemanager","j")</f>
        <v/>
      </c>
      <c r="CS7" s="237" t="str">
        <f>desired_skills(C7,"Systemen/HP Servicemanager","m")</f>
        <v/>
      </c>
      <c r="CT7" s="237" t="str">
        <f>desired_skills(C7,"Systemen/HP Servicemanager","s")</f>
        <v>4</v>
      </c>
      <c r="CU7" s="238" t="str">
        <f>desired_skills(C7,"Systemen/HP Servicemanager","e")</f>
        <v/>
      </c>
      <c r="CW7" s="236" t="str">
        <f>calc_gap('Matrix 171007_1818'!$CK$7,'Matrix 171007_1818'!$CQ$7)</f>
        <v/>
      </c>
      <c r="CX7" s="237" t="str">
        <f>calc_gap('Matrix 171007_1818'!$CL$7,'Matrix 171007_1818'!$CR$7)</f>
        <v/>
      </c>
      <c r="CY7" s="237" t="str">
        <f>calc_gap('Matrix 171007_1818'!$CM$7,'Matrix 171007_1818'!$CS$7)</f>
        <v/>
      </c>
      <c r="CZ7" s="237" t="str">
        <f>calc_gap('Matrix 171007_1818'!$CN$7,'Matrix 171007_1818'!$CT$7)</f>
        <v>0</v>
      </c>
      <c r="DA7" s="238" t="str">
        <f>calc_gap('Matrix 171007_1818'!$CO$7,'Matrix 171007_1818'!$CU$7)</f>
        <v/>
      </c>
    </row>
    <row r="8" spans="1:105" x14ac:dyDescent="0.25">
      <c r="B8" s="435"/>
      <c r="C8" s="291" t="s">
        <v>53</v>
      </c>
      <c r="D8" s="314"/>
      <c r="E8" s="315"/>
      <c r="F8" s="315"/>
      <c r="G8" s="315"/>
      <c r="H8" s="315"/>
      <c r="I8" s="315"/>
      <c r="J8" s="315"/>
      <c r="K8" s="316"/>
      <c r="L8" s="314"/>
      <c r="M8" s="315"/>
      <c r="N8" s="315"/>
      <c r="O8" s="316"/>
      <c r="P8" s="314"/>
      <c r="Q8" s="315"/>
      <c r="R8" s="315"/>
      <c r="S8" s="315"/>
      <c r="T8" s="315"/>
      <c r="U8" s="315"/>
      <c r="V8" s="315"/>
      <c r="W8" s="315"/>
      <c r="X8" s="315"/>
      <c r="Y8" s="315"/>
      <c r="Z8" s="315"/>
      <c r="AA8" s="315"/>
      <c r="AB8" s="315"/>
      <c r="AC8" s="315"/>
      <c r="AD8" s="315"/>
      <c r="AE8" s="315"/>
      <c r="AF8" s="315"/>
      <c r="AG8" s="315"/>
      <c r="AH8" s="315"/>
      <c r="AI8" s="316"/>
      <c r="AJ8" s="314"/>
      <c r="AK8" s="315"/>
      <c r="AL8" s="316"/>
      <c r="AM8" s="314"/>
      <c r="AN8" s="315"/>
      <c r="AO8" s="316"/>
      <c r="AP8" s="314"/>
      <c r="AQ8" s="315"/>
      <c r="AR8" s="315"/>
      <c r="AS8" s="315"/>
      <c r="AT8" s="316"/>
      <c r="AU8" s="314" t="s">
        <v>148</v>
      </c>
      <c r="AV8" s="315" t="s">
        <v>147</v>
      </c>
      <c r="AW8" s="315" t="s">
        <v>149</v>
      </c>
      <c r="AX8" s="315" t="s">
        <v>147</v>
      </c>
      <c r="AY8" s="315" t="s">
        <v>147</v>
      </c>
      <c r="AZ8" s="315"/>
      <c r="BA8" s="315"/>
      <c r="BB8" s="316" t="s">
        <v>147</v>
      </c>
      <c r="BC8" s="314" t="s">
        <v>149</v>
      </c>
      <c r="BD8" s="315"/>
      <c r="BE8" s="315"/>
      <c r="BF8" s="315"/>
      <c r="BG8" s="316"/>
      <c r="BH8" s="314"/>
      <c r="BI8" s="315"/>
      <c r="BJ8" s="316"/>
      <c r="BK8" s="314" t="s">
        <v>147</v>
      </c>
      <c r="BL8" s="315" t="s">
        <v>147</v>
      </c>
      <c r="BM8" s="315"/>
      <c r="BN8" s="316" t="s">
        <v>147</v>
      </c>
      <c r="BO8" s="314"/>
      <c r="BP8" s="315"/>
      <c r="BQ8" s="315"/>
      <c r="BR8" s="315"/>
      <c r="BS8" s="315"/>
      <c r="BT8" s="315"/>
      <c r="BU8" s="315" t="s">
        <v>150</v>
      </c>
      <c r="BV8" s="316"/>
      <c r="BW8" s="314" t="s">
        <v>149</v>
      </c>
      <c r="BX8" s="315"/>
      <c r="BY8" s="315"/>
      <c r="BZ8" s="315" t="s">
        <v>150</v>
      </c>
      <c r="CA8" s="315"/>
      <c r="CB8" s="316"/>
      <c r="CC8" s="314" t="s">
        <v>147</v>
      </c>
      <c r="CD8" s="315"/>
      <c r="CE8" s="316"/>
      <c r="CF8" s="314"/>
      <c r="CG8" s="315"/>
      <c r="CH8" s="315"/>
      <c r="CI8" s="317"/>
      <c r="CK8" s="236">
        <f t="shared" si="0"/>
        <v>3</v>
      </c>
      <c r="CL8" s="237">
        <f t="shared" si="1"/>
        <v>8</v>
      </c>
      <c r="CM8" s="237">
        <f t="shared" si="2"/>
        <v>1</v>
      </c>
      <c r="CN8" s="237">
        <f t="shared" si="3"/>
        <v>2</v>
      </c>
      <c r="CO8" s="238" t="str">
        <f t="shared" si="4"/>
        <v/>
      </c>
      <c r="CQ8" s="236" t="str">
        <f>desired_skills(C8,"Systemen/IT Shop","o")</f>
        <v/>
      </c>
      <c r="CR8" s="237" t="str">
        <f>desired_skills(C8,"Systemen/IT Shop","j")</f>
        <v/>
      </c>
      <c r="CS8" s="237" t="str">
        <f>desired_skills(C8,"Systemen/IT Shop","m")</f>
        <v/>
      </c>
      <c r="CT8" s="237" t="str">
        <f>desired_skills(C8,"Systemen/IT Shop","s")</f>
        <v/>
      </c>
      <c r="CU8" s="238" t="str">
        <f>desired_skills(C8,"Systemen/IT Shop","e")</f>
        <v>5</v>
      </c>
      <c r="CW8" s="236" t="str">
        <f>calc_gap('Matrix 171007_1818'!$CK$8,'Matrix 171007_1818'!$CQ$8)</f>
        <v/>
      </c>
      <c r="CX8" s="237" t="str">
        <f>calc_gap('Matrix 171007_1818'!$CL$8,'Matrix 171007_1818'!$CR$8)</f>
        <v/>
      </c>
      <c r="CY8" s="237" t="str">
        <f>calc_gap('Matrix 171007_1818'!$CM$8,'Matrix 171007_1818'!$CS$8)</f>
        <v/>
      </c>
      <c r="CZ8" s="237" t="str">
        <f>calc_gap('Matrix 171007_1818'!$CN$8,'Matrix 171007_1818'!$CT$8)</f>
        <v/>
      </c>
      <c r="DA8" s="238" t="str">
        <f>calc_gap('Matrix 171007_1818'!$CO$8,'Matrix 171007_1818'!$CU$8)</f>
        <v/>
      </c>
    </row>
    <row r="9" spans="1:105" x14ac:dyDescent="0.25">
      <c r="B9" s="435"/>
      <c r="C9" s="291" t="s">
        <v>50</v>
      </c>
      <c r="D9" s="314"/>
      <c r="E9" s="315"/>
      <c r="F9" s="315"/>
      <c r="G9" s="315"/>
      <c r="H9" s="315"/>
      <c r="I9" s="315"/>
      <c r="J9" s="315"/>
      <c r="K9" s="316"/>
      <c r="L9" s="314"/>
      <c r="M9" s="315"/>
      <c r="N9" s="315"/>
      <c r="O9" s="316"/>
      <c r="P9" s="314"/>
      <c r="Q9" s="315"/>
      <c r="R9" s="315"/>
      <c r="S9" s="315"/>
      <c r="T9" s="315"/>
      <c r="U9" s="315"/>
      <c r="V9" s="315"/>
      <c r="W9" s="315"/>
      <c r="X9" s="315"/>
      <c r="Y9" s="315"/>
      <c r="Z9" s="315"/>
      <c r="AA9" s="315"/>
      <c r="AB9" s="315"/>
      <c r="AC9" s="315"/>
      <c r="AD9" s="315"/>
      <c r="AE9" s="315"/>
      <c r="AF9" s="315"/>
      <c r="AG9" s="315"/>
      <c r="AH9" s="315"/>
      <c r="AI9" s="316"/>
      <c r="AJ9" s="314"/>
      <c r="AK9" s="315"/>
      <c r="AL9" s="316"/>
      <c r="AM9" s="314"/>
      <c r="AN9" s="315"/>
      <c r="AO9" s="316"/>
      <c r="AP9" s="314"/>
      <c r="AQ9" s="315"/>
      <c r="AR9" s="315"/>
      <c r="AS9" s="315"/>
      <c r="AT9" s="316"/>
      <c r="AU9" s="314"/>
      <c r="AV9" s="315" t="s">
        <v>47</v>
      </c>
      <c r="AW9" s="315" t="s">
        <v>150</v>
      </c>
      <c r="AX9" s="315" t="s">
        <v>148</v>
      </c>
      <c r="AY9" s="315" t="s">
        <v>148</v>
      </c>
      <c r="AZ9" s="315"/>
      <c r="BA9" s="315"/>
      <c r="BB9" s="316" t="s">
        <v>147</v>
      </c>
      <c r="BC9" s="314" t="s">
        <v>150</v>
      </c>
      <c r="BD9" s="315" t="s">
        <v>149</v>
      </c>
      <c r="BE9" s="315"/>
      <c r="BF9" s="315"/>
      <c r="BG9" s="316"/>
      <c r="BH9" s="314"/>
      <c r="BI9" s="315"/>
      <c r="BJ9" s="316"/>
      <c r="BK9" s="314"/>
      <c r="BL9" s="315"/>
      <c r="BM9" s="315"/>
      <c r="BN9" s="316"/>
      <c r="BO9" s="314" t="s">
        <v>147</v>
      </c>
      <c r="BP9" s="315" t="s">
        <v>147</v>
      </c>
      <c r="BQ9" s="315" t="s">
        <v>147</v>
      </c>
      <c r="BR9" s="315"/>
      <c r="BS9" s="315"/>
      <c r="BT9" s="315"/>
      <c r="BU9" s="315" t="s">
        <v>150</v>
      </c>
      <c r="BV9" s="316"/>
      <c r="BW9" s="314" t="s">
        <v>147</v>
      </c>
      <c r="BX9" s="315" t="s">
        <v>150</v>
      </c>
      <c r="BY9" s="315" t="s">
        <v>47</v>
      </c>
      <c r="BZ9" s="315"/>
      <c r="CA9" s="315" t="s">
        <v>47</v>
      </c>
      <c r="CB9" s="316" t="s">
        <v>47</v>
      </c>
      <c r="CC9" s="314"/>
      <c r="CD9" s="315"/>
      <c r="CE9" s="316"/>
      <c r="CF9" s="314"/>
      <c r="CG9" s="315"/>
      <c r="CH9" s="315"/>
      <c r="CI9" s="317"/>
      <c r="CK9" s="236">
        <f t="shared" si="0"/>
        <v>1</v>
      </c>
      <c r="CL9" s="237">
        <f t="shared" si="1"/>
        <v>5</v>
      </c>
      <c r="CM9" s="237">
        <f t="shared" si="2"/>
        <v>2</v>
      </c>
      <c r="CN9" s="237">
        <f t="shared" si="3"/>
        <v>4</v>
      </c>
      <c r="CO9" s="238">
        <f t="shared" si="4"/>
        <v>4</v>
      </c>
      <c r="CQ9" s="236" t="str">
        <f>desired_skills(C9,"Systemen/Bert+","o")</f>
        <v/>
      </c>
      <c r="CR9" s="237" t="str">
        <f>desired_skills(C9,"Systemen/Bert+","j")</f>
        <v/>
      </c>
      <c r="CS9" s="237" t="str">
        <f>desired_skills(C9,"Systemen/Bert+","m")</f>
        <v/>
      </c>
      <c r="CT9" s="237" t="str">
        <f>desired_skills(C9,"Systemen/Bert+","s")</f>
        <v/>
      </c>
      <c r="CU9" s="238" t="str">
        <f>desired_skills(C9,"Systemen/Bert+","e")</f>
        <v/>
      </c>
      <c r="CW9" s="236" t="str">
        <f>calc_gap('Matrix 171007_1818'!$CK$9,'Matrix 171007_1818'!$CQ$9)</f>
        <v/>
      </c>
      <c r="CX9" s="237" t="str">
        <f>calc_gap('Matrix 171007_1818'!$CL$9,'Matrix 171007_1818'!$CR$9)</f>
        <v/>
      </c>
      <c r="CY9" s="237" t="str">
        <f>calc_gap('Matrix 171007_1818'!$CM$9,'Matrix 171007_1818'!$CS$9)</f>
        <v/>
      </c>
      <c r="CZ9" s="237" t="str">
        <f>calc_gap('Matrix 171007_1818'!$CN$9,'Matrix 171007_1818'!$CT$9)</f>
        <v/>
      </c>
      <c r="DA9" s="238" t="str">
        <f>calc_gap('Matrix 171007_1818'!$CO$9,'Matrix 171007_1818'!$CU$9)</f>
        <v/>
      </c>
    </row>
    <row r="10" spans="1:105" x14ac:dyDescent="0.25">
      <c r="B10" s="435"/>
      <c r="C10" s="291" t="s">
        <v>55</v>
      </c>
      <c r="D10" s="314"/>
      <c r="E10" s="315"/>
      <c r="F10" s="315"/>
      <c r="G10" s="315"/>
      <c r="H10" s="315"/>
      <c r="I10" s="315"/>
      <c r="J10" s="315"/>
      <c r="K10" s="316"/>
      <c r="L10" s="314"/>
      <c r="M10" s="315"/>
      <c r="N10" s="315"/>
      <c r="O10" s="316"/>
      <c r="P10" s="314"/>
      <c r="Q10" s="315"/>
      <c r="R10" s="315"/>
      <c r="S10" s="315"/>
      <c r="T10" s="315"/>
      <c r="U10" s="315"/>
      <c r="V10" s="315"/>
      <c r="W10" s="315"/>
      <c r="X10" s="315"/>
      <c r="Y10" s="315"/>
      <c r="Z10" s="315"/>
      <c r="AA10" s="315"/>
      <c r="AB10" s="315"/>
      <c r="AC10" s="315"/>
      <c r="AD10" s="315"/>
      <c r="AE10" s="315"/>
      <c r="AF10" s="315"/>
      <c r="AG10" s="315"/>
      <c r="AH10" s="315"/>
      <c r="AI10" s="316"/>
      <c r="AJ10" s="314"/>
      <c r="AK10" s="315"/>
      <c r="AL10" s="316"/>
      <c r="AM10" s="314"/>
      <c r="AN10" s="315"/>
      <c r="AO10" s="316"/>
      <c r="AP10" s="314"/>
      <c r="AQ10" s="315"/>
      <c r="AR10" s="315"/>
      <c r="AS10" s="315"/>
      <c r="AT10" s="316"/>
      <c r="AU10" s="314" t="s">
        <v>148</v>
      </c>
      <c r="AV10" s="315" t="s">
        <v>47</v>
      </c>
      <c r="AW10" s="315" t="s">
        <v>150</v>
      </c>
      <c r="AX10" s="315" t="s">
        <v>148</v>
      </c>
      <c r="AY10" s="315" t="s">
        <v>148</v>
      </c>
      <c r="AZ10" s="315"/>
      <c r="BA10" s="315"/>
      <c r="BB10" s="316"/>
      <c r="BC10" s="314" t="s">
        <v>149</v>
      </c>
      <c r="BD10" s="315" t="s">
        <v>148</v>
      </c>
      <c r="BE10" s="315"/>
      <c r="BF10" s="315"/>
      <c r="BG10" s="316"/>
      <c r="BH10" s="314"/>
      <c r="BI10" s="315"/>
      <c r="BJ10" s="316"/>
      <c r="BK10" s="314" t="s">
        <v>148</v>
      </c>
      <c r="BL10" s="315"/>
      <c r="BM10" s="315"/>
      <c r="BN10" s="316"/>
      <c r="BO10" s="314" t="s">
        <v>150</v>
      </c>
      <c r="BP10" s="315" t="s">
        <v>150</v>
      </c>
      <c r="BQ10" s="315" t="s">
        <v>150</v>
      </c>
      <c r="BR10" s="315"/>
      <c r="BS10" s="315" t="s">
        <v>147</v>
      </c>
      <c r="BT10" s="315" t="s">
        <v>150</v>
      </c>
      <c r="BU10" s="315" t="s">
        <v>150</v>
      </c>
      <c r="BV10" s="316"/>
      <c r="BW10" s="314" t="s">
        <v>150</v>
      </c>
      <c r="BX10" s="315" t="s">
        <v>148</v>
      </c>
      <c r="BY10" s="315" t="s">
        <v>47</v>
      </c>
      <c r="BZ10" s="315" t="s">
        <v>150</v>
      </c>
      <c r="CA10" s="315" t="s">
        <v>47</v>
      </c>
      <c r="CB10" s="316" t="s">
        <v>47</v>
      </c>
      <c r="CC10" s="314"/>
      <c r="CD10" s="315"/>
      <c r="CE10" s="316"/>
      <c r="CF10" s="314"/>
      <c r="CG10" s="315"/>
      <c r="CH10" s="315"/>
      <c r="CI10" s="317"/>
      <c r="CK10" s="236">
        <f t="shared" si="0"/>
        <v>1</v>
      </c>
      <c r="CL10" s="237">
        <f t="shared" si="1"/>
        <v>1</v>
      </c>
      <c r="CM10" s="237">
        <f t="shared" si="2"/>
        <v>6</v>
      </c>
      <c r="CN10" s="237">
        <f t="shared" si="3"/>
        <v>8</v>
      </c>
      <c r="CO10" s="238">
        <f t="shared" si="4"/>
        <v>4</v>
      </c>
      <c r="CQ10" s="236" t="str">
        <f>desired_skills(C10,"Systemen/Rapportageserver","o")</f>
        <v>6</v>
      </c>
      <c r="CR10" s="237" t="str">
        <f>desired_skills(C10,"Systemen/Rapportageserver","j")</f>
        <v/>
      </c>
      <c r="CS10" s="237" t="str">
        <f>desired_skills(C10,"Systemen/Rapportageserver","m")</f>
        <v/>
      </c>
      <c r="CT10" s="237" t="str">
        <f>desired_skills(C10,"Systemen/Rapportageserver","s")</f>
        <v/>
      </c>
      <c r="CU10" s="238" t="str">
        <f>desired_skills(C10,"Systemen/Rapportageserver","e")</f>
        <v/>
      </c>
      <c r="CW10" s="236" t="str">
        <f>calc_gap('Matrix 171007_1818'!$CK$10,'Matrix 171007_1818'!$CQ$10)</f>
        <v>5</v>
      </c>
      <c r="CX10" s="237" t="str">
        <f>calc_gap('Matrix 171007_1818'!$CL$10,'Matrix 171007_1818'!$CR$10)</f>
        <v/>
      </c>
      <c r="CY10" s="237" t="str">
        <f>calc_gap('Matrix 171007_1818'!$CM$10,'Matrix 171007_1818'!$CS$10)</f>
        <v/>
      </c>
      <c r="CZ10" s="237" t="str">
        <f>calc_gap('Matrix 171007_1818'!$CN$10,'Matrix 171007_1818'!$CT$10)</f>
        <v/>
      </c>
      <c r="DA10" s="238" t="str">
        <f>calc_gap('Matrix 171007_1818'!$CO$10,'Matrix 171007_1818'!$CU$10)</f>
        <v/>
      </c>
    </row>
    <row r="11" spans="1:105" x14ac:dyDescent="0.25">
      <c r="B11" s="435"/>
      <c r="C11" s="291" t="s">
        <v>56</v>
      </c>
      <c r="D11" s="314"/>
      <c r="E11" s="315"/>
      <c r="F11" s="315"/>
      <c r="G11" s="315"/>
      <c r="H11" s="315"/>
      <c r="I11" s="315"/>
      <c r="J11" s="315"/>
      <c r="K11" s="316"/>
      <c r="L11" s="314"/>
      <c r="M11" s="315"/>
      <c r="N11" s="315"/>
      <c r="O11" s="316"/>
      <c r="P11" s="314"/>
      <c r="Q11" s="315"/>
      <c r="R11" s="315"/>
      <c r="S11" s="315"/>
      <c r="T11" s="315"/>
      <c r="U11" s="315"/>
      <c r="V11" s="315"/>
      <c r="W11" s="315"/>
      <c r="X11" s="315"/>
      <c r="Y11" s="315"/>
      <c r="Z11" s="315"/>
      <c r="AA11" s="315"/>
      <c r="AB11" s="315"/>
      <c r="AC11" s="315"/>
      <c r="AD11" s="315"/>
      <c r="AE11" s="315"/>
      <c r="AF11" s="315"/>
      <c r="AG11" s="315"/>
      <c r="AH11" s="315"/>
      <c r="AI11" s="316"/>
      <c r="AJ11" s="314"/>
      <c r="AK11" s="315"/>
      <c r="AL11" s="316"/>
      <c r="AM11" s="314"/>
      <c r="AN11" s="315"/>
      <c r="AO11" s="316"/>
      <c r="AP11" s="314"/>
      <c r="AQ11" s="315"/>
      <c r="AR11" s="315"/>
      <c r="AS11" s="315"/>
      <c r="AT11" s="316"/>
      <c r="AU11" s="314"/>
      <c r="AV11" s="315" t="s">
        <v>147</v>
      </c>
      <c r="AW11" s="315" t="s">
        <v>147</v>
      </c>
      <c r="AX11" s="315" t="s">
        <v>147</v>
      </c>
      <c r="AY11" s="315" t="s">
        <v>147</v>
      </c>
      <c r="AZ11" s="315"/>
      <c r="BA11" s="315"/>
      <c r="BB11" s="316"/>
      <c r="BC11" s="314" t="s">
        <v>149</v>
      </c>
      <c r="BD11" s="315" t="s">
        <v>149</v>
      </c>
      <c r="BE11" s="315"/>
      <c r="BF11" s="315"/>
      <c r="BG11" s="316"/>
      <c r="BH11" s="314"/>
      <c r="BI11" s="315"/>
      <c r="BJ11" s="316"/>
      <c r="BK11" s="314"/>
      <c r="BL11" s="315"/>
      <c r="BM11" s="315"/>
      <c r="BN11" s="316"/>
      <c r="BO11" s="314"/>
      <c r="BP11" s="315"/>
      <c r="BQ11" s="315"/>
      <c r="BR11" s="315"/>
      <c r="BS11" s="315" t="s">
        <v>149</v>
      </c>
      <c r="BT11" s="315" t="s">
        <v>149</v>
      </c>
      <c r="BU11" s="315" t="s">
        <v>147</v>
      </c>
      <c r="BV11" s="316"/>
      <c r="BW11" s="314" t="s">
        <v>149</v>
      </c>
      <c r="BX11" s="315"/>
      <c r="BY11" s="315"/>
      <c r="BZ11" s="315" t="s">
        <v>149</v>
      </c>
      <c r="CA11" s="315"/>
      <c r="CB11" s="316"/>
      <c r="CC11" s="314"/>
      <c r="CD11" s="315" t="s">
        <v>147</v>
      </c>
      <c r="CE11" s="316"/>
      <c r="CF11" s="314"/>
      <c r="CG11" s="315"/>
      <c r="CH11" s="315"/>
      <c r="CI11" s="317"/>
      <c r="CK11" s="236">
        <f t="shared" si="0"/>
        <v>6</v>
      </c>
      <c r="CL11" s="237">
        <f t="shared" si="1"/>
        <v>6</v>
      </c>
      <c r="CM11" s="237" t="str">
        <f t="shared" si="2"/>
        <v/>
      </c>
      <c r="CN11" s="237" t="str">
        <f t="shared" si="3"/>
        <v/>
      </c>
      <c r="CO11" s="238" t="str">
        <f t="shared" si="4"/>
        <v/>
      </c>
      <c r="CQ11" s="236" t="str">
        <f>desired_skills(C11,"Systemen/Splunk","o")</f>
        <v/>
      </c>
      <c r="CR11" s="237" t="str">
        <f>desired_skills(C11,"Systemen/Splunk","j")</f>
        <v>7</v>
      </c>
      <c r="CS11" s="237" t="str">
        <f>desired_skills(C11,"Systemen/Splunk","m")</f>
        <v/>
      </c>
      <c r="CT11" s="237" t="str">
        <f>desired_skills(C11,"Systemen/Splunk","s")</f>
        <v/>
      </c>
      <c r="CU11" s="238" t="str">
        <f>desired_skills(C11,"Systemen/Splunk","e")</f>
        <v/>
      </c>
      <c r="CW11" s="236" t="str">
        <f>calc_gap('Matrix 171007_1818'!$CK$11,'Matrix 171007_1818'!$CQ$11)</f>
        <v/>
      </c>
      <c r="CX11" s="237" t="str">
        <f>calc_gap('Matrix 171007_1818'!$CL$11,'Matrix 171007_1818'!$CR$11)</f>
        <v>1</v>
      </c>
      <c r="CY11" s="237" t="str">
        <f>calc_gap('Matrix 171007_1818'!$CM$11,'Matrix 171007_1818'!$CS$11)</f>
        <v/>
      </c>
      <c r="CZ11" s="237" t="str">
        <f>calc_gap('Matrix 171007_1818'!$CN$11,'Matrix 171007_1818'!$CT$11)</f>
        <v/>
      </c>
      <c r="DA11" s="238" t="str">
        <f>calc_gap('Matrix 171007_1818'!$CO$11,'Matrix 171007_1818'!$CU$11)</f>
        <v/>
      </c>
    </row>
    <row r="12" spans="1:105" x14ac:dyDescent="0.25">
      <c r="B12" s="435"/>
      <c r="C12" s="291" t="s">
        <v>57</v>
      </c>
      <c r="D12" s="314"/>
      <c r="E12" s="315"/>
      <c r="F12" s="315"/>
      <c r="G12" s="315"/>
      <c r="H12" s="315"/>
      <c r="I12" s="315"/>
      <c r="J12" s="315"/>
      <c r="K12" s="316"/>
      <c r="L12" s="314"/>
      <c r="M12" s="315"/>
      <c r="N12" s="315"/>
      <c r="O12" s="316"/>
      <c r="P12" s="314"/>
      <c r="Q12" s="315"/>
      <c r="R12" s="315"/>
      <c r="S12" s="315"/>
      <c r="T12" s="315"/>
      <c r="U12" s="315"/>
      <c r="V12" s="315"/>
      <c r="W12" s="315"/>
      <c r="X12" s="315"/>
      <c r="Y12" s="315"/>
      <c r="Z12" s="315"/>
      <c r="AA12" s="315"/>
      <c r="AB12" s="315"/>
      <c r="AC12" s="315"/>
      <c r="AD12" s="315"/>
      <c r="AE12" s="315"/>
      <c r="AF12" s="315"/>
      <c r="AG12" s="315"/>
      <c r="AH12" s="315"/>
      <c r="AI12" s="316"/>
      <c r="AJ12" s="314"/>
      <c r="AK12" s="315"/>
      <c r="AL12" s="316"/>
      <c r="AM12" s="314"/>
      <c r="AN12" s="315"/>
      <c r="AO12" s="316"/>
      <c r="AP12" s="314"/>
      <c r="AQ12" s="315"/>
      <c r="AR12" s="315"/>
      <c r="AS12" s="315"/>
      <c r="AT12" s="316"/>
      <c r="AU12" s="314" t="s">
        <v>148</v>
      </c>
      <c r="AV12" s="315" t="s">
        <v>149</v>
      </c>
      <c r="AW12" s="315" t="s">
        <v>149</v>
      </c>
      <c r="AX12" s="315" t="s">
        <v>147</v>
      </c>
      <c r="AY12" s="315" t="s">
        <v>147</v>
      </c>
      <c r="AZ12" s="315"/>
      <c r="BA12" s="315"/>
      <c r="BB12" s="316" t="s">
        <v>147</v>
      </c>
      <c r="BC12" s="314" t="s">
        <v>149</v>
      </c>
      <c r="BD12" s="315" t="s">
        <v>149</v>
      </c>
      <c r="BE12" s="315"/>
      <c r="BF12" s="315"/>
      <c r="BG12" s="316"/>
      <c r="BH12" s="314"/>
      <c r="BI12" s="315"/>
      <c r="BJ12" s="316"/>
      <c r="BK12" s="314"/>
      <c r="BL12" s="315"/>
      <c r="BM12" s="315"/>
      <c r="BN12" s="316"/>
      <c r="BO12" s="314"/>
      <c r="BP12" s="315"/>
      <c r="BQ12" s="315"/>
      <c r="BR12" s="315"/>
      <c r="BS12" s="315"/>
      <c r="BT12" s="315"/>
      <c r="BU12" s="315" t="s">
        <v>147</v>
      </c>
      <c r="BV12" s="316"/>
      <c r="BW12" s="314" t="s">
        <v>149</v>
      </c>
      <c r="BX12" s="315"/>
      <c r="BY12" s="315"/>
      <c r="BZ12" s="315"/>
      <c r="CA12" s="315"/>
      <c r="CB12" s="316"/>
      <c r="CC12" s="314"/>
      <c r="CD12" s="315"/>
      <c r="CE12" s="316"/>
      <c r="CF12" s="314"/>
      <c r="CG12" s="315"/>
      <c r="CH12" s="315"/>
      <c r="CI12" s="317"/>
      <c r="CK12" s="236">
        <f t="shared" si="0"/>
        <v>5</v>
      </c>
      <c r="CL12" s="237">
        <f t="shared" si="1"/>
        <v>4</v>
      </c>
      <c r="CM12" s="237">
        <f t="shared" si="2"/>
        <v>1</v>
      </c>
      <c r="CN12" s="237" t="str">
        <f t="shared" si="3"/>
        <v/>
      </c>
      <c r="CO12" s="238" t="str">
        <f t="shared" si="4"/>
        <v/>
      </c>
      <c r="CQ12" s="236" t="str">
        <f>desired_skills(C12,"Systemen/Dell One Identity","o")</f>
        <v/>
      </c>
      <c r="CR12" s="237" t="str">
        <f>desired_skills(C12,"Systemen/Dell One Identity","j")</f>
        <v/>
      </c>
      <c r="CS12" s="237" t="str">
        <f>desired_skills(C12,"Systemen/Dell One Identity","m")</f>
        <v>8</v>
      </c>
      <c r="CT12" s="237" t="str">
        <f>desired_skills(C12,"Systemen/Dell One Identity","s")</f>
        <v/>
      </c>
      <c r="CU12" s="238" t="str">
        <f>desired_skills(C12,"Systemen/Dell One Identity","e")</f>
        <v/>
      </c>
      <c r="CW12" s="236" t="str">
        <f>calc_gap('Matrix 171007_1818'!$CK$12,'Matrix 171007_1818'!$CQ$12)</f>
        <v/>
      </c>
      <c r="CX12" s="237" t="str">
        <f>calc_gap('Matrix 171007_1818'!$CL$12,'Matrix 171007_1818'!$CR$12)</f>
        <v/>
      </c>
      <c r="CY12" s="237" t="str">
        <f>calc_gap('Matrix 171007_1818'!$CM$12,'Matrix 171007_1818'!$CS$12)</f>
        <v>7</v>
      </c>
      <c r="CZ12" s="237" t="str">
        <f>calc_gap('Matrix 171007_1818'!$CN$12,'Matrix 171007_1818'!$CT$12)</f>
        <v/>
      </c>
      <c r="DA12" s="238" t="str">
        <f>calc_gap('Matrix 171007_1818'!$CO$12,'Matrix 171007_1818'!$CU$12)</f>
        <v/>
      </c>
    </row>
    <row r="13" spans="1:105" x14ac:dyDescent="0.25">
      <c r="B13" s="435"/>
      <c r="C13" s="291" t="s">
        <v>58</v>
      </c>
      <c r="D13" s="314"/>
      <c r="E13" s="315"/>
      <c r="F13" s="315"/>
      <c r="G13" s="315"/>
      <c r="H13" s="315"/>
      <c r="I13" s="315"/>
      <c r="J13" s="315"/>
      <c r="K13" s="316"/>
      <c r="L13" s="314"/>
      <c r="M13" s="315"/>
      <c r="N13" s="315"/>
      <c r="O13" s="316"/>
      <c r="P13" s="314"/>
      <c r="Q13" s="315"/>
      <c r="R13" s="315"/>
      <c r="S13" s="315"/>
      <c r="T13" s="315"/>
      <c r="U13" s="315"/>
      <c r="V13" s="315"/>
      <c r="W13" s="315"/>
      <c r="X13" s="315"/>
      <c r="Y13" s="315"/>
      <c r="Z13" s="315"/>
      <c r="AA13" s="315"/>
      <c r="AB13" s="315"/>
      <c r="AC13" s="315"/>
      <c r="AD13" s="315"/>
      <c r="AE13" s="315"/>
      <c r="AF13" s="315"/>
      <c r="AG13" s="315"/>
      <c r="AH13" s="315"/>
      <c r="AI13" s="316"/>
      <c r="AJ13" s="314"/>
      <c r="AK13" s="315"/>
      <c r="AL13" s="316"/>
      <c r="AM13" s="314"/>
      <c r="AN13" s="315"/>
      <c r="AO13" s="316"/>
      <c r="AP13" s="314"/>
      <c r="AQ13" s="315"/>
      <c r="AR13" s="315"/>
      <c r="AS13" s="315"/>
      <c r="AT13" s="316"/>
      <c r="AU13" s="314" t="s">
        <v>150</v>
      </c>
      <c r="AV13" s="315" t="s">
        <v>148</v>
      </c>
      <c r="AW13" s="315" t="s">
        <v>147</v>
      </c>
      <c r="AX13" s="315" t="s">
        <v>150</v>
      </c>
      <c r="AY13" s="315" t="s">
        <v>147</v>
      </c>
      <c r="AZ13" s="315"/>
      <c r="BA13" s="315"/>
      <c r="BB13" s="316" t="s">
        <v>147</v>
      </c>
      <c r="BC13" s="314" t="s">
        <v>150</v>
      </c>
      <c r="BD13" s="315" t="s">
        <v>147</v>
      </c>
      <c r="BE13" s="315"/>
      <c r="BF13" s="315"/>
      <c r="BG13" s="316"/>
      <c r="BH13" s="314"/>
      <c r="BI13" s="315"/>
      <c r="BJ13" s="316"/>
      <c r="BK13" s="314"/>
      <c r="BL13" s="315"/>
      <c r="BM13" s="315"/>
      <c r="BN13" s="316"/>
      <c r="BO13" s="314"/>
      <c r="BP13" s="315"/>
      <c r="BQ13" s="315" t="s">
        <v>147</v>
      </c>
      <c r="BR13" s="315"/>
      <c r="BS13" s="315"/>
      <c r="BT13" s="315"/>
      <c r="BU13" s="315" t="s">
        <v>148</v>
      </c>
      <c r="BV13" s="316"/>
      <c r="BW13" s="314"/>
      <c r="BX13" s="315"/>
      <c r="BY13" s="315" t="s">
        <v>150</v>
      </c>
      <c r="BZ13" s="315"/>
      <c r="CA13" s="315" t="s">
        <v>150</v>
      </c>
      <c r="CB13" s="316" t="s">
        <v>150</v>
      </c>
      <c r="CC13" s="314"/>
      <c r="CD13" s="315"/>
      <c r="CE13" s="316"/>
      <c r="CF13" s="314"/>
      <c r="CG13" s="315"/>
      <c r="CH13" s="315"/>
      <c r="CI13" s="317"/>
      <c r="CK13" s="236" t="str">
        <f t="shared" si="0"/>
        <v/>
      </c>
      <c r="CL13" s="237">
        <f t="shared" si="1"/>
        <v>5</v>
      </c>
      <c r="CM13" s="237">
        <f t="shared" si="2"/>
        <v>2</v>
      </c>
      <c r="CN13" s="237">
        <f t="shared" si="3"/>
        <v>6</v>
      </c>
      <c r="CO13" s="238" t="str">
        <f t="shared" si="4"/>
        <v/>
      </c>
      <c r="CQ13" s="236" t="str">
        <f>desired_skills(C13,"Systemen/RSA","o")</f>
        <v/>
      </c>
      <c r="CR13" s="237" t="str">
        <f>desired_skills(C13,"Systemen/RSA","j")</f>
        <v/>
      </c>
      <c r="CS13" s="237" t="str">
        <f>desired_skills(C13,"Systemen/RSA","m")</f>
        <v/>
      </c>
      <c r="CT13" s="237" t="str">
        <f>desired_skills(C13,"Systemen/RSA","s")</f>
        <v>9</v>
      </c>
      <c r="CU13" s="238" t="str">
        <f>desired_skills(C13,"Systemen/RSA","e")</f>
        <v/>
      </c>
      <c r="CW13" s="236" t="str">
        <f>calc_gap('Matrix 171007_1818'!$CK$13,'Matrix 171007_1818'!$CQ$13)</f>
        <v/>
      </c>
      <c r="CX13" s="237" t="str">
        <f>calc_gap('Matrix 171007_1818'!$CL$13,'Matrix 171007_1818'!$CR$13)</f>
        <v/>
      </c>
      <c r="CY13" s="237" t="str">
        <f>calc_gap('Matrix 171007_1818'!$CM$13,'Matrix 171007_1818'!$CS$13)</f>
        <v/>
      </c>
      <c r="CZ13" s="237" t="str">
        <f>calc_gap('Matrix 171007_1818'!$CN$13,'Matrix 171007_1818'!$CT$13)</f>
        <v>3</v>
      </c>
      <c r="DA13" s="238" t="str">
        <f>calc_gap('Matrix 171007_1818'!$CO$13,'Matrix 171007_1818'!$CU$13)</f>
        <v/>
      </c>
    </row>
    <row r="14" spans="1:105" x14ac:dyDescent="0.25">
      <c r="B14" s="435"/>
      <c r="C14" s="291" t="s">
        <v>59</v>
      </c>
      <c r="D14" s="314"/>
      <c r="E14" s="315"/>
      <c r="F14" s="315"/>
      <c r="G14" s="315"/>
      <c r="H14" s="315"/>
      <c r="I14" s="315"/>
      <c r="J14" s="315"/>
      <c r="K14" s="316"/>
      <c r="L14" s="314"/>
      <c r="M14" s="315"/>
      <c r="N14" s="315"/>
      <c r="O14" s="316"/>
      <c r="P14" s="314"/>
      <c r="Q14" s="315"/>
      <c r="R14" s="315"/>
      <c r="S14" s="315"/>
      <c r="T14" s="315"/>
      <c r="U14" s="315"/>
      <c r="V14" s="315"/>
      <c r="W14" s="315"/>
      <c r="X14" s="315"/>
      <c r="Y14" s="315"/>
      <c r="Z14" s="315"/>
      <c r="AA14" s="315"/>
      <c r="AB14" s="315"/>
      <c r="AC14" s="315"/>
      <c r="AD14" s="315"/>
      <c r="AE14" s="315"/>
      <c r="AF14" s="315"/>
      <c r="AG14" s="315"/>
      <c r="AH14" s="315"/>
      <c r="AI14" s="316"/>
      <c r="AJ14" s="314"/>
      <c r="AK14" s="315"/>
      <c r="AL14" s="316"/>
      <c r="AM14" s="314"/>
      <c r="AN14" s="315"/>
      <c r="AO14" s="316"/>
      <c r="AP14" s="314"/>
      <c r="AQ14" s="315"/>
      <c r="AR14" s="315"/>
      <c r="AS14" s="315"/>
      <c r="AT14" s="316"/>
      <c r="AU14" s="314" t="s">
        <v>150</v>
      </c>
      <c r="AV14" s="315" t="s">
        <v>150</v>
      </c>
      <c r="AW14" s="315" t="s">
        <v>149</v>
      </c>
      <c r="AX14" s="315" t="s">
        <v>148</v>
      </c>
      <c r="AY14" s="315" t="s">
        <v>147</v>
      </c>
      <c r="AZ14" s="315"/>
      <c r="BA14" s="315"/>
      <c r="BB14" s="316"/>
      <c r="BC14" s="314" t="s">
        <v>148</v>
      </c>
      <c r="BD14" s="315" t="s">
        <v>148</v>
      </c>
      <c r="BE14" s="315"/>
      <c r="BF14" s="315"/>
      <c r="BG14" s="316"/>
      <c r="BH14" s="314"/>
      <c r="BI14" s="315"/>
      <c r="BJ14" s="316"/>
      <c r="BK14" s="314"/>
      <c r="BL14" s="315"/>
      <c r="BM14" s="315"/>
      <c r="BN14" s="316"/>
      <c r="BO14" s="314" t="s">
        <v>150</v>
      </c>
      <c r="BP14" s="315" t="s">
        <v>150</v>
      </c>
      <c r="BQ14" s="315" t="s">
        <v>150</v>
      </c>
      <c r="BR14" s="315"/>
      <c r="BS14" s="315" t="s">
        <v>148</v>
      </c>
      <c r="BT14" s="315" t="s">
        <v>47</v>
      </c>
      <c r="BU14" s="315" t="s">
        <v>148</v>
      </c>
      <c r="BV14" s="316"/>
      <c r="BW14" s="314" t="s">
        <v>150</v>
      </c>
      <c r="BX14" s="315"/>
      <c r="BY14" s="315" t="s">
        <v>150</v>
      </c>
      <c r="BZ14" s="315" t="s">
        <v>150</v>
      </c>
      <c r="CA14" s="315" t="s">
        <v>150</v>
      </c>
      <c r="CB14" s="316" t="s">
        <v>150</v>
      </c>
      <c r="CC14" s="314"/>
      <c r="CD14" s="315"/>
      <c r="CE14" s="316"/>
      <c r="CF14" s="314"/>
      <c r="CG14" s="315"/>
      <c r="CH14" s="315"/>
      <c r="CI14" s="317"/>
      <c r="CK14" s="236">
        <f t="shared" si="0"/>
        <v>1</v>
      </c>
      <c r="CL14" s="237">
        <f t="shared" si="1"/>
        <v>1</v>
      </c>
      <c r="CM14" s="237">
        <f t="shared" si="2"/>
        <v>5</v>
      </c>
      <c r="CN14" s="237">
        <f t="shared" si="3"/>
        <v>10</v>
      </c>
      <c r="CO14" s="238">
        <f t="shared" si="4"/>
        <v>1</v>
      </c>
      <c r="CQ14" s="236" t="str">
        <f>desired_skills(C14,"Systemen/RWA","o")</f>
        <v/>
      </c>
      <c r="CR14" s="237" t="str">
        <f>desired_skills(C14,"Systemen/RWA","j")</f>
        <v/>
      </c>
      <c r="CS14" s="237" t="str">
        <f>desired_skills(C14,"Systemen/RWA","m")</f>
        <v/>
      </c>
      <c r="CT14" s="237" t="str">
        <f>desired_skills(C14,"Systemen/RWA","s")</f>
        <v/>
      </c>
      <c r="CU14" s="238" t="str">
        <f>desired_skills(C14,"Systemen/RWA","e")</f>
        <v>10</v>
      </c>
      <c r="CW14" s="236" t="str">
        <f>calc_gap('Matrix 171007_1818'!$CK$14,'Matrix 171007_1818'!$CQ$14)</f>
        <v/>
      </c>
      <c r="CX14" s="237" t="str">
        <f>calc_gap('Matrix 171007_1818'!$CL$14,'Matrix 171007_1818'!$CR$14)</f>
        <v/>
      </c>
      <c r="CY14" s="237" t="str">
        <f>calc_gap('Matrix 171007_1818'!$CM$14,'Matrix 171007_1818'!$CS$14)</f>
        <v/>
      </c>
      <c r="CZ14" s="237" t="str">
        <f>calc_gap('Matrix 171007_1818'!$CN$14,'Matrix 171007_1818'!$CT$14)</f>
        <v/>
      </c>
      <c r="DA14" s="238" t="str">
        <f>calc_gap('Matrix 171007_1818'!$CO$14,'Matrix 171007_1818'!$CU$14)</f>
        <v>9</v>
      </c>
    </row>
    <row r="15" spans="1:105" x14ac:dyDescent="0.25">
      <c r="B15" s="435"/>
      <c r="C15" s="291" t="s">
        <v>60</v>
      </c>
      <c r="D15" s="314"/>
      <c r="E15" s="315"/>
      <c r="F15" s="315"/>
      <c r="G15" s="315"/>
      <c r="H15" s="315"/>
      <c r="I15" s="315"/>
      <c r="J15" s="315"/>
      <c r="K15" s="316"/>
      <c r="L15" s="314"/>
      <c r="M15" s="315"/>
      <c r="N15" s="315"/>
      <c r="O15" s="316"/>
      <c r="P15" s="314"/>
      <c r="Q15" s="315"/>
      <c r="R15" s="315"/>
      <c r="S15" s="315"/>
      <c r="T15" s="315"/>
      <c r="U15" s="315"/>
      <c r="V15" s="315"/>
      <c r="W15" s="315"/>
      <c r="X15" s="315"/>
      <c r="Y15" s="315"/>
      <c r="Z15" s="315"/>
      <c r="AA15" s="315"/>
      <c r="AB15" s="315"/>
      <c r="AC15" s="315"/>
      <c r="AD15" s="315"/>
      <c r="AE15" s="315"/>
      <c r="AF15" s="315"/>
      <c r="AG15" s="315"/>
      <c r="AH15" s="315"/>
      <c r="AI15" s="316"/>
      <c r="AJ15" s="314"/>
      <c r="AK15" s="315"/>
      <c r="AL15" s="316"/>
      <c r="AM15" s="314"/>
      <c r="AN15" s="315"/>
      <c r="AO15" s="316"/>
      <c r="AP15" s="314"/>
      <c r="AQ15" s="315"/>
      <c r="AR15" s="315"/>
      <c r="AS15" s="315"/>
      <c r="AT15" s="316"/>
      <c r="AU15" s="314" t="s">
        <v>150</v>
      </c>
      <c r="AV15" s="315" t="s">
        <v>148</v>
      </c>
      <c r="AW15" s="315" t="s">
        <v>148</v>
      </c>
      <c r="AX15" s="315" t="s">
        <v>148</v>
      </c>
      <c r="AY15" s="315" t="s">
        <v>148</v>
      </c>
      <c r="AZ15" s="315"/>
      <c r="BA15" s="315"/>
      <c r="BB15" s="316" t="s">
        <v>147</v>
      </c>
      <c r="BC15" s="314" t="s">
        <v>150</v>
      </c>
      <c r="BD15" s="315" t="s">
        <v>148</v>
      </c>
      <c r="BE15" s="315"/>
      <c r="BF15" s="315"/>
      <c r="BG15" s="316"/>
      <c r="BH15" s="314"/>
      <c r="BI15" s="315"/>
      <c r="BJ15" s="316"/>
      <c r="BK15" s="314"/>
      <c r="BL15" s="315"/>
      <c r="BM15" s="315"/>
      <c r="BN15" s="316"/>
      <c r="BO15" s="314" t="s">
        <v>148</v>
      </c>
      <c r="BP15" s="315"/>
      <c r="BQ15" s="315" t="s">
        <v>150</v>
      </c>
      <c r="BR15" s="315"/>
      <c r="BS15" s="315" t="s">
        <v>147</v>
      </c>
      <c r="BT15" s="315" t="s">
        <v>150</v>
      </c>
      <c r="BU15" s="315" t="s">
        <v>150</v>
      </c>
      <c r="BV15" s="316"/>
      <c r="BW15" s="314" t="s">
        <v>150</v>
      </c>
      <c r="BX15" s="315"/>
      <c r="BY15" s="315" t="s">
        <v>150</v>
      </c>
      <c r="BZ15" s="315" t="s">
        <v>150</v>
      </c>
      <c r="CA15" s="315" t="s">
        <v>150</v>
      </c>
      <c r="CB15" s="316" t="s">
        <v>150</v>
      </c>
      <c r="CC15" s="314"/>
      <c r="CD15" s="315"/>
      <c r="CE15" s="316"/>
      <c r="CF15" s="314"/>
      <c r="CG15" s="315"/>
      <c r="CH15" s="315"/>
      <c r="CI15" s="317"/>
      <c r="CK15" s="236" t="str">
        <f t="shared" si="0"/>
        <v/>
      </c>
      <c r="CL15" s="237">
        <f t="shared" si="1"/>
        <v>2</v>
      </c>
      <c r="CM15" s="237">
        <f t="shared" si="2"/>
        <v>6</v>
      </c>
      <c r="CN15" s="237">
        <f t="shared" si="3"/>
        <v>10</v>
      </c>
      <c r="CO15" s="238" t="str">
        <f t="shared" si="4"/>
        <v/>
      </c>
      <c r="CQ15" s="236" t="str">
        <f>desired_skills(C15,"Systemen/Integraal IAM landschap","o")</f>
        <v/>
      </c>
      <c r="CR15" s="237" t="str">
        <f>desired_skills(C15,"Systemen/Integraal IAM landschap","j")</f>
        <v/>
      </c>
      <c r="CS15" s="237" t="str">
        <f>desired_skills(C15,"Systemen/Integraal IAM landschap","m")</f>
        <v/>
      </c>
      <c r="CT15" s="237" t="str">
        <f>desired_skills(C15,"Systemen/Integraal IAM landschap","s")</f>
        <v/>
      </c>
      <c r="CU15" s="238" t="str">
        <f>desired_skills(C15,"Systemen/Integraal IAM landschap","e")</f>
        <v/>
      </c>
      <c r="CW15" s="236" t="str">
        <f>calc_gap('Matrix 171007_1818'!$CK$15,'Matrix 171007_1818'!$CQ$15)</f>
        <v/>
      </c>
      <c r="CX15" s="237" t="str">
        <f>calc_gap('Matrix 171007_1818'!$CL$15,'Matrix 171007_1818'!$CR$15)</f>
        <v/>
      </c>
      <c r="CY15" s="237" t="str">
        <f>calc_gap('Matrix 171007_1818'!$CM$15,'Matrix 171007_1818'!$CS$15)</f>
        <v/>
      </c>
      <c r="CZ15" s="237" t="str">
        <f>calc_gap('Matrix 171007_1818'!$CN$15,'Matrix 171007_1818'!$CT$15)</f>
        <v/>
      </c>
      <c r="DA15" s="238" t="str">
        <f>calc_gap('Matrix 171007_1818'!$CO$15,'Matrix 171007_1818'!$CU$15)</f>
        <v/>
      </c>
    </row>
    <row r="16" spans="1:105" ht="15.75" thickBot="1" x14ac:dyDescent="0.3">
      <c r="B16" s="435"/>
      <c r="C16" s="292" t="s">
        <v>61</v>
      </c>
      <c r="D16" s="318"/>
      <c r="E16" s="319"/>
      <c r="F16" s="319"/>
      <c r="G16" s="319"/>
      <c r="H16" s="319"/>
      <c r="I16" s="319"/>
      <c r="J16" s="319"/>
      <c r="K16" s="320"/>
      <c r="L16" s="318"/>
      <c r="M16" s="319"/>
      <c r="N16" s="319"/>
      <c r="O16" s="320"/>
      <c r="P16" s="318"/>
      <c r="Q16" s="319"/>
      <c r="R16" s="319"/>
      <c r="S16" s="319"/>
      <c r="T16" s="319"/>
      <c r="U16" s="319"/>
      <c r="V16" s="319"/>
      <c r="W16" s="319"/>
      <c r="X16" s="319"/>
      <c r="Y16" s="319"/>
      <c r="Z16" s="319"/>
      <c r="AA16" s="319"/>
      <c r="AB16" s="319"/>
      <c r="AC16" s="319"/>
      <c r="AD16" s="319"/>
      <c r="AE16" s="319"/>
      <c r="AF16" s="319"/>
      <c r="AG16" s="319"/>
      <c r="AH16" s="319"/>
      <c r="AI16" s="320"/>
      <c r="AJ16" s="318"/>
      <c r="AK16" s="319"/>
      <c r="AL16" s="320"/>
      <c r="AM16" s="318"/>
      <c r="AN16" s="319"/>
      <c r="AO16" s="320"/>
      <c r="AP16" s="318"/>
      <c r="AQ16" s="319"/>
      <c r="AR16" s="319"/>
      <c r="AS16" s="319"/>
      <c r="AT16" s="320"/>
      <c r="AU16" s="318" t="s">
        <v>147</v>
      </c>
      <c r="AV16" s="319" t="s">
        <v>147</v>
      </c>
      <c r="AW16" s="319" t="s">
        <v>147</v>
      </c>
      <c r="AX16" s="319" t="s">
        <v>147</v>
      </c>
      <c r="AY16" s="319" t="s">
        <v>147</v>
      </c>
      <c r="AZ16" s="319"/>
      <c r="BA16" s="319"/>
      <c r="BB16" s="320"/>
      <c r="BC16" s="318" t="s">
        <v>147</v>
      </c>
      <c r="BD16" s="319" t="s">
        <v>147</v>
      </c>
      <c r="BE16" s="319"/>
      <c r="BF16" s="319"/>
      <c r="BG16" s="320"/>
      <c r="BH16" s="318"/>
      <c r="BI16" s="319"/>
      <c r="BJ16" s="320"/>
      <c r="BK16" s="318" t="s">
        <v>148</v>
      </c>
      <c r="BL16" s="319"/>
      <c r="BM16" s="319"/>
      <c r="BN16" s="320"/>
      <c r="BO16" s="318" t="s">
        <v>148</v>
      </c>
      <c r="BP16" s="319" t="s">
        <v>150</v>
      </c>
      <c r="BQ16" s="319" t="s">
        <v>150</v>
      </c>
      <c r="BR16" s="319"/>
      <c r="BS16" s="319" t="s">
        <v>147</v>
      </c>
      <c r="BT16" s="319" t="s">
        <v>148</v>
      </c>
      <c r="BU16" s="319" t="s">
        <v>148</v>
      </c>
      <c r="BV16" s="320"/>
      <c r="BW16" s="318" t="s">
        <v>150</v>
      </c>
      <c r="BX16" s="319"/>
      <c r="BY16" s="319" t="s">
        <v>147</v>
      </c>
      <c r="BZ16" s="319" t="s">
        <v>150</v>
      </c>
      <c r="CA16" s="319" t="s">
        <v>147</v>
      </c>
      <c r="CB16" s="320" t="s">
        <v>147</v>
      </c>
      <c r="CC16" s="318"/>
      <c r="CD16" s="319"/>
      <c r="CE16" s="320"/>
      <c r="CF16" s="318"/>
      <c r="CG16" s="319"/>
      <c r="CH16" s="319"/>
      <c r="CI16" s="321"/>
      <c r="CK16" s="239" t="str">
        <f t="shared" si="0"/>
        <v/>
      </c>
      <c r="CL16" s="240">
        <f t="shared" si="1"/>
        <v>11</v>
      </c>
      <c r="CM16" s="240">
        <f t="shared" si="2"/>
        <v>4</v>
      </c>
      <c r="CN16" s="240">
        <f t="shared" si="3"/>
        <v>4</v>
      </c>
      <c r="CO16" s="241" t="str">
        <f t="shared" si="4"/>
        <v/>
      </c>
      <c r="CQ16" s="239" t="str">
        <f>desired_skills(C16,"Systemen/Disconnected applicaties","o")</f>
        <v/>
      </c>
      <c r="CR16" s="240" t="str">
        <f>desired_skills(C16,"Systemen/Disconnected applicaties","j")</f>
        <v/>
      </c>
      <c r="CS16" s="240" t="str">
        <f>desired_skills(C16,"Systemen/Disconnected applicaties","m")</f>
        <v/>
      </c>
      <c r="CT16" s="240" t="str">
        <f>desired_skills(C16,"Systemen/Disconnected applicaties","s")</f>
        <v/>
      </c>
      <c r="CU16" s="241" t="str">
        <f>desired_skills(C16,"Systemen/Disconnected applicaties","e")</f>
        <v/>
      </c>
      <c r="CW16" s="239" t="str">
        <f>calc_gap('Matrix 171007_1818'!$CK$16,'Matrix 171007_1818'!$CQ$16)</f>
        <v/>
      </c>
      <c r="CX16" s="240" t="str">
        <f>calc_gap('Matrix 171007_1818'!$CL$16,'Matrix 171007_1818'!$CR$16)</f>
        <v/>
      </c>
      <c r="CY16" s="240" t="str">
        <f>calc_gap('Matrix 171007_1818'!$CM$16,'Matrix 171007_1818'!$CS$16)</f>
        <v/>
      </c>
      <c r="CZ16" s="240" t="str">
        <f>calc_gap('Matrix 171007_1818'!$CN$16,'Matrix 171007_1818'!$CT$16)</f>
        <v/>
      </c>
      <c r="DA16" s="241" t="str">
        <f>calc_gap('Matrix 171007_1818'!$CO$16,'Matrix 171007_1818'!$CU$16)</f>
        <v/>
      </c>
    </row>
    <row r="17" spans="2:105" ht="12.75" customHeight="1" thickTop="1" thickBot="1" x14ac:dyDescent="0.3">
      <c r="B17" s="436"/>
      <c r="C17" s="248"/>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2"/>
      <c r="CH17" s="322"/>
      <c r="CI17" s="322"/>
      <c r="CK17" s="249"/>
      <c r="CL17" s="249"/>
      <c r="CM17" s="249"/>
      <c r="CN17" s="249"/>
      <c r="CO17" s="249"/>
      <c r="CQ17" s="249"/>
      <c r="CR17" s="249"/>
      <c r="CS17" s="249"/>
      <c r="CT17" s="249"/>
      <c r="CU17" s="249"/>
      <c r="CW17" s="249"/>
      <c r="CX17" s="249"/>
      <c r="CY17" s="249"/>
      <c r="CZ17" s="249"/>
      <c r="DA17" s="249"/>
    </row>
    <row r="18" spans="2:105" ht="15.75" thickTop="1" x14ac:dyDescent="0.25">
      <c r="B18" s="434" t="s">
        <v>62</v>
      </c>
      <c r="C18" s="290" t="s">
        <v>63</v>
      </c>
      <c r="D18" s="310"/>
      <c r="E18" s="311"/>
      <c r="F18" s="311"/>
      <c r="G18" s="311"/>
      <c r="H18" s="311"/>
      <c r="I18" s="311"/>
      <c r="J18" s="311"/>
      <c r="K18" s="312"/>
      <c r="L18" s="310"/>
      <c r="M18" s="311"/>
      <c r="N18" s="311"/>
      <c r="O18" s="312"/>
      <c r="P18" s="310"/>
      <c r="Q18" s="311"/>
      <c r="R18" s="311"/>
      <c r="S18" s="311"/>
      <c r="T18" s="311"/>
      <c r="U18" s="311"/>
      <c r="V18" s="311"/>
      <c r="W18" s="311"/>
      <c r="X18" s="311"/>
      <c r="Y18" s="311"/>
      <c r="Z18" s="311"/>
      <c r="AA18" s="311"/>
      <c r="AB18" s="311"/>
      <c r="AC18" s="311"/>
      <c r="AD18" s="311"/>
      <c r="AE18" s="311"/>
      <c r="AF18" s="311"/>
      <c r="AG18" s="311"/>
      <c r="AH18" s="311"/>
      <c r="AI18" s="312"/>
      <c r="AJ18" s="310"/>
      <c r="AK18" s="311"/>
      <c r="AL18" s="312"/>
      <c r="AM18" s="310"/>
      <c r="AN18" s="311"/>
      <c r="AO18" s="312"/>
      <c r="AP18" s="310"/>
      <c r="AQ18" s="311"/>
      <c r="AR18" s="311"/>
      <c r="AS18" s="311"/>
      <c r="AT18" s="312"/>
      <c r="AU18" s="310" t="s">
        <v>148</v>
      </c>
      <c r="AV18" s="311" t="s">
        <v>150</v>
      </c>
      <c r="AW18" s="311" t="s">
        <v>150</v>
      </c>
      <c r="AX18" s="311" t="s">
        <v>47</v>
      </c>
      <c r="AY18" s="311" t="s">
        <v>47</v>
      </c>
      <c r="AZ18" s="311" t="s">
        <v>148</v>
      </c>
      <c r="BA18" s="311" t="s">
        <v>150</v>
      </c>
      <c r="BB18" s="312" t="s">
        <v>150</v>
      </c>
      <c r="BC18" s="310" t="s">
        <v>148</v>
      </c>
      <c r="BD18" s="311" t="s">
        <v>148</v>
      </c>
      <c r="BE18" s="311"/>
      <c r="BF18" s="311" t="s">
        <v>147</v>
      </c>
      <c r="BG18" s="312"/>
      <c r="BH18" s="310"/>
      <c r="BI18" s="311" t="s">
        <v>148</v>
      </c>
      <c r="BJ18" s="312"/>
      <c r="BK18" s="310" t="s">
        <v>147</v>
      </c>
      <c r="BL18" s="311" t="s">
        <v>148</v>
      </c>
      <c r="BM18" s="311"/>
      <c r="BN18" s="312" t="s">
        <v>149</v>
      </c>
      <c r="BO18" s="310" t="s">
        <v>148</v>
      </c>
      <c r="BP18" s="311"/>
      <c r="BQ18" s="311" t="s">
        <v>148</v>
      </c>
      <c r="BR18" s="311"/>
      <c r="BS18" s="311" t="s">
        <v>149</v>
      </c>
      <c r="BT18" s="311" t="s">
        <v>148</v>
      </c>
      <c r="BU18" s="311" t="s">
        <v>148</v>
      </c>
      <c r="BV18" s="312"/>
      <c r="BW18" s="310" t="s">
        <v>148</v>
      </c>
      <c r="BX18" s="311" t="s">
        <v>148</v>
      </c>
      <c r="BY18" s="311" t="s">
        <v>148</v>
      </c>
      <c r="BZ18" s="311" t="s">
        <v>148</v>
      </c>
      <c r="CA18" s="311" t="s">
        <v>47</v>
      </c>
      <c r="CB18" s="312" t="s">
        <v>150</v>
      </c>
      <c r="CC18" s="310"/>
      <c r="CD18" s="311" t="s">
        <v>148</v>
      </c>
      <c r="CE18" s="312"/>
      <c r="CF18" s="310"/>
      <c r="CG18" s="311"/>
      <c r="CH18" s="311"/>
      <c r="CI18" s="313"/>
      <c r="CK18" s="233">
        <f t="shared" ref="CK18:CK26" si="5">IF(COUNTIF(D18:CI18,"o")&gt;0,COUNTIF(D18:CI18,"o"),"")</f>
        <v>2</v>
      </c>
      <c r="CL18" s="234">
        <f t="shared" ref="CL18:CL26" si="6">IF(COUNTIF(D18:CI18,"j")&gt;0,COUNTIF(D18:CI18,"j"),"")</f>
        <v>2</v>
      </c>
      <c r="CM18" s="234">
        <f t="shared" ref="CM18:CM26" si="7">IF(COUNTIF(D18:CI18,"m")&gt;0,COUNTIF(D18:CI18,"m"),"")</f>
        <v>15</v>
      </c>
      <c r="CN18" s="234">
        <f t="shared" ref="CN18:CN26" si="8">IF(COUNTIF(D18:CI18,"s")&gt;0,COUNTIF(D18:CI18,"s"),"")</f>
        <v>5</v>
      </c>
      <c r="CO18" s="235">
        <f t="shared" ref="CO18:CO26" si="9">IF(COUNTIF(D18:CI18,"e")&gt;0,COUNTIF(D18:CI18,"e"),"")</f>
        <v>3</v>
      </c>
      <c r="CQ18" s="233" t="str">
        <f>desired_skills(C18,"Specifieke Risico / IAM-kennis/IAM beleid","o")</f>
        <v>11</v>
      </c>
      <c r="CR18" s="234" t="str">
        <f>desired_skills(C18,"Specifieke Risico / IAM-kennis/IAM beleid","j")</f>
        <v/>
      </c>
      <c r="CS18" s="234" t="str">
        <f>desired_skills(C18,"Specifieke Risico / IAM-kennis/IAM beleid","m")</f>
        <v/>
      </c>
      <c r="CT18" s="234" t="str">
        <f>desired_skills(C18,"Specifieke Risico / IAM-kennis/IAM beleid","s")</f>
        <v/>
      </c>
      <c r="CU18" s="235" t="str">
        <f>desired_skills(C18,"Specifieke Risico / IAM-kennis/IAM beleid","e")</f>
        <v/>
      </c>
      <c r="CW18" s="233" t="str">
        <f>calc_gap('Matrix 171007_1818'!$CK$18,'Matrix 171007_1818'!$CQ$18)</f>
        <v>9</v>
      </c>
      <c r="CX18" s="234" t="str">
        <f>calc_gap('Matrix 171007_1818'!$CL$18,'Matrix 171007_1818'!$CR$18)</f>
        <v/>
      </c>
      <c r="CY18" s="234" t="str">
        <f>calc_gap('Matrix 171007_1818'!$CM$18,'Matrix 171007_1818'!$CS$18)</f>
        <v/>
      </c>
      <c r="CZ18" s="234" t="str">
        <f>calc_gap('Matrix 171007_1818'!$CN$18,'Matrix 171007_1818'!$CT$18)</f>
        <v/>
      </c>
      <c r="DA18" s="235" t="str">
        <f>calc_gap('Matrix 171007_1818'!$CO$18,'Matrix 171007_1818'!$CU$18)</f>
        <v/>
      </c>
    </row>
    <row r="19" spans="2:105" x14ac:dyDescent="0.25">
      <c r="B19" s="435"/>
      <c r="C19" s="291" t="s">
        <v>118</v>
      </c>
      <c r="D19" s="314"/>
      <c r="E19" s="315"/>
      <c r="F19" s="315"/>
      <c r="G19" s="315"/>
      <c r="H19" s="315"/>
      <c r="I19" s="315"/>
      <c r="J19" s="315"/>
      <c r="K19" s="316"/>
      <c r="L19" s="314"/>
      <c r="M19" s="315"/>
      <c r="N19" s="315"/>
      <c r="O19" s="316"/>
      <c r="P19" s="314"/>
      <c r="Q19" s="315"/>
      <c r="R19" s="315"/>
      <c r="S19" s="315"/>
      <c r="T19" s="315"/>
      <c r="U19" s="315"/>
      <c r="V19" s="315"/>
      <c r="W19" s="315"/>
      <c r="X19" s="315"/>
      <c r="Y19" s="315"/>
      <c r="Z19" s="315"/>
      <c r="AA19" s="315"/>
      <c r="AB19" s="315"/>
      <c r="AC19" s="315"/>
      <c r="AD19" s="315"/>
      <c r="AE19" s="315"/>
      <c r="AF19" s="315"/>
      <c r="AG19" s="315"/>
      <c r="AH19" s="315"/>
      <c r="AI19" s="316"/>
      <c r="AJ19" s="314"/>
      <c r="AK19" s="315"/>
      <c r="AL19" s="316"/>
      <c r="AM19" s="314"/>
      <c r="AN19" s="315"/>
      <c r="AO19" s="316"/>
      <c r="AP19" s="314"/>
      <c r="AQ19" s="315"/>
      <c r="AR19" s="315"/>
      <c r="AS19" s="315"/>
      <c r="AT19" s="316"/>
      <c r="AU19" s="314" t="s">
        <v>148</v>
      </c>
      <c r="AV19" s="315" t="s">
        <v>150</v>
      </c>
      <c r="AW19" s="315" t="s">
        <v>150</v>
      </c>
      <c r="AX19" s="315" t="s">
        <v>47</v>
      </c>
      <c r="AY19" s="315" t="s">
        <v>150</v>
      </c>
      <c r="AZ19" s="315" t="s">
        <v>147</v>
      </c>
      <c r="BA19" s="315" t="s">
        <v>150</v>
      </c>
      <c r="BB19" s="316" t="s">
        <v>150</v>
      </c>
      <c r="BC19" s="314" t="s">
        <v>148</v>
      </c>
      <c r="BD19" s="315" t="s">
        <v>148</v>
      </c>
      <c r="BE19" s="315"/>
      <c r="BF19" s="315" t="s">
        <v>148</v>
      </c>
      <c r="BG19" s="316"/>
      <c r="BH19" s="314"/>
      <c r="BI19" s="315" t="s">
        <v>148</v>
      </c>
      <c r="BJ19" s="316"/>
      <c r="BK19" s="314" t="s">
        <v>148</v>
      </c>
      <c r="BL19" s="315" t="s">
        <v>148</v>
      </c>
      <c r="BM19" s="315"/>
      <c r="BN19" s="316" t="s">
        <v>149</v>
      </c>
      <c r="BO19" s="314" t="s">
        <v>148</v>
      </c>
      <c r="BP19" s="315"/>
      <c r="BQ19" s="315" t="s">
        <v>148</v>
      </c>
      <c r="BR19" s="315"/>
      <c r="BS19" s="315" t="s">
        <v>149</v>
      </c>
      <c r="BT19" s="315" t="s">
        <v>148</v>
      </c>
      <c r="BU19" s="315" t="s">
        <v>150</v>
      </c>
      <c r="BV19" s="316"/>
      <c r="BW19" s="314" t="s">
        <v>47</v>
      </c>
      <c r="BX19" s="315" t="s">
        <v>148</v>
      </c>
      <c r="BY19" s="315" t="s">
        <v>150</v>
      </c>
      <c r="BZ19" s="315" t="s">
        <v>47</v>
      </c>
      <c r="CA19" s="315" t="s">
        <v>150</v>
      </c>
      <c r="CB19" s="316" t="s">
        <v>150</v>
      </c>
      <c r="CC19" s="314"/>
      <c r="CD19" s="315" t="s">
        <v>150</v>
      </c>
      <c r="CE19" s="316"/>
      <c r="CF19" s="314"/>
      <c r="CG19" s="315"/>
      <c r="CH19" s="315"/>
      <c r="CI19" s="317"/>
      <c r="CK19" s="236">
        <f t="shared" si="5"/>
        <v>2</v>
      </c>
      <c r="CL19" s="237">
        <f t="shared" si="6"/>
        <v>1</v>
      </c>
      <c r="CM19" s="237">
        <f t="shared" si="7"/>
        <v>11</v>
      </c>
      <c r="CN19" s="237">
        <f t="shared" si="8"/>
        <v>10</v>
      </c>
      <c r="CO19" s="238">
        <f t="shared" si="9"/>
        <v>3</v>
      </c>
      <c r="CQ19" s="236" t="str">
        <f>desired_skills(C19,"Specifieke Risico / IAM-kennis/IAM Processen/procedures","o")</f>
        <v/>
      </c>
      <c r="CR19" s="237" t="str">
        <f>desired_skills(C19,"Specifieke Risico / IAM-kennis/IAM Processen/procedures","j")</f>
        <v>12</v>
      </c>
      <c r="CS19" s="237" t="str">
        <f>desired_skills(C19,"Specifieke Risico / IAM-kennis/IAM Processen/procedures","m")</f>
        <v/>
      </c>
      <c r="CT19" s="237" t="str">
        <f>desired_skills(C19,"Specifieke Risico / IAM-kennis/IAM Processen/procedures","s")</f>
        <v/>
      </c>
      <c r="CU19" s="238" t="str">
        <f>desired_skills(C19,"Specifieke Risico / IAM-kennis/IAM Processen/procedures","e")</f>
        <v/>
      </c>
      <c r="CW19" s="236" t="str">
        <f>calc_gap('Matrix 171007_1818'!$CK$19,'Matrix 171007_1818'!$CQ$19)</f>
        <v/>
      </c>
      <c r="CX19" s="237" t="str">
        <f>calc_gap('Matrix 171007_1818'!$CL$19,'Matrix 171007_1818'!$CR$19)</f>
        <v>11</v>
      </c>
      <c r="CY19" s="237" t="str">
        <f>calc_gap('Matrix 171007_1818'!$CM$19,'Matrix 171007_1818'!$CS$19)</f>
        <v/>
      </c>
      <c r="CZ19" s="237" t="str">
        <f>calc_gap('Matrix 171007_1818'!$CN$19,'Matrix 171007_1818'!$CT$19)</f>
        <v/>
      </c>
      <c r="DA19" s="238" t="str">
        <f>calc_gap('Matrix 171007_1818'!$CO$19,'Matrix 171007_1818'!$CU$19)</f>
        <v/>
      </c>
    </row>
    <row r="20" spans="2:105" x14ac:dyDescent="0.25">
      <c r="B20" s="435"/>
      <c r="C20" s="291" t="s">
        <v>64</v>
      </c>
      <c r="D20" s="314"/>
      <c r="E20" s="315"/>
      <c r="F20" s="315"/>
      <c r="G20" s="315"/>
      <c r="H20" s="315"/>
      <c r="I20" s="315"/>
      <c r="J20" s="315"/>
      <c r="K20" s="316"/>
      <c r="L20" s="314"/>
      <c r="M20" s="315"/>
      <c r="N20" s="315"/>
      <c r="O20" s="316"/>
      <c r="P20" s="314"/>
      <c r="Q20" s="315"/>
      <c r="R20" s="315"/>
      <c r="S20" s="315"/>
      <c r="T20" s="315"/>
      <c r="U20" s="315"/>
      <c r="V20" s="315"/>
      <c r="W20" s="315"/>
      <c r="X20" s="315"/>
      <c r="Y20" s="315"/>
      <c r="Z20" s="315"/>
      <c r="AA20" s="315"/>
      <c r="AB20" s="315"/>
      <c r="AC20" s="315"/>
      <c r="AD20" s="315"/>
      <c r="AE20" s="315"/>
      <c r="AF20" s="315"/>
      <c r="AG20" s="315"/>
      <c r="AH20" s="315"/>
      <c r="AI20" s="316"/>
      <c r="AJ20" s="314"/>
      <c r="AK20" s="315"/>
      <c r="AL20" s="316"/>
      <c r="AM20" s="314"/>
      <c r="AN20" s="315"/>
      <c r="AO20" s="316"/>
      <c r="AP20" s="314"/>
      <c r="AQ20" s="315"/>
      <c r="AR20" s="315"/>
      <c r="AS20" s="315"/>
      <c r="AT20" s="316"/>
      <c r="AU20" s="314" t="s">
        <v>150</v>
      </c>
      <c r="AV20" s="315" t="s">
        <v>150</v>
      </c>
      <c r="AW20" s="315" t="s">
        <v>150</v>
      </c>
      <c r="AX20" s="315" t="s">
        <v>47</v>
      </c>
      <c r="AY20" s="315" t="s">
        <v>47</v>
      </c>
      <c r="AZ20" s="315" t="s">
        <v>149</v>
      </c>
      <c r="BA20" s="315" t="s">
        <v>148</v>
      </c>
      <c r="BB20" s="316" t="s">
        <v>150</v>
      </c>
      <c r="BC20" s="314" t="s">
        <v>147</v>
      </c>
      <c r="BD20" s="315" t="s">
        <v>149</v>
      </c>
      <c r="BE20" s="315"/>
      <c r="BF20" s="315" t="s">
        <v>148</v>
      </c>
      <c r="BG20" s="316"/>
      <c r="BH20" s="314"/>
      <c r="BI20" s="315" t="s">
        <v>148</v>
      </c>
      <c r="BJ20" s="316"/>
      <c r="BK20" s="314" t="s">
        <v>147</v>
      </c>
      <c r="BL20" s="315"/>
      <c r="BM20" s="315"/>
      <c r="BN20" s="316"/>
      <c r="BO20" s="314" t="s">
        <v>147</v>
      </c>
      <c r="BP20" s="315"/>
      <c r="BQ20" s="315" t="s">
        <v>147</v>
      </c>
      <c r="BR20" s="315"/>
      <c r="BS20" s="315"/>
      <c r="BT20" s="315" t="s">
        <v>148</v>
      </c>
      <c r="BU20" s="315" t="s">
        <v>150</v>
      </c>
      <c r="BV20" s="316"/>
      <c r="BW20" s="314" t="s">
        <v>148</v>
      </c>
      <c r="BX20" s="315" t="s">
        <v>148</v>
      </c>
      <c r="BY20" s="315" t="s">
        <v>150</v>
      </c>
      <c r="BZ20" s="315"/>
      <c r="CA20" s="315" t="s">
        <v>150</v>
      </c>
      <c r="CB20" s="316" t="s">
        <v>47</v>
      </c>
      <c r="CC20" s="314"/>
      <c r="CD20" s="315" t="s">
        <v>148</v>
      </c>
      <c r="CE20" s="316"/>
      <c r="CF20" s="314"/>
      <c r="CG20" s="315"/>
      <c r="CH20" s="315"/>
      <c r="CI20" s="317"/>
      <c r="CK20" s="236">
        <f t="shared" si="5"/>
        <v>2</v>
      </c>
      <c r="CL20" s="237">
        <f t="shared" si="6"/>
        <v>4</v>
      </c>
      <c r="CM20" s="237">
        <f t="shared" si="7"/>
        <v>7</v>
      </c>
      <c r="CN20" s="237">
        <f t="shared" si="8"/>
        <v>7</v>
      </c>
      <c r="CO20" s="238">
        <f t="shared" si="9"/>
        <v>3</v>
      </c>
      <c r="CQ20" s="236" t="str">
        <f>desired_skills(C20,"Specifieke Risico / IAM-kennis/Key Control Framework","o")</f>
        <v/>
      </c>
      <c r="CR20" s="237" t="str">
        <f>desired_skills(C20,"Specifieke Risico / IAM-kennis/Key Control Framework","j")</f>
        <v/>
      </c>
      <c r="CS20" s="237" t="str">
        <f>desired_skills(C20,"Specifieke Risico / IAM-kennis/Key Control Framework","m")</f>
        <v>13</v>
      </c>
      <c r="CT20" s="237" t="str">
        <f>desired_skills(C20,"Specifieke Risico / IAM-kennis/Key Control Framework","s")</f>
        <v/>
      </c>
      <c r="CU20" s="238" t="str">
        <f>desired_skills(C20,"Specifieke Risico / IAM-kennis/Key Control Framework","e")</f>
        <v/>
      </c>
      <c r="CW20" s="236" t="str">
        <f>calc_gap('Matrix 171007_1818'!$CK$20,'Matrix 171007_1818'!$CQ$20)</f>
        <v/>
      </c>
      <c r="CX20" s="237" t="str">
        <f>calc_gap('Matrix 171007_1818'!$CL$20,'Matrix 171007_1818'!$CR$20)</f>
        <v/>
      </c>
      <c r="CY20" s="237" t="str">
        <f>calc_gap('Matrix 171007_1818'!$CM$20,'Matrix 171007_1818'!$CS$20)</f>
        <v>6</v>
      </c>
      <c r="CZ20" s="237" t="str">
        <f>calc_gap('Matrix 171007_1818'!$CN$20,'Matrix 171007_1818'!$CT$20)</f>
        <v/>
      </c>
      <c r="DA20" s="238" t="str">
        <f>calc_gap('Matrix 171007_1818'!$CO$20,'Matrix 171007_1818'!$CU$20)</f>
        <v/>
      </c>
    </row>
    <row r="21" spans="2:105" x14ac:dyDescent="0.25">
      <c r="B21" s="435"/>
      <c r="C21" s="291" t="s">
        <v>65</v>
      </c>
      <c r="D21" s="314"/>
      <c r="E21" s="315"/>
      <c r="F21" s="315"/>
      <c r="G21" s="315"/>
      <c r="H21" s="315"/>
      <c r="I21" s="315"/>
      <c r="J21" s="315"/>
      <c r="K21" s="316"/>
      <c r="L21" s="314"/>
      <c r="M21" s="315"/>
      <c r="N21" s="315"/>
      <c r="O21" s="316"/>
      <c r="P21" s="314"/>
      <c r="Q21" s="315"/>
      <c r="R21" s="315"/>
      <c r="S21" s="315"/>
      <c r="T21" s="315"/>
      <c r="U21" s="315"/>
      <c r="V21" s="315"/>
      <c r="W21" s="315"/>
      <c r="X21" s="315"/>
      <c r="Y21" s="315"/>
      <c r="Z21" s="315"/>
      <c r="AA21" s="315"/>
      <c r="AB21" s="315"/>
      <c r="AC21" s="315"/>
      <c r="AD21" s="315"/>
      <c r="AE21" s="315"/>
      <c r="AF21" s="315"/>
      <c r="AG21" s="315"/>
      <c r="AH21" s="315"/>
      <c r="AI21" s="316"/>
      <c r="AJ21" s="314"/>
      <c r="AK21" s="315"/>
      <c r="AL21" s="316"/>
      <c r="AM21" s="314"/>
      <c r="AN21" s="315"/>
      <c r="AO21" s="316"/>
      <c r="AP21" s="314"/>
      <c r="AQ21" s="315"/>
      <c r="AR21" s="315"/>
      <c r="AS21" s="315"/>
      <c r="AT21" s="316"/>
      <c r="AU21" s="314" t="s">
        <v>148</v>
      </c>
      <c r="AV21" s="315" t="s">
        <v>148</v>
      </c>
      <c r="AW21" s="315" t="s">
        <v>148</v>
      </c>
      <c r="AX21" s="315" t="s">
        <v>147</v>
      </c>
      <c r="AY21" s="315" t="s">
        <v>147</v>
      </c>
      <c r="AZ21" s="315"/>
      <c r="BA21" s="315" t="s">
        <v>147</v>
      </c>
      <c r="BB21" s="316" t="s">
        <v>147</v>
      </c>
      <c r="BC21" s="314" t="s">
        <v>147</v>
      </c>
      <c r="BD21" s="315" t="s">
        <v>149</v>
      </c>
      <c r="BE21" s="315"/>
      <c r="BF21" s="315" t="s">
        <v>147</v>
      </c>
      <c r="BG21" s="316"/>
      <c r="BH21" s="314"/>
      <c r="BI21" s="315"/>
      <c r="BJ21" s="316"/>
      <c r="BK21" s="314"/>
      <c r="BL21" s="315" t="s">
        <v>150</v>
      </c>
      <c r="BM21" s="315"/>
      <c r="BN21" s="316" t="s">
        <v>147</v>
      </c>
      <c r="BO21" s="314"/>
      <c r="BP21" s="315"/>
      <c r="BQ21" s="315" t="s">
        <v>148</v>
      </c>
      <c r="BR21" s="315"/>
      <c r="BS21" s="315" t="s">
        <v>147</v>
      </c>
      <c r="BT21" s="315" t="s">
        <v>148</v>
      </c>
      <c r="BU21" s="315" t="s">
        <v>150</v>
      </c>
      <c r="BV21" s="316"/>
      <c r="BW21" s="314" t="s">
        <v>47</v>
      </c>
      <c r="BX21" s="315"/>
      <c r="BY21" s="315" t="s">
        <v>147</v>
      </c>
      <c r="BZ21" s="315"/>
      <c r="CA21" s="315" t="s">
        <v>150</v>
      </c>
      <c r="CB21" s="316" t="s">
        <v>147</v>
      </c>
      <c r="CC21" s="314"/>
      <c r="CD21" s="315" t="s">
        <v>147</v>
      </c>
      <c r="CE21" s="316"/>
      <c r="CF21" s="314"/>
      <c r="CG21" s="315"/>
      <c r="CH21" s="315"/>
      <c r="CI21" s="317"/>
      <c r="CK21" s="236">
        <f t="shared" si="5"/>
        <v>1</v>
      </c>
      <c r="CL21" s="237">
        <f t="shared" si="6"/>
        <v>11</v>
      </c>
      <c r="CM21" s="237">
        <f t="shared" si="7"/>
        <v>5</v>
      </c>
      <c r="CN21" s="237">
        <f t="shared" si="8"/>
        <v>3</v>
      </c>
      <c r="CO21" s="238">
        <f t="shared" si="9"/>
        <v>1</v>
      </c>
      <c r="CQ21" s="236" t="str">
        <f>desired_skills(C21,"Specifieke Risico / IAM-kennis/IT Security","o")</f>
        <v/>
      </c>
      <c r="CR21" s="237" t="str">
        <f>desired_skills(C21,"Specifieke Risico / IAM-kennis/IT Security","j")</f>
        <v/>
      </c>
      <c r="CS21" s="237" t="str">
        <f>desired_skills(C21,"Specifieke Risico / IAM-kennis/IT Security","m")</f>
        <v/>
      </c>
      <c r="CT21" s="237" t="str">
        <f>desired_skills(C21,"Specifieke Risico / IAM-kennis/IT Security","s")</f>
        <v>14</v>
      </c>
      <c r="CU21" s="238" t="str">
        <f>desired_skills(C21,"Specifieke Risico / IAM-kennis/IT Security","e")</f>
        <v/>
      </c>
      <c r="CW21" s="236" t="str">
        <f>calc_gap('Matrix 171007_1818'!$CK$21,'Matrix 171007_1818'!$CQ$21)</f>
        <v/>
      </c>
      <c r="CX21" s="237" t="str">
        <f>calc_gap('Matrix 171007_1818'!$CL$21,'Matrix 171007_1818'!$CR$21)</f>
        <v/>
      </c>
      <c r="CY21" s="237" t="str">
        <f>calc_gap('Matrix 171007_1818'!$CM$21,'Matrix 171007_1818'!$CS$21)</f>
        <v/>
      </c>
      <c r="CZ21" s="237" t="str">
        <f>calc_gap('Matrix 171007_1818'!$CN$21,'Matrix 171007_1818'!$CT$21)</f>
        <v>11</v>
      </c>
      <c r="DA21" s="238" t="str">
        <f>calc_gap('Matrix 171007_1818'!$CO$21,'Matrix 171007_1818'!$CU$21)</f>
        <v/>
      </c>
    </row>
    <row r="22" spans="2:105" x14ac:dyDescent="0.25">
      <c r="B22" s="435"/>
      <c r="C22" s="291" t="s">
        <v>66</v>
      </c>
      <c r="D22" s="314"/>
      <c r="E22" s="315"/>
      <c r="F22" s="315"/>
      <c r="G22" s="315"/>
      <c r="H22" s="315"/>
      <c r="I22" s="315"/>
      <c r="J22" s="315"/>
      <c r="K22" s="316"/>
      <c r="L22" s="314"/>
      <c r="M22" s="315"/>
      <c r="N22" s="315"/>
      <c r="O22" s="316"/>
      <c r="P22" s="314"/>
      <c r="Q22" s="315"/>
      <c r="R22" s="315"/>
      <c r="S22" s="315"/>
      <c r="T22" s="315"/>
      <c r="U22" s="315"/>
      <c r="V22" s="315"/>
      <c r="W22" s="315"/>
      <c r="X22" s="315"/>
      <c r="Y22" s="315"/>
      <c r="Z22" s="315"/>
      <c r="AA22" s="315"/>
      <c r="AB22" s="315"/>
      <c r="AC22" s="315"/>
      <c r="AD22" s="315"/>
      <c r="AE22" s="315"/>
      <c r="AF22" s="315"/>
      <c r="AG22" s="315"/>
      <c r="AH22" s="315"/>
      <c r="AI22" s="316"/>
      <c r="AJ22" s="314"/>
      <c r="AK22" s="315"/>
      <c r="AL22" s="316"/>
      <c r="AM22" s="314"/>
      <c r="AN22" s="315"/>
      <c r="AO22" s="316"/>
      <c r="AP22" s="314"/>
      <c r="AQ22" s="315"/>
      <c r="AR22" s="315"/>
      <c r="AS22" s="315"/>
      <c r="AT22" s="316"/>
      <c r="AU22" s="314" t="s">
        <v>47</v>
      </c>
      <c r="AV22" s="315" t="s">
        <v>150</v>
      </c>
      <c r="AW22" s="315" t="s">
        <v>148</v>
      </c>
      <c r="AX22" s="315" t="s">
        <v>150</v>
      </c>
      <c r="AY22" s="315" t="s">
        <v>147</v>
      </c>
      <c r="AZ22" s="315" t="s">
        <v>147</v>
      </c>
      <c r="BA22" s="315" t="s">
        <v>147</v>
      </c>
      <c r="BB22" s="316" t="s">
        <v>148</v>
      </c>
      <c r="BC22" s="314" t="s">
        <v>148</v>
      </c>
      <c r="BD22" s="315" t="s">
        <v>147</v>
      </c>
      <c r="BE22" s="315"/>
      <c r="BF22" s="315" t="s">
        <v>147</v>
      </c>
      <c r="BG22" s="316"/>
      <c r="BH22" s="314"/>
      <c r="BI22" s="315"/>
      <c r="BJ22" s="316"/>
      <c r="BK22" s="314" t="s">
        <v>147</v>
      </c>
      <c r="BL22" s="315"/>
      <c r="BM22" s="315"/>
      <c r="BN22" s="316" t="s">
        <v>149</v>
      </c>
      <c r="BO22" s="314" t="s">
        <v>147</v>
      </c>
      <c r="BP22" s="315"/>
      <c r="BQ22" s="315" t="s">
        <v>147</v>
      </c>
      <c r="BR22" s="315"/>
      <c r="BS22" s="315"/>
      <c r="BT22" s="315" t="s">
        <v>147</v>
      </c>
      <c r="BU22" s="315" t="s">
        <v>150</v>
      </c>
      <c r="BV22" s="316"/>
      <c r="BW22" s="314" t="s">
        <v>148</v>
      </c>
      <c r="BX22" s="315"/>
      <c r="BY22" s="315" t="s">
        <v>150</v>
      </c>
      <c r="BZ22" s="315" t="s">
        <v>47</v>
      </c>
      <c r="CA22" s="315" t="s">
        <v>150</v>
      </c>
      <c r="CB22" s="316" t="s">
        <v>150</v>
      </c>
      <c r="CC22" s="314"/>
      <c r="CD22" s="315" t="s">
        <v>147</v>
      </c>
      <c r="CE22" s="316"/>
      <c r="CF22" s="314"/>
      <c r="CG22" s="315"/>
      <c r="CH22" s="315"/>
      <c r="CI22" s="317"/>
      <c r="CK22" s="236">
        <f t="shared" si="5"/>
        <v>1</v>
      </c>
      <c r="CL22" s="237">
        <f t="shared" si="6"/>
        <v>10</v>
      </c>
      <c r="CM22" s="237">
        <f t="shared" si="7"/>
        <v>4</v>
      </c>
      <c r="CN22" s="237">
        <f t="shared" si="8"/>
        <v>6</v>
      </c>
      <c r="CO22" s="238">
        <f t="shared" si="9"/>
        <v>2</v>
      </c>
      <c r="CQ22" s="236" t="str">
        <f>desired_skills(C22,"Specifieke Risico / IAM-kennis/Cross domain","o")</f>
        <v/>
      </c>
      <c r="CR22" s="237" t="str">
        <f>desired_skills(C22,"Specifieke Risico / IAM-kennis/Cross domain","j")</f>
        <v/>
      </c>
      <c r="CS22" s="237" t="str">
        <f>desired_skills(C22,"Specifieke Risico / IAM-kennis/Cross domain","m")</f>
        <v/>
      </c>
      <c r="CT22" s="237" t="str">
        <f>desired_skills(C22,"Specifieke Risico / IAM-kennis/Cross domain","s")</f>
        <v/>
      </c>
      <c r="CU22" s="238" t="str">
        <f>desired_skills(C22,"Specifieke Risico / IAM-kennis/Cross domain","e")</f>
        <v>15</v>
      </c>
      <c r="CW22" s="236" t="str">
        <f>calc_gap('Matrix 171007_1818'!$CK$22,'Matrix 171007_1818'!$CQ$22)</f>
        <v/>
      </c>
      <c r="CX22" s="237" t="str">
        <f>calc_gap('Matrix 171007_1818'!$CL$22,'Matrix 171007_1818'!$CR$22)</f>
        <v/>
      </c>
      <c r="CY22" s="237" t="str">
        <f>calc_gap('Matrix 171007_1818'!$CM$22,'Matrix 171007_1818'!$CS$22)</f>
        <v/>
      </c>
      <c r="CZ22" s="237" t="str">
        <f>calc_gap('Matrix 171007_1818'!$CN$22,'Matrix 171007_1818'!$CT$22)</f>
        <v/>
      </c>
      <c r="DA22" s="238" t="str">
        <f>calc_gap('Matrix 171007_1818'!$CO$22,'Matrix 171007_1818'!$CU$22)</f>
        <v>13</v>
      </c>
    </row>
    <row r="23" spans="2:105" x14ac:dyDescent="0.25">
      <c r="B23" s="435"/>
      <c r="C23" s="291" t="s">
        <v>67</v>
      </c>
      <c r="D23" s="314"/>
      <c r="E23" s="315"/>
      <c r="F23" s="315"/>
      <c r="G23" s="315"/>
      <c r="H23" s="315"/>
      <c r="I23" s="315"/>
      <c r="J23" s="315"/>
      <c r="K23" s="316"/>
      <c r="L23" s="314"/>
      <c r="M23" s="315"/>
      <c r="N23" s="315"/>
      <c r="O23" s="316"/>
      <c r="P23" s="314"/>
      <c r="Q23" s="315"/>
      <c r="R23" s="315"/>
      <c r="S23" s="315"/>
      <c r="T23" s="315"/>
      <c r="U23" s="315"/>
      <c r="V23" s="315"/>
      <c r="W23" s="315"/>
      <c r="X23" s="315"/>
      <c r="Y23" s="315"/>
      <c r="Z23" s="315"/>
      <c r="AA23" s="315"/>
      <c r="AB23" s="315"/>
      <c r="AC23" s="315"/>
      <c r="AD23" s="315"/>
      <c r="AE23" s="315"/>
      <c r="AF23" s="315"/>
      <c r="AG23" s="315"/>
      <c r="AH23" s="315"/>
      <c r="AI23" s="316"/>
      <c r="AJ23" s="314"/>
      <c r="AK23" s="315"/>
      <c r="AL23" s="316"/>
      <c r="AM23" s="314"/>
      <c r="AN23" s="315"/>
      <c r="AO23" s="316"/>
      <c r="AP23" s="314"/>
      <c r="AQ23" s="315"/>
      <c r="AR23" s="315"/>
      <c r="AS23" s="315"/>
      <c r="AT23" s="316"/>
      <c r="AU23" s="314" t="s">
        <v>148</v>
      </c>
      <c r="AV23" s="315" t="s">
        <v>148</v>
      </c>
      <c r="AW23" s="315" t="s">
        <v>148</v>
      </c>
      <c r="AX23" s="315" t="s">
        <v>148</v>
      </c>
      <c r="AY23" s="315" t="s">
        <v>150</v>
      </c>
      <c r="AZ23" s="315"/>
      <c r="BA23" s="315"/>
      <c r="BB23" s="316" t="s">
        <v>148</v>
      </c>
      <c r="BC23" s="314" t="s">
        <v>148</v>
      </c>
      <c r="BD23" s="315" t="s">
        <v>147</v>
      </c>
      <c r="BE23" s="315"/>
      <c r="BF23" s="315" t="s">
        <v>147</v>
      </c>
      <c r="BG23" s="316"/>
      <c r="BH23" s="314"/>
      <c r="BI23" s="315"/>
      <c r="BJ23" s="316"/>
      <c r="BK23" s="314"/>
      <c r="BL23" s="315"/>
      <c r="BM23" s="315"/>
      <c r="BN23" s="316"/>
      <c r="BO23" s="314"/>
      <c r="BP23" s="315"/>
      <c r="BQ23" s="315" t="s">
        <v>148</v>
      </c>
      <c r="BR23" s="315"/>
      <c r="BS23" s="315"/>
      <c r="BT23" s="315" t="s">
        <v>147</v>
      </c>
      <c r="BU23" s="315" t="s">
        <v>150</v>
      </c>
      <c r="BV23" s="316"/>
      <c r="BW23" s="314" t="s">
        <v>150</v>
      </c>
      <c r="BX23" s="315"/>
      <c r="BY23" s="315" t="s">
        <v>148</v>
      </c>
      <c r="BZ23" s="315" t="s">
        <v>150</v>
      </c>
      <c r="CA23" s="315" t="s">
        <v>150</v>
      </c>
      <c r="CB23" s="316" t="s">
        <v>148</v>
      </c>
      <c r="CC23" s="314"/>
      <c r="CD23" s="315" t="s">
        <v>147</v>
      </c>
      <c r="CE23" s="316"/>
      <c r="CF23" s="314"/>
      <c r="CG23" s="315"/>
      <c r="CH23" s="315"/>
      <c r="CI23" s="317"/>
      <c r="CK23" s="236" t="str">
        <f t="shared" si="5"/>
        <v/>
      </c>
      <c r="CL23" s="237">
        <f t="shared" si="6"/>
        <v>4</v>
      </c>
      <c r="CM23" s="237">
        <f t="shared" si="7"/>
        <v>9</v>
      </c>
      <c r="CN23" s="237">
        <f t="shared" si="8"/>
        <v>5</v>
      </c>
      <c r="CO23" s="238" t="str">
        <f t="shared" si="9"/>
        <v/>
      </c>
      <c r="CQ23" s="236" t="str">
        <f>desired_skills(C23,"Specifieke Risico / IAM-kennis/FSE's","o")</f>
        <v/>
      </c>
      <c r="CR23" s="237" t="str">
        <f>desired_skills(C23,"Specifieke Risico / IAM-kennis/FSE's","j")</f>
        <v/>
      </c>
      <c r="CS23" s="237" t="str">
        <f>desired_skills(C23,"Specifieke Risico / IAM-kennis/FSE's","m")</f>
        <v/>
      </c>
      <c r="CT23" s="237" t="str">
        <f>desired_skills(C23,"Specifieke Risico / IAM-kennis/FSE's","s")</f>
        <v/>
      </c>
      <c r="CU23" s="238" t="str">
        <f>desired_skills(C23,"Specifieke Risico / IAM-kennis/FSE's","e")</f>
        <v/>
      </c>
      <c r="CW23" s="236" t="str">
        <f>calc_gap('Matrix 171007_1818'!$CK$23,'Matrix 171007_1818'!$CQ$23)</f>
        <v/>
      </c>
      <c r="CX23" s="237" t="str">
        <f>calc_gap('Matrix 171007_1818'!$CL$23,'Matrix 171007_1818'!$CR$23)</f>
        <v/>
      </c>
      <c r="CY23" s="237" t="str">
        <f>calc_gap('Matrix 171007_1818'!$CM$23,'Matrix 171007_1818'!$CS$23)</f>
        <v/>
      </c>
      <c r="CZ23" s="237" t="str">
        <f>calc_gap('Matrix 171007_1818'!$CN$23,'Matrix 171007_1818'!$CT$23)</f>
        <v/>
      </c>
      <c r="DA23" s="238" t="str">
        <f>calc_gap('Matrix 171007_1818'!$CO$23,'Matrix 171007_1818'!$CU$23)</f>
        <v/>
      </c>
    </row>
    <row r="24" spans="2:105" x14ac:dyDescent="0.25">
      <c r="B24" s="435"/>
      <c r="C24" s="291" t="s">
        <v>68</v>
      </c>
      <c r="D24" s="314"/>
      <c r="E24" s="315"/>
      <c r="F24" s="315"/>
      <c r="G24" s="315"/>
      <c r="H24" s="315"/>
      <c r="I24" s="315"/>
      <c r="J24" s="315"/>
      <c r="K24" s="316"/>
      <c r="L24" s="314"/>
      <c r="M24" s="315"/>
      <c r="N24" s="315"/>
      <c r="O24" s="316"/>
      <c r="P24" s="314"/>
      <c r="Q24" s="315"/>
      <c r="R24" s="315"/>
      <c r="S24" s="315"/>
      <c r="T24" s="315"/>
      <c r="U24" s="315"/>
      <c r="V24" s="315"/>
      <c r="W24" s="315"/>
      <c r="X24" s="315"/>
      <c r="Y24" s="315"/>
      <c r="Z24" s="315"/>
      <c r="AA24" s="315"/>
      <c r="AB24" s="315"/>
      <c r="AC24" s="315"/>
      <c r="AD24" s="315"/>
      <c r="AE24" s="315"/>
      <c r="AF24" s="315"/>
      <c r="AG24" s="315"/>
      <c r="AH24" s="315"/>
      <c r="AI24" s="316"/>
      <c r="AJ24" s="314"/>
      <c r="AK24" s="315"/>
      <c r="AL24" s="316"/>
      <c r="AM24" s="314"/>
      <c r="AN24" s="315"/>
      <c r="AO24" s="316"/>
      <c r="AP24" s="314"/>
      <c r="AQ24" s="315"/>
      <c r="AR24" s="315"/>
      <c r="AS24" s="315"/>
      <c r="AT24" s="316"/>
      <c r="AU24" s="314" t="s">
        <v>148</v>
      </c>
      <c r="AV24" s="315" t="s">
        <v>148</v>
      </c>
      <c r="AW24" s="315" t="s">
        <v>150</v>
      </c>
      <c r="AX24" s="315" t="s">
        <v>47</v>
      </c>
      <c r="AY24" s="315" t="s">
        <v>150</v>
      </c>
      <c r="AZ24" s="315"/>
      <c r="BA24" s="315"/>
      <c r="BB24" s="316" t="s">
        <v>150</v>
      </c>
      <c r="BC24" s="314" t="s">
        <v>147</v>
      </c>
      <c r="BD24" s="315"/>
      <c r="BE24" s="315"/>
      <c r="BF24" s="315" t="s">
        <v>147</v>
      </c>
      <c r="BG24" s="316"/>
      <c r="BH24" s="314"/>
      <c r="BI24" s="315"/>
      <c r="BJ24" s="316"/>
      <c r="BK24" s="314" t="s">
        <v>150</v>
      </c>
      <c r="BL24" s="315" t="s">
        <v>147</v>
      </c>
      <c r="BM24" s="315"/>
      <c r="BN24" s="316" t="s">
        <v>149</v>
      </c>
      <c r="BO24" s="314" t="s">
        <v>148</v>
      </c>
      <c r="BP24" s="315" t="s">
        <v>47</v>
      </c>
      <c r="BQ24" s="315" t="s">
        <v>147</v>
      </c>
      <c r="BR24" s="315"/>
      <c r="BS24" s="315" t="s">
        <v>148</v>
      </c>
      <c r="BT24" s="315" t="s">
        <v>147</v>
      </c>
      <c r="BU24" s="315" t="s">
        <v>150</v>
      </c>
      <c r="BV24" s="316"/>
      <c r="BW24" s="314" t="s">
        <v>150</v>
      </c>
      <c r="BX24" s="315"/>
      <c r="BY24" s="315" t="s">
        <v>148</v>
      </c>
      <c r="BZ24" s="315" t="s">
        <v>47</v>
      </c>
      <c r="CA24" s="315" t="s">
        <v>148</v>
      </c>
      <c r="CB24" s="316" t="s">
        <v>148</v>
      </c>
      <c r="CC24" s="314"/>
      <c r="CD24" s="315" t="s">
        <v>148</v>
      </c>
      <c r="CE24" s="316"/>
      <c r="CF24" s="314"/>
      <c r="CG24" s="315"/>
      <c r="CH24" s="315"/>
      <c r="CI24" s="317"/>
      <c r="CK24" s="236">
        <f t="shared" si="5"/>
        <v>1</v>
      </c>
      <c r="CL24" s="237">
        <f t="shared" si="6"/>
        <v>5</v>
      </c>
      <c r="CM24" s="237">
        <f t="shared" si="7"/>
        <v>8</v>
      </c>
      <c r="CN24" s="237">
        <f t="shared" si="8"/>
        <v>6</v>
      </c>
      <c r="CO24" s="238">
        <f t="shared" si="9"/>
        <v>3</v>
      </c>
      <c r="CQ24" s="236" t="str">
        <f>desired_skills(C24,"Specifieke Risico / IAM-kennis/Toerusten","o")</f>
        <v/>
      </c>
      <c r="CR24" s="237" t="str">
        <f>desired_skills(C24,"Specifieke Risico / IAM-kennis/Toerusten","j")</f>
        <v/>
      </c>
      <c r="CS24" s="237" t="str">
        <f>desired_skills(C24,"Specifieke Risico / IAM-kennis/Toerusten","m")</f>
        <v/>
      </c>
      <c r="CT24" s="237" t="str">
        <f>desired_skills(C24,"Specifieke Risico / IAM-kennis/Toerusten","s")</f>
        <v/>
      </c>
      <c r="CU24" s="238" t="str">
        <f>desired_skills(C24,"Specifieke Risico / IAM-kennis/Toerusten","e")</f>
        <v/>
      </c>
      <c r="CW24" s="236" t="str">
        <f>calc_gap('Matrix 171007_1818'!$CK$24,'Matrix 171007_1818'!$CQ$24)</f>
        <v/>
      </c>
      <c r="CX24" s="237" t="str">
        <f>calc_gap('Matrix 171007_1818'!$CL$24,'Matrix 171007_1818'!$CR$24)</f>
        <v/>
      </c>
      <c r="CY24" s="237" t="str">
        <f>calc_gap('Matrix 171007_1818'!$CM$24,'Matrix 171007_1818'!$CS$24)</f>
        <v/>
      </c>
      <c r="CZ24" s="237" t="str">
        <f>calc_gap('Matrix 171007_1818'!$CN$24,'Matrix 171007_1818'!$CT$24)</f>
        <v/>
      </c>
      <c r="DA24" s="238" t="str">
        <f>calc_gap('Matrix 171007_1818'!$CO$24,'Matrix 171007_1818'!$CU$24)</f>
        <v/>
      </c>
    </row>
    <row r="25" spans="2:105" x14ac:dyDescent="0.25">
      <c r="B25" s="435"/>
      <c r="C25" s="291" t="s">
        <v>69</v>
      </c>
      <c r="D25" s="314"/>
      <c r="E25" s="315"/>
      <c r="F25" s="315"/>
      <c r="G25" s="315"/>
      <c r="H25" s="315"/>
      <c r="I25" s="315"/>
      <c r="J25" s="315"/>
      <c r="K25" s="316"/>
      <c r="L25" s="314"/>
      <c r="M25" s="315"/>
      <c r="N25" s="315"/>
      <c r="O25" s="316"/>
      <c r="P25" s="314"/>
      <c r="Q25" s="315"/>
      <c r="R25" s="315"/>
      <c r="S25" s="315"/>
      <c r="T25" s="315"/>
      <c r="U25" s="315"/>
      <c r="V25" s="315"/>
      <c r="W25" s="315"/>
      <c r="X25" s="315"/>
      <c r="Y25" s="315"/>
      <c r="Z25" s="315"/>
      <c r="AA25" s="315"/>
      <c r="AB25" s="315"/>
      <c r="AC25" s="315"/>
      <c r="AD25" s="315"/>
      <c r="AE25" s="315"/>
      <c r="AF25" s="315"/>
      <c r="AG25" s="315"/>
      <c r="AH25" s="315"/>
      <c r="AI25" s="316"/>
      <c r="AJ25" s="314"/>
      <c r="AK25" s="315"/>
      <c r="AL25" s="316"/>
      <c r="AM25" s="314"/>
      <c r="AN25" s="315"/>
      <c r="AO25" s="316"/>
      <c r="AP25" s="314"/>
      <c r="AQ25" s="315"/>
      <c r="AR25" s="315"/>
      <c r="AS25" s="315"/>
      <c r="AT25" s="316"/>
      <c r="AU25" s="314" t="s">
        <v>148</v>
      </c>
      <c r="AV25" s="315" t="s">
        <v>148</v>
      </c>
      <c r="AW25" s="315" t="s">
        <v>148</v>
      </c>
      <c r="AX25" s="315" t="s">
        <v>150</v>
      </c>
      <c r="AY25" s="315" t="s">
        <v>150</v>
      </c>
      <c r="AZ25" s="315"/>
      <c r="BA25" s="315"/>
      <c r="BB25" s="316" t="s">
        <v>148</v>
      </c>
      <c r="BC25" s="314" t="s">
        <v>147</v>
      </c>
      <c r="BD25" s="315"/>
      <c r="BE25" s="315"/>
      <c r="BF25" s="315" t="s">
        <v>147</v>
      </c>
      <c r="BG25" s="316"/>
      <c r="BH25" s="314"/>
      <c r="BI25" s="315"/>
      <c r="BJ25" s="316"/>
      <c r="BK25" s="314" t="s">
        <v>147</v>
      </c>
      <c r="BL25" s="315" t="s">
        <v>147</v>
      </c>
      <c r="BM25" s="315"/>
      <c r="BN25" s="316" t="s">
        <v>147</v>
      </c>
      <c r="BO25" s="314"/>
      <c r="BP25" s="315" t="s">
        <v>150</v>
      </c>
      <c r="BQ25" s="315" t="s">
        <v>147</v>
      </c>
      <c r="BR25" s="315"/>
      <c r="BS25" s="315"/>
      <c r="BT25" s="315" t="s">
        <v>147</v>
      </c>
      <c r="BU25" s="315" t="s">
        <v>150</v>
      </c>
      <c r="BV25" s="316"/>
      <c r="BW25" s="314" t="s">
        <v>148</v>
      </c>
      <c r="BX25" s="315"/>
      <c r="BY25" s="315" t="s">
        <v>147</v>
      </c>
      <c r="BZ25" s="315" t="s">
        <v>150</v>
      </c>
      <c r="CA25" s="315" t="s">
        <v>147</v>
      </c>
      <c r="CB25" s="316" t="s">
        <v>147</v>
      </c>
      <c r="CC25" s="314"/>
      <c r="CD25" s="315" t="s">
        <v>147</v>
      </c>
      <c r="CE25" s="316"/>
      <c r="CF25" s="314"/>
      <c r="CG25" s="315"/>
      <c r="CH25" s="315"/>
      <c r="CI25" s="317"/>
      <c r="CK25" s="236" t="str">
        <f t="shared" si="5"/>
        <v/>
      </c>
      <c r="CL25" s="237">
        <f t="shared" si="6"/>
        <v>11</v>
      </c>
      <c r="CM25" s="237">
        <f t="shared" si="7"/>
        <v>5</v>
      </c>
      <c r="CN25" s="237">
        <f t="shared" si="8"/>
        <v>5</v>
      </c>
      <c r="CO25" s="238" t="str">
        <f t="shared" si="9"/>
        <v/>
      </c>
      <c r="CQ25" s="236" t="str">
        <f>desired_skills(C25,"Specifieke Risico / IAM-kennis/Authenthiseren","o")</f>
        <v/>
      </c>
      <c r="CR25" s="237" t="str">
        <f>desired_skills(C25,"Specifieke Risico / IAM-kennis/Authenthiseren","j")</f>
        <v/>
      </c>
      <c r="CS25" s="237" t="str">
        <f>desired_skills(C25,"Specifieke Risico / IAM-kennis/Authenthiseren","m")</f>
        <v/>
      </c>
      <c r="CT25" s="237" t="str">
        <f>desired_skills(C25,"Specifieke Risico / IAM-kennis/Authenthiseren","s")</f>
        <v/>
      </c>
      <c r="CU25" s="238" t="str">
        <f>desired_skills(C25,"Specifieke Risico / IAM-kennis/Authenthiseren","e")</f>
        <v/>
      </c>
      <c r="CW25" s="236" t="str">
        <f>calc_gap('Matrix 171007_1818'!$CK$25,'Matrix 171007_1818'!$CQ$25)</f>
        <v/>
      </c>
      <c r="CX25" s="237" t="str">
        <f>calc_gap('Matrix 171007_1818'!$CL$25,'Matrix 171007_1818'!$CR$25)</f>
        <v/>
      </c>
      <c r="CY25" s="237" t="str">
        <f>calc_gap('Matrix 171007_1818'!$CM$25,'Matrix 171007_1818'!$CS$25)</f>
        <v/>
      </c>
      <c r="CZ25" s="237" t="str">
        <f>calc_gap('Matrix 171007_1818'!$CN$25,'Matrix 171007_1818'!$CT$25)</f>
        <v/>
      </c>
      <c r="DA25" s="238" t="str">
        <f>calc_gap('Matrix 171007_1818'!$CO$25,'Matrix 171007_1818'!$CU$25)</f>
        <v/>
      </c>
    </row>
    <row r="26" spans="2:105" ht="15.75" thickBot="1" x14ac:dyDescent="0.3">
      <c r="B26" s="435"/>
      <c r="C26" s="292" t="s">
        <v>75</v>
      </c>
      <c r="D26" s="318"/>
      <c r="E26" s="319"/>
      <c r="F26" s="319"/>
      <c r="G26" s="319"/>
      <c r="H26" s="319"/>
      <c r="I26" s="319"/>
      <c r="J26" s="319"/>
      <c r="K26" s="320"/>
      <c r="L26" s="318"/>
      <c r="M26" s="319"/>
      <c r="N26" s="319"/>
      <c r="O26" s="320"/>
      <c r="P26" s="318"/>
      <c r="Q26" s="319"/>
      <c r="R26" s="319"/>
      <c r="S26" s="319"/>
      <c r="T26" s="319"/>
      <c r="U26" s="319"/>
      <c r="V26" s="319"/>
      <c r="W26" s="319"/>
      <c r="X26" s="319"/>
      <c r="Y26" s="319"/>
      <c r="Z26" s="319"/>
      <c r="AA26" s="319"/>
      <c r="AB26" s="319"/>
      <c r="AC26" s="319"/>
      <c r="AD26" s="319"/>
      <c r="AE26" s="319"/>
      <c r="AF26" s="319"/>
      <c r="AG26" s="319"/>
      <c r="AH26" s="319"/>
      <c r="AI26" s="320"/>
      <c r="AJ26" s="318"/>
      <c r="AK26" s="319"/>
      <c r="AL26" s="320"/>
      <c r="AM26" s="318"/>
      <c r="AN26" s="319"/>
      <c r="AO26" s="320"/>
      <c r="AP26" s="318"/>
      <c r="AQ26" s="319"/>
      <c r="AR26" s="319"/>
      <c r="AS26" s="319"/>
      <c r="AT26" s="320"/>
      <c r="AU26" s="318" t="s">
        <v>148</v>
      </c>
      <c r="AV26" s="319" t="s">
        <v>47</v>
      </c>
      <c r="AW26" s="319" t="s">
        <v>150</v>
      </c>
      <c r="AX26" s="319" t="s">
        <v>150</v>
      </c>
      <c r="AY26" s="319" t="s">
        <v>150</v>
      </c>
      <c r="AZ26" s="319"/>
      <c r="BA26" s="319" t="s">
        <v>150</v>
      </c>
      <c r="BB26" s="320" t="s">
        <v>150</v>
      </c>
      <c r="BC26" s="318" t="s">
        <v>147</v>
      </c>
      <c r="BD26" s="319"/>
      <c r="BE26" s="319"/>
      <c r="BF26" s="319" t="s">
        <v>147</v>
      </c>
      <c r="BG26" s="320"/>
      <c r="BH26" s="318"/>
      <c r="BI26" s="319" t="s">
        <v>147</v>
      </c>
      <c r="BJ26" s="320"/>
      <c r="BK26" s="318" t="s">
        <v>148</v>
      </c>
      <c r="BL26" s="319" t="s">
        <v>148</v>
      </c>
      <c r="BM26" s="319"/>
      <c r="BN26" s="320" t="s">
        <v>147</v>
      </c>
      <c r="BO26" s="318" t="s">
        <v>150</v>
      </c>
      <c r="BP26" s="319"/>
      <c r="BQ26" s="319" t="s">
        <v>150</v>
      </c>
      <c r="BR26" s="319"/>
      <c r="BS26" s="319" t="s">
        <v>147</v>
      </c>
      <c r="BT26" s="319" t="s">
        <v>47</v>
      </c>
      <c r="BU26" s="319" t="s">
        <v>47</v>
      </c>
      <c r="BV26" s="320"/>
      <c r="BW26" s="318" t="s">
        <v>47</v>
      </c>
      <c r="BX26" s="319" t="s">
        <v>148</v>
      </c>
      <c r="BY26" s="319" t="s">
        <v>47</v>
      </c>
      <c r="BZ26" s="319" t="s">
        <v>150</v>
      </c>
      <c r="CA26" s="319" t="s">
        <v>47</v>
      </c>
      <c r="CB26" s="320" t="s">
        <v>47</v>
      </c>
      <c r="CC26" s="318"/>
      <c r="CD26" s="319" t="s">
        <v>148</v>
      </c>
      <c r="CE26" s="320"/>
      <c r="CF26" s="318"/>
      <c r="CG26" s="319"/>
      <c r="CH26" s="319"/>
      <c r="CI26" s="321"/>
      <c r="CK26" s="239" t="str">
        <f t="shared" si="5"/>
        <v/>
      </c>
      <c r="CL26" s="240">
        <f t="shared" si="6"/>
        <v>5</v>
      </c>
      <c r="CM26" s="240">
        <f t="shared" si="7"/>
        <v>5</v>
      </c>
      <c r="CN26" s="240">
        <f t="shared" si="8"/>
        <v>8</v>
      </c>
      <c r="CO26" s="241">
        <f t="shared" si="9"/>
        <v>7</v>
      </c>
      <c r="CQ26" s="239" t="str">
        <f>desired_skills(C26,"Specifieke Risico / IAM-kennis/Rolmodellen (RBAC)","o")</f>
        <v/>
      </c>
      <c r="CR26" s="240" t="str">
        <f>desired_skills(C26,"Specifieke Risico / IAM-kennis/Rolmodellen (RBAC)","j")</f>
        <v/>
      </c>
      <c r="CS26" s="240" t="str">
        <f>desired_skills(C26,"Specifieke Risico / IAM-kennis/Rolmodellen (RBAC)","m")</f>
        <v/>
      </c>
      <c r="CT26" s="240" t="str">
        <f>desired_skills(C26,"Specifieke Risico / IAM-kennis/Rolmodellen (RBAC)","s")</f>
        <v/>
      </c>
      <c r="CU26" s="241" t="str">
        <f>desired_skills(C26,"Specifieke Risico / IAM-kennis/Rolmodellen (RBAC)","e")</f>
        <v/>
      </c>
      <c r="CW26" s="239" t="str">
        <f>calc_gap('Matrix 171007_1818'!$CK$26,'Matrix 171007_1818'!$CQ$26)</f>
        <v/>
      </c>
      <c r="CX26" s="240" t="str">
        <f>calc_gap('Matrix 171007_1818'!$CL$26,'Matrix 171007_1818'!$CR$26)</f>
        <v/>
      </c>
      <c r="CY26" s="240" t="str">
        <f>calc_gap('Matrix 171007_1818'!$CM$26,'Matrix 171007_1818'!$CS$26)</f>
        <v/>
      </c>
      <c r="CZ26" s="240" t="str">
        <f>calc_gap('Matrix 171007_1818'!$CN$26,'Matrix 171007_1818'!$CT$26)</f>
        <v/>
      </c>
      <c r="DA26" s="241" t="str">
        <f>calc_gap('Matrix 171007_1818'!$CO$26,'Matrix 171007_1818'!$CU$26)</f>
        <v/>
      </c>
    </row>
    <row r="27" spans="2:105" ht="12.75" customHeight="1" thickTop="1" thickBot="1" x14ac:dyDescent="0.3">
      <c r="B27" s="436"/>
      <c r="C27" s="248"/>
      <c r="D27" s="322"/>
      <c r="E27" s="322"/>
      <c r="F27" s="322"/>
      <c r="G27" s="322"/>
      <c r="H27" s="322"/>
      <c r="I27" s="322"/>
      <c r="J27" s="322"/>
      <c r="K27" s="322"/>
      <c r="L27" s="322"/>
      <c r="M27" s="322"/>
      <c r="N27" s="322"/>
      <c r="O27" s="322"/>
      <c r="P27" s="322"/>
      <c r="Q27" s="322"/>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K27" s="249"/>
      <c r="CL27" s="249"/>
      <c r="CM27" s="249"/>
      <c r="CN27" s="249"/>
      <c r="CO27" s="249"/>
      <c r="CQ27" s="249"/>
      <c r="CR27" s="249"/>
      <c r="CS27" s="249"/>
      <c r="CT27" s="249"/>
      <c r="CU27" s="249"/>
      <c r="CW27" s="249"/>
      <c r="CX27" s="249"/>
      <c r="CY27" s="249"/>
      <c r="CZ27" s="249"/>
      <c r="DA27" s="249"/>
    </row>
    <row r="28" spans="2:105" ht="15.75" thickTop="1" x14ac:dyDescent="0.25">
      <c r="B28" s="434" t="s">
        <v>70</v>
      </c>
      <c r="C28" s="290" t="s">
        <v>71</v>
      </c>
      <c r="D28" s="310"/>
      <c r="E28" s="311"/>
      <c r="F28" s="311"/>
      <c r="G28" s="311"/>
      <c r="H28" s="311"/>
      <c r="I28" s="311"/>
      <c r="J28" s="311"/>
      <c r="K28" s="312"/>
      <c r="L28" s="310"/>
      <c r="M28" s="311"/>
      <c r="N28" s="311"/>
      <c r="O28" s="312"/>
      <c r="P28" s="310"/>
      <c r="Q28" s="311"/>
      <c r="R28" s="311"/>
      <c r="S28" s="311"/>
      <c r="T28" s="311"/>
      <c r="U28" s="311"/>
      <c r="V28" s="311"/>
      <c r="W28" s="311"/>
      <c r="X28" s="311"/>
      <c r="Y28" s="311"/>
      <c r="Z28" s="311"/>
      <c r="AA28" s="311"/>
      <c r="AB28" s="311"/>
      <c r="AC28" s="311"/>
      <c r="AD28" s="311"/>
      <c r="AE28" s="311"/>
      <c r="AF28" s="311"/>
      <c r="AG28" s="311"/>
      <c r="AH28" s="311"/>
      <c r="AI28" s="312"/>
      <c r="AJ28" s="310"/>
      <c r="AK28" s="311"/>
      <c r="AL28" s="312"/>
      <c r="AM28" s="310"/>
      <c r="AN28" s="311"/>
      <c r="AO28" s="312"/>
      <c r="AP28" s="310"/>
      <c r="AQ28" s="311"/>
      <c r="AR28" s="311"/>
      <c r="AS28" s="311"/>
      <c r="AT28" s="312"/>
      <c r="AU28" s="310" t="s">
        <v>148</v>
      </c>
      <c r="AV28" s="311" t="s">
        <v>150</v>
      </c>
      <c r="AW28" s="311" t="s">
        <v>150</v>
      </c>
      <c r="AX28" s="311" t="s">
        <v>150</v>
      </c>
      <c r="AY28" s="311" t="s">
        <v>150</v>
      </c>
      <c r="AZ28" s="311" t="s">
        <v>148</v>
      </c>
      <c r="BA28" s="311" t="s">
        <v>148</v>
      </c>
      <c r="BB28" s="312" t="s">
        <v>47</v>
      </c>
      <c r="BC28" s="310" t="s">
        <v>148</v>
      </c>
      <c r="BD28" s="311" t="s">
        <v>148</v>
      </c>
      <c r="BE28" s="311"/>
      <c r="BF28" s="311" t="s">
        <v>150</v>
      </c>
      <c r="BG28" s="312"/>
      <c r="BH28" s="310"/>
      <c r="BI28" s="311" t="s">
        <v>148</v>
      </c>
      <c r="BJ28" s="312"/>
      <c r="BK28" s="310" t="s">
        <v>147</v>
      </c>
      <c r="BL28" s="311" t="s">
        <v>150</v>
      </c>
      <c r="BM28" s="311"/>
      <c r="BN28" s="312" t="s">
        <v>149</v>
      </c>
      <c r="BO28" s="310" t="s">
        <v>147</v>
      </c>
      <c r="BP28" s="311" t="s">
        <v>150</v>
      </c>
      <c r="BQ28" s="311" t="s">
        <v>147</v>
      </c>
      <c r="BR28" s="311"/>
      <c r="BS28" s="311"/>
      <c r="BT28" s="311" t="s">
        <v>150</v>
      </c>
      <c r="BU28" s="311" t="s">
        <v>148</v>
      </c>
      <c r="BV28" s="312"/>
      <c r="BW28" s="310" t="s">
        <v>148</v>
      </c>
      <c r="BX28" s="311" t="s">
        <v>148</v>
      </c>
      <c r="BY28" s="311" t="s">
        <v>150</v>
      </c>
      <c r="BZ28" s="311" t="s">
        <v>150</v>
      </c>
      <c r="CA28" s="311" t="s">
        <v>150</v>
      </c>
      <c r="CB28" s="312" t="s">
        <v>150</v>
      </c>
      <c r="CC28" s="310" t="s">
        <v>147</v>
      </c>
      <c r="CD28" s="311" t="s">
        <v>148</v>
      </c>
      <c r="CE28" s="312"/>
      <c r="CF28" s="310"/>
      <c r="CG28" s="311"/>
      <c r="CH28" s="311"/>
      <c r="CI28" s="313"/>
      <c r="CK28" s="233">
        <f t="shared" ref="CK28:CK37" si="10">IF(COUNTIF(D28:CI28,"o")&gt;0,COUNTIF(D28:CI28,"o"),"")</f>
        <v>1</v>
      </c>
      <c r="CL28" s="234">
        <f t="shared" ref="CL28:CL37" si="11">IF(COUNTIF(D28:CI28,"j")&gt;0,COUNTIF(D28:CI28,"j"),"")</f>
        <v>4</v>
      </c>
      <c r="CM28" s="234">
        <f t="shared" ref="CM28:CM37" si="12">IF(COUNTIF(D28:CI28,"m")&gt;0,COUNTIF(D28:CI28,"m"),"")</f>
        <v>10</v>
      </c>
      <c r="CN28" s="234">
        <f t="shared" ref="CN28:CN37" si="13">IF(COUNTIF(D28:CI28,"s")&gt;0,COUNTIF(D28:CI28,"s"),"")</f>
        <v>12</v>
      </c>
      <c r="CO28" s="235">
        <f t="shared" ref="CO28:CO37" si="14">IF(COUNTIF(D28:CI28,"e")&gt;0,COUNTIF(D28:CI28,"e"),"")</f>
        <v>1</v>
      </c>
      <c r="CQ28" s="233" t="str">
        <f>desired_skills(C28,"Methodieken/Lean","o")</f>
        <v>16</v>
      </c>
      <c r="CR28" s="234" t="str">
        <f>desired_skills(C28,"Methodieken/Lean","j")</f>
        <v/>
      </c>
      <c r="CS28" s="234" t="str">
        <f>desired_skills(C28,"Methodieken/Lean","m")</f>
        <v/>
      </c>
      <c r="CT28" s="234" t="str">
        <f>desired_skills(C28,"Methodieken/Lean","s")</f>
        <v/>
      </c>
      <c r="CU28" s="235" t="str">
        <f>desired_skills(C28,"Methodieken/Lean","e")</f>
        <v/>
      </c>
      <c r="CW28" s="233" t="str">
        <f>calc_gap('Matrix 171007_1818'!$CK$28,'Matrix 171007_1818'!$CQ$28)</f>
        <v>15</v>
      </c>
      <c r="CX28" s="234" t="str">
        <f>calc_gap('Matrix 171007_1818'!$CL$28,'Matrix 171007_1818'!$CR$28)</f>
        <v/>
      </c>
      <c r="CY28" s="234" t="str">
        <f>calc_gap('Matrix 171007_1818'!$CM$28,'Matrix 171007_1818'!$CS$28)</f>
        <v/>
      </c>
      <c r="CZ28" s="234" t="str">
        <f>calc_gap('Matrix 171007_1818'!$CN$28,'Matrix 171007_1818'!$CT$28)</f>
        <v/>
      </c>
      <c r="DA28" s="235" t="str">
        <f>calc_gap('Matrix 171007_1818'!$CO$28,'Matrix 171007_1818'!$CU$28)</f>
        <v/>
      </c>
    </row>
    <row r="29" spans="2:105" x14ac:dyDescent="0.25">
      <c r="B29" s="435"/>
      <c r="C29" s="291" t="s">
        <v>72</v>
      </c>
      <c r="D29" s="314"/>
      <c r="E29" s="315"/>
      <c r="F29" s="315"/>
      <c r="G29" s="315"/>
      <c r="H29" s="315"/>
      <c r="I29" s="315"/>
      <c r="J29" s="315"/>
      <c r="K29" s="316"/>
      <c r="L29" s="314"/>
      <c r="M29" s="315"/>
      <c r="N29" s="315"/>
      <c r="O29" s="316"/>
      <c r="P29" s="314"/>
      <c r="Q29" s="315"/>
      <c r="R29" s="315"/>
      <c r="S29" s="315"/>
      <c r="T29" s="315"/>
      <c r="U29" s="315"/>
      <c r="V29" s="315"/>
      <c r="W29" s="315"/>
      <c r="X29" s="315"/>
      <c r="Y29" s="315"/>
      <c r="Z29" s="315"/>
      <c r="AA29" s="315"/>
      <c r="AB29" s="315"/>
      <c r="AC29" s="315"/>
      <c r="AD29" s="315"/>
      <c r="AE29" s="315"/>
      <c r="AF29" s="315"/>
      <c r="AG29" s="315"/>
      <c r="AH29" s="315"/>
      <c r="AI29" s="316"/>
      <c r="AJ29" s="314"/>
      <c r="AK29" s="315"/>
      <c r="AL29" s="316"/>
      <c r="AM29" s="314"/>
      <c r="AN29" s="315"/>
      <c r="AO29" s="316"/>
      <c r="AP29" s="314"/>
      <c r="AQ29" s="315"/>
      <c r="AR29" s="315"/>
      <c r="AS29" s="315"/>
      <c r="AT29" s="316"/>
      <c r="AU29" s="314" t="s">
        <v>147</v>
      </c>
      <c r="AV29" s="315" t="s">
        <v>147</v>
      </c>
      <c r="AW29" s="315" t="s">
        <v>149</v>
      </c>
      <c r="AX29" s="315" t="s">
        <v>148</v>
      </c>
      <c r="AY29" s="315" t="s">
        <v>148</v>
      </c>
      <c r="AZ29" s="315"/>
      <c r="BA29" s="315" t="s">
        <v>147</v>
      </c>
      <c r="BB29" s="316" t="s">
        <v>148</v>
      </c>
      <c r="BC29" s="314" t="s">
        <v>150</v>
      </c>
      <c r="BD29" s="315" t="s">
        <v>147</v>
      </c>
      <c r="BE29" s="315"/>
      <c r="BF29" s="315" t="s">
        <v>147</v>
      </c>
      <c r="BG29" s="316"/>
      <c r="BH29" s="314"/>
      <c r="BI29" s="315"/>
      <c r="BJ29" s="316"/>
      <c r="BK29" s="314"/>
      <c r="BL29" s="315" t="s">
        <v>150</v>
      </c>
      <c r="BM29" s="315"/>
      <c r="BN29" s="316"/>
      <c r="BO29" s="314" t="s">
        <v>147</v>
      </c>
      <c r="BP29" s="315" t="s">
        <v>148</v>
      </c>
      <c r="BQ29" s="315"/>
      <c r="BR29" s="315"/>
      <c r="BS29" s="315"/>
      <c r="BT29" s="315"/>
      <c r="BU29" s="315" t="s">
        <v>148</v>
      </c>
      <c r="BV29" s="316"/>
      <c r="BW29" s="314" t="s">
        <v>147</v>
      </c>
      <c r="BX29" s="315"/>
      <c r="BY29" s="315"/>
      <c r="BZ29" s="315" t="s">
        <v>148</v>
      </c>
      <c r="CA29" s="315"/>
      <c r="CB29" s="316"/>
      <c r="CC29" s="314"/>
      <c r="CD29" s="315" t="s">
        <v>147</v>
      </c>
      <c r="CE29" s="316"/>
      <c r="CF29" s="314"/>
      <c r="CG29" s="315"/>
      <c r="CH29" s="315"/>
      <c r="CI29" s="317"/>
      <c r="CK29" s="236">
        <f t="shared" si="10"/>
        <v>1</v>
      </c>
      <c r="CL29" s="237">
        <f t="shared" si="11"/>
        <v>8</v>
      </c>
      <c r="CM29" s="237">
        <f t="shared" si="12"/>
        <v>6</v>
      </c>
      <c r="CN29" s="237">
        <f t="shared" si="13"/>
        <v>2</v>
      </c>
      <c r="CO29" s="238" t="str">
        <f t="shared" si="14"/>
        <v/>
      </c>
      <c r="CQ29" s="236" t="str">
        <f>desired_skills(C29,"Methodieken/DevOps","o")</f>
        <v/>
      </c>
      <c r="CR29" s="237" t="str">
        <f>desired_skills(C29,"Methodieken/DevOps","j")</f>
        <v>17</v>
      </c>
      <c r="CS29" s="237" t="str">
        <f>desired_skills(C29,"Methodieken/DevOps","m")</f>
        <v/>
      </c>
      <c r="CT29" s="237" t="str">
        <f>desired_skills(C29,"Methodieken/DevOps","s")</f>
        <v/>
      </c>
      <c r="CU29" s="238" t="str">
        <f>desired_skills(C29,"Methodieken/DevOps","e")</f>
        <v/>
      </c>
      <c r="CW29" s="236" t="str">
        <f>calc_gap('Matrix 171007_1818'!$CK$29,'Matrix 171007_1818'!$CQ$29)</f>
        <v/>
      </c>
      <c r="CX29" s="237" t="str">
        <f>calc_gap('Matrix 171007_1818'!$CL$29,'Matrix 171007_1818'!$CR$29)</f>
        <v>9</v>
      </c>
      <c r="CY29" s="237" t="str">
        <f>calc_gap('Matrix 171007_1818'!$CM$29,'Matrix 171007_1818'!$CS$29)</f>
        <v/>
      </c>
      <c r="CZ29" s="237" t="str">
        <f>calc_gap('Matrix 171007_1818'!$CN$29,'Matrix 171007_1818'!$CT$29)</f>
        <v/>
      </c>
      <c r="DA29" s="238" t="str">
        <f>calc_gap('Matrix 171007_1818'!$CO$29,'Matrix 171007_1818'!$CU$29)</f>
        <v/>
      </c>
    </row>
    <row r="30" spans="2:105" x14ac:dyDescent="0.25">
      <c r="B30" s="435"/>
      <c r="C30" s="291" t="s">
        <v>73</v>
      </c>
      <c r="D30" s="314"/>
      <c r="E30" s="315"/>
      <c r="F30" s="315"/>
      <c r="G30" s="315"/>
      <c r="H30" s="315"/>
      <c r="I30" s="315"/>
      <c r="J30" s="315"/>
      <c r="K30" s="316"/>
      <c r="L30" s="314"/>
      <c r="M30" s="315"/>
      <c r="N30" s="315"/>
      <c r="O30" s="316"/>
      <c r="P30" s="314"/>
      <c r="Q30" s="315"/>
      <c r="R30" s="315"/>
      <c r="S30" s="315"/>
      <c r="T30" s="315"/>
      <c r="U30" s="315"/>
      <c r="V30" s="315"/>
      <c r="W30" s="315"/>
      <c r="X30" s="315"/>
      <c r="Y30" s="315"/>
      <c r="Z30" s="315"/>
      <c r="AA30" s="315"/>
      <c r="AB30" s="315"/>
      <c r="AC30" s="315"/>
      <c r="AD30" s="315"/>
      <c r="AE30" s="315"/>
      <c r="AF30" s="315"/>
      <c r="AG30" s="315"/>
      <c r="AH30" s="315"/>
      <c r="AI30" s="316"/>
      <c r="AJ30" s="314"/>
      <c r="AK30" s="315"/>
      <c r="AL30" s="316"/>
      <c r="AM30" s="314"/>
      <c r="AN30" s="315"/>
      <c r="AO30" s="316"/>
      <c r="AP30" s="314"/>
      <c r="AQ30" s="315"/>
      <c r="AR30" s="315"/>
      <c r="AS30" s="315"/>
      <c r="AT30" s="316"/>
      <c r="AU30" s="314" t="s">
        <v>148</v>
      </c>
      <c r="AV30" s="315" t="s">
        <v>148</v>
      </c>
      <c r="AW30" s="315" t="s">
        <v>150</v>
      </c>
      <c r="AX30" s="315" t="s">
        <v>150</v>
      </c>
      <c r="AY30" s="315" t="s">
        <v>150</v>
      </c>
      <c r="AZ30" s="315" t="s">
        <v>147</v>
      </c>
      <c r="BA30" s="315" t="s">
        <v>150</v>
      </c>
      <c r="BB30" s="316" t="s">
        <v>148</v>
      </c>
      <c r="BC30" s="314" t="s">
        <v>47</v>
      </c>
      <c r="BD30" s="315" t="s">
        <v>147</v>
      </c>
      <c r="BE30" s="315"/>
      <c r="BF30" s="315" t="s">
        <v>148</v>
      </c>
      <c r="BG30" s="316"/>
      <c r="BH30" s="314"/>
      <c r="BI30" s="315" t="s">
        <v>148</v>
      </c>
      <c r="BJ30" s="316"/>
      <c r="BK30" s="314"/>
      <c r="BL30" s="315" t="s">
        <v>150</v>
      </c>
      <c r="BM30" s="315"/>
      <c r="BN30" s="316" t="s">
        <v>149</v>
      </c>
      <c r="BO30" s="314"/>
      <c r="BP30" s="315"/>
      <c r="BQ30" s="315"/>
      <c r="BR30" s="315"/>
      <c r="BS30" s="315"/>
      <c r="BT30" s="315" t="s">
        <v>147</v>
      </c>
      <c r="BU30" s="315" t="s">
        <v>148</v>
      </c>
      <c r="BV30" s="316"/>
      <c r="BW30" s="314" t="s">
        <v>147</v>
      </c>
      <c r="BX30" s="315"/>
      <c r="BY30" s="315" t="s">
        <v>147</v>
      </c>
      <c r="BZ30" s="315" t="s">
        <v>147</v>
      </c>
      <c r="CA30" s="315" t="s">
        <v>147</v>
      </c>
      <c r="CB30" s="316" t="s">
        <v>147</v>
      </c>
      <c r="CC30" s="314"/>
      <c r="CD30" s="315" t="s">
        <v>147</v>
      </c>
      <c r="CE30" s="316"/>
      <c r="CF30" s="314"/>
      <c r="CG30" s="315"/>
      <c r="CH30" s="315"/>
      <c r="CI30" s="317"/>
      <c r="CK30" s="236">
        <f t="shared" si="10"/>
        <v>1</v>
      </c>
      <c r="CL30" s="237">
        <f t="shared" si="11"/>
        <v>9</v>
      </c>
      <c r="CM30" s="237">
        <f t="shared" si="12"/>
        <v>6</v>
      </c>
      <c r="CN30" s="237">
        <f t="shared" si="13"/>
        <v>5</v>
      </c>
      <c r="CO30" s="238">
        <f t="shared" si="14"/>
        <v>1</v>
      </c>
      <c r="CQ30" s="236" t="str">
        <f>desired_skills(C30,"Methodieken/Agile/scrum","o")</f>
        <v/>
      </c>
      <c r="CR30" s="237" t="str">
        <f>desired_skills(C30,"Methodieken/Agile/scrum","j")</f>
        <v/>
      </c>
      <c r="CS30" s="237" t="str">
        <f>desired_skills(C30,"Methodieken/Agile/scrum","m")</f>
        <v>18</v>
      </c>
      <c r="CT30" s="237" t="str">
        <f>desired_skills(C30,"Methodieken/Agile/scrum","s")</f>
        <v/>
      </c>
      <c r="CU30" s="238" t="str">
        <f>desired_skills(C30,"Methodieken/Agile/scrum","e")</f>
        <v/>
      </c>
      <c r="CW30" s="236" t="str">
        <f>calc_gap('Matrix 171007_1818'!$CK$30,'Matrix 171007_1818'!$CQ$30)</f>
        <v/>
      </c>
      <c r="CX30" s="237" t="str">
        <f>calc_gap('Matrix 171007_1818'!$CL$30,'Matrix 171007_1818'!$CR$30)</f>
        <v/>
      </c>
      <c r="CY30" s="237" t="str">
        <f>calc_gap('Matrix 171007_1818'!$CM$30,'Matrix 171007_1818'!$CS$30)</f>
        <v>12</v>
      </c>
      <c r="CZ30" s="237" t="str">
        <f>calc_gap('Matrix 171007_1818'!$CN$30,'Matrix 171007_1818'!$CT$30)</f>
        <v/>
      </c>
      <c r="DA30" s="238" t="str">
        <f>calc_gap('Matrix 171007_1818'!$CO$30,'Matrix 171007_1818'!$CU$30)</f>
        <v/>
      </c>
    </row>
    <row r="31" spans="2:105" x14ac:dyDescent="0.25">
      <c r="B31" s="435"/>
      <c r="C31" s="291" t="s">
        <v>74</v>
      </c>
      <c r="D31" s="314"/>
      <c r="E31" s="315"/>
      <c r="F31" s="315"/>
      <c r="G31" s="315"/>
      <c r="H31" s="315"/>
      <c r="I31" s="315"/>
      <c r="J31" s="315"/>
      <c r="K31" s="316"/>
      <c r="L31" s="314"/>
      <c r="M31" s="315"/>
      <c r="N31" s="315"/>
      <c r="O31" s="316"/>
      <c r="P31" s="314"/>
      <c r="Q31" s="315"/>
      <c r="R31" s="315"/>
      <c r="S31" s="315"/>
      <c r="T31" s="315"/>
      <c r="U31" s="315"/>
      <c r="V31" s="315"/>
      <c r="W31" s="315"/>
      <c r="X31" s="315"/>
      <c r="Y31" s="315"/>
      <c r="Z31" s="315"/>
      <c r="AA31" s="315"/>
      <c r="AB31" s="315"/>
      <c r="AC31" s="315"/>
      <c r="AD31" s="315"/>
      <c r="AE31" s="315"/>
      <c r="AF31" s="315"/>
      <c r="AG31" s="315"/>
      <c r="AH31" s="315"/>
      <c r="AI31" s="316"/>
      <c r="AJ31" s="314"/>
      <c r="AK31" s="315"/>
      <c r="AL31" s="316"/>
      <c r="AM31" s="314"/>
      <c r="AN31" s="315"/>
      <c r="AO31" s="316"/>
      <c r="AP31" s="314"/>
      <c r="AQ31" s="315"/>
      <c r="AR31" s="315"/>
      <c r="AS31" s="315"/>
      <c r="AT31" s="316"/>
      <c r="AU31" s="314" t="s">
        <v>147</v>
      </c>
      <c r="AV31" s="315" t="s">
        <v>147</v>
      </c>
      <c r="AW31" s="315" t="s">
        <v>147</v>
      </c>
      <c r="AX31" s="315" t="s">
        <v>148</v>
      </c>
      <c r="AY31" s="315" t="s">
        <v>147</v>
      </c>
      <c r="AZ31" s="315"/>
      <c r="BA31" s="315" t="s">
        <v>149</v>
      </c>
      <c r="BB31" s="316" t="s">
        <v>148</v>
      </c>
      <c r="BC31" s="314" t="s">
        <v>147</v>
      </c>
      <c r="BD31" s="315" t="s">
        <v>147</v>
      </c>
      <c r="BE31" s="315"/>
      <c r="BF31" s="315" t="s">
        <v>150</v>
      </c>
      <c r="BG31" s="316"/>
      <c r="BH31" s="314"/>
      <c r="BI31" s="315" t="s">
        <v>148</v>
      </c>
      <c r="BJ31" s="316"/>
      <c r="BK31" s="314"/>
      <c r="BL31" s="315" t="s">
        <v>147</v>
      </c>
      <c r="BM31" s="315"/>
      <c r="BN31" s="316" t="s">
        <v>148</v>
      </c>
      <c r="BO31" s="314"/>
      <c r="BP31" s="315"/>
      <c r="BQ31" s="315"/>
      <c r="BR31" s="315"/>
      <c r="BS31" s="315" t="s">
        <v>147</v>
      </c>
      <c r="BT31" s="315" t="s">
        <v>148</v>
      </c>
      <c r="BU31" s="315" t="s">
        <v>150</v>
      </c>
      <c r="BV31" s="316"/>
      <c r="BW31" s="314"/>
      <c r="BX31" s="315"/>
      <c r="BY31" s="315" t="s">
        <v>148</v>
      </c>
      <c r="BZ31" s="315"/>
      <c r="CA31" s="315" t="s">
        <v>147</v>
      </c>
      <c r="CB31" s="316" t="s">
        <v>147</v>
      </c>
      <c r="CC31" s="314"/>
      <c r="CD31" s="315" t="s">
        <v>147</v>
      </c>
      <c r="CE31" s="316"/>
      <c r="CF31" s="314"/>
      <c r="CG31" s="315"/>
      <c r="CH31" s="315"/>
      <c r="CI31" s="317"/>
      <c r="CK31" s="236">
        <f t="shared" si="10"/>
        <v>1</v>
      </c>
      <c r="CL31" s="237">
        <f t="shared" si="11"/>
        <v>11</v>
      </c>
      <c r="CM31" s="237">
        <f t="shared" si="12"/>
        <v>6</v>
      </c>
      <c r="CN31" s="237">
        <f t="shared" si="13"/>
        <v>2</v>
      </c>
      <c r="CO31" s="238" t="str">
        <f t="shared" si="14"/>
        <v/>
      </c>
      <c r="CQ31" s="236" t="str">
        <f>desired_skills(C31,"Methodieken/BiSL","o")</f>
        <v/>
      </c>
      <c r="CR31" s="237" t="str">
        <f>desired_skills(C31,"Methodieken/BiSL","j")</f>
        <v/>
      </c>
      <c r="CS31" s="237" t="str">
        <f>desired_skills(C31,"Methodieken/BiSL","m")</f>
        <v/>
      </c>
      <c r="CT31" s="237" t="str">
        <f>desired_skills(C31,"Methodieken/BiSL","s")</f>
        <v>19</v>
      </c>
      <c r="CU31" s="238" t="str">
        <f>desired_skills(C31,"Methodieken/BiSL","e")</f>
        <v/>
      </c>
      <c r="CW31" s="236" t="str">
        <f>calc_gap('Matrix 171007_1818'!$CK$31,'Matrix 171007_1818'!$CQ$31)</f>
        <v/>
      </c>
      <c r="CX31" s="237" t="str">
        <f>calc_gap('Matrix 171007_1818'!$CL$31,'Matrix 171007_1818'!$CR$31)</f>
        <v/>
      </c>
      <c r="CY31" s="237" t="str">
        <f>calc_gap('Matrix 171007_1818'!$CM$31,'Matrix 171007_1818'!$CS$31)</f>
        <v/>
      </c>
      <c r="CZ31" s="237" t="str">
        <f>calc_gap('Matrix 171007_1818'!$CN$31,'Matrix 171007_1818'!$CT$31)</f>
        <v>17</v>
      </c>
      <c r="DA31" s="238" t="str">
        <f>calc_gap('Matrix 171007_1818'!$CO$31,'Matrix 171007_1818'!$CU$31)</f>
        <v/>
      </c>
    </row>
    <row r="32" spans="2:105" x14ac:dyDescent="0.25">
      <c r="B32" s="435"/>
      <c r="C32" s="291" t="s">
        <v>76</v>
      </c>
      <c r="D32" s="314"/>
      <c r="E32" s="315"/>
      <c r="F32" s="315"/>
      <c r="G32" s="315"/>
      <c r="H32" s="315"/>
      <c r="I32" s="315"/>
      <c r="J32" s="315"/>
      <c r="K32" s="316"/>
      <c r="L32" s="314"/>
      <c r="M32" s="315"/>
      <c r="N32" s="315"/>
      <c r="O32" s="316"/>
      <c r="P32" s="314"/>
      <c r="Q32" s="315"/>
      <c r="R32" s="315"/>
      <c r="S32" s="315"/>
      <c r="T32" s="315"/>
      <c r="U32" s="315"/>
      <c r="V32" s="315"/>
      <c r="W32" s="315"/>
      <c r="X32" s="315"/>
      <c r="Y32" s="315"/>
      <c r="Z32" s="315"/>
      <c r="AA32" s="315"/>
      <c r="AB32" s="315"/>
      <c r="AC32" s="315"/>
      <c r="AD32" s="315"/>
      <c r="AE32" s="315"/>
      <c r="AF32" s="315"/>
      <c r="AG32" s="315"/>
      <c r="AH32" s="315"/>
      <c r="AI32" s="316"/>
      <c r="AJ32" s="314"/>
      <c r="AK32" s="315"/>
      <c r="AL32" s="316"/>
      <c r="AM32" s="314"/>
      <c r="AN32" s="315"/>
      <c r="AO32" s="316"/>
      <c r="AP32" s="314"/>
      <c r="AQ32" s="315"/>
      <c r="AR32" s="315"/>
      <c r="AS32" s="315"/>
      <c r="AT32" s="316"/>
      <c r="AU32" s="314" t="s">
        <v>150</v>
      </c>
      <c r="AV32" s="315" t="s">
        <v>148</v>
      </c>
      <c r="AW32" s="315" t="s">
        <v>148</v>
      </c>
      <c r="AX32" s="315" t="s">
        <v>150</v>
      </c>
      <c r="AY32" s="315" t="s">
        <v>150</v>
      </c>
      <c r="AZ32" s="315"/>
      <c r="BA32" s="315" t="s">
        <v>150</v>
      </c>
      <c r="BB32" s="316" t="s">
        <v>150</v>
      </c>
      <c r="BC32" s="314" t="s">
        <v>147</v>
      </c>
      <c r="BD32" s="315" t="s">
        <v>149</v>
      </c>
      <c r="BE32" s="315"/>
      <c r="BF32" s="315" t="s">
        <v>147</v>
      </c>
      <c r="BG32" s="316"/>
      <c r="BH32" s="314"/>
      <c r="BI32" s="315"/>
      <c r="BJ32" s="316"/>
      <c r="BK32" s="314"/>
      <c r="BL32" s="315" t="s">
        <v>149</v>
      </c>
      <c r="BM32" s="315"/>
      <c r="BN32" s="316" t="s">
        <v>149</v>
      </c>
      <c r="BO32" s="314"/>
      <c r="BP32" s="315"/>
      <c r="BQ32" s="315"/>
      <c r="BR32" s="315"/>
      <c r="BS32" s="315"/>
      <c r="BT32" s="315"/>
      <c r="BU32" s="315" t="s">
        <v>148</v>
      </c>
      <c r="BV32" s="316"/>
      <c r="BW32" s="314" t="s">
        <v>147</v>
      </c>
      <c r="BX32" s="315"/>
      <c r="BY32" s="315" t="s">
        <v>147</v>
      </c>
      <c r="BZ32" s="315"/>
      <c r="CA32" s="315" t="s">
        <v>147</v>
      </c>
      <c r="CB32" s="316" t="s">
        <v>148</v>
      </c>
      <c r="CC32" s="314"/>
      <c r="CD32" s="315"/>
      <c r="CE32" s="316"/>
      <c r="CF32" s="314"/>
      <c r="CG32" s="315"/>
      <c r="CH32" s="315"/>
      <c r="CI32" s="317"/>
      <c r="CK32" s="236">
        <f t="shared" si="10"/>
        <v>3</v>
      </c>
      <c r="CL32" s="237">
        <f t="shared" si="11"/>
        <v>5</v>
      </c>
      <c r="CM32" s="237">
        <f t="shared" si="12"/>
        <v>4</v>
      </c>
      <c r="CN32" s="237">
        <f t="shared" si="13"/>
        <v>5</v>
      </c>
      <c r="CO32" s="238" t="str">
        <f t="shared" si="14"/>
        <v/>
      </c>
      <c r="CQ32" s="236" t="str">
        <f>desired_skills(C32,"Methodieken/Opstellen (KC)Frameworks","o")</f>
        <v/>
      </c>
      <c r="CR32" s="237" t="str">
        <f>desired_skills(C32,"Methodieken/Opstellen (KC)Frameworks","j")</f>
        <v/>
      </c>
      <c r="CS32" s="237" t="str">
        <f>desired_skills(C32,"Methodieken/Opstellen (KC)Frameworks","m")</f>
        <v/>
      </c>
      <c r="CT32" s="237" t="str">
        <f>desired_skills(C32,"Methodieken/Opstellen (KC)Frameworks","s")</f>
        <v/>
      </c>
      <c r="CU32" s="238" t="str">
        <f>desired_skills(C32,"Methodieken/Opstellen (KC)Frameworks","e")</f>
        <v>20</v>
      </c>
      <c r="CW32" s="236" t="str">
        <f>calc_gap('Matrix 171007_1818'!$CK$32,'Matrix 171007_1818'!$CQ$32)</f>
        <v/>
      </c>
      <c r="CX32" s="237" t="str">
        <f>calc_gap('Matrix 171007_1818'!$CL$32,'Matrix 171007_1818'!$CR$32)</f>
        <v/>
      </c>
      <c r="CY32" s="237" t="str">
        <f>calc_gap('Matrix 171007_1818'!$CM$32,'Matrix 171007_1818'!$CS$32)</f>
        <v/>
      </c>
      <c r="CZ32" s="237" t="str">
        <f>calc_gap('Matrix 171007_1818'!$CN$32,'Matrix 171007_1818'!$CT$32)</f>
        <v/>
      </c>
      <c r="DA32" s="238" t="str">
        <f>calc_gap('Matrix 171007_1818'!$CO$32,'Matrix 171007_1818'!$CU$32)</f>
        <v/>
      </c>
    </row>
    <row r="33" spans="2:105" x14ac:dyDescent="0.25">
      <c r="B33" s="435"/>
      <c r="C33" s="291" t="s">
        <v>77</v>
      </c>
      <c r="D33" s="314"/>
      <c r="E33" s="315"/>
      <c r="F33" s="315"/>
      <c r="G33" s="315"/>
      <c r="H33" s="315"/>
      <c r="I33" s="315"/>
      <c r="J33" s="315"/>
      <c r="K33" s="316"/>
      <c r="L33" s="314"/>
      <c r="M33" s="315"/>
      <c r="N33" s="315"/>
      <c r="O33" s="316"/>
      <c r="P33" s="314"/>
      <c r="Q33" s="315"/>
      <c r="R33" s="315"/>
      <c r="S33" s="315"/>
      <c r="T33" s="315"/>
      <c r="U33" s="315"/>
      <c r="V33" s="315"/>
      <c r="W33" s="315"/>
      <c r="X33" s="315"/>
      <c r="Y33" s="315"/>
      <c r="Z33" s="315"/>
      <c r="AA33" s="315"/>
      <c r="AB33" s="315"/>
      <c r="AC33" s="315"/>
      <c r="AD33" s="315"/>
      <c r="AE33" s="315"/>
      <c r="AF33" s="315"/>
      <c r="AG33" s="315"/>
      <c r="AH33" s="315"/>
      <c r="AI33" s="316"/>
      <c r="AJ33" s="314"/>
      <c r="AK33" s="315"/>
      <c r="AL33" s="316"/>
      <c r="AM33" s="314"/>
      <c r="AN33" s="315"/>
      <c r="AO33" s="316"/>
      <c r="AP33" s="314"/>
      <c r="AQ33" s="315"/>
      <c r="AR33" s="315"/>
      <c r="AS33" s="315"/>
      <c r="AT33" s="316"/>
      <c r="AU33" s="314" t="s">
        <v>148</v>
      </c>
      <c r="AV33" s="315" t="s">
        <v>147</v>
      </c>
      <c r="AW33" s="315" t="s">
        <v>149</v>
      </c>
      <c r="AX33" s="315" t="s">
        <v>148</v>
      </c>
      <c r="AY33" s="315" t="s">
        <v>147</v>
      </c>
      <c r="AZ33" s="315"/>
      <c r="BA33" s="315" t="s">
        <v>149</v>
      </c>
      <c r="BB33" s="316" t="s">
        <v>147</v>
      </c>
      <c r="BC33" s="314" t="s">
        <v>147</v>
      </c>
      <c r="BD33" s="315" t="s">
        <v>150</v>
      </c>
      <c r="BE33" s="315"/>
      <c r="BF33" s="315" t="s">
        <v>150</v>
      </c>
      <c r="BG33" s="316"/>
      <c r="BH33" s="314"/>
      <c r="BI33" s="315" t="s">
        <v>148</v>
      </c>
      <c r="BJ33" s="316"/>
      <c r="BK33" s="314" t="s">
        <v>147</v>
      </c>
      <c r="BL33" s="315" t="s">
        <v>150</v>
      </c>
      <c r="BM33" s="315"/>
      <c r="BN33" s="316" t="s">
        <v>47</v>
      </c>
      <c r="BO33" s="314" t="s">
        <v>148</v>
      </c>
      <c r="BP33" s="315" t="s">
        <v>150</v>
      </c>
      <c r="BQ33" s="315" t="s">
        <v>148</v>
      </c>
      <c r="BR33" s="315"/>
      <c r="BS33" s="315" t="s">
        <v>147</v>
      </c>
      <c r="BT33" s="315" t="s">
        <v>147</v>
      </c>
      <c r="BU33" s="315" t="s">
        <v>150</v>
      </c>
      <c r="BV33" s="316"/>
      <c r="BW33" s="314" t="s">
        <v>148</v>
      </c>
      <c r="BX33" s="315"/>
      <c r="BY33" s="315" t="s">
        <v>150</v>
      </c>
      <c r="BZ33" s="315" t="s">
        <v>150</v>
      </c>
      <c r="CA33" s="315" t="s">
        <v>150</v>
      </c>
      <c r="CB33" s="316" t="s">
        <v>148</v>
      </c>
      <c r="CC33" s="314"/>
      <c r="CD33" s="315"/>
      <c r="CE33" s="316"/>
      <c r="CF33" s="314"/>
      <c r="CG33" s="315"/>
      <c r="CH33" s="315"/>
      <c r="CI33" s="317"/>
      <c r="CK33" s="236">
        <f t="shared" si="10"/>
        <v>2</v>
      </c>
      <c r="CL33" s="237">
        <f t="shared" si="11"/>
        <v>7</v>
      </c>
      <c r="CM33" s="237">
        <f t="shared" si="12"/>
        <v>7</v>
      </c>
      <c r="CN33" s="237">
        <f t="shared" si="13"/>
        <v>8</v>
      </c>
      <c r="CO33" s="238">
        <f t="shared" si="14"/>
        <v>1</v>
      </c>
      <c r="CQ33" s="236" t="str">
        <f>desired_skills(C33,"Methodieken/ITIL","o")</f>
        <v/>
      </c>
      <c r="CR33" s="237" t="str">
        <f>desired_skills(C33,"Methodieken/ITIL","j")</f>
        <v/>
      </c>
      <c r="CS33" s="237" t="str">
        <f>desired_skills(C33,"Methodieken/ITIL","m")</f>
        <v/>
      </c>
      <c r="CT33" s="237" t="str">
        <f>desired_skills(C33,"Methodieken/ITIL","s")</f>
        <v/>
      </c>
      <c r="CU33" s="238" t="str">
        <f>desired_skills(C33,"Methodieken/ITIL","e")</f>
        <v/>
      </c>
      <c r="CW33" s="236" t="str">
        <f>calc_gap('Matrix 171007_1818'!$CK$33,'Matrix 171007_1818'!$CQ$33)</f>
        <v/>
      </c>
      <c r="CX33" s="237" t="str">
        <f>calc_gap('Matrix 171007_1818'!$CL$33,'Matrix 171007_1818'!$CR$33)</f>
        <v/>
      </c>
      <c r="CY33" s="237" t="str">
        <f>calc_gap('Matrix 171007_1818'!$CM$33,'Matrix 171007_1818'!$CS$33)</f>
        <v/>
      </c>
      <c r="CZ33" s="237" t="str">
        <f>calc_gap('Matrix 171007_1818'!$CN$33,'Matrix 171007_1818'!$CT$33)</f>
        <v/>
      </c>
      <c r="DA33" s="238" t="str">
        <f>calc_gap('Matrix 171007_1818'!$CO$33,'Matrix 171007_1818'!$CU$33)</f>
        <v/>
      </c>
    </row>
    <row r="34" spans="2:105" x14ac:dyDescent="0.25">
      <c r="B34" s="435"/>
      <c r="C34" s="291" t="s">
        <v>78</v>
      </c>
      <c r="D34" s="314"/>
      <c r="E34" s="315"/>
      <c r="F34" s="315"/>
      <c r="G34" s="315"/>
      <c r="H34" s="315"/>
      <c r="I34" s="315"/>
      <c r="J34" s="315"/>
      <c r="K34" s="316"/>
      <c r="L34" s="314"/>
      <c r="M34" s="315"/>
      <c r="N34" s="315"/>
      <c r="O34" s="316"/>
      <c r="P34" s="314"/>
      <c r="Q34" s="315"/>
      <c r="R34" s="315"/>
      <c r="S34" s="315"/>
      <c r="T34" s="315"/>
      <c r="U34" s="315"/>
      <c r="V34" s="315"/>
      <c r="W34" s="315"/>
      <c r="X34" s="315"/>
      <c r="Y34" s="315"/>
      <c r="Z34" s="315"/>
      <c r="AA34" s="315"/>
      <c r="AB34" s="315"/>
      <c r="AC34" s="315"/>
      <c r="AD34" s="315"/>
      <c r="AE34" s="315"/>
      <c r="AF34" s="315"/>
      <c r="AG34" s="315"/>
      <c r="AH34" s="315"/>
      <c r="AI34" s="316"/>
      <c r="AJ34" s="314"/>
      <c r="AK34" s="315"/>
      <c r="AL34" s="316"/>
      <c r="AM34" s="314"/>
      <c r="AN34" s="315"/>
      <c r="AO34" s="316"/>
      <c r="AP34" s="314"/>
      <c r="AQ34" s="315"/>
      <c r="AR34" s="315"/>
      <c r="AS34" s="315"/>
      <c r="AT34" s="316"/>
      <c r="AU34" s="314" t="s">
        <v>150</v>
      </c>
      <c r="AV34" s="315" t="s">
        <v>147</v>
      </c>
      <c r="AW34" s="315" t="s">
        <v>148</v>
      </c>
      <c r="AX34" s="315" t="s">
        <v>150</v>
      </c>
      <c r="AY34" s="315" t="s">
        <v>148</v>
      </c>
      <c r="AZ34" s="315" t="s">
        <v>150</v>
      </c>
      <c r="BA34" s="315" t="s">
        <v>47</v>
      </c>
      <c r="BB34" s="316" t="s">
        <v>148</v>
      </c>
      <c r="BC34" s="314" t="s">
        <v>147</v>
      </c>
      <c r="BD34" s="315" t="s">
        <v>149</v>
      </c>
      <c r="BE34" s="315"/>
      <c r="BF34" s="315" t="s">
        <v>150</v>
      </c>
      <c r="BG34" s="316"/>
      <c r="BH34" s="314"/>
      <c r="BI34" s="315" t="s">
        <v>148</v>
      </c>
      <c r="BJ34" s="316"/>
      <c r="BK34" s="314" t="s">
        <v>147</v>
      </c>
      <c r="BL34" s="315" t="s">
        <v>150</v>
      </c>
      <c r="BM34" s="315"/>
      <c r="BN34" s="316" t="s">
        <v>148</v>
      </c>
      <c r="BO34" s="314" t="s">
        <v>148</v>
      </c>
      <c r="BP34" s="315" t="s">
        <v>150</v>
      </c>
      <c r="BQ34" s="315" t="s">
        <v>148</v>
      </c>
      <c r="BR34" s="315"/>
      <c r="BS34" s="315"/>
      <c r="BT34" s="315" t="s">
        <v>148</v>
      </c>
      <c r="BU34" s="315" t="s">
        <v>148</v>
      </c>
      <c r="BV34" s="316"/>
      <c r="BW34" s="314" t="s">
        <v>150</v>
      </c>
      <c r="BX34" s="315" t="s">
        <v>148</v>
      </c>
      <c r="BY34" s="315" t="s">
        <v>150</v>
      </c>
      <c r="BZ34" s="315" t="s">
        <v>148</v>
      </c>
      <c r="CA34" s="315" t="s">
        <v>150</v>
      </c>
      <c r="CB34" s="316" t="s">
        <v>150</v>
      </c>
      <c r="CC34" s="314"/>
      <c r="CD34" s="315" t="s">
        <v>148</v>
      </c>
      <c r="CE34" s="316"/>
      <c r="CF34" s="314"/>
      <c r="CG34" s="315"/>
      <c r="CH34" s="315"/>
      <c r="CI34" s="317"/>
      <c r="CK34" s="236">
        <f t="shared" si="10"/>
        <v>1</v>
      </c>
      <c r="CL34" s="237">
        <f t="shared" si="11"/>
        <v>3</v>
      </c>
      <c r="CM34" s="237">
        <f t="shared" si="12"/>
        <v>12</v>
      </c>
      <c r="CN34" s="237">
        <f t="shared" si="13"/>
        <v>10</v>
      </c>
      <c r="CO34" s="238">
        <f t="shared" si="14"/>
        <v>1</v>
      </c>
      <c r="CQ34" s="236" t="str">
        <f>desired_skills(C34,"Methodieken/Prince 2","o")</f>
        <v/>
      </c>
      <c r="CR34" s="237" t="str">
        <f>desired_skills(C34,"Methodieken/Prince 2","j")</f>
        <v/>
      </c>
      <c r="CS34" s="237" t="str">
        <f>desired_skills(C34,"Methodieken/Prince 2","m")</f>
        <v/>
      </c>
      <c r="CT34" s="237" t="str">
        <f>desired_skills(C34,"Methodieken/Prince 2","s")</f>
        <v/>
      </c>
      <c r="CU34" s="238" t="str">
        <f>desired_skills(C34,"Methodieken/Prince 2","e")</f>
        <v/>
      </c>
      <c r="CW34" s="236" t="str">
        <f>calc_gap('Matrix 171007_1818'!$CK$34,'Matrix 171007_1818'!$CQ$34)</f>
        <v/>
      </c>
      <c r="CX34" s="237" t="str">
        <f>calc_gap('Matrix 171007_1818'!$CL$34,'Matrix 171007_1818'!$CR$34)</f>
        <v/>
      </c>
      <c r="CY34" s="237" t="str">
        <f>calc_gap('Matrix 171007_1818'!$CM$34,'Matrix 171007_1818'!$CS$34)</f>
        <v/>
      </c>
      <c r="CZ34" s="237" t="str">
        <f>calc_gap('Matrix 171007_1818'!$CN$34,'Matrix 171007_1818'!$CT$34)</f>
        <v/>
      </c>
      <c r="DA34" s="238" t="str">
        <f>calc_gap('Matrix 171007_1818'!$CO$34,'Matrix 171007_1818'!$CU$34)</f>
        <v/>
      </c>
    </row>
    <row r="35" spans="2:105" x14ac:dyDescent="0.25">
      <c r="B35" s="435"/>
      <c r="C35" s="291" t="s">
        <v>79</v>
      </c>
      <c r="D35" s="314"/>
      <c r="E35" s="315"/>
      <c r="F35" s="315"/>
      <c r="G35" s="315"/>
      <c r="H35" s="315"/>
      <c r="I35" s="315"/>
      <c r="J35" s="315"/>
      <c r="K35" s="316"/>
      <c r="L35" s="314"/>
      <c r="M35" s="315"/>
      <c r="N35" s="315"/>
      <c r="O35" s="316"/>
      <c r="P35" s="314"/>
      <c r="Q35" s="315"/>
      <c r="R35" s="315"/>
      <c r="S35" s="315"/>
      <c r="T35" s="315"/>
      <c r="U35" s="315"/>
      <c r="V35" s="315"/>
      <c r="W35" s="315"/>
      <c r="X35" s="315"/>
      <c r="Y35" s="315"/>
      <c r="Z35" s="315"/>
      <c r="AA35" s="315"/>
      <c r="AB35" s="315"/>
      <c r="AC35" s="315"/>
      <c r="AD35" s="315"/>
      <c r="AE35" s="315"/>
      <c r="AF35" s="315"/>
      <c r="AG35" s="315"/>
      <c r="AH35" s="315"/>
      <c r="AI35" s="316"/>
      <c r="AJ35" s="314"/>
      <c r="AK35" s="315"/>
      <c r="AL35" s="316"/>
      <c r="AM35" s="314"/>
      <c r="AN35" s="315"/>
      <c r="AO35" s="316"/>
      <c r="AP35" s="314"/>
      <c r="AQ35" s="315"/>
      <c r="AR35" s="315"/>
      <c r="AS35" s="315"/>
      <c r="AT35" s="316"/>
      <c r="AU35" s="314" t="s">
        <v>150</v>
      </c>
      <c r="AV35" s="315" t="s">
        <v>150</v>
      </c>
      <c r="AW35" s="315" t="s">
        <v>150</v>
      </c>
      <c r="AX35" s="315" t="s">
        <v>47</v>
      </c>
      <c r="AY35" s="315" t="s">
        <v>47</v>
      </c>
      <c r="AZ35" s="315"/>
      <c r="BA35" s="315" t="s">
        <v>150</v>
      </c>
      <c r="BB35" s="316" t="s">
        <v>148</v>
      </c>
      <c r="BC35" s="314" t="s">
        <v>147</v>
      </c>
      <c r="BD35" s="315" t="s">
        <v>149</v>
      </c>
      <c r="BE35" s="315"/>
      <c r="BF35" s="315"/>
      <c r="BG35" s="316"/>
      <c r="BH35" s="314"/>
      <c r="BI35" s="315"/>
      <c r="BJ35" s="316"/>
      <c r="BK35" s="314"/>
      <c r="BL35" s="315" t="s">
        <v>150</v>
      </c>
      <c r="BM35" s="315"/>
      <c r="BN35" s="316"/>
      <c r="BO35" s="314"/>
      <c r="BP35" s="315" t="s">
        <v>148</v>
      </c>
      <c r="BQ35" s="315" t="s">
        <v>147</v>
      </c>
      <c r="BR35" s="315"/>
      <c r="BS35" s="315"/>
      <c r="BT35" s="315" t="s">
        <v>148</v>
      </c>
      <c r="BU35" s="315" t="s">
        <v>148</v>
      </c>
      <c r="BV35" s="316"/>
      <c r="BW35" s="314" t="s">
        <v>148</v>
      </c>
      <c r="BX35" s="315" t="s">
        <v>148</v>
      </c>
      <c r="BY35" s="315" t="s">
        <v>150</v>
      </c>
      <c r="BZ35" s="315" t="s">
        <v>147</v>
      </c>
      <c r="CA35" s="315" t="s">
        <v>150</v>
      </c>
      <c r="CB35" s="316" t="s">
        <v>150</v>
      </c>
      <c r="CC35" s="314"/>
      <c r="CD35" s="315"/>
      <c r="CE35" s="316"/>
      <c r="CF35" s="314"/>
      <c r="CG35" s="315"/>
      <c r="CH35" s="315"/>
      <c r="CI35" s="317"/>
      <c r="CK35" s="236">
        <f t="shared" si="10"/>
        <v>1</v>
      </c>
      <c r="CL35" s="237">
        <f t="shared" si="11"/>
        <v>3</v>
      </c>
      <c r="CM35" s="237">
        <f t="shared" si="12"/>
        <v>6</v>
      </c>
      <c r="CN35" s="237">
        <f t="shared" si="13"/>
        <v>8</v>
      </c>
      <c r="CO35" s="238">
        <f t="shared" si="14"/>
        <v>2</v>
      </c>
      <c r="CQ35" s="236" t="str">
        <f>desired_skills(C35,"Methodieken/Sox","o")</f>
        <v/>
      </c>
      <c r="CR35" s="237" t="str">
        <f>desired_skills(C35,"Methodieken/Sox","j")</f>
        <v/>
      </c>
      <c r="CS35" s="237" t="str">
        <f>desired_skills(C35,"Methodieken/Sox","m")</f>
        <v/>
      </c>
      <c r="CT35" s="237" t="str">
        <f>desired_skills(C35,"Methodieken/Sox","s")</f>
        <v/>
      </c>
      <c r="CU35" s="238" t="str">
        <f>desired_skills(C35,"Methodieken/Sox","e")</f>
        <v/>
      </c>
      <c r="CW35" s="236" t="str">
        <f>calc_gap('Matrix 171007_1818'!$CK$35,'Matrix 171007_1818'!$CQ$35)</f>
        <v/>
      </c>
      <c r="CX35" s="237" t="str">
        <f>calc_gap('Matrix 171007_1818'!$CL$35,'Matrix 171007_1818'!$CR$35)</f>
        <v/>
      </c>
      <c r="CY35" s="237" t="str">
        <f>calc_gap('Matrix 171007_1818'!$CM$35,'Matrix 171007_1818'!$CS$35)</f>
        <v/>
      </c>
      <c r="CZ35" s="237" t="str">
        <f>calc_gap('Matrix 171007_1818'!$CN$35,'Matrix 171007_1818'!$CT$35)</f>
        <v/>
      </c>
      <c r="DA35" s="238" t="str">
        <f>calc_gap('Matrix 171007_1818'!$CO$35,'Matrix 171007_1818'!$CU$35)</f>
        <v/>
      </c>
    </row>
    <row r="36" spans="2:105" x14ac:dyDescent="0.25">
      <c r="B36" s="435"/>
      <c r="C36" s="291" t="s">
        <v>80</v>
      </c>
      <c r="D36" s="314"/>
      <c r="E36" s="315"/>
      <c r="F36" s="315"/>
      <c r="G36" s="315"/>
      <c r="H36" s="315"/>
      <c r="I36" s="315"/>
      <c r="J36" s="315"/>
      <c r="K36" s="316"/>
      <c r="L36" s="314"/>
      <c r="M36" s="315"/>
      <c r="N36" s="315"/>
      <c r="O36" s="316"/>
      <c r="P36" s="314"/>
      <c r="Q36" s="315"/>
      <c r="R36" s="315"/>
      <c r="S36" s="315"/>
      <c r="T36" s="315"/>
      <c r="U36" s="315"/>
      <c r="V36" s="315"/>
      <c r="W36" s="315"/>
      <c r="X36" s="315"/>
      <c r="Y36" s="315"/>
      <c r="Z36" s="315"/>
      <c r="AA36" s="315"/>
      <c r="AB36" s="315"/>
      <c r="AC36" s="315"/>
      <c r="AD36" s="315"/>
      <c r="AE36" s="315"/>
      <c r="AF36" s="315"/>
      <c r="AG36" s="315"/>
      <c r="AH36" s="315"/>
      <c r="AI36" s="316"/>
      <c r="AJ36" s="314"/>
      <c r="AK36" s="315"/>
      <c r="AL36" s="316"/>
      <c r="AM36" s="314"/>
      <c r="AN36" s="315"/>
      <c r="AO36" s="316"/>
      <c r="AP36" s="314"/>
      <c r="AQ36" s="315"/>
      <c r="AR36" s="315"/>
      <c r="AS36" s="315"/>
      <c r="AT36" s="316"/>
      <c r="AU36" s="314" t="s">
        <v>150</v>
      </c>
      <c r="AV36" s="315" t="s">
        <v>148</v>
      </c>
      <c r="AW36" s="315" t="s">
        <v>150</v>
      </c>
      <c r="AX36" s="315" t="s">
        <v>150</v>
      </c>
      <c r="AY36" s="315" t="s">
        <v>150</v>
      </c>
      <c r="AZ36" s="315"/>
      <c r="BA36" s="315" t="s">
        <v>147</v>
      </c>
      <c r="BB36" s="316" t="s">
        <v>148</v>
      </c>
      <c r="BC36" s="314" t="s">
        <v>147</v>
      </c>
      <c r="BD36" s="315"/>
      <c r="BE36" s="315"/>
      <c r="BF36" s="315"/>
      <c r="BG36" s="316"/>
      <c r="BH36" s="314"/>
      <c r="BI36" s="315" t="s">
        <v>148</v>
      </c>
      <c r="BJ36" s="316"/>
      <c r="BK36" s="314"/>
      <c r="BL36" s="315" t="s">
        <v>149</v>
      </c>
      <c r="BM36" s="315"/>
      <c r="BN36" s="316"/>
      <c r="BO36" s="314"/>
      <c r="BP36" s="315" t="s">
        <v>147</v>
      </c>
      <c r="BQ36" s="315"/>
      <c r="BR36" s="315"/>
      <c r="BS36" s="315"/>
      <c r="BT36" s="315"/>
      <c r="BU36" s="315" t="s">
        <v>148</v>
      </c>
      <c r="BV36" s="316"/>
      <c r="BW36" s="314" t="s">
        <v>148</v>
      </c>
      <c r="BX36" s="315"/>
      <c r="BY36" s="315" t="s">
        <v>147</v>
      </c>
      <c r="BZ36" s="315"/>
      <c r="CA36" s="315" t="s">
        <v>150</v>
      </c>
      <c r="CB36" s="316" t="s">
        <v>148</v>
      </c>
      <c r="CC36" s="314"/>
      <c r="CD36" s="315"/>
      <c r="CE36" s="316"/>
      <c r="CF36" s="314"/>
      <c r="CG36" s="315"/>
      <c r="CH36" s="315"/>
      <c r="CI36" s="317"/>
      <c r="CK36" s="236">
        <f t="shared" si="10"/>
        <v>1</v>
      </c>
      <c r="CL36" s="237">
        <f t="shared" si="11"/>
        <v>4</v>
      </c>
      <c r="CM36" s="237">
        <f t="shared" si="12"/>
        <v>6</v>
      </c>
      <c r="CN36" s="237">
        <f t="shared" si="13"/>
        <v>5</v>
      </c>
      <c r="CO36" s="238" t="str">
        <f t="shared" si="14"/>
        <v/>
      </c>
      <c r="CQ36" s="236" t="str">
        <f>desired_skills(C36,"Methodieken/Cobit","o")</f>
        <v/>
      </c>
      <c r="CR36" s="237" t="str">
        <f>desired_skills(C36,"Methodieken/Cobit","j")</f>
        <v/>
      </c>
      <c r="CS36" s="237" t="str">
        <f>desired_skills(C36,"Methodieken/Cobit","m")</f>
        <v/>
      </c>
      <c r="CT36" s="237" t="str">
        <f>desired_skills(C36,"Methodieken/Cobit","s")</f>
        <v/>
      </c>
      <c r="CU36" s="238" t="str">
        <f>desired_skills(C36,"Methodieken/Cobit","e")</f>
        <v/>
      </c>
      <c r="CW36" s="236" t="str">
        <f>calc_gap('Matrix 171007_1818'!$CK$36,'Matrix 171007_1818'!$CQ$36)</f>
        <v/>
      </c>
      <c r="CX36" s="237" t="str">
        <f>calc_gap('Matrix 171007_1818'!$CL$36,'Matrix 171007_1818'!$CR$36)</f>
        <v/>
      </c>
      <c r="CY36" s="237" t="str">
        <f>calc_gap('Matrix 171007_1818'!$CM$36,'Matrix 171007_1818'!$CS$36)</f>
        <v/>
      </c>
      <c r="CZ36" s="237" t="str">
        <f>calc_gap('Matrix 171007_1818'!$CN$36,'Matrix 171007_1818'!$CT$36)</f>
        <v/>
      </c>
      <c r="DA36" s="238" t="str">
        <f>calc_gap('Matrix 171007_1818'!$CO$36,'Matrix 171007_1818'!$CU$36)</f>
        <v/>
      </c>
    </row>
    <row r="37" spans="2:105" ht="15.75" thickBot="1" x14ac:dyDescent="0.3">
      <c r="B37" s="435"/>
      <c r="C37" s="292" t="s">
        <v>225</v>
      </c>
      <c r="D37" s="318"/>
      <c r="E37" s="319"/>
      <c r="F37" s="319"/>
      <c r="G37" s="319"/>
      <c r="H37" s="319"/>
      <c r="I37" s="319"/>
      <c r="J37" s="319"/>
      <c r="K37" s="320"/>
      <c r="L37" s="318"/>
      <c r="M37" s="319"/>
      <c r="N37" s="319"/>
      <c r="O37" s="320"/>
      <c r="P37" s="318"/>
      <c r="Q37" s="319"/>
      <c r="R37" s="319"/>
      <c r="S37" s="319"/>
      <c r="T37" s="319"/>
      <c r="U37" s="319"/>
      <c r="V37" s="319"/>
      <c r="W37" s="319"/>
      <c r="X37" s="319"/>
      <c r="Y37" s="319"/>
      <c r="Z37" s="319"/>
      <c r="AA37" s="319"/>
      <c r="AB37" s="319"/>
      <c r="AC37" s="319"/>
      <c r="AD37" s="319"/>
      <c r="AE37" s="319"/>
      <c r="AF37" s="319"/>
      <c r="AG37" s="319"/>
      <c r="AH37" s="319"/>
      <c r="AI37" s="320"/>
      <c r="AJ37" s="318"/>
      <c r="AK37" s="319"/>
      <c r="AL37" s="320"/>
      <c r="AM37" s="318"/>
      <c r="AN37" s="319"/>
      <c r="AO37" s="320"/>
      <c r="AP37" s="318"/>
      <c r="AQ37" s="319"/>
      <c r="AR37" s="319"/>
      <c r="AS37" s="319"/>
      <c r="AT37" s="320"/>
      <c r="AU37" s="318"/>
      <c r="AV37" s="319"/>
      <c r="AW37" s="319"/>
      <c r="AX37" s="319"/>
      <c r="AY37" s="319"/>
      <c r="AZ37" s="319"/>
      <c r="BA37" s="319"/>
      <c r="BB37" s="320"/>
      <c r="BC37" s="318"/>
      <c r="BD37" s="319"/>
      <c r="BE37" s="319"/>
      <c r="BF37" s="319"/>
      <c r="BG37" s="320"/>
      <c r="BH37" s="318"/>
      <c r="BI37" s="319"/>
      <c r="BJ37" s="320"/>
      <c r="BK37" s="318"/>
      <c r="BL37" s="319"/>
      <c r="BM37" s="319"/>
      <c r="BN37" s="320"/>
      <c r="BO37" s="318"/>
      <c r="BP37" s="319"/>
      <c r="BQ37" s="319"/>
      <c r="BR37" s="319"/>
      <c r="BS37" s="319"/>
      <c r="BT37" s="319"/>
      <c r="BU37" s="319"/>
      <c r="BV37" s="320"/>
      <c r="BW37" s="318"/>
      <c r="BX37" s="319"/>
      <c r="BY37" s="319"/>
      <c r="BZ37" s="319"/>
      <c r="CA37" s="319"/>
      <c r="CB37" s="320"/>
      <c r="CC37" s="318"/>
      <c r="CD37" s="319"/>
      <c r="CE37" s="320"/>
      <c r="CF37" s="318"/>
      <c r="CG37" s="319"/>
      <c r="CH37" s="319"/>
      <c r="CI37" s="321"/>
      <c r="CK37" s="239" t="str">
        <f t="shared" si="10"/>
        <v/>
      </c>
      <c r="CL37" s="240" t="str">
        <f t="shared" si="11"/>
        <v/>
      </c>
      <c r="CM37" s="240" t="str">
        <f t="shared" si="12"/>
        <v/>
      </c>
      <c r="CN37" s="240" t="str">
        <f t="shared" si="13"/>
        <v/>
      </c>
      <c r="CO37" s="241" t="str">
        <f t="shared" si="14"/>
        <v/>
      </c>
      <c r="CQ37" s="239" t="str">
        <f>desired_skills(C37,"Methodieken/CISM/CISSP","o")</f>
        <v/>
      </c>
      <c r="CR37" s="240" t="str">
        <f>desired_skills(C37,"Methodieken/CISM/CISSP","j")</f>
        <v/>
      </c>
      <c r="CS37" s="240" t="str">
        <f>desired_skills(C37,"Methodieken/CISM/CISSP","m")</f>
        <v/>
      </c>
      <c r="CT37" s="240" t="str">
        <f>desired_skills(C37,"Methodieken/CISM/CISSP","s")</f>
        <v/>
      </c>
      <c r="CU37" s="241" t="str">
        <f>desired_skills(C37,"Methodieken/CISM/CISSP","e")</f>
        <v/>
      </c>
      <c r="CW37" s="239" t="str">
        <f>calc_gap('Matrix 171007_1818'!$CK$37,'Matrix 171007_1818'!$CQ$37)</f>
        <v/>
      </c>
      <c r="CX37" s="240" t="str">
        <f>calc_gap('Matrix 171007_1818'!$CL$37,'Matrix 171007_1818'!$CR$37)</f>
        <v/>
      </c>
      <c r="CY37" s="240" t="str">
        <f>calc_gap('Matrix 171007_1818'!$CM$37,'Matrix 171007_1818'!$CS$37)</f>
        <v/>
      </c>
      <c r="CZ37" s="240" t="str">
        <f>calc_gap('Matrix 171007_1818'!$CN$37,'Matrix 171007_1818'!$CT$37)</f>
        <v/>
      </c>
      <c r="DA37" s="241" t="str">
        <f>calc_gap('Matrix 171007_1818'!$CO$37,'Matrix 171007_1818'!$CU$37)</f>
        <v/>
      </c>
    </row>
    <row r="38" spans="2:105" ht="12.75" customHeight="1" thickTop="1" thickBot="1" x14ac:dyDescent="0.3">
      <c r="B38" s="436"/>
      <c r="C38" s="248"/>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c r="BA38" s="322"/>
      <c r="BB38" s="322"/>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2"/>
      <c r="CH38" s="322"/>
      <c r="CI38" s="322"/>
      <c r="CK38" s="249"/>
      <c r="CL38" s="249"/>
      <c r="CM38" s="249"/>
      <c r="CN38" s="249"/>
      <c r="CO38" s="249"/>
      <c r="CQ38" s="249"/>
      <c r="CR38" s="249"/>
      <c r="CS38" s="249"/>
      <c r="CT38" s="249"/>
      <c r="CU38" s="249"/>
      <c r="CW38" s="249"/>
      <c r="CX38" s="249"/>
      <c r="CY38" s="249"/>
      <c r="CZ38" s="249"/>
      <c r="DA38" s="249"/>
    </row>
    <row r="39" spans="2:105" ht="15.75" thickTop="1" x14ac:dyDescent="0.25">
      <c r="B39" s="434" t="s">
        <v>81</v>
      </c>
      <c r="C39" s="290" t="s">
        <v>82</v>
      </c>
      <c r="D39" s="310"/>
      <c r="E39" s="311"/>
      <c r="F39" s="311"/>
      <c r="G39" s="311"/>
      <c r="H39" s="311"/>
      <c r="I39" s="311"/>
      <c r="J39" s="311"/>
      <c r="K39" s="312"/>
      <c r="L39" s="310"/>
      <c r="M39" s="311"/>
      <c r="N39" s="311"/>
      <c r="O39" s="312"/>
      <c r="P39" s="310"/>
      <c r="Q39" s="311"/>
      <c r="R39" s="311"/>
      <c r="S39" s="311"/>
      <c r="T39" s="311"/>
      <c r="U39" s="311"/>
      <c r="V39" s="311"/>
      <c r="W39" s="311"/>
      <c r="X39" s="311"/>
      <c r="Y39" s="311"/>
      <c r="Z39" s="311"/>
      <c r="AA39" s="311"/>
      <c r="AB39" s="311"/>
      <c r="AC39" s="311"/>
      <c r="AD39" s="311"/>
      <c r="AE39" s="311"/>
      <c r="AF39" s="311"/>
      <c r="AG39" s="311"/>
      <c r="AH39" s="311"/>
      <c r="AI39" s="312"/>
      <c r="AJ39" s="310"/>
      <c r="AK39" s="311"/>
      <c r="AL39" s="312"/>
      <c r="AM39" s="310"/>
      <c r="AN39" s="311"/>
      <c r="AO39" s="312"/>
      <c r="AP39" s="310"/>
      <c r="AQ39" s="311"/>
      <c r="AR39" s="311"/>
      <c r="AS39" s="311"/>
      <c r="AT39" s="312"/>
      <c r="AU39" s="310" t="s">
        <v>150</v>
      </c>
      <c r="AV39" s="311" t="s">
        <v>148</v>
      </c>
      <c r="AW39" s="311" t="s">
        <v>150</v>
      </c>
      <c r="AX39" s="311" t="s">
        <v>150</v>
      </c>
      <c r="AY39" s="311" t="s">
        <v>148</v>
      </c>
      <c r="AZ39" s="311" t="s">
        <v>148</v>
      </c>
      <c r="BA39" s="311" t="s">
        <v>148</v>
      </c>
      <c r="BB39" s="312" t="s">
        <v>150</v>
      </c>
      <c r="BC39" s="310" t="s">
        <v>148</v>
      </c>
      <c r="BD39" s="311" t="s">
        <v>148</v>
      </c>
      <c r="BE39" s="311"/>
      <c r="BF39" s="311" t="s">
        <v>150</v>
      </c>
      <c r="BG39" s="312"/>
      <c r="BH39" s="310"/>
      <c r="BI39" s="311" t="s">
        <v>147</v>
      </c>
      <c r="BJ39" s="312"/>
      <c r="BK39" s="310" t="s">
        <v>148</v>
      </c>
      <c r="BL39" s="311" t="s">
        <v>150</v>
      </c>
      <c r="BM39" s="311"/>
      <c r="BN39" s="312" t="s">
        <v>148</v>
      </c>
      <c r="BO39" s="310" t="s">
        <v>148</v>
      </c>
      <c r="BP39" s="311" t="s">
        <v>47</v>
      </c>
      <c r="BQ39" s="311" t="s">
        <v>148</v>
      </c>
      <c r="BR39" s="311"/>
      <c r="BS39" s="311"/>
      <c r="BT39" s="311" t="s">
        <v>150</v>
      </c>
      <c r="BU39" s="311" t="s">
        <v>148</v>
      </c>
      <c r="BV39" s="312"/>
      <c r="BW39" s="310" t="s">
        <v>147</v>
      </c>
      <c r="BX39" s="311" t="s">
        <v>148</v>
      </c>
      <c r="BY39" s="311" t="s">
        <v>148</v>
      </c>
      <c r="BZ39" s="311" t="s">
        <v>150</v>
      </c>
      <c r="CA39" s="311" t="s">
        <v>150</v>
      </c>
      <c r="CB39" s="312" t="s">
        <v>150</v>
      </c>
      <c r="CC39" s="310" t="s">
        <v>148</v>
      </c>
      <c r="CD39" s="311" t="s">
        <v>150</v>
      </c>
      <c r="CE39" s="312"/>
      <c r="CF39" s="310"/>
      <c r="CG39" s="311"/>
      <c r="CH39" s="311"/>
      <c r="CI39" s="313"/>
      <c r="CK39" s="233" t="str">
        <f t="shared" ref="CK39:CK50" si="15">IF(COUNTIF(D39:CI39,"o")&gt;0,COUNTIF(D39:CI39,"o"),"")</f>
        <v/>
      </c>
      <c r="CL39" s="234">
        <f t="shared" ref="CL39:CL50" si="16">IF(COUNTIF(D39:CI39,"j")&gt;0,COUNTIF(D39:CI39,"j"),"")</f>
        <v>2</v>
      </c>
      <c r="CM39" s="234">
        <f t="shared" ref="CM39:CM50" si="17">IF(COUNTIF(D39:CI39,"m")&gt;0,COUNTIF(D39:CI39,"m"),"")</f>
        <v>14</v>
      </c>
      <c r="CN39" s="234">
        <f t="shared" ref="CN39:CN50" si="18">IF(COUNTIF(D39:CI39,"s")&gt;0,COUNTIF(D39:CI39,"s"),"")</f>
        <v>11</v>
      </c>
      <c r="CO39" s="235">
        <f t="shared" ref="CO39:CO50" si="19">IF(COUNTIF(D39:CI39,"e")&gt;0,COUNTIF(D39:CI39,"e"),"")</f>
        <v>1</v>
      </c>
      <c r="CQ39" s="233" t="str">
        <f>desired_skills(C39,"Competenties/Overtuigingskracht","o")</f>
        <v>21</v>
      </c>
      <c r="CR39" s="234" t="str">
        <f>desired_skills(C39,"Competenties/Overtuigingskracht","j")</f>
        <v/>
      </c>
      <c r="CS39" s="234" t="str">
        <f>desired_skills(C39,"Competenties/Overtuigingskracht","m")</f>
        <v/>
      </c>
      <c r="CT39" s="234" t="str">
        <f>desired_skills(C39,"Competenties/Overtuigingskracht","s")</f>
        <v/>
      </c>
      <c r="CU39" s="235" t="str">
        <f>desired_skills(C39,"Competenties/Overtuigingskracht","e")</f>
        <v/>
      </c>
      <c r="CW39" s="233" t="str">
        <f>calc_gap('Matrix 171007_1818'!$CK$39,'Matrix 171007_1818'!$CQ$39)</f>
        <v/>
      </c>
      <c r="CX39" s="234" t="str">
        <f>calc_gap('Matrix 171007_1818'!$CL$39,'Matrix 171007_1818'!$CR$39)</f>
        <v/>
      </c>
      <c r="CY39" s="234" t="str">
        <f>calc_gap('Matrix 171007_1818'!$CM$39,'Matrix 171007_1818'!$CS$39)</f>
        <v/>
      </c>
      <c r="CZ39" s="234" t="str">
        <f>calc_gap('Matrix 171007_1818'!$CN$39,'Matrix 171007_1818'!$CT$39)</f>
        <v/>
      </c>
      <c r="DA39" s="235" t="str">
        <f>calc_gap('Matrix 171007_1818'!$CO$39,'Matrix 171007_1818'!$CU$39)</f>
        <v/>
      </c>
    </row>
    <row r="40" spans="2:105" x14ac:dyDescent="0.25">
      <c r="B40" s="435"/>
      <c r="C40" s="291" t="s">
        <v>83</v>
      </c>
      <c r="D40" s="314"/>
      <c r="E40" s="315"/>
      <c r="F40" s="315"/>
      <c r="G40" s="315"/>
      <c r="H40" s="315"/>
      <c r="I40" s="315"/>
      <c r="J40" s="315"/>
      <c r="K40" s="316"/>
      <c r="L40" s="314"/>
      <c r="M40" s="315"/>
      <c r="N40" s="315"/>
      <c r="O40" s="316"/>
      <c r="P40" s="314"/>
      <c r="Q40" s="315"/>
      <c r="R40" s="315"/>
      <c r="S40" s="315"/>
      <c r="T40" s="315"/>
      <c r="U40" s="315"/>
      <c r="V40" s="315"/>
      <c r="W40" s="315"/>
      <c r="X40" s="315"/>
      <c r="Y40" s="315"/>
      <c r="Z40" s="315"/>
      <c r="AA40" s="315"/>
      <c r="AB40" s="315"/>
      <c r="AC40" s="315"/>
      <c r="AD40" s="315"/>
      <c r="AE40" s="315"/>
      <c r="AF40" s="315"/>
      <c r="AG40" s="315"/>
      <c r="AH40" s="315"/>
      <c r="AI40" s="316"/>
      <c r="AJ40" s="314"/>
      <c r="AK40" s="315"/>
      <c r="AL40" s="316"/>
      <c r="AM40" s="314"/>
      <c r="AN40" s="315"/>
      <c r="AO40" s="316"/>
      <c r="AP40" s="314"/>
      <c r="AQ40" s="315"/>
      <c r="AR40" s="315"/>
      <c r="AS40" s="315"/>
      <c r="AT40" s="316"/>
      <c r="AU40" s="314" t="s">
        <v>47</v>
      </c>
      <c r="AV40" s="315" t="s">
        <v>150</v>
      </c>
      <c r="AW40" s="315" t="s">
        <v>150</v>
      </c>
      <c r="AX40" s="315" t="s">
        <v>150</v>
      </c>
      <c r="AY40" s="315" t="s">
        <v>150</v>
      </c>
      <c r="AZ40" s="315" t="s">
        <v>47</v>
      </c>
      <c r="BA40" s="315" t="s">
        <v>47</v>
      </c>
      <c r="BB40" s="316" t="s">
        <v>47</v>
      </c>
      <c r="BC40" s="314" t="s">
        <v>150</v>
      </c>
      <c r="BD40" s="315" t="s">
        <v>148</v>
      </c>
      <c r="BE40" s="315"/>
      <c r="BF40" s="315" t="s">
        <v>47</v>
      </c>
      <c r="BG40" s="316"/>
      <c r="BH40" s="314"/>
      <c r="BI40" s="315" t="s">
        <v>150</v>
      </c>
      <c r="BJ40" s="316"/>
      <c r="BK40" s="314" t="s">
        <v>147</v>
      </c>
      <c r="BL40" s="315" t="s">
        <v>148</v>
      </c>
      <c r="BM40" s="315"/>
      <c r="BN40" s="316" t="s">
        <v>149</v>
      </c>
      <c r="BO40" s="314" t="s">
        <v>148</v>
      </c>
      <c r="BP40" s="315" t="s">
        <v>150</v>
      </c>
      <c r="BQ40" s="315" t="s">
        <v>150</v>
      </c>
      <c r="BR40" s="315"/>
      <c r="BS40" s="315"/>
      <c r="BT40" s="315" t="s">
        <v>150</v>
      </c>
      <c r="BU40" s="315" t="s">
        <v>150</v>
      </c>
      <c r="BV40" s="316"/>
      <c r="BW40" s="314" t="s">
        <v>150</v>
      </c>
      <c r="BX40" s="315" t="s">
        <v>148</v>
      </c>
      <c r="BY40" s="315" t="s">
        <v>150</v>
      </c>
      <c r="BZ40" s="315" t="s">
        <v>150</v>
      </c>
      <c r="CA40" s="315" t="s">
        <v>150</v>
      </c>
      <c r="CB40" s="316" t="s">
        <v>150</v>
      </c>
      <c r="CC40" s="314" t="s">
        <v>147</v>
      </c>
      <c r="CD40" s="315" t="s">
        <v>150</v>
      </c>
      <c r="CE40" s="316"/>
      <c r="CF40" s="314"/>
      <c r="CG40" s="315"/>
      <c r="CH40" s="315"/>
      <c r="CI40" s="317"/>
      <c r="CK40" s="236">
        <f t="shared" si="15"/>
        <v>1</v>
      </c>
      <c r="CL40" s="237">
        <f t="shared" si="16"/>
        <v>2</v>
      </c>
      <c r="CM40" s="237">
        <f t="shared" si="17"/>
        <v>4</v>
      </c>
      <c r="CN40" s="237">
        <f t="shared" si="18"/>
        <v>16</v>
      </c>
      <c r="CO40" s="238">
        <f t="shared" si="19"/>
        <v>5</v>
      </c>
      <c r="CQ40" s="236" t="str">
        <f>desired_skills(C40,"Competenties/Ketendenken/helicopterview","o")</f>
        <v/>
      </c>
      <c r="CR40" s="237" t="str">
        <f>desired_skills(C40,"Competenties/Ketendenken/helicopterview","j")</f>
        <v>22</v>
      </c>
      <c r="CS40" s="237" t="str">
        <f>desired_skills(C40,"Competenties/Ketendenken/helicopterview","m")</f>
        <v/>
      </c>
      <c r="CT40" s="237" t="str">
        <f>desired_skills(C40,"Competenties/Ketendenken/helicopterview","s")</f>
        <v/>
      </c>
      <c r="CU40" s="238" t="str">
        <f>desired_skills(C40,"Competenties/Ketendenken/helicopterview","e")</f>
        <v/>
      </c>
      <c r="CW40" s="236" t="str">
        <f>calc_gap('Matrix 171007_1818'!$CK$40,'Matrix 171007_1818'!$CQ$40)</f>
        <v/>
      </c>
      <c r="CX40" s="237" t="str">
        <f>calc_gap('Matrix 171007_1818'!$CL$40,'Matrix 171007_1818'!$CR$40)</f>
        <v>20</v>
      </c>
      <c r="CY40" s="237" t="str">
        <f>calc_gap('Matrix 171007_1818'!$CM$40,'Matrix 171007_1818'!$CS$40)</f>
        <v/>
      </c>
      <c r="CZ40" s="237" t="str">
        <f>calc_gap('Matrix 171007_1818'!$CN$40,'Matrix 171007_1818'!$CT$40)</f>
        <v/>
      </c>
      <c r="DA40" s="238" t="str">
        <f>calc_gap('Matrix 171007_1818'!$CO$40,'Matrix 171007_1818'!$CU$40)</f>
        <v/>
      </c>
    </row>
    <row r="41" spans="2:105" x14ac:dyDescent="0.25">
      <c r="B41" s="435"/>
      <c r="C41" s="291" t="s">
        <v>84</v>
      </c>
      <c r="D41" s="314"/>
      <c r="E41" s="315"/>
      <c r="F41" s="315"/>
      <c r="G41" s="315"/>
      <c r="H41" s="315"/>
      <c r="I41" s="315"/>
      <c r="J41" s="315"/>
      <c r="K41" s="316"/>
      <c r="L41" s="314"/>
      <c r="M41" s="315"/>
      <c r="N41" s="315"/>
      <c r="O41" s="316"/>
      <c r="P41" s="314"/>
      <c r="Q41" s="315"/>
      <c r="R41" s="315"/>
      <c r="S41" s="315"/>
      <c r="T41" s="315"/>
      <c r="U41" s="315"/>
      <c r="V41" s="315"/>
      <c r="W41" s="315"/>
      <c r="X41" s="315"/>
      <c r="Y41" s="315"/>
      <c r="Z41" s="315"/>
      <c r="AA41" s="315"/>
      <c r="AB41" s="315"/>
      <c r="AC41" s="315"/>
      <c r="AD41" s="315"/>
      <c r="AE41" s="315"/>
      <c r="AF41" s="315"/>
      <c r="AG41" s="315"/>
      <c r="AH41" s="315"/>
      <c r="AI41" s="316"/>
      <c r="AJ41" s="314"/>
      <c r="AK41" s="315"/>
      <c r="AL41" s="316"/>
      <c r="AM41" s="314"/>
      <c r="AN41" s="315"/>
      <c r="AO41" s="316"/>
      <c r="AP41" s="314"/>
      <c r="AQ41" s="315"/>
      <c r="AR41" s="315"/>
      <c r="AS41" s="315"/>
      <c r="AT41" s="316"/>
      <c r="AU41" s="314" t="s">
        <v>150</v>
      </c>
      <c r="AV41" s="315" t="s">
        <v>150</v>
      </c>
      <c r="AW41" s="315" t="s">
        <v>150</v>
      </c>
      <c r="AX41" s="315" t="s">
        <v>150</v>
      </c>
      <c r="AY41" s="315" t="s">
        <v>148</v>
      </c>
      <c r="AZ41" s="315" t="s">
        <v>150</v>
      </c>
      <c r="BA41" s="315" t="s">
        <v>148</v>
      </c>
      <c r="BB41" s="316" t="s">
        <v>150</v>
      </c>
      <c r="BC41" s="314" t="s">
        <v>47</v>
      </c>
      <c r="BD41" s="315" t="s">
        <v>148</v>
      </c>
      <c r="BE41" s="315"/>
      <c r="BF41" s="315" t="s">
        <v>150</v>
      </c>
      <c r="BG41" s="316"/>
      <c r="BH41" s="314"/>
      <c r="BI41" s="315" t="s">
        <v>148</v>
      </c>
      <c r="BJ41" s="316"/>
      <c r="BK41" s="314" t="s">
        <v>147</v>
      </c>
      <c r="BL41" s="315" t="s">
        <v>150</v>
      </c>
      <c r="BM41" s="315"/>
      <c r="BN41" s="316" t="s">
        <v>148</v>
      </c>
      <c r="BO41" s="314" t="s">
        <v>147</v>
      </c>
      <c r="BP41" s="315" t="s">
        <v>148</v>
      </c>
      <c r="BQ41" s="315" t="s">
        <v>148</v>
      </c>
      <c r="BR41" s="315"/>
      <c r="BS41" s="315"/>
      <c r="BT41" s="315" t="s">
        <v>148</v>
      </c>
      <c r="BU41" s="315" t="s">
        <v>148</v>
      </c>
      <c r="BV41" s="316"/>
      <c r="BW41" s="314" t="s">
        <v>148</v>
      </c>
      <c r="BX41" s="315" t="s">
        <v>148</v>
      </c>
      <c r="BY41" s="315" t="s">
        <v>148</v>
      </c>
      <c r="BZ41" s="315" t="s">
        <v>150</v>
      </c>
      <c r="CA41" s="315" t="s">
        <v>148</v>
      </c>
      <c r="CB41" s="316" t="s">
        <v>148</v>
      </c>
      <c r="CC41" s="314" t="s">
        <v>147</v>
      </c>
      <c r="CD41" s="315" t="s">
        <v>148</v>
      </c>
      <c r="CE41" s="316"/>
      <c r="CF41" s="314"/>
      <c r="CG41" s="315"/>
      <c r="CH41" s="315"/>
      <c r="CI41" s="317"/>
      <c r="CK41" s="236" t="str">
        <f t="shared" si="15"/>
        <v/>
      </c>
      <c r="CL41" s="237">
        <f t="shared" si="16"/>
        <v>3</v>
      </c>
      <c r="CM41" s="237">
        <f t="shared" si="17"/>
        <v>15</v>
      </c>
      <c r="CN41" s="237">
        <f t="shared" si="18"/>
        <v>9</v>
      </c>
      <c r="CO41" s="238">
        <f t="shared" si="19"/>
        <v>1</v>
      </c>
      <c r="CQ41" s="236" t="str">
        <f>desired_skills(C41,"Competenties/Presentatievaardigheden","o")</f>
        <v/>
      </c>
      <c r="CR41" s="237" t="str">
        <f>desired_skills(C41,"Competenties/Presentatievaardigheden","j")</f>
        <v/>
      </c>
      <c r="CS41" s="237" t="str">
        <f>desired_skills(C41,"Competenties/Presentatievaardigheden","m")</f>
        <v>23</v>
      </c>
      <c r="CT41" s="237" t="str">
        <f>desired_skills(C41,"Competenties/Presentatievaardigheden","s")</f>
        <v/>
      </c>
      <c r="CU41" s="238" t="str">
        <f>desired_skills(C41,"Competenties/Presentatievaardigheden","e")</f>
        <v/>
      </c>
      <c r="CW41" s="236" t="str">
        <f>calc_gap('Matrix 171007_1818'!$CK$41,'Matrix 171007_1818'!$CQ$41)</f>
        <v/>
      </c>
      <c r="CX41" s="237" t="str">
        <f>calc_gap('Matrix 171007_1818'!$CL$41,'Matrix 171007_1818'!$CR$41)</f>
        <v/>
      </c>
      <c r="CY41" s="237" t="str">
        <f>calc_gap('Matrix 171007_1818'!$CM$41,'Matrix 171007_1818'!$CS$41)</f>
        <v>8</v>
      </c>
      <c r="CZ41" s="237" t="str">
        <f>calc_gap('Matrix 171007_1818'!$CN$41,'Matrix 171007_1818'!$CT$41)</f>
        <v/>
      </c>
      <c r="DA41" s="238" t="str">
        <f>calc_gap('Matrix 171007_1818'!$CO$41,'Matrix 171007_1818'!$CU$41)</f>
        <v/>
      </c>
    </row>
    <row r="42" spans="2:105" x14ac:dyDescent="0.25">
      <c r="B42" s="435"/>
      <c r="C42" s="291" t="s">
        <v>85</v>
      </c>
      <c r="D42" s="314"/>
      <c r="E42" s="315"/>
      <c r="F42" s="315"/>
      <c r="G42" s="315"/>
      <c r="H42" s="315"/>
      <c r="I42" s="315"/>
      <c r="J42" s="315"/>
      <c r="K42" s="316"/>
      <c r="L42" s="314"/>
      <c r="M42" s="315"/>
      <c r="N42" s="315"/>
      <c r="O42" s="316"/>
      <c r="P42" s="314"/>
      <c r="Q42" s="315"/>
      <c r="R42" s="315"/>
      <c r="S42" s="315"/>
      <c r="T42" s="315"/>
      <c r="U42" s="315"/>
      <c r="V42" s="315"/>
      <c r="W42" s="315"/>
      <c r="X42" s="315"/>
      <c r="Y42" s="315"/>
      <c r="Z42" s="315"/>
      <c r="AA42" s="315"/>
      <c r="AB42" s="315"/>
      <c r="AC42" s="315"/>
      <c r="AD42" s="315"/>
      <c r="AE42" s="315"/>
      <c r="AF42" s="315"/>
      <c r="AG42" s="315"/>
      <c r="AH42" s="315"/>
      <c r="AI42" s="316"/>
      <c r="AJ42" s="314"/>
      <c r="AK42" s="315"/>
      <c r="AL42" s="316"/>
      <c r="AM42" s="314"/>
      <c r="AN42" s="315"/>
      <c r="AO42" s="316"/>
      <c r="AP42" s="314"/>
      <c r="AQ42" s="315"/>
      <c r="AR42" s="315"/>
      <c r="AS42" s="315"/>
      <c r="AT42" s="316"/>
      <c r="AU42" s="314" t="s">
        <v>150</v>
      </c>
      <c r="AV42" s="315" t="s">
        <v>148</v>
      </c>
      <c r="AW42" s="315" t="s">
        <v>150</v>
      </c>
      <c r="AX42" s="315" t="s">
        <v>150</v>
      </c>
      <c r="AY42" s="315" t="s">
        <v>150</v>
      </c>
      <c r="AZ42" s="315" t="s">
        <v>150</v>
      </c>
      <c r="BA42" s="315" t="s">
        <v>150</v>
      </c>
      <c r="BB42" s="316" t="s">
        <v>150</v>
      </c>
      <c r="BC42" s="314" t="s">
        <v>150</v>
      </c>
      <c r="BD42" s="315" t="s">
        <v>148</v>
      </c>
      <c r="BE42" s="315"/>
      <c r="BF42" s="315" t="s">
        <v>150</v>
      </c>
      <c r="BG42" s="316"/>
      <c r="BH42" s="314"/>
      <c r="BI42" s="315" t="s">
        <v>149</v>
      </c>
      <c r="BJ42" s="316"/>
      <c r="BK42" s="314" t="s">
        <v>148</v>
      </c>
      <c r="BL42" s="315" t="s">
        <v>148</v>
      </c>
      <c r="BM42" s="315"/>
      <c r="BN42" s="316"/>
      <c r="BO42" s="314" t="s">
        <v>147</v>
      </c>
      <c r="BP42" s="315" t="s">
        <v>150</v>
      </c>
      <c r="BQ42" s="315" t="s">
        <v>148</v>
      </c>
      <c r="BR42" s="315"/>
      <c r="BS42" s="315"/>
      <c r="BT42" s="315" t="s">
        <v>148</v>
      </c>
      <c r="BU42" s="315" t="s">
        <v>148</v>
      </c>
      <c r="BV42" s="316"/>
      <c r="BW42" s="314" t="s">
        <v>148</v>
      </c>
      <c r="BX42" s="315"/>
      <c r="BY42" s="315" t="s">
        <v>150</v>
      </c>
      <c r="BZ42" s="315" t="s">
        <v>150</v>
      </c>
      <c r="CA42" s="315" t="s">
        <v>47</v>
      </c>
      <c r="CB42" s="316" t="s">
        <v>150</v>
      </c>
      <c r="CC42" s="314"/>
      <c r="CD42" s="315" t="s">
        <v>150</v>
      </c>
      <c r="CE42" s="316"/>
      <c r="CF42" s="314"/>
      <c r="CG42" s="315"/>
      <c r="CH42" s="315"/>
      <c r="CI42" s="317"/>
      <c r="CK42" s="236">
        <f t="shared" si="15"/>
        <v>1</v>
      </c>
      <c r="CL42" s="237">
        <f t="shared" si="16"/>
        <v>1</v>
      </c>
      <c r="CM42" s="237">
        <f t="shared" si="17"/>
        <v>8</v>
      </c>
      <c r="CN42" s="237">
        <f t="shared" si="18"/>
        <v>14</v>
      </c>
      <c r="CO42" s="238">
        <f t="shared" si="19"/>
        <v>1</v>
      </c>
      <c r="CQ42" s="236" t="str">
        <f>desired_skills(C42,"Competenties/Stakeholdermanagement","o")</f>
        <v/>
      </c>
      <c r="CR42" s="237" t="str">
        <f>desired_skills(C42,"Competenties/Stakeholdermanagement","j")</f>
        <v/>
      </c>
      <c r="CS42" s="237" t="str">
        <f>desired_skills(C42,"Competenties/Stakeholdermanagement","m")</f>
        <v/>
      </c>
      <c r="CT42" s="237" t="str">
        <f>desired_skills(C42,"Competenties/Stakeholdermanagement","s")</f>
        <v>24</v>
      </c>
      <c r="CU42" s="238" t="str">
        <f>desired_skills(C42,"Competenties/Stakeholdermanagement","e")</f>
        <v/>
      </c>
      <c r="CW42" s="236" t="str">
        <f>calc_gap('Matrix 171007_1818'!$CK$42,'Matrix 171007_1818'!$CQ$42)</f>
        <v/>
      </c>
      <c r="CX42" s="237" t="str">
        <f>calc_gap('Matrix 171007_1818'!$CL$42,'Matrix 171007_1818'!$CR$42)</f>
        <v/>
      </c>
      <c r="CY42" s="237" t="str">
        <f>calc_gap('Matrix 171007_1818'!$CM$42,'Matrix 171007_1818'!$CS$42)</f>
        <v/>
      </c>
      <c r="CZ42" s="237" t="str">
        <f>calc_gap('Matrix 171007_1818'!$CN$42,'Matrix 171007_1818'!$CT$42)</f>
        <v>10</v>
      </c>
      <c r="DA42" s="238" t="str">
        <f>calc_gap('Matrix 171007_1818'!$CO$42,'Matrix 171007_1818'!$CU$42)</f>
        <v/>
      </c>
    </row>
    <row r="43" spans="2:105" x14ac:dyDescent="0.25">
      <c r="B43" s="435"/>
      <c r="C43" s="291" t="s">
        <v>86</v>
      </c>
      <c r="D43" s="314"/>
      <c r="E43" s="315"/>
      <c r="F43" s="315"/>
      <c r="G43" s="315"/>
      <c r="H43" s="315"/>
      <c r="I43" s="315"/>
      <c r="J43" s="315"/>
      <c r="K43" s="316"/>
      <c r="L43" s="314"/>
      <c r="M43" s="315"/>
      <c r="N43" s="315"/>
      <c r="O43" s="316"/>
      <c r="P43" s="314"/>
      <c r="Q43" s="315"/>
      <c r="R43" s="315"/>
      <c r="S43" s="315"/>
      <c r="T43" s="315"/>
      <c r="U43" s="315"/>
      <c r="V43" s="315"/>
      <c r="W43" s="315"/>
      <c r="X43" s="315"/>
      <c r="Y43" s="315"/>
      <c r="Z43" s="315"/>
      <c r="AA43" s="315"/>
      <c r="AB43" s="315"/>
      <c r="AC43" s="315"/>
      <c r="AD43" s="315"/>
      <c r="AE43" s="315"/>
      <c r="AF43" s="315"/>
      <c r="AG43" s="315"/>
      <c r="AH43" s="315"/>
      <c r="AI43" s="316"/>
      <c r="AJ43" s="314"/>
      <c r="AK43" s="315"/>
      <c r="AL43" s="316"/>
      <c r="AM43" s="314"/>
      <c r="AN43" s="315"/>
      <c r="AO43" s="316"/>
      <c r="AP43" s="314"/>
      <c r="AQ43" s="315"/>
      <c r="AR43" s="315"/>
      <c r="AS43" s="315"/>
      <c r="AT43" s="316"/>
      <c r="AU43" s="314" t="s">
        <v>150</v>
      </c>
      <c r="AV43" s="315" t="s">
        <v>150</v>
      </c>
      <c r="AW43" s="315" t="s">
        <v>150</v>
      </c>
      <c r="AX43" s="315" t="s">
        <v>150</v>
      </c>
      <c r="AY43" s="315" t="s">
        <v>150</v>
      </c>
      <c r="AZ43" s="315" t="s">
        <v>150</v>
      </c>
      <c r="BA43" s="315" t="s">
        <v>148</v>
      </c>
      <c r="BB43" s="316" t="s">
        <v>150</v>
      </c>
      <c r="BC43" s="314" t="s">
        <v>150</v>
      </c>
      <c r="BD43" s="315" t="s">
        <v>148</v>
      </c>
      <c r="BE43" s="315"/>
      <c r="BF43" s="315" t="s">
        <v>47</v>
      </c>
      <c r="BG43" s="316"/>
      <c r="BH43" s="314"/>
      <c r="BI43" s="315" t="s">
        <v>150</v>
      </c>
      <c r="BJ43" s="316"/>
      <c r="BK43" s="314" t="s">
        <v>147</v>
      </c>
      <c r="BL43" s="315" t="s">
        <v>148</v>
      </c>
      <c r="BM43" s="315"/>
      <c r="BN43" s="316" t="s">
        <v>148</v>
      </c>
      <c r="BO43" s="314" t="s">
        <v>150</v>
      </c>
      <c r="BP43" s="315" t="s">
        <v>150</v>
      </c>
      <c r="BQ43" s="315" t="s">
        <v>150</v>
      </c>
      <c r="BR43" s="315"/>
      <c r="BS43" s="315" t="s">
        <v>147</v>
      </c>
      <c r="BT43" s="315" t="s">
        <v>150</v>
      </c>
      <c r="BU43" s="315" t="s">
        <v>150</v>
      </c>
      <c r="BV43" s="316"/>
      <c r="BW43" s="314" t="s">
        <v>150</v>
      </c>
      <c r="BX43" s="315" t="s">
        <v>148</v>
      </c>
      <c r="BY43" s="315" t="s">
        <v>47</v>
      </c>
      <c r="BZ43" s="315" t="s">
        <v>150</v>
      </c>
      <c r="CA43" s="315" t="s">
        <v>47</v>
      </c>
      <c r="CB43" s="316" t="s">
        <v>47</v>
      </c>
      <c r="CC43" s="314"/>
      <c r="CD43" s="315" t="s">
        <v>150</v>
      </c>
      <c r="CE43" s="316"/>
      <c r="CF43" s="314"/>
      <c r="CG43" s="315"/>
      <c r="CH43" s="315"/>
      <c r="CI43" s="317"/>
      <c r="CK43" s="236" t="str">
        <f t="shared" si="15"/>
        <v/>
      </c>
      <c r="CL43" s="237">
        <f t="shared" si="16"/>
        <v>2</v>
      </c>
      <c r="CM43" s="237">
        <f t="shared" si="17"/>
        <v>5</v>
      </c>
      <c r="CN43" s="237">
        <f t="shared" si="18"/>
        <v>17</v>
      </c>
      <c r="CO43" s="238">
        <f t="shared" si="19"/>
        <v>4</v>
      </c>
      <c r="CQ43" s="236" t="str">
        <f>desired_skills(C43,"Competenties/Analyse &amp; advies","o")</f>
        <v/>
      </c>
      <c r="CR43" s="237" t="str">
        <f>desired_skills(C43,"Competenties/Analyse &amp; advies","j")</f>
        <v/>
      </c>
      <c r="CS43" s="237" t="str">
        <f>desired_skills(C43,"Competenties/Analyse &amp; advies","m")</f>
        <v/>
      </c>
      <c r="CT43" s="237" t="str">
        <f>desired_skills(C43,"Competenties/Analyse &amp; advies","s")</f>
        <v/>
      </c>
      <c r="CU43" s="238" t="str">
        <f>desired_skills(C43,"Competenties/Analyse &amp; advies","e")</f>
        <v>25</v>
      </c>
      <c r="CW43" s="236" t="str">
        <f>calc_gap('Matrix 171007_1818'!$CK$43,'Matrix 171007_1818'!$CQ$43)</f>
        <v/>
      </c>
      <c r="CX43" s="237" t="str">
        <f>calc_gap('Matrix 171007_1818'!$CL$43,'Matrix 171007_1818'!$CR$43)</f>
        <v/>
      </c>
      <c r="CY43" s="237" t="str">
        <f>calc_gap('Matrix 171007_1818'!$CM$43,'Matrix 171007_1818'!$CS$43)</f>
        <v/>
      </c>
      <c r="CZ43" s="237" t="str">
        <f>calc_gap('Matrix 171007_1818'!$CN$43,'Matrix 171007_1818'!$CT$43)</f>
        <v/>
      </c>
      <c r="DA43" s="238" t="str">
        <f>calc_gap('Matrix 171007_1818'!$CO$43,'Matrix 171007_1818'!$CU$43)</f>
        <v>21</v>
      </c>
    </row>
    <row r="44" spans="2:105" x14ac:dyDescent="0.25">
      <c r="B44" s="435"/>
      <c r="C44" s="291" t="s">
        <v>87</v>
      </c>
      <c r="D44" s="314"/>
      <c r="E44" s="315"/>
      <c r="F44" s="315"/>
      <c r="G44" s="315"/>
      <c r="H44" s="315"/>
      <c r="I44" s="315"/>
      <c r="J44" s="315"/>
      <c r="K44" s="316"/>
      <c r="L44" s="314"/>
      <c r="M44" s="315"/>
      <c r="N44" s="315"/>
      <c r="O44" s="316"/>
      <c r="P44" s="314"/>
      <c r="Q44" s="315"/>
      <c r="R44" s="315"/>
      <c r="S44" s="315"/>
      <c r="T44" s="315"/>
      <c r="U44" s="315"/>
      <c r="V44" s="315"/>
      <c r="W44" s="315"/>
      <c r="X44" s="315"/>
      <c r="Y44" s="315"/>
      <c r="Z44" s="315"/>
      <c r="AA44" s="315"/>
      <c r="AB44" s="315"/>
      <c r="AC44" s="315"/>
      <c r="AD44" s="315"/>
      <c r="AE44" s="315"/>
      <c r="AF44" s="315"/>
      <c r="AG44" s="315"/>
      <c r="AH44" s="315"/>
      <c r="AI44" s="316"/>
      <c r="AJ44" s="314"/>
      <c r="AK44" s="315"/>
      <c r="AL44" s="316"/>
      <c r="AM44" s="314"/>
      <c r="AN44" s="315"/>
      <c r="AO44" s="316"/>
      <c r="AP44" s="314"/>
      <c r="AQ44" s="315"/>
      <c r="AR44" s="315"/>
      <c r="AS44" s="315"/>
      <c r="AT44" s="316"/>
      <c r="AU44" s="314" t="s">
        <v>150</v>
      </c>
      <c r="AV44" s="315" t="s">
        <v>148</v>
      </c>
      <c r="AW44" s="315" t="s">
        <v>150</v>
      </c>
      <c r="AX44" s="315" t="s">
        <v>150</v>
      </c>
      <c r="AY44" s="315" t="s">
        <v>150</v>
      </c>
      <c r="AZ44" s="315" t="s">
        <v>150</v>
      </c>
      <c r="BA44" s="315" t="s">
        <v>150</v>
      </c>
      <c r="BB44" s="316" t="s">
        <v>150</v>
      </c>
      <c r="BC44" s="314" t="s">
        <v>148</v>
      </c>
      <c r="BD44" s="315" t="s">
        <v>148</v>
      </c>
      <c r="BE44" s="315"/>
      <c r="BF44" s="315" t="s">
        <v>150</v>
      </c>
      <c r="BG44" s="316"/>
      <c r="BH44" s="314"/>
      <c r="BI44" s="315" t="s">
        <v>149</v>
      </c>
      <c r="BJ44" s="316"/>
      <c r="BK44" s="314" t="s">
        <v>148</v>
      </c>
      <c r="BL44" s="315" t="s">
        <v>148</v>
      </c>
      <c r="BM44" s="315"/>
      <c r="BN44" s="316" t="s">
        <v>150</v>
      </c>
      <c r="BO44" s="314" t="s">
        <v>148</v>
      </c>
      <c r="BP44" s="315" t="s">
        <v>150</v>
      </c>
      <c r="BQ44" s="315" t="s">
        <v>148</v>
      </c>
      <c r="BR44" s="315"/>
      <c r="BS44" s="315"/>
      <c r="BT44" s="315" t="s">
        <v>150</v>
      </c>
      <c r="BU44" s="315" t="s">
        <v>148</v>
      </c>
      <c r="BV44" s="316"/>
      <c r="BW44" s="314" t="s">
        <v>148</v>
      </c>
      <c r="BX44" s="315" t="s">
        <v>148</v>
      </c>
      <c r="BY44" s="315" t="s">
        <v>47</v>
      </c>
      <c r="BZ44" s="315" t="s">
        <v>148</v>
      </c>
      <c r="CA44" s="315" t="s">
        <v>150</v>
      </c>
      <c r="CB44" s="316" t="s">
        <v>150</v>
      </c>
      <c r="CC44" s="314"/>
      <c r="CD44" s="315" t="s">
        <v>47</v>
      </c>
      <c r="CE44" s="316"/>
      <c r="CF44" s="314"/>
      <c r="CG44" s="315"/>
      <c r="CH44" s="315"/>
      <c r="CI44" s="317"/>
      <c r="CK44" s="236">
        <f t="shared" si="15"/>
        <v>1</v>
      </c>
      <c r="CL44" s="237" t="str">
        <f t="shared" si="16"/>
        <v/>
      </c>
      <c r="CM44" s="237">
        <f t="shared" si="17"/>
        <v>11</v>
      </c>
      <c r="CN44" s="237">
        <f t="shared" si="18"/>
        <v>13</v>
      </c>
      <c r="CO44" s="238">
        <f t="shared" si="19"/>
        <v>2</v>
      </c>
      <c r="CQ44" s="236" t="str">
        <f>desired_skills(C44,"Competenties/Veranderkracht","o")</f>
        <v/>
      </c>
      <c r="CR44" s="237" t="str">
        <f>desired_skills(C44,"Competenties/Veranderkracht","j")</f>
        <v/>
      </c>
      <c r="CS44" s="237" t="str">
        <f>desired_skills(C44,"Competenties/Veranderkracht","m")</f>
        <v/>
      </c>
      <c r="CT44" s="237" t="str">
        <f>desired_skills(C44,"Competenties/Veranderkracht","s")</f>
        <v/>
      </c>
      <c r="CU44" s="238" t="str">
        <f>desired_skills(C44,"Competenties/Veranderkracht","e")</f>
        <v/>
      </c>
      <c r="CW44" s="236" t="str">
        <f>calc_gap('Matrix 171007_1818'!$CK$44,'Matrix 171007_1818'!$CQ$44)</f>
        <v/>
      </c>
      <c r="CX44" s="237" t="str">
        <f>calc_gap('Matrix 171007_1818'!$CL$44,'Matrix 171007_1818'!$CR$44)</f>
        <v/>
      </c>
      <c r="CY44" s="237" t="str">
        <f>calc_gap('Matrix 171007_1818'!$CM$44,'Matrix 171007_1818'!$CS$44)</f>
        <v/>
      </c>
      <c r="CZ44" s="237" t="str">
        <f>calc_gap('Matrix 171007_1818'!$CN$44,'Matrix 171007_1818'!$CT$44)</f>
        <v/>
      </c>
      <c r="DA44" s="238" t="str">
        <f>calc_gap('Matrix 171007_1818'!$CO$44,'Matrix 171007_1818'!$CU$44)</f>
        <v/>
      </c>
    </row>
    <row r="45" spans="2:105" x14ac:dyDescent="0.25">
      <c r="B45" s="435"/>
      <c r="C45" s="291" t="s">
        <v>88</v>
      </c>
      <c r="D45" s="314"/>
      <c r="E45" s="315"/>
      <c r="F45" s="315"/>
      <c r="G45" s="315"/>
      <c r="H45" s="315"/>
      <c r="I45" s="315"/>
      <c r="J45" s="315"/>
      <c r="K45" s="316"/>
      <c r="L45" s="314"/>
      <c r="M45" s="315"/>
      <c r="N45" s="315"/>
      <c r="O45" s="316"/>
      <c r="P45" s="314"/>
      <c r="Q45" s="315"/>
      <c r="R45" s="315"/>
      <c r="S45" s="315"/>
      <c r="T45" s="315"/>
      <c r="U45" s="315"/>
      <c r="V45" s="315"/>
      <c r="W45" s="315"/>
      <c r="X45" s="315"/>
      <c r="Y45" s="315"/>
      <c r="Z45" s="315"/>
      <c r="AA45" s="315"/>
      <c r="AB45" s="315"/>
      <c r="AC45" s="315"/>
      <c r="AD45" s="315"/>
      <c r="AE45" s="315"/>
      <c r="AF45" s="315"/>
      <c r="AG45" s="315"/>
      <c r="AH45" s="315"/>
      <c r="AI45" s="316"/>
      <c r="AJ45" s="314"/>
      <c r="AK45" s="315"/>
      <c r="AL45" s="316"/>
      <c r="AM45" s="314"/>
      <c r="AN45" s="315"/>
      <c r="AO45" s="316"/>
      <c r="AP45" s="314"/>
      <c r="AQ45" s="315"/>
      <c r="AR45" s="315"/>
      <c r="AS45" s="315"/>
      <c r="AT45" s="316"/>
      <c r="AU45" s="314" t="s">
        <v>47</v>
      </c>
      <c r="AV45" s="315" t="s">
        <v>150</v>
      </c>
      <c r="AW45" s="315" t="s">
        <v>150</v>
      </c>
      <c r="AX45" s="315" t="s">
        <v>150</v>
      </c>
      <c r="AY45" s="315" t="s">
        <v>150</v>
      </c>
      <c r="AZ45" s="315" t="s">
        <v>150</v>
      </c>
      <c r="BA45" s="315" t="s">
        <v>150</v>
      </c>
      <c r="BB45" s="316" t="s">
        <v>150</v>
      </c>
      <c r="BC45" s="314" t="s">
        <v>150</v>
      </c>
      <c r="BD45" s="315" t="s">
        <v>150</v>
      </c>
      <c r="BE45" s="315"/>
      <c r="BF45" s="315" t="s">
        <v>150</v>
      </c>
      <c r="BG45" s="316"/>
      <c r="BH45" s="314"/>
      <c r="BI45" s="315" t="s">
        <v>148</v>
      </c>
      <c r="BJ45" s="316"/>
      <c r="BK45" s="314" t="s">
        <v>148</v>
      </c>
      <c r="BL45" s="315" t="s">
        <v>148</v>
      </c>
      <c r="BM45" s="315"/>
      <c r="BN45" s="316" t="s">
        <v>150</v>
      </c>
      <c r="BO45" s="314" t="s">
        <v>150</v>
      </c>
      <c r="BP45" s="315" t="s">
        <v>150</v>
      </c>
      <c r="BQ45" s="315" t="s">
        <v>150</v>
      </c>
      <c r="BR45" s="315"/>
      <c r="BS45" s="315" t="s">
        <v>147</v>
      </c>
      <c r="BT45" s="315" t="s">
        <v>150</v>
      </c>
      <c r="BU45" s="315" t="s">
        <v>150</v>
      </c>
      <c r="BV45" s="316"/>
      <c r="BW45" s="314" t="s">
        <v>150</v>
      </c>
      <c r="BX45" s="315" t="s">
        <v>148</v>
      </c>
      <c r="BY45" s="315" t="s">
        <v>150</v>
      </c>
      <c r="BZ45" s="315" t="s">
        <v>150</v>
      </c>
      <c r="CA45" s="315" t="s">
        <v>47</v>
      </c>
      <c r="CB45" s="316" t="s">
        <v>47</v>
      </c>
      <c r="CC45" s="314" t="s">
        <v>150</v>
      </c>
      <c r="CD45" s="315" t="s">
        <v>150</v>
      </c>
      <c r="CE45" s="316"/>
      <c r="CF45" s="314"/>
      <c r="CG45" s="315"/>
      <c r="CH45" s="315"/>
      <c r="CI45" s="317"/>
      <c r="CK45" s="236" t="str">
        <f t="shared" si="15"/>
        <v/>
      </c>
      <c r="CL45" s="237">
        <f t="shared" si="16"/>
        <v>1</v>
      </c>
      <c r="CM45" s="237">
        <f t="shared" si="17"/>
        <v>4</v>
      </c>
      <c r="CN45" s="237">
        <f t="shared" si="18"/>
        <v>21</v>
      </c>
      <c r="CO45" s="238">
        <f t="shared" si="19"/>
        <v>3</v>
      </c>
      <c r="CQ45" s="236" t="str">
        <f>desired_skills(C45,"Competenties/Zelfsturend","o")</f>
        <v/>
      </c>
      <c r="CR45" s="237" t="str">
        <f>desired_skills(C45,"Competenties/Zelfsturend","j")</f>
        <v/>
      </c>
      <c r="CS45" s="237" t="str">
        <f>desired_skills(C45,"Competenties/Zelfsturend","m")</f>
        <v/>
      </c>
      <c r="CT45" s="237" t="str">
        <f>desired_skills(C45,"Competenties/Zelfsturend","s")</f>
        <v/>
      </c>
      <c r="CU45" s="238" t="str">
        <f>desired_skills(C45,"Competenties/Zelfsturend","e")</f>
        <v/>
      </c>
      <c r="CW45" s="236" t="str">
        <f>calc_gap('Matrix 171007_1818'!$CK$45,'Matrix 171007_1818'!$CQ$45)</f>
        <v/>
      </c>
      <c r="CX45" s="237" t="str">
        <f>calc_gap('Matrix 171007_1818'!$CL$45,'Matrix 171007_1818'!$CR$45)</f>
        <v/>
      </c>
      <c r="CY45" s="237" t="str">
        <f>calc_gap('Matrix 171007_1818'!$CM$45,'Matrix 171007_1818'!$CS$45)</f>
        <v/>
      </c>
      <c r="CZ45" s="237" t="str">
        <f>calc_gap('Matrix 171007_1818'!$CN$45,'Matrix 171007_1818'!$CT$45)</f>
        <v/>
      </c>
      <c r="DA45" s="238" t="str">
        <f>calc_gap('Matrix 171007_1818'!$CO$45,'Matrix 171007_1818'!$CU$45)</f>
        <v/>
      </c>
    </row>
    <row r="46" spans="2:105" x14ac:dyDescent="0.25">
      <c r="B46" s="435"/>
      <c r="C46" s="291" t="s">
        <v>89</v>
      </c>
      <c r="D46" s="314"/>
      <c r="E46" s="315"/>
      <c r="F46" s="315"/>
      <c r="G46" s="315"/>
      <c r="H46" s="315"/>
      <c r="I46" s="315"/>
      <c r="J46" s="315"/>
      <c r="K46" s="316"/>
      <c r="L46" s="314"/>
      <c r="M46" s="315"/>
      <c r="N46" s="315"/>
      <c r="O46" s="316"/>
      <c r="P46" s="314"/>
      <c r="Q46" s="315"/>
      <c r="R46" s="315"/>
      <c r="S46" s="315"/>
      <c r="T46" s="315"/>
      <c r="U46" s="315"/>
      <c r="V46" s="315"/>
      <c r="W46" s="315"/>
      <c r="X46" s="315"/>
      <c r="Y46" s="315"/>
      <c r="Z46" s="315"/>
      <c r="AA46" s="315"/>
      <c r="AB46" s="315"/>
      <c r="AC46" s="315"/>
      <c r="AD46" s="315"/>
      <c r="AE46" s="315"/>
      <c r="AF46" s="315"/>
      <c r="AG46" s="315"/>
      <c r="AH46" s="315"/>
      <c r="AI46" s="316"/>
      <c r="AJ46" s="314"/>
      <c r="AK46" s="315"/>
      <c r="AL46" s="316"/>
      <c r="AM46" s="314"/>
      <c r="AN46" s="315"/>
      <c r="AO46" s="316"/>
      <c r="AP46" s="314"/>
      <c r="AQ46" s="315"/>
      <c r="AR46" s="315"/>
      <c r="AS46" s="315"/>
      <c r="AT46" s="316"/>
      <c r="AU46" s="314" t="s">
        <v>150</v>
      </c>
      <c r="AV46" s="315" t="s">
        <v>148</v>
      </c>
      <c r="AW46" s="315" t="s">
        <v>150</v>
      </c>
      <c r="AX46" s="315" t="s">
        <v>150</v>
      </c>
      <c r="AY46" s="315" t="s">
        <v>148</v>
      </c>
      <c r="AZ46" s="315" t="s">
        <v>150</v>
      </c>
      <c r="BA46" s="315" t="s">
        <v>150</v>
      </c>
      <c r="BB46" s="316" t="s">
        <v>150</v>
      </c>
      <c r="BC46" s="314" t="s">
        <v>150</v>
      </c>
      <c r="BD46" s="315" t="s">
        <v>148</v>
      </c>
      <c r="BE46" s="315"/>
      <c r="BF46" s="315" t="s">
        <v>148</v>
      </c>
      <c r="BG46" s="316"/>
      <c r="BH46" s="314"/>
      <c r="BI46" s="315" t="s">
        <v>147</v>
      </c>
      <c r="BJ46" s="316"/>
      <c r="BK46" s="314" t="s">
        <v>147</v>
      </c>
      <c r="BL46" s="315" t="s">
        <v>148</v>
      </c>
      <c r="BM46" s="315"/>
      <c r="BN46" s="316" t="s">
        <v>148</v>
      </c>
      <c r="BO46" s="314" t="s">
        <v>148</v>
      </c>
      <c r="BP46" s="315" t="s">
        <v>150</v>
      </c>
      <c r="BQ46" s="315" t="s">
        <v>148</v>
      </c>
      <c r="BR46" s="315"/>
      <c r="BS46" s="315"/>
      <c r="BT46" s="315" t="s">
        <v>148</v>
      </c>
      <c r="BU46" s="315" t="s">
        <v>150</v>
      </c>
      <c r="BV46" s="316"/>
      <c r="BW46" s="314" t="s">
        <v>148</v>
      </c>
      <c r="BX46" s="315" t="s">
        <v>148</v>
      </c>
      <c r="BY46" s="315" t="s">
        <v>148</v>
      </c>
      <c r="BZ46" s="315" t="s">
        <v>150</v>
      </c>
      <c r="CA46" s="315" t="s">
        <v>150</v>
      </c>
      <c r="CB46" s="316" t="s">
        <v>148</v>
      </c>
      <c r="CC46" s="314" t="s">
        <v>148</v>
      </c>
      <c r="CD46" s="315" t="s">
        <v>47</v>
      </c>
      <c r="CE46" s="316"/>
      <c r="CF46" s="314"/>
      <c r="CG46" s="315"/>
      <c r="CH46" s="315"/>
      <c r="CI46" s="317"/>
      <c r="CK46" s="236" t="str">
        <f t="shared" si="15"/>
        <v/>
      </c>
      <c r="CL46" s="237">
        <f t="shared" si="16"/>
        <v>2</v>
      </c>
      <c r="CM46" s="237">
        <f t="shared" si="17"/>
        <v>14</v>
      </c>
      <c r="CN46" s="237">
        <f t="shared" si="18"/>
        <v>11</v>
      </c>
      <c r="CO46" s="238">
        <f t="shared" si="19"/>
        <v>1</v>
      </c>
      <c r="CQ46" s="236" t="str">
        <f>desired_skills(C46,"Competenties/Inspireren &amp; beïnvloeden","o")</f>
        <v/>
      </c>
      <c r="CR46" s="237" t="str">
        <f>desired_skills(C46,"Competenties/Inspireren &amp; beïnvloeden","j")</f>
        <v/>
      </c>
      <c r="CS46" s="237" t="str">
        <f>desired_skills(C46,"Competenties/Inspireren &amp; beïnvloeden","m")</f>
        <v/>
      </c>
      <c r="CT46" s="237" t="str">
        <f>desired_skills(C46,"Competenties/Inspireren &amp; beïnvloeden","s")</f>
        <v/>
      </c>
      <c r="CU46" s="238" t="str">
        <f>desired_skills(C46,"Competenties/Inspireren &amp; beïnvloeden","e")</f>
        <v/>
      </c>
      <c r="CW46" s="236" t="str">
        <f>calc_gap('Matrix 171007_1818'!$CK$46,'Matrix 171007_1818'!$CQ$46)</f>
        <v/>
      </c>
      <c r="CX46" s="237" t="str">
        <f>calc_gap('Matrix 171007_1818'!$CL$46,'Matrix 171007_1818'!$CR$46)</f>
        <v/>
      </c>
      <c r="CY46" s="237" t="str">
        <f>calc_gap('Matrix 171007_1818'!$CM$46,'Matrix 171007_1818'!$CS$46)</f>
        <v/>
      </c>
      <c r="CZ46" s="237" t="str">
        <f>calc_gap('Matrix 171007_1818'!$CN$46,'Matrix 171007_1818'!$CT$46)</f>
        <v/>
      </c>
      <c r="DA46" s="238" t="str">
        <f>calc_gap('Matrix 171007_1818'!$CO$46,'Matrix 171007_1818'!$CU$46)</f>
        <v/>
      </c>
    </row>
    <row r="47" spans="2:105" x14ac:dyDescent="0.25">
      <c r="B47" s="435"/>
      <c r="C47" s="291" t="s">
        <v>90</v>
      </c>
      <c r="D47" s="314"/>
      <c r="E47" s="315"/>
      <c r="F47" s="315"/>
      <c r="G47" s="315"/>
      <c r="H47" s="315"/>
      <c r="I47" s="315"/>
      <c r="J47" s="315"/>
      <c r="K47" s="316"/>
      <c r="L47" s="314"/>
      <c r="M47" s="315"/>
      <c r="N47" s="315"/>
      <c r="O47" s="316"/>
      <c r="P47" s="314"/>
      <c r="Q47" s="315"/>
      <c r="R47" s="315"/>
      <c r="S47" s="315"/>
      <c r="T47" s="315"/>
      <c r="U47" s="315"/>
      <c r="V47" s="315"/>
      <c r="W47" s="315"/>
      <c r="X47" s="315"/>
      <c r="Y47" s="315"/>
      <c r="Z47" s="315"/>
      <c r="AA47" s="315"/>
      <c r="AB47" s="315"/>
      <c r="AC47" s="315"/>
      <c r="AD47" s="315"/>
      <c r="AE47" s="315"/>
      <c r="AF47" s="315"/>
      <c r="AG47" s="315"/>
      <c r="AH47" s="315"/>
      <c r="AI47" s="316"/>
      <c r="AJ47" s="314"/>
      <c r="AK47" s="315"/>
      <c r="AL47" s="316"/>
      <c r="AM47" s="314"/>
      <c r="AN47" s="315"/>
      <c r="AO47" s="316"/>
      <c r="AP47" s="314"/>
      <c r="AQ47" s="315"/>
      <c r="AR47" s="315"/>
      <c r="AS47" s="315"/>
      <c r="AT47" s="316"/>
      <c r="AU47" s="314" t="s">
        <v>47</v>
      </c>
      <c r="AV47" s="315" t="s">
        <v>150</v>
      </c>
      <c r="AW47" s="315" t="s">
        <v>150</v>
      </c>
      <c r="AX47" s="315" t="s">
        <v>150</v>
      </c>
      <c r="AY47" s="315" t="s">
        <v>150</v>
      </c>
      <c r="AZ47" s="315" t="s">
        <v>150</v>
      </c>
      <c r="BA47" s="315" t="s">
        <v>150</v>
      </c>
      <c r="BB47" s="316" t="s">
        <v>150</v>
      </c>
      <c r="BC47" s="314" t="s">
        <v>150</v>
      </c>
      <c r="BD47" s="315" t="s">
        <v>148</v>
      </c>
      <c r="BE47" s="315"/>
      <c r="BF47" s="315" t="s">
        <v>150</v>
      </c>
      <c r="BG47" s="316"/>
      <c r="BH47" s="314"/>
      <c r="BI47" s="315" t="s">
        <v>148</v>
      </c>
      <c r="BJ47" s="316"/>
      <c r="BK47" s="314" t="s">
        <v>148</v>
      </c>
      <c r="BL47" s="315" t="s">
        <v>148</v>
      </c>
      <c r="BM47" s="315"/>
      <c r="BN47" s="316" t="s">
        <v>150</v>
      </c>
      <c r="BO47" s="314" t="s">
        <v>148</v>
      </c>
      <c r="BP47" s="315" t="s">
        <v>150</v>
      </c>
      <c r="BQ47" s="315" t="s">
        <v>150</v>
      </c>
      <c r="BR47" s="315"/>
      <c r="BS47" s="315"/>
      <c r="BT47" s="315" t="s">
        <v>150</v>
      </c>
      <c r="BU47" s="315" t="s">
        <v>150</v>
      </c>
      <c r="BV47" s="316"/>
      <c r="BW47" s="314" t="s">
        <v>150</v>
      </c>
      <c r="BX47" s="315" t="s">
        <v>150</v>
      </c>
      <c r="BY47" s="315" t="s">
        <v>47</v>
      </c>
      <c r="BZ47" s="315" t="s">
        <v>148</v>
      </c>
      <c r="CA47" s="315" t="s">
        <v>47</v>
      </c>
      <c r="CB47" s="316" t="s">
        <v>150</v>
      </c>
      <c r="CC47" s="314" t="s">
        <v>147</v>
      </c>
      <c r="CD47" s="315" t="s">
        <v>150</v>
      </c>
      <c r="CE47" s="316"/>
      <c r="CF47" s="314"/>
      <c r="CG47" s="315"/>
      <c r="CH47" s="315"/>
      <c r="CI47" s="317"/>
      <c r="CK47" s="236" t="str">
        <f t="shared" si="15"/>
        <v/>
      </c>
      <c r="CL47" s="237">
        <f t="shared" si="16"/>
        <v>1</v>
      </c>
      <c r="CM47" s="237">
        <f t="shared" si="17"/>
        <v>6</v>
      </c>
      <c r="CN47" s="237">
        <f t="shared" si="18"/>
        <v>18</v>
      </c>
      <c r="CO47" s="238">
        <f t="shared" si="19"/>
        <v>3</v>
      </c>
      <c r="CQ47" s="236" t="str">
        <f>desired_skills(C47,"Competenties/Resultaatgerichtheid","o")</f>
        <v/>
      </c>
      <c r="CR47" s="237" t="str">
        <f>desired_skills(C47,"Competenties/Resultaatgerichtheid","j")</f>
        <v/>
      </c>
      <c r="CS47" s="237" t="str">
        <f>desired_skills(C47,"Competenties/Resultaatgerichtheid","m")</f>
        <v/>
      </c>
      <c r="CT47" s="237" t="str">
        <f>desired_skills(C47,"Competenties/Resultaatgerichtheid","s")</f>
        <v/>
      </c>
      <c r="CU47" s="238" t="str">
        <f>desired_skills(C47,"Competenties/Resultaatgerichtheid","e")</f>
        <v/>
      </c>
      <c r="CW47" s="236" t="str">
        <f>calc_gap('Matrix 171007_1818'!$CK$47,'Matrix 171007_1818'!$CQ$47)</f>
        <v/>
      </c>
      <c r="CX47" s="237" t="str">
        <f>calc_gap('Matrix 171007_1818'!$CL$47,'Matrix 171007_1818'!$CR$47)</f>
        <v/>
      </c>
      <c r="CY47" s="237" t="str">
        <f>calc_gap('Matrix 171007_1818'!$CM$47,'Matrix 171007_1818'!$CS$47)</f>
        <v/>
      </c>
      <c r="CZ47" s="237" t="str">
        <f>calc_gap('Matrix 171007_1818'!$CN$47,'Matrix 171007_1818'!$CT$47)</f>
        <v/>
      </c>
      <c r="DA47" s="238" t="str">
        <f>calc_gap('Matrix 171007_1818'!$CO$47,'Matrix 171007_1818'!$CU$47)</f>
        <v/>
      </c>
    </row>
    <row r="48" spans="2:105" x14ac:dyDescent="0.25">
      <c r="B48" s="435"/>
      <c r="C48" s="291" t="s">
        <v>91</v>
      </c>
      <c r="D48" s="314"/>
      <c r="E48" s="315"/>
      <c r="F48" s="315"/>
      <c r="G48" s="315"/>
      <c r="H48" s="315"/>
      <c r="I48" s="315"/>
      <c r="J48" s="315"/>
      <c r="K48" s="316"/>
      <c r="L48" s="314"/>
      <c r="M48" s="315"/>
      <c r="N48" s="315"/>
      <c r="O48" s="316"/>
      <c r="P48" s="314"/>
      <c r="Q48" s="315"/>
      <c r="R48" s="315"/>
      <c r="S48" s="315"/>
      <c r="T48" s="315"/>
      <c r="U48" s="315"/>
      <c r="V48" s="315"/>
      <c r="W48" s="315"/>
      <c r="X48" s="315"/>
      <c r="Y48" s="315"/>
      <c r="Z48" s="315"/>
      <c r="AA48" s="315"/>
      <c r="AB48" s="315"/>
      <c r="AC48" s="315"/>
      <c r="AD48" s="315"/>
      <c r="AE48" s="315"/>
      <c r="AF48" s="315"/>
      <c r="AG48" s="315"/>
      <c r="AH48" s="315"/>
      <c r="AI48" s="316"/>
      <c r="AJ48" s="314"/>
      <c r="AK48" s="315"/>
      <c r="AL48" s="316"/>
      <c r="AM48" s="314"/>
      <c r="AN48" s="315"/>
      <c r="AO48" s="316"/>
      <c r="AP48" s="314"/>
      <c r="AQ48" s="315"/>
      <c r="AR48" s="315"/>
      <c r="AS48" s="315"/>
      <c r="AT48" s="316"/>
      <c r="AU48" s="314" t="s">
        <v>148</v>
      </c>
      <c r="AV48" s="315" t="s">
        <v>150</v>
      </c>
      <c r="AW48" s="315" t="s">
        <v>150</v>
      </c>
      <c r="AX48" s="315" t="s">
        <v>148</v>
      </c>
      <c r="AY48" s="315" t="s">
        <v>148</v>
      </c>
      <c r="AZ48" s="315" t="s">
        <v>150</v>
      </c>
      <c r="BA48" s="315" t="s">
        <v>150</v>
      </c>
      <c r="BB48" s="316" t="s">
        <v>150</v>
      </c>
      <c r="BC48" s="314" t="s">
        <v>150</v>
      </c>
      <c r="BD48" s="315" t="s">
        <v>148</v>
      </c>
      <c r="BE48" s="315"/>
      <c r="BF48" s="315" t="s">
        <v>150</v>
      </c>
      <c r="BG48" s="316"/>
      <c r="BH48" s="314"/>
      <c r="BI48" s="315" t="s">
        <v>148</v>
      </c>
      <c r="BJ48" s="316"/>
      <c r="BK48" s="314" t="s">
        <v>147</v>
      </c>
      <c r="BL48" s="315" t="s">
        <v>148</v>
      </c>
      <c r="BM48" s="315"/>
      <c r="BN48" s="316" t="s">
        <v>150</v>
      </c>
      <c r="BO48" s="314" t="s">
        <v>148</v>
      </c>
      <c r="BP48" s="315" t="s">
        <v>150</v>
      </c>
      <c r="BQ48" s="315" t="s">
        <v>148</v>
      </c>
      <c r="BR48" s="315"/>
      <c r="BS48" s="315" t="s">
        <v>147</v>
      </c>
      <c r="BT48" s="315" t="s">
        <v>150</v>
      </c>
      <c r="BU48" s="315" t="s">
        <v>148</v>
      </c>
      <c r="BV48" s="316"/>
      <c r="BW48" s="314" t="s">
        <v>150</v>
      </c>
      <c r="BX48" s="315" t="s">
        <v>150</v>
      </c>
      <c r="BY48" s="315" t="s">
        <v>150</v>
      </c>
      <c r="BZ48" s="315" t="s">
        <v>148</v>
      </c>
      <c r="CA48" s="315" t="s">
        <v>47</v>
      </c>
      <c r="CB48" s="316" t="s">
        <v>150</v>
      </c>
      <c r="CC48" s="314" t="s">
        <v>148</v>
      </c>
      <c r="CD48" s="315" t="s">
        <v>150</v>
      </c>
      <c r="CE48" s="316"/>
      <c r="CF48" s="314"/>
      <c r="CG48" s="315"/>
      <c r="CH48" s="315"/>
      <c r="CI48" s="317"/>
      <c r="CK48" s="236" t="str">
        <f t="shared" si="15"/>
        <v/>
      </c>
      <c r="CL48" s="237">
        <f t="shared" si="16"/>
        <v>2</v>
      </c>
      <c r="CM48" s="237">
        <f t="shared" si="17"/>
        <v>11</v>
      </c>
      <c r="CN48" s="237">
        <f t="shared" si="18"/>
        <v>15</v>
      </c>
      <c r="CO48" s="238">
        <f t="shared" si="19"/>
        <v>1</v>
      </c>
      <c r="CQ48" s="236" t="str">
        <f>desired_skills(C48,"Competenties/Organisatiesensitiviteit","o")</f>
        <v/>
      </c>
      <c r="CR48" s="237" t="str">
        <f>desired_skills(C48,"Competenties/Organisatiesensitiviteit","j")</f>
        <v/>
      </c>
      <c r="CS48" s="237" t="str">
        <f>desired_skills(C48,"Competenties/Organisatiesensitiviteit","m")</f>
        <v/>
      </c>
      <c r="CT48" s="237" t="str">
        <f>desired_skills(C48,"Competenties/Organisatiesensitiviteit","s")</f>
        <v/>
      </c>
      <c r="CU48" s="238" t="str">
        <f>desired_skills(C48,"Competenties/Organisatiesensitiviteit","e")</f>
        <v/>
      </c>
      <c r="CW48" s="236" t="str">
        <f>calc_gap('Matrix 171007_1818'!$CK$48,'Matrix 171007_1818'!$CQ$48)</f>
        <v/>
      </c>
      <c r="CX48" s="237" t="str">
        <f>calc_gap('Matrix 171007_1818'!$CL$48,'Matrix 171007_1818'!$CR$48)</f>
        <v/>
      </c>
      <c r="CY48" s="237" t="str">
        <f>calc_gap('Matrix 171007_1818'!$CM$48,'Matrix 171007_1818'!$CS$48)</f>
        <v/>
      </c>
      <c r="CZ48" s="237" t="str">
        <f>calc_gap('Matrix 171007_1818'!$CN$48,'Matrix 171007_1818'!$CT$48)</f>
        <v/>
      </c>
      <c r="DA48" s="238" t="str">
        <f>calc_gap('Matrix 171007_1818'!$CO$48,'Matrix 171007_1818'!$CU$48)</f>
        <v/>
      </c>
    </row>
    <row r="49" spans="2:105" x14ac:dyDescent="0.25">
      <c r="B49" s="435"/>
      <c r="C49" s="291" t="s">
        <v>226</v>
      </c>
      <c r="D49" s="314"/>
      <c r="E49" s="315"/>
      <c r="F49" s="315"/>
      <c r="G49" s="315"/>
      <c r="H49" s="315"/>
      <c r="I49" s="315"/>
      <c r="J49" s="315"/>
      <c r="K49" s="316"/>
      <c r="L49" s="314"/>
      <c r="M49" s="315"/>
      <c r="N49" s="315"/>
      <c r="O49" s="316"/>
      <c r="P49" s="314"/>
      <c r="Q49" s="315"/>
      <c r="R49" s="315"/>
      <c r="S49" s="315"/>
      <c r="T49" s="315"/>
      <c r="U49" s="315"/>
      <c r="V49" s="315"/>
      <c r="W49" s="315"/>
      <c r="X49" s="315"/>
      <c r="Y49" s="315"/>
      <c r="Z49" s="315"/>
      <c r="AA49" s="315"/>
      <c r="AB49" s="315"/>
      <c r="AC49" s="315"/>
      <c r="AD49" s="315"/>
      <c r="AE49" s="315"/>
      <c r="AF49" s="315"/>
      <c r="AG49" s="315"/>
      <c r="AH49" s="315"/>
      <c r="AI49" s="316"/>
      <c r="AJ49" s="314"/>
      <c r="AK49" s="315"/>
      <c r="AL49" s="316"/>
      <c r="AM49" s="314"/>
      <c r="AN49" s="315"/>
      <c r="AO49" s="316"/>
      <c r="AP49" s="314"/>
      <c r="AQ49" s="315"/>
      <c r="AR49" s="315"/>
      <c r="AS49" s="315"/>
      <c r="AT49" s="316"/>
      <c r="AU49" s="314"/>
      <c r="AV49" s="315"/>
      <c r="AW49" s="315"/>
      <c r="AX49" s="315"/>
      <c r="AY49" s="315"/>
      <c r="AZ49" s="315"/>
      <c r="BA49" s="315"/>
      <c r="BB49" s="316"/>
      <c r="BC49" s="314"/>
      <c r="BD49" s="315"/>
      <c r="BE49" s="315"/>
      <c r="BF49" s="315"/>
      <c r="BG49" s="316"/>
      <c r="BH49" s="314"/>
      <c r="BI49" s="315"/>
      <c r="BJ49" s="316"/>
      <c r="BK49" s="314"/>
      <c r="BL49" s="315"/>
      <c r="BM49" s="315"/>
      <c r="BN49" s="316"/>
      <c r="BO49" s="314"/>
      <c r="BP49" s="315"/>
      <c r="BQ49" s="315"/>
      <c r="BR49" s="315"/>
      <c r="BS49" s="315"/>
      <c r="BT49" s="315"/>
      <c r="BU49" s="315"/>
      <c r="BV49" s="316"/>
      <c r="BW49" s="314"/>
      <c r="BX49" s="315"/>
      <c r="BY49" s="315"/>
      <c r="BZ49" s="315"/>
      <c r="CA49" s="315"/>
      <c r="CB49" s="316"/>
      <c r="CC49" s="314"/>
      <c r="CD49" s="315"/>
      <c r="CE49" s="316"/>
      <c r="CF49" s="314"/>
      <c r="CG49" s="315"/>
      <c r="CH49" s="315"/>
      <c r="CI49" s="317"/>
      <c r="CK49" s="236" t="str">
        <f t="shared" si="15"/>
        <v/>
      </c>
      <c r="CL49" s="237" t="str">
        <f t="shared" si="16"/>
        <v/>
      </c>
      <c r="CM49" s="237" t="str">
        <f t="shared" si="17"/>
        <v/>
      </c>
      <c r="CN49" s="237" t="str">
        <f t="shared" si="18"/>
        <v/>
      </c>
      <c r="CO49" s="238" t="str">
        <f t="shared" si="19"/>
        <v/>
      </c>
      <c r="CQ49" s="236" t="str">
        <f>desired_skills(C49,"Competenties/Netwerken en contacten onderhouden en uitbouwen","o")</f>
        <v/>
      </c>
      <c r="CR49" s="237" t="str">
        <f>desired_skills(C49,"Competenties/Netwerken en contacten onderhouden en uitbouwen","j")</f>
        <v/>
      </c>
      <c r="CS49" s="237" t="str">
        <f>desired_skills(C49,"Competenties/Netwerken en contacten onderhouden en uitbouwen","m")</f>
        <v/>
      </c>
      <c r="CT49" s="237" t="str">
        <f>desired_skills(C49,"Competenties/Netwerken en contacten onderhouden en uitbouwen","s")</f>
        <v/>
      </c>
      <c r="CU49" s="238" t="str">
        <f>desired_skills(C49,"Competenties/Netwerken en contacten onderhouden en uitbouwen","e")</f>
        <v/>
      </c>
      <c r="CW49" s="236" t="str">
        <f>calc_gap('Matrix 171007_1818'!$CK$49,'Matrix 171007_1818'!$CQ$49)</f>
        <v/>
      </c>
      <c r="CX49" s="237" t="str">
        <f>calc_gap('Matrix 171007_1818'!$CL$49,'Matrix 171007_1818'!$CR$49)</f>
        <v/>
      </c>
      <c r="CY49" s="237" t="str">
        <f>calc_gap('Matrix 171007_1818'!$CM$49,'Matrix 171007_1818'!$CS$49)</f>
        <v/>
      </c>
      <c r="CZ49" s="237" t="str">
        <f>calc_gap('Matrix 171007_1818'!$CN$49,'Matrix 171007_1818'!$CT$49)</f>
        <v/>
      </c>
      <c r="DA49" s="238" t="str">
        <f>calc_gap('Matrix 171007_1818'!$CO$49,'Matrix 171007_1818'!$CU$49)</f>
        <v/>
      </c>
    </row>
    <row r="50" spans="2:105" ht="15.75" thickBot="1" x14ac:dyDescent="0.3">
      <c r="B50" s="435"/>
      <c r="C50" s="292" t="s">
        <v>227</v>
      </c>
      <c r="D50" s="318"/>
      <c r="E50" s="319"/>
      <c r="F50" s="319"/>
      <c r="G50" s="319"/>
      <c r="H50" s="319"/>
      <c r="I50" s="319"/>
      <c r="J50" s="319"/>
      <c r="K50" s="320"/>
      <c r="L50" s="318"/>
      <c r="M50" s="319"/>
      <c r="N50" s="319"/>
      <c r="O50" s="320"/>
      <c r="P50" s="318"/>
      <c r="Q50" s="319"/>
      <c r="R50" s="319"/>
      <c r="S50" s="319"/>
      <c r="T50" s="319"/>
      <c r="U50" s="319"/>
      <c r="V50" s="319"/>
      <c r="W50" s="319"/>
      <c r="X50" s="319"/>
      <c r="Y50" s="319"/>
      <c r="Z50" s="319"/>
      <c r="AA50" s="319"/>
      <c r="AB50" s="319"/>
      <c r="AC50" s="319"/>
      <c r="AD50" s="319"/>
      <c r="AE50" s="319"/>
      <c r="AF50" s="319"/>
      <c r="AG50" s="319"/>
      <c r="AH50" s="319"/>
      <c r="AI50" s="320"/>
      <c r="AJ50" s="318"/>
      <c r="AK50" s="319"/>
      <c r="AL50" s="320"/>
      <c r="AM50" s="318"/>
      <c r="AN50" s="319"/>
      <c r="AO50" s="320"/>
      <c r="AP50" s="318"/>
      <c r="AQ50" s="319"/>
      <c r="AR50" s="319"/>
      <c r="AS50" s="319"/>
      <c r="AT50" s="320"/>
      <c r="AU50" s="318"/>
      <c r="AV50" s="319"/>
      <c r="AW50" s="319"/>
      <c r="AX50" s="319"/>
      <c r="AY50" s="319"/>
      <c r="AZ50" s="319"/>
      <c r="BA50" s="319"/>
      <c r="BB50" s="320"/>
      <c r="BC50" s="318"/>
      <c r="BD50" s="319"/>
      <c r="BE50" s="319"/>
      <c r="BF50" s="319"/>
      <c r="BG50" s="320"/>
      <c r="BH50" s="318"/>
      <c r="BI50" s="319"/>
      <c r="BJ50" s="320"/>
      <c r="BK50" s="318"/>
      <c r="BL50" s="319"/>
      <c r="BM50" s="319"/>
      <c r="BN50" s="320"/>
      <c r="BO50" s="318"/>
      <c r="BP50" s="319"/>
      <c r="BQ50" s="319"/>
      <c r="BR50" s="319"/>
      <c r="BS50" s="319"/>
      <c r="BT50" s="319"/>
      <c r="BU50" s="319"/>
      <c r="BV50" s="320"/>
      <c r="BW50" s="318"/>
      <c r="BX50" s="319"/>
      <c r="BY50" s="319"/>
      <c r="BZ50" s="319"/>
      <c r="CA50" s="319"/>
      <c r="CB50" s="320"/>
      <c r="CC50" s="318"/>
      <c r="CD50" s="319"/>
      <c r="CE50" s="320"/>
      <c r="CF50" s="318"/>
      <c r="CG50" s="319"/>
      <c r="CH50" s="319"/>
      <c r="CI50" s="321"/>
      <c r="CK50" s="239" t="str">
        <f t="shared" si="15"/>
        <v/>
      </c>
      <c r="CL50" s="240" t="str">
        <f t="shared" si="16"/>
        <v/>
      </c>
      <c r="CM50" s="240" t="str">
        <f t="shared" si="17"/>
        <v/>
      </c>
      <c r="CN50" s="240" t="str">
        <f t="shared" si="18"/>
        <v/>
      </c>
      <c r="CO50" s="241" t="str">
        <f t="shared" si="19"/>
        <v/>
      </c>
      <c r="CQ50" s="239" t="str">
        <f>desired_skills(C50,"Competenties/Werken in zelfsturend team","o")</f>
        <v/>
      </c>
      <c r="CR50" s="240" t="str">
        <f>desired_skills(C50,"Competenties/Werken in zelfsturend team","j")</f>
        <v/>
      </c>
      <c r="CS50" s="240" t="str">
        <f>desired_skills(C50,"Competenties/Werken in zelfsturend team","m")</f>
        <v/>
      </c>
      <c r="CT50" s="240" t="str">
        <f>desired_skills(C50,"Competenties/Werken in zelfsturend team","s")</f>
        <v/>
      </c>
      <c r="CU50" s="241" t="str">
        <f>desired_skills(C50,"Competenties/Werken in zelfsturend team","e")</f>
        <v/>
      </c>
      <c r="CW50" s="239" t="str">
        <f>calc_gap('Matrix 171007_1818'!$CK$50,'Matrix 171007_1818'!$CQ$50)</f>
        <v/>
      </c>
      <c r="CX50" s="240" t="str">
        <f>calc_gap('Matrix 171007_1818'!$CL$50,'Matrix 171007_1818'!$CR$50)</f>
        <v/>
      </c>
      <c r="CY50" s="240" t="str">
        <f>calc_gap('Matrix 171007_1818'!$CM$50,'Matrix 171007_1818'!$CS$50)</f>
        <v/>
      </c>
      <c r="CZ50" s="240" t="str">
        <f>calc_gap('Matrix 171007_1818'!$CN$50,'Matrix 171007_1818'!$CT$50)</f>
        <v/>
      </c>
      <c r="DA50" s="241" t="str">
        <f>calc_gap('Matrix 171007_1818'!$CO$50,'Matrix 171007_1818'!$CU$50)</f>
        <v/>
      </c>
    </row>
    <row r="51" spans="2:105" ht="12.75" customHeight="1" thickTop="1" thickBot="1" x14ac:dyDescent="0.3">
      <c r="B51" s="436"/>
      <c r="C51" s="248"/>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2"/>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2"/>
      <c r="CH51" s="322"/>
      <c r="CI51" s="322"/>
      <c r="CK51" s="249"/>
      <c r="CL51" s="249"/>
      <c r="CM51" s="249"/>
      <c r="CN51" s="249"/>
      <c r="CO51" s="249"/>
      <c r="CQ51" s="249"/>
      <c r="CR51" s="249"/>
      <c r="CS51" s="249"/>
      <c r="CT51" s="249"/>
      <c r="CU51" s="249"/>
      <c r="CW51" s="249"/>
      <c r="CX51" s="249"/>
      <c r="CY51" s="249"/>
      <c r="CZ51" s="249"/>
      <c r="DA51" s="249"/>
    </row>
    <row r="52" spans="2:105" ht="15.75" thickTop="1" x14ac:dyDescent="0.25">
      <c r="B52" s="434" t="s">
        <v>122</v>
      </c>
      <c r="C52" s="290" t="s">
        <v>92</v>
      </c>
      <c r="D52" s="310"/>
      <c r="E52" s="311"/>
      <c r="F52" s="311"/>
      <c r="G52" s="311"/>
      <c r="H52" s="311"/>
      <c r="I52" s="311"/>
      <c r="J52" s="311"/>
      <c r="K52" s="312"/>
      <c r="L52" s="310"/>
      <c r="M52" s="311"/>
      <c r="N52" s="311"/>
      <c r="O52" s="312"/>
      <c r="P52" s="310"/>
      <c r="Q52" s="311"/>
      <c r="R52" s="311"/>
      <c r="S52" s="311"/>
      <c r="T52" s="311"/>
      <c r="U52" s="311"/>
      <c r="V52" s="311"/>
      <c r="W52" s="311"/>
      <c r="X52" s="311"/>
      <c r="Y52" s="311"/>
      <c r="Z52" s="311"/>
      <c r="AA52" s="311"/>
      <c r="AB52" s="311"/>
      <c r="AC52" s="311"/>
      <c r="AD52" s="311"/>
      <c r="AE52" s="311"/>
      <c r="AF52" s="311"/>
      <c r="AG52" s="311"/>
      <c r="AH52" s="311"/>
      <c r="AI52" s="312"/>
      <c r="AJ52" s="310"/>
      <c r="AK52" s="311"/>
      <c r="AL52" s="312"/>
      <c r="AM52" s="310"/>
      <c r="AN52" s="311"/>
      <c r="AO52" s="312"/>
      <c r="AP52" s="310"/>
      <c r="AQ52" s="311"/>
      <c r="AR52" s="311"/>
      <c r="AS52" s="311"/>
      <c r="AT52" s="312"/>
      <c r="AU52" s="310" t="s">
        <v>148</v>
      </c>
      <c r="AV52" s="311" t="s">
        <v>148</v>
      </c>
      <c r="AW52" s="311" t="s">
        <v>147</v>
      </c>
      <c r="AX52" s="311" t="s">
        <v>148</v>
      </c>
      <c r="AY52" s="311" t="s">
        <v>148</v>
      </c>
      <c r="AZ52" s="311" t="s">
        <v>147</v>
      </c>
      <c r="BA52" s="311" t="s">
        <v>147</v>
      </c>
      <c r="BB52" s="312" t="s">
        <v>148</v>
      </c>
      <c r="BC52" s="310" t="s">
        <v>147</v>
      </c>
      <c r="BD52" s="311" t="s">
        <v>148</v>
      </c>
      <c r="BE52" s="311"/>
      <c r="BF52" s="311" t="s">
        <v>150</v>
      </c>
      <c r="BG52" s="312"/>
      <c r="BH52" s="310"/>
      <c r="BI52" s="311" t="s">
        <v>148</v>
      </c>
      <c r="BJ52" s="312"/>
      <c r="BK52" s="310" t="s">
        <v>147</v>
      </c>
      <c r="BL52" s="311" t="s">
        <v>148</v>
      </c>
      <c r="BM52" s="311"/>
      <c r="BN52" s="312" t="s">
        <v>150</v>
      </c>
      <c r="BO52" s="310" t="s">
        <v>148</v>
      </c>
      <c r="BP52" s="311" t="s">
        <v>148</v>
      </c>
      <c r="BQ52" s="311" t="s">
        <v>150</v>
      </c>
      <c r="BR52" s="311"/>
      <c r="BS52" s="311" t="s">
        <v>147</v>
      </c>
      <c r="BT52" s="311" t="s">
        <v>148</v>
      </c>
      <c r="BU52" s="311" t="s">
        <v>148</v>
      </c>
      <c r="BV52" s="312"/>
      <c r="BW52" s="310" t="s">
        <v>150</v>
      </c>
      <c r="BX52" s="311" t="s">
        <v>148</v>
      </c>
      <c r="BY52" s="311" t="s">
        <v>150</v>
      </c>
      <c r="BZ52" s="311" t="s">
        <v>148</v>
      </c>
      <c r="CA52" s="311" t="s">
        <v>150</v>
      </c>
      <c r="CB52" s="312" t="s">
        <v>150</v>
      </c>
      <c r="CC52" s="310" t="s">
        <v>150</v>
      </c>
      <c r="CD52" s="311" t="s">
        <v>148</v>
      </c>
      <c r="CE52" s="312"/>
      <c r="CF52" s="310"/>
      <c r="CG52" s="311"/>
      <c r="CH52" s="311"/>
      <c r="CI52" s="313"/>
      <c r="CK52" s="233" t="str">
        <f t="shared" ref="CK52:CK59" si="20">IF(COUNTIF(D52:CI52,"o")&gt;0,COUNTIF(D52:CI52,"o"),"")</f>
        <v/>
      </c>
      <c r="CL52" s="234">
        <f t="shared" ref="CL52:CL59" si="21">IF(COUNTIF(D52:CI52,"j")&gt;0,COUNTIF(D52:CI52,"j"),"")</f>
        <v>6</v>
      </c>
      <c r="CM52" s="234">
        <f t="shared" ref="CM52:CM59" si="22">IF(COUNTIF(D52:CI52,"m")&gt;0,COUNTIF(D52:CI52,"m"),"")</f>
        <v>15</v>
      </c>
      <c r="CN52" s="234">
        <f t="shared" ref="CN52:CN59" si="23">IF(COUNTIF(D52:CI52,"s")&gt;0,COUNTIF(D52:CI52,"s"),"")</f>
        <v>8</v>
      </c>
      <c r="CO52" s="235" t="str">
        <f t="shared" ref="CO52:CO59" si="24">IF(COUNTIF(D52:CI52,"e")&gt;0,COUNTIF(D52:CI52,"e"),"")</f>
        <v/>
      </c>
      <c r="CQ52" s="233" t="str">
        <f>desired_skills(C52,"Vaardigheden/Excel/VBA","o")</f>
        <v>26</v>
      </c>
      <c r="CR52" s="234" t="str">
        <f>desired_skills(C52,"Vaardigheden/Excel/VBA","j")</f>
        <v/>
      </c>
      <c r="CS52" s="234" t="str">
        <f>desired_skills(C52,"Vaardigheden/Excel/VBA","m")</f>
        <v/>
      </c>
      <c r="CT52" s="234" t="str">
        <f>desired_skills(C52,"Vaardigheden/Excel/VBA","s")</f>
        <v/>
      </c>
      <c r="CU52" s="235" t="str">
        <f>desired_skills(C52,"Vaardigheden/Excel/VBA","e")</f>
        <v/>
      </c>
      <c r="CW52" s="233" t="str">
        <f>calc_gap('Matrix 171007_1818'!$CK$52,'Matrix 171007_1818'!$CQ$52)</f>
        <v/>
      </c>
      <c r="CX52" s="234" t="str">
        <f>calc_gap('Matrix 171007_1818'!$CL$52,'Matrix 171007_1818'!$CR$52)</f>
        <v/>
      </c>
      <c r="CY52" s="234" t="str">
        <f>calc_gap('Matrix 171007_1818'!$CM$52,'Matrix 171007_1818'!$CS$52)</f>
        <v/>
      </c>
      <c r="CZ52" s="234" t="str">
        <f>calc_gap('Matrix 171007_1818'!$CN$52,'Matrix 171007_1818'!$CT$52)</f>
        <v/>
      </c>
      <c r="DA52" s="235" t="str">
        <f>calc_gap('Matrix 171007_1818'!$CO$52,'Matrix 171007_1818'!$CU$52)</f>
        <v/>
      </c>
    </row>
    <row r="53" spans="2:105" x14ac:dyDescent="0.25">
      <c r="B53" s="435"/>
      <c r="C53" s="291" t="s">
        <v>93</v>
      </c>
      <c r="D53" s="314"/>
      <c r="E53" s="315"/>
      <c r="F53" s="315"/>
      <c r="G53" s="315"/>
      <c r="H53" s="315"/>
      <c r="I53" s="315"/>
      <c r="J53" s="315"/>
      <c r="K53" s="316"/>
      <c r="L53" s="314"/>
      <c r="M53" s="315"/>
      <c r="N53" s="315"/>
      <c r="O53" s="316"/>
      <c r="P53" s="314"/>
      <c r="Q53" s="315"/>
      <c r="R53" s="315"/>
      <c r="S53" s="315"/>
      <c r="T53" s="315"/>
      <c r="U53" s="315"/>
      <c r="V53" s="315"/>
      <c r="W53" s="315"/>
      <c r="X53" s="315"/>
      <c r="Y53" s="315"/>
      <c r="Z53" s="315"/>
      <c r="AA53" s="315"/>
      <c r="AB53" s="315"/>
      <c r="AC53" s="315"/>
      <c r="AD53" s="315"/>
      <c r="AE53" s="315"/>
      <c r="AF53" s="315"/>
      <c r="AG53" s="315"/>
      <c r="AH53" s="315"/>
      <c r="AI53" s="316"/>
      <c r="AJ53" s="314"/>
      <c r="AK53" s="315"/>
      <c r="AL53" s="316"/>
      <c r="AM53" s="314"/>
      <c r="AN53" s="315"/>
      <c r="AO53" s="316"/>
      <c r="AP53" s="314"/>
      <c r="AQ53" s="315"/>
      <c r="AR53" s="315"/>
      <c r="AS53" s="315"/>
      <c r="AT53" s="316"/>
      <c r="AU53" s="314" t="s">
        <v>147</v>
      </c>
      <c r="AV53" s="315" t="s">
        <v>148</v>
      </c>
      <c r="AW53" s="315" t="s">
        <v>150</v>
      </c>
      <c r="AX53" s="315" t="s">
        <v>150</v>
      </c>
      <c r="AY53" s="315" t="s">
        <v>150</v>
      </c>
      <c r="AZ53" s="315" t="s">
        <v>148</v>
      </c>
      <c r="BA53" s="315"/>
      <c r="BB53" s="316" t="s">
        <v>150</v>
      </c>
      <c r="BC53" s="314" t="s">
        <v>47</v>
      </c>
      <c r="BD53" s="315" t="s">
        <v>149</v>
      </c>
      <c r="BE53" s="315"/>
      <c r="BF53" s="315" t="s">
        <v>150</v>
      </c>
      <c r="BG53" s="316"/>
      <c r="BH53" s="314"/>
      <c r="BI53" s="315"/>
      <c r="BJ53" s="316"/>
      <c r="BK53" s="314"/>
      <c r="BL53" s="315" t="s">
        <v>148</v>
      </c>
      <c r="BM53" s="315"/>
      <c r="BN53" s="316" t="s">
        <v>148</v>
      </c>
      <c r="BO53" s="314"/>
      <c r="BP53" s="315" t="s">
        <v>148</v>
      </c>
      <c r="BQ53" s="315"/>
      <c r="BR53" s="315"/>
      <c r="BS53" s="315"/>
      <c r="BT53" s="315"/>
      <c r="BU53" s="315" t="s">
        <v>150</v>
      </c>
      <c r="BV53" s="316"/>
      <c r="BW53" s="314" t="s">
        <v>147</v>
      </c>
      <c r="BX53" s="315"/>
      <c r="BY53" s="315"/>
      <c r="BZ53" s="315"/>
      <c r="CA53" s="315" t="s">
        <v>147</v>
      </c>
      <c r="CB53" s="316"/>
      <c r="CC53" s="314"/>
      <c r="CD53" s="315" t="s">
        <v>148</v>
      </c>
      <c r="CE53" s="316"/>
      <c r="CF53" s="314"/>
      <c r="CG53" s="315"/>
      <c r="CH53" s="315"/>
      <c r="CI53" s="317"/>
      <c r="CK53" s="236">
        <f t="shared" si="20"/>
        <v>1</v>
      </c>
      <c r="CL53" s="237">
        <f t="shared" si="21"/>
        <v>3</v>
      </c>
      <c r="CM53" s="237">
        <f t="shared" si="22"/>
        <v>6</v>
      </c>
      <c r="CN53" s="237">
        <f t="shared" si="23"/>
        <v>6</v>
      </c>
      <c r="CO53" s="238">
        <f t="shared" si="24"/>
        <v>1</v>
      </c>
      <c r="CQ53" s="236" t="str">
        <f>desired_skills(C53,"Vaardigheden/Product ownership","o")</f>
        <v/>
      </c>
      <c r="CR53" s="237" t="str">
        <f>desired_skills(C53,"Vaardigheden/Product ownership","j")</f>
        <v>27</v>
      </c>
      <c r="CS53" s="237" t="str">
        <f>desired_skills(C53,"Vaardigheden/Product ownership","m")</f>
        <v/>
      </c>
      <c r="CT53" s="237" t="str">
        <f>desired_skills(C53,"Vaardigheden/Product ownership","s")</f>
        <v/>
      </c>
      <c r="CU53" s="238" t="str">
        <f>desired_skills(C53,"Vaardigheden/Product ownership","e")</f>
        <v/>
      </c>
      <c r="CW53" s="236" t="str">
        <f>calc_gap('Matrix 171007_1818'!$CK$53,'Matrix 171007_1818'!$CQ$53)</f>
        <v/>
      </c>
      <c r="CX53" s="237" t="str">
        <f>calc_gap('Matrix 171007_1818'!$CL$53,'Matrix 171007_1818'!$CR$53)</f>
        <v>24</v>
      </c>
      <c r="CY53" s="237" t="str">
        <f>calc_gap('Matrix 171007_1818'!$CM$53,'Matrix 171007_1818'!$CS$53)</f>
        <v/>
      </c>
      <c r="CZ53" s="237" t="str">
        <f>calc_gap('Matrix 171007_1818'!$CN$53,'Matrix 171007_1818'!$CT$53)</f>
        <v/>
      </c>
      <c r="DA53" s="238" t="str">
        <f>calc_gap('Matrix 171007_1818'!$CO$53,'Matrix 171007_1818'!$CU$53)</f>
        <v/>
      </c>
    </row>
    <row r="54" spans="2:105" x14ac:dyDescent="0.25">
      <c r="B54" s="435"/>
      <c r="C54" s="291" t="s">
        <v>94</v>
      </c>
      <c r="D54" s="314"/>
      <c r="E54" s="315"/>
      <c r="F54" s="315"/>
      <c r="G54" s="315"/>
      <c r="H54" s="315"/>
      <c r="I54" s="315"/>
      <c r="J54" s="315"/>
      <c r="K54" s="316"/>
      <c r="L54" s="314"/>
      <c r="M54" s="315"/>
      <c r="N54" s="315"/>
      <c r="O54" s="316"/>
      <c r="P54" s="314"/>
      <c r="Q54" s="315"/>
      <c r="R54" s="315"/>
      <c r="S54" s="315"/>
      <c r="T54" s="315"/>
      <c r="U54" s="315"/>
      <c r="V54" s="315"/>
      <c r="W54" s="315"/>
      <c r="X54" s="315"/>
      <c r="Y54" s="315"/>
      <c r="Z54" s="315"/>
      <c r="AA54" s="315"/>
      <c r="AB54" s="315"/>
      <c r="AC54" s="315"/>
      <c r="AD54" s="315"/>
      <c r="AE54" s="315"/>
      <c r="AF54" s="315"/>
      <c r="AG54" s="315"/>
      <c r="AH54" s="315"/>
      <c r="AI54" s="316"/>
      <c r="AJ54" s="314"/>
      <c r="AK54" s="315"/>
      <c r="AL54" s="316"/>
      <c r="AM54" s="314"/>
      <c r="AN54" s="315"/>
      <c r="AO54" s="316"/>
      <c r="AP54" s="314"/>
      <c r="AQ54" s="315"/>
      <c r="AR54" s="315"/>
      <c r="AS54" s="315"/>
      <c r="AT54" s="316"/>
      <c r="AU54" s="314" t="s">
        <v>147</v>
      </c>
      <c r="AV54" s="315" t="s">
        <v>148</v>
      </c>
      <c r="AW54" s="315" t="s">
        <v>149</v>
      </c>
      <c r="AX54" s="315" t="s">
        <v>148</v>
      </c>
      <c r="AY54" s="315" t="s">
        <v>148</v>
      </c>
      <c r="AZ54" s="315" t="s">
        <v>47</v>
      </c>
      <c r="BA54" s="315"/>
      <c r="BB54" s="316" t="s">
        <v>147</v>
      </c>
      <c r="BC54" s="314" t="s">
        <v>147</v>
      </c>
      <c r="BD54" s="315" t="s">
        <v>149</v>
      </c>
      <c r="BE54" s="315"/>
      <c r="BF54" s="315" t="s">
        <v>148</v>
      </c>
      <c r="BG54" s="316"/>
      <c r="BH54" s="314"/>
      <c r="BI54" s="315" t="s">
        <v>47</v>
      </c>
      <c r="BJ54" s="316"/>
      <c r="BK54" s="314"/>
      <c r="BL54" s="315"/>
      <c r="BM54" s="315"/>
      <c r="BN54" s="316"/>
      <c r="BO54" s="314"/>
      <c r="BP54" s="315"/>
      <c r="BQ54" s="315"/>
      <c r="BR54" s="315"/>
      <c r="BS54" s="315"/>
      <c r="BT54" s="315"/>
      <c r="BU54" s="315" t="s">
        <v>150</v>
      </c>
      <c r="BV54" s="316"/>
      <c r="BW54" s="314" t="s">
        <v>148</v>
      </c>
      <c r="BX54" s="315"/>
      <c r="BY54" s="315" t="s">
        <v>147</v>
      </c>
      <c r="BZ54" s="315" t="s">
        <v>148</v>
      </c>
      <c r="CA54" s="315" t="s">
        <v>147</v>
      </c>
      <c r="CB54" s="316"/>
      <c r="CC54" s="314"/>
      <c r="CD54" s="315"/>
      <c r="CE54" s="316"/>
      <c r="CF54" s="314"/>
      <c r="CG54" s="315"/>
      <c r="CH54" s="315"/>
      <c r="CI54" s="317"/>
      <c r="CK54" s="236">
        <f t="shared" si="20"/>
        <v>2</v>
      </c>
      <c r="CL54" s="237">
        <f t="shared" si="21"/>
        <v>5</v>
      </c>
      <c r="CM54" s="237">
        <f t="shared" si="22"/>
        <v>6</v>
      </c>
      <c r="CN54" s="237">
        <f t="shared" si="23"/>
        <v>1</v>
      </c>
      <c r="CO54" s="238">
        <f t="shared" si="24"/>
        <v>2</v>
      </c>
      <c r="CQ54" s="236" t="str">
        <f>desired_skills(C54,"Vaardigheden/Proces mining","o")</f>
        <v/>
      </c>
      <c r="CR54" s="237" t="str">
        <f>desired_skills(C54,"Vaardigheden/Proces mining","j")</f>
        <v/>
      </c>
      <c r="CS54" s="237" t="str">
        <f>desired_skills(C54,"Vaardigheden/Proces mining","m")</f>
        <v>28</v>
      </c>
      <c r="CT54" s="237" t="str">
        <f>desired_skills(C54,"Vaardigheden/Proces mining","s")</f>
        <v/>
      </c>
      <c r="CU54" s="238" t="str">
        <f>desired_skills(C54,"Vaardigheden/Proces mining","e")</f>
        <v/>
      </c>
      <c r="CW54" s="236" t="str">
        <f>calc_gap('Matrix 171007_1818'!$CK$54,'Matrix 171007_1818'!$CQ$54)</f>
        <v/>
      </c>
      <c r="CX54" s="237" t="str">
        <f>calc_gap('Matrix 171007_1818'!$CL$54,'Matrix 171007_1818'!$CR$54)</f>
        <v/>
      </c>
      <c r="CY54" s="237" t="str">
        <f>calc_gap('Matrix 171007_1818'!$CM$54,'Matrix 171007_1818'!$CS$54)</f>
        <v>22</v>
      </c>
      <c r="CZ54" s="237" t="str">
        <f>calc_gap('Matrix 171007_1818'!$CN$54,'Matrix 171007_1818'!$CT$54)</f>
        <v/>
      </c>
      <c r="DA54" s="238" t="str">
        <f>calc_gap('Matrix 171007_1818'!$CO$54,'Matrix 171007_1818'!$CU$54)</f>
        <v/>
      </c>
    </row>
    <row r="55" spans="2:105" x14ac:dyDescent="0.25">
      <c r="B55" s="435"/>
      <c r="C55" s="291" t="s">
        <v>95</v>
      </c>
      <c r="D55" s="314"/>
      <c r="E55" s="315"/>
      <c r="F55" s="315"/>
      <c r="G55" s="315"/>
      <c r="H55" s="315"/>
      <c r="I55" s="315"/>
      <c r="J55" s="315"/>
      <c r="K55" s="316"/>
      <c r="L55" s="314"/>
      <c r="M55" s="315"/>
      <c r="N55" s="315"/>
      <c r="O55" s="316"/>
      <c r="P55" s="314"/>
      <c r="Q55" s="315"/>
      <c r="R55" s="315"/>
      <c r="S55" s="315"/>
      <c r="T55" s="315"/>
      <c r="U55" s="315"/>
      <c r="V55" s="315"/>
      <c r="W55" s="315"/>
      <c r="X55" s="315"/>
      <c r="Y55" s="315"/>
      <c r="Z55" s="315"/>
      <c r="AA55" s="315"/>
      <c r="AB55" s="315"/>
      <c r="AC55" s="315"/>
      <c r="AD55" s="315"/>
      <c r="AE55" s="315"/>
      <c r="AF55" s="315"/>
      <c r="AG55" s="315"/>
      <c r="AH55" s="315"/>
      <c r="AI55" s="316"/>
      <c r="AJ55" s="314"/>
      <c r="AK55" s="315"/>
      <c r="AL55" s="316"/>
      <c r="AM55" s="314"/>
      <c r="AN55" s="315"/>
      <c r="AO55" s="316"/>
      <c r="AP55" s="314"/>
      <c r="AQ55" s="315"/>
      <c r="AR55" s="315"/>
      <c r="AS55" s="315"/>
      <c r="AT55" s="316"/>
      <c r="AU55" s="314"/>
      <c r="AV55" s="315" t="s">
        <v>149</v>
      </c>
      <c r="AW55" s="315" t="s">
        <v>149</v>
      </c>
      <c r="AX55" s="315" t="s">
        <v>148</v>
      </c>
      <c r="AY55" s="315" t="s">
        <v>147</v>
      </c>
      <c r="AZ55" s="315"/>
      <c r="BA55" s="315"/>
      <c r="BB55" s="316" t="s">
        <v>147</v>
      </c>
      <c r="BC55" s="314" t="s">
        <v>147</v>
      </c>
      <c r="BD55" s="315" t="s">
        <v>149</v>
      </c>
      <c r="BE55" s="315"/>
      <c r="BF55" s="315" t="s">
        <v>147</v>
      </c>
      <c r="BG55" s="316"/>
      <c r="BH55" s="314"/>
      <c r="BI55" s="315" t="s">
        <v>147</v>
      </c>
      <c r="BJ55" s="316"/>
      <c r="BK55" s="314"/>
      <c r="BL55" s="315"/>
      <c r="BM55" s="315"/>
      <c r="BN55" s="316"/>
      <c r="BO55" s="314"/>
      <c r="BP55" s="315"/>
      <c r="BQ55" s="315" t="s">
        <v>148</v>
      </c>
      <c r="BR55" s="315"/>
      <c r="BS55" s="315" t="s">
        <v>149</v>
      </c>
      <c r="BT55" s="315" t="s">
        <v>147</v>
      </c>
      <c r="BU55" s="315" t="s">
        <v>150</v>
      </c>
      <c r="BV55" s="316"/>
      <c r="BW55" s="314" t="s">
        <v>148</v>
      </c>
      <c r="BX55" s="315"/>
      <c r="BY55" s="315" t="s">
        <v>147</v>
      </c>
      <c r="BZ55" s="315" t="s">
        <v>147</v>
      </c>
      <c r="CA55" s="315" t="s">
        <v>147</v>
      </c>
      <c r="CB55" s="316" t="s">
        <v>147</v>
      </c>
      <c r="CC55" s="314"/>
      <c r="CD55" s="315"/>
      <c r="CE55" s="316"/>
      <c r="CF55" s="314"/>
      <c r="CG55" s="315"/>
      <c r="CH55" s="315"/>
      <c r="CI55" s="317"/>
      <c r="CK55" s="236">
        <f t="shared" si="20"/>
        <v>4</v>
      </c>
      <c r="CL55" s="237">
        <f t="shared" si="21"/>
        <v>10</v>
      </c>
      <c r="CM55" s="237">
        <f t="shared" si="22"/>
        <v>3</v>
      </c>
      <c r="CN55" s="237">
        <f t="shared" si="23"/>
        <v>1</v>
      </c>
      <c r="CO55" s="238" t="str">
        <f t="shared" si="24"/>
        <v/>
      </c>
      <c r="CQ55" s="236" t="str">
        <f>desired_skills(C55,"Vaardigheden/Data mining / big data","o")</f>
        <v/>
      </c>
      <c r="CR55" s="237" t="str">
        <f>desired_skills(C55,"Vaardigheden/Data mining / big data","j")</f>
        <v/>
      </c>
      <c r="CS55" s="237" t="str">
        <f>desired_skills(C55,"Vaardigheden/Data mining / big data","m")</f>
        <v/>
      </c>
      <c r="CT55" s="237" t="str">
        <f>desired_skills(C55,"Vaardigheden/Data mining / big data","s")</f>
        <v>29</v>
      </c>
      <c r="CU55" s="238" t="str">
        <f>desired_skills(C55,"Vaardigheden/Data mining / big data","e")</f>
        <v/>
      </c>
      <c r="CW55" s="236" t="str">
        <f>calc_gap('Matrix 171007_1818'!$CK$55,'Matrix 171007_1818'!$CQ$55)</f>
        <v/>
      </c>
      <c r="CX55" s="237" t="str">
        <f>calc_gap('Matrix 171007_1818'!$CL$55,'Matrix 171007_1818'!$CR$55)</f>
        <v/>
      </c>
      <c r="CY55" s="237" t="str">
        <f>calc_gap('Matrix 171007_1818'!$CM$55,'Matrix 171007_1818'!$CS$55)</f>
        <v/>
      </c>
      <c r="CZ55" s="237" t="str">
        <f>calc_gap('Matrix 171007_1818'!$CN$55,'Matrix 171007_1818'!$CT$55)</f>
        <v>28</v>
      </c>
      <c r="DA55" s="238" t="str">
        <f>calc_gap('Matrix 171007_1818'!$CO$55,'Matrix 171007_1818'!$CU$55)</f>
        <v/>
      </c>
    </row>
    <row r="56" spans="2:105" x14ac:dyDescent="0.25">
      <c r="B56" s="435"/>
      <c r="C56" s="291" t="s">
        <v>96</v>
      </c>
      <c r="D56" s="314"/>
      <c r="E56" s="315"/>
      <c r="F56" s="315"/>
      <c r="G56" s="315"/>
      <c r="H56" s="315"/>
      <c r="I56" s="315"/>
      <c r="J56" s="315"/>
      <c r="K56" s="316"/>
      <c r="L56" s="314"/>
      <c r="M56" s="315"/>
      <c r="N56" s="315"/>
      <c r="O56" s="316"/>
      <c r="P56" s="314"/>
      <c r="Q56" s="315"/>
      <c r="R56" s="315"/>
      <c r="S56" s="315"/>
      <c r="T56" s="315"/>
      <c r="U56" s="315"/>
      <c r="V56" s="315"/>
      <c r="W56" s="315"/>
      <c r="X56" s="315"/>
      <c r="Y56" s="315"/>
      <c r="Z56" s="315"/>
      <c r="AA56" s="315"/>
      <c r="AB56" s="315"/>
      <c r="AC56" s="315"/>
      <c r="AD56" s="315"/>
      <c r="AE56" s="315"/>
      <c r="AF56" s="315"/>
      <c r="AG56" s="315"/>
      <c r="AH56" s="315"/>
      <c r="AI56" s="316"/>
      <c r="AJ56" s="314"/>
      <c r="AK56" s="315"/>
      <c r="AL56" s="316"/>
      <c r="AM56" s="314"/>
      <c r="AN56" s="315"/>
      <c r="AO56" s="316"/>
      <c r="AP56" s="314"/>
      <c r="AQ56" s="315"/>
      <c r="AR56" s="315"/>
      <c r="AS56" s="315"/>
      <c r="AT56" s="316"/>
      <c r="AU56" s="314" t="s">
        <v>148</v>
      </c>
      <c r="AV56" s="315" t="s">
        <v>149</v>
      </c>
      <c r="AW56" s="315" t="s">
        <v>148</v>
      </c>
      <c r="AX56" s="315" t="s">
        <v>148</v>
      </c>
      <c r="AY56" s="315" t="s">
        <v>148</v>
      </c>
      <c r="AZ56" s="315" t="s">
        <v>150</v>
      </c>
      <c r="BA56" s="315"/>
      <c r="BB56" s="316" t="s">
        <v>147</v>
      </c>
      <c r="BC56" s="314" t="s">
        <v>148</v>
      </c>
      <c r="BD56" s="315" t="s">
        <v>149</v>
      </c>
      <c r="BE56" s="315"/>
      <c r="BF56" s="315" t="s">
        <v>148</v>
      </c>
      <c r="BG56" s="316"/>
      <c r="BH56" s="314"/>
      <c r="BI56" s="315" t="s">
        <v>147</v>
      </c>
      <c r="BJ56" s="316"/>
      <c r="BK56" s="314"/>
      <c r="BL56" s="315" t="s">
        <v>149</v>
      </c>
      <c r="BM56" s="315"/>
      <c r="BN56" s="316" t="s">
        <v>147</v>
      </c>
      <c r="BO56" s="314"/>
      <c r="BP56" s="315"/>
      <c r="BQ56" s="315"/>
      <c r="BR56" s="315"/>
      <c r="BS56" s="315"/>
      <c r="BT56" s="315"/>
      <c r="BU56" s="315" t="s">
        <v>148</v>
      </c>
      <c r="BV56" s="316"/>
      <c r="BW56" s="314" t="s">
        <v>148</v>
      </c>
      <c r="BX56" s="315"/>
      <c r="BY56" s="315"/>
      <c r="BZ56" s="315" t="s">
        <v>150</v>
      </c>
      <c r="CA56" s="315" t="s">
        <v>147</v>
      </c>
      <c r="CB56" s="316" t="s">
        <v>147</v>
      </c>
      <c r="CC56" s="314"/>
      <c r="CD56" s="315"/>
      <c r="CE56" s="316"/>
      <c r="CF56" s="314"/>
      <c r="CG56" s="315"/>
      <c r="CH56" s="315"/>
      <c r="CI56" s="317"/>
      <c r="CK56" s="236">
        <f t="shared" si="20"/>
        <v>3</v>
      </c>
      <c r="CL56" s="237">
        <f t="shared" si="21"/>
        <v>5</v>
      </c>
      <c r="CM56" s="237">
        <f t="shared" si="22"/>
        <v>8</v>
      </c>
      <c r="CN56" s="237">
        <f t="shared" si="23"/>
        <v>2</v>
      </c>
      <c r="CO56" s="238" t="str">
        <f t="shared" si="24"/>
        <v/>
      </c>
      <c r="CQ56" s="236" t="str">
        <f>desired_skills(C56,"Vaardigheden/Business Intelligence","o")</f>
        <v/>
      </c>
      <c r="CR56" s="237" t="str">
        <f>desired_skills(C56,"Vaardigheden/Business Intelligence","j")</f>
        <v/>
      </c>
      <c r="CS56" s="237" t="str">
        <f>desired_skills(C56,"Vaardigheden/Business Intelligence","m")</f>
        <v/>
      </c>
      <c r="CT56" s="237" t="str">
        <f>desired_skills(C56,"Vaardigheden/Business Intelligence","s")</f>
        <v/>
      </c>
      <c r="CU56" s="238" t="str">
        <f>desired_skills(C56,"Vaardigheden/Business Intelligence","e")</f>
        <v>30</v>
      </c>
      <c r="CW56" s="236" t="str">
        <f>calc_gap('Matrix 171007_1818'!$CK$56,'Matrix 171007_1818'!$CQ$56)</f>
        <v/>
      </c>
      <c r="CX56" s="237" t="str">
        <f>calc_gap('Matrix 171007_1818'!$CL$56,'Matrix 171007_1818'!$CR$56)</f>
        <v/>
      </c>
      <c r="CY56" s="237" t="str">
        <f>calc_gap('Matrix 171007_1818'!$CM$56,'Matrix 171007_1818'!$CS$56)</f>
        <v/>
      </c>
      <c r="CZ56" s="237" t="str">
        <f>calc_gap('Matrix 171007_1818'!$CN$56,'Matrix 171007_1818'!$CT$56)</f>
        <v/>
      </c>
      <c r="DA56" s="238" t="str">
        <f>calc_gap('Matrix 171007_1818'!$CO$56,'Matrix 171007_1818'!$CU$56)</f>
        <v/>
      </c>
    </row>
    <row r="57" spans="2:105" x14ac:dyDescent="0.25">
      <c r="B57" s="435"/>
      <c r="C57" s="291" t="s">
        <v>97</v>
      </c>
      <c r="D57" s="314"/>
      <c r="E57" s="315"/>
      <c r="F57" s="315"/>
      <c r="G57" s="315"/>
      <c r="H57" s="315"/>
      <c r="I57" s="315"/>
      <c r="J57" s="315"/>
      <c r="K57" s="316"/>
      <c r="L57" s="314"/>
      <c r="M57" s="315"/>
      <c r="N57" s="315"/>
      <c r="O57" s="316"/>
      <c r="P57" s="314"/>
      <c r="Q57" s="315"/>
      <c r="R57" s="315"/>
      <c r="S57" s="315"/>
      <c r="T57" s="315"/>
      <c r="U57" s="315"/>
      <c r="V57" s="315"/>
      <c r="W57" s="315"/>
      <c r="X57" s="315"/>
      <c r="Y57" s="315"/>
      <c r="Z57" s="315"/>
      <c r="AA57" s="315"/>
      <c r="AB57" s="315"/>
      <c r="AC57" s="315"/>
      <c r="AD57" s="315"/>
      <c r="AE57" s="315"/>
      <c r="AF57" s="315"/>
      <c r="AG57" s="315"/>
      <c r="AH57" s="315"/>
      <c r="AI57" s="316"/>
      <c r="AJ57" s="314"/>
      <c r="AK57" s="315"/>
      <c r="AL57" s="316"/>
      <c r="AM57" s="314"/>
      <c r="AN57" s="315"/>
      <c r="AO57" s="316"/>
      <c r="AP57" s="314"/>
      <c r="AQ57" s="315"/>
      <c r="AR57" s="315"/>
      <c r="AS57" s="315"/>
      <c r="AT57" s="316"/>
      <c r="AU57" s="314" t="s">
        <v>47</v>
      </c>
      <c r="AV57" s="315" t="s">
        <v>150</v>
      </c>
      <c r="AW57" s="315" t="s">
        <v>150</v>
      </c>
      <c r="AX57" s="315" t="s">
        <v>150</v>
      </c>
      <c r="AY57" s="315" t="s">
        <v>47</v>
      </c>
      <c r="AZ57" s="315" t="s">
        <v>150</v>
      </c>
      <c r="BA57" s="315" t="s">
        <v>150</v>
      </c>
      <c r="BB57" s="316" t="s">
        <v>150</v>
      </c>
      <c r="BC57" s="314" t="s">
        <v>148</v>
      </c>
      <c r="BD57" s="315" t="s">
        <v>148</v>
      </c>
      <c r="BE57" s="315"/>
      <c r="BF57" s="315" t="s">
        <v>150</v>
      </c>
      <c r="BG57" s="316"/>
      <c r="BH57" s="314"/>
      <c r="BI57" s="315" t="s">
        <v>148</v>
      </c>
      <c r="BJ57" s="316"/>
      <c r="BK57" s="314" t="s">
        <v>148</v>
      </c>
      <c r="BL57" s="315"/>
      <c r="BM57" s="315"/>
      <c r="BN57" s="316"/>
      <c r="BO57" s="314"/>
      <c r="BP57" s="315"/>
      <c r="BQ57" s="315"/>
      <c r="BR57" s="315"/>
      <c r="BS57" s="315"/>
      <c r="BT57" s="315"/>
      <c r="BU57" s="315" t="s">
        <v>148</v>
      </c>
      <c r="BV57" s="316"/>
      <c r="BW57" s="314" t="s">
        <v>148</v>
      </c>
      <c r="BX57" s="315" t="s">
        <v>150</v>
      </c>
      <c r="BY57" s="315" t="s">
        <v>150</v>
      </c>
      <c r="BZ57" s="315" t="s">
        <v>148</v>
      </c>
      <c r="CA57" s="315" t="s">
        <v>150</v>
      </c>
      <c r="CB57" s="316" t="s">
        <v>150</v>
      </c>
      <c r="CC57" s="314"/>
      <c r="CD57" s="315" t="s">
        <v>150</v>
      </c>
      <c r="CE57" s="316"/>
      <c r="CF57" s="314"/>
      <c r="CG57" s="315"/>
      <c r="CH57" s="315"/>
      <c r="CI57" s="317"/>
      <c r="CK57" s="236" t="str">
        <f t="shared" si="20"/>
        <v/>
      </c>
      <c r="CL57" s="237" t="str">
        <f t="shared" si="21"/>
        <v/>
      </c>
      <c r="CM57" s="237">
        <f t="shared" si="22"/>
        <v>7</v>
      </c>
      <c r="CN57" s="237">
        <f t="shared" si="23"/>
        <v>12</v>
      </c>
      <c r="CO57" s="238">
        <f t="shared" si="24"/>
        <v>2</v>
      </c>
      <c r="CQ57" s="236" t="str">
        <f>desired_skills(C57,"Vaardigheden/PDCA (in het algemeen)","o")</f>
        <v/>
      </c>
      <c r="CR57" s="237" t="str">
        <f>desired_skills(C57,"Vaardigheden/PDCA (in het algemeen)","j")</f>
        <v/>
      </c>
      <c r="CS57" s="237" t="str">
        <f>desired_skills(C57,"Vaardigheden/PDCA (in het algemeen)","m")</f>
        <v/>
      </c>
      <c r="CT57" s="237" t="str">
        <f>desired_skills(C57,"Vaardigheden/PDCA (in het algemeen)","s")</f>
        <v/>
      </c>
      <c r="CU57" s="238" t="str">
        <f>desired_skills(C57,"Vaardigheden/PDCA (in het algemeen)","e")</f>
        <v/>
      </c>
      <c r="CW57" s="236" t="str">
        <f>calc_gap('Matrix 171007_1818'!$CK$57,'Matrix 171007_1818'!$CQ$57)</f>
        <v/>
      </c>
      <c r="CX57" s="237" t="str">
        <f>calc_gap('Matrix 171007_1818'!$CL$57,'Matrix 171007_1818'!$CR$57)</f>
        <v/>
      </c>
      <c r="CY57" s="237" t="str">
        <f>calc_gap('Matrix 171007_1818'!$CM$57,'Matrix 171007_1818'!$CS$57)</f>
        <v/>
      </c>
      <c r="CZ57" s="237" t="str">
        <f>calc_gap('Matrix 171007_1818'!$CN$57,'Matrix 171007_1818'!$CT$57)</f>
        <v/>
      </c>
      <c r="DA57" s="238" t="str">
        <f>calc_gap('Matrix 171007_1818'!$CO$57,'Matrix 171007_1818'!$CU$57)</f>
        <v/>
      </c>
    </row>
    <row r="58" spans="2:105" x14ac:dyDescent="0.25">
      <c r="B58" s="435"/>
      <c r="C58" s="291" t="s">
        <v>228</v>
      </c>
      <c r="D58" s="314"/>
      <c r="E58" s="315"/>
      <c r="F58" s="315"/>
      <c r="G58" s="315"/>
      <c r="H58" s="315"/>
      <c r="I58" s="315"/>
      <c r="J58" s="315"/>
      <c r="K58" s="316"/>
      <c r="L58" s="314"/>
      <c r="M58" s="315"/>
      <c r="N58" s="315"/>
      <c r="O58" s="316"/>
      <c r="P58" s="314"/>
      <c r="Q58" s="315"/>
      <c r="R58" s="315"/>
      <c r="S58" s="315"/>
      <c r="T58" s="315"/>
      <c r="U58" s="315"/>
      <c r="V58" s="315"/>
      <c r="W58" s="315"/>
      <c r="X58" s="315"/>
      <c r="Y58" s="315"/>
      <c r="Z58" s="315"/>
      <c r="AA58" s="315"/>
      <c r="AB58" s="315"/>
      <c r="AC58" s="315"/>
      <c r="AD58" s="315"/>
      <c r="AE58" s="315"/>
      <c r="AF58" s="315"/>
      <c r="AG58" s="315"/>
      <c r="AH58" s="315"/>
      <c r="AI58" s="316"/>
      <c r="AJ58" s="314"/>
      <c r="AK58" s="315"/>
      <c r="AL58" s="316"/>
      <c r="AM58" s="314"/>
      <c r="AN58" s="315"/>
      <c r="AO58" s="316"/>
      <c r="AP58" s="314"/>
      <c r="AQ58" s="315"/>
      <c r="AR58" s="315"/>
      <c r="AS58" s="315"/>
      <c r="AT58" s="316"/>
      <c r="AU58" s="314"/>
      <c r="AV58" s="315"/>
      <c r="AW58" s="315"/>
      <c r="AX58" s="315"/>
      <c r="AY58" s="315"/>
      <c r="AZ58" s="315"/>
      <c r="BA58" s="315"/>
      <c r="BB58" s="316"/>
      <c r="BC58" s="314"/>
      <c r="BD58" s="315"/>
      <c r="BE58" s="315"/>
      <c r="BF58" s="315"/>
      <c r="BG58" s="316"/>
      <c r="BH58" s="314"/>
      <c r="BI58" s="315"/>
      <c r="BJ58" s="316"/>
      <c r="BK58" s="314"/>
      <c r="BL58" s="315"/>
      <c r="BM58" s="315"/>
      <c r="BN58" s="316"/>
      <c r="BO58" s="314"/>
      <c r="BP58" s="315"/>
      <c r="BQ58" s="315"/>
      <c r="BR58" s="315"/>
      <c r="BS58" s="315"/>
      <c r="BT58" s="315"/>
      <c r="BU58" s="315"/>
      <c r="BV58" s="316"/>
      <c r="BW58" s="314"/>
      <c r="BX58" s="315"/>
      <c r="BY58" s="315"/>
      <c r="BZ58" s="315"/>
      <c r="CA58" s="315"/>
      <c r="CB58" s="316"/>
      <c r="CC58" s="314"/>
      <c r="CD58" s="315"/>
      <c r="CE58" s="316"/>
      <c r="CF58" s="314"/>
      <c r="CG58" s="315"/>
      <c r="CH58" s="315"/>
      <c r="CI58" s="317"/>
      <c r="CK58" s="236" t="str">
        <f t="shared" si="20"/>
        <v/>
      </c>
      <c r="CL58" s="237" t="str">
        <f t="shared" si="21"/>
        <v/>
      </c>
      <c r="CM58" s="237" t="str">
        <f t="shared" si="22"/>
        <v/>
      </c>
      <c r="CN58" s="237" t="str">
        <f t="shared" si="23"/>
        <v/>
      </c>
      <c r="CO58" s="238" t="str">
        <f t="shared" si="24"/>
        <v/>
      </c>
      <c r="CQ58" s="236" t="str">
        <f>desired_skills(C58,"Vaardigheden/PowerPoint (Presentaties)","o")</f>
        <v/>
      </c>
      <c r="CR58" s="237" t="str">
        <f>desired_skills(C58,"Vaardigheden/PowerPoint (Presentaties)","j")</f>
        <v/>
      </c>
      <c r="CS58" s="237" t="str">
        <f>desired_skills(C58,"Vaardigheden/PowerPoint (Presentaties)","m")</f>
        <v/>
      </c>
      <c r="CT58" s="237" t="str">
        <f>desired_skills(C58,"Vaardigheden/PowerPoint (Presentaties)","s")</f>
        <v/>
      </c>
      <c r="CU58" s="238" t="str">
        <f>desired_skills(C58,"Vaardigheden/PowerPoint (Presentaties)","e")</f>
        <v/>
      </c>
      <c r="CW58" s="236" t="str">
        <f>calc_gap('Matrix 171007_1818'!$CK$58,'Matrix 171007_1818'!$CQ$58)</f>
        <v/>
      </c>
      <c r="CX58" s="237" t="str">
        <f>calc_gap('Matrix 171007_1818'!$CL$58,'Matrix 171007_1818'!$CR$58)</f>
        <v/>
      </c>
      <c r="CY58" s="237" t="str">
        <f>calc_gap('Matrix 171007_1818'!$CM$58,'Matrix 171007_1818'!$CS$58)</f>
        <v/>
      </c>
      <c r="CZ58" s="237" t="str">
        <f>calc_gap('Matrix 171007_1818'!$CN$58,'Matrix 171007_1818'!$CT$58)</f>
        <v/>
      </c>
      <c r="DA58" s="238" t="str">
        <f>calc_gap('Matrix 171007_1818'!$CO$58,'Matrix 171007_1818'!$CU$58)</f>
        <v/>
      </c>
    </row>
    <row r="59" spans="2:105" ht="15.75" thickBot="1" x14ac:dyDescent="0.3">
      <c r="B59" s="435"/>
      <c r="C59" s="292" t="s">
        <v>229</v>
      </c>
      <c r="D59" s="318"/>
      <c r="E59" s="319"/>
      <c r="F59" s="319"/>
      <c r="G59" s="319"/>
      <c r="H59" s="319"/>
      <c r="I59" s="319"/>
      <c r="J59" s="319"/>
      <c r="K59" s="320"/>
      <c r="L59" s="318"/>
      <c r="M59" s="319"/>
      <c r="N59" s="319"/>
      <c r="O59" s="320"/>
      <c r="P59" s="318"/>
      <c r="Q59" s="319"/>
      <c r="R59" s="319"/>
      <c r="S59" s="319"/>
      <c r="T59" s="319"/>
      <c r="U59" s="319"/>
      <c r="V59" s="319"/>
      <c r="W59" s="319"/>
      <c r="X59" s="319"/>
      <c r="Y59" s="319"/>
      <c r="Z59" s="319"/>
      <c r="AA59" s="319"/>
      <c r="AB59" s="319"/>
      <c r="AC59" s="319"/>
      <c r="AD59" s="319"/>
      <c r="AE59" s="319"/>
      <c r="AF59" s="319"/>
      <c r="AG59" s="319"/>
      <c r="AH59" s="319"/>
      <c r="AI59" s="320"/>
      <c r="AJ59" s="318"/>
      <c r="AK59" s="319"/>
      <c r="AL59" s="320"/>
      <c r="AM59" s="318"/>
      <c r="AN59" s="319"/>
      <c r="AO59" s="320"/>
      <c r="AP59" s="318"/>
      <c r="AQ59" s="319"/>
      <c r="AR59" s="319"/>
      <c r="AS59" s="319"/>
      <c r="AT59" s="320"/>
      <c r="AU59" s="318"/>
      <c r="AV59" s="319"/>
      <c r="AW59" s="319"/>
      <c r="AX59" s="319"/>
      <c r="AY59" s="319"/>
      <c r="AZ59" s="319"/>
      <c r="BA59" s="319"/>
      <c r="BB59" s="320"/>
      <c r="BC59" s="318"/>
      <c r="BD59" s="319"/>
      <c r="BE59" s="319"/>
      <c r="BF59" s="319"/>
      <c r="BG59" s="320"/>
      <c r="BH59" s="318"/>
      <c r="BI59" s="319"/>
      <c r="BJ59" s="320"/>
      <c r="BK59" s="318"/>
      <c r="BL59" s="319"/>
      <c r="BM59" s="319"/>
      <c r="BN59" s="320"/>
      <c r="BO59" s="318"/>
      <c r="BP59" s="319"/>
      <c r="BQ59" s="319"/>
      <c r="BR59" s="319"/>
      <c r="BS59" s="319"/>
      <c r="BT59" s="319"/>
      <c r="BU59" s="319"/>
      <c r="BV59" s="320"/>
      <c r="BW59" s="318"/>
      <c r="BX59" s="319"/>
      <c r="BY59" s="319"/>
      <c r="BZ59" s="319"/>
      <c r="CA59" s="319"/>
      <c r="CB59" s="320"/>
      <c r="CC59" s="318"/>
      <c r="CD59" s="319"/>
      <c r="CE59" s="320"/>
      <c r="CF59" s="318"/>
      <c r="CG59" s="319"/>
      <c r="CH59" s="319"/>
      <c r="CI59" s="321"/>
      <c r="CK59" s="239" t="str">
        <f t="shared" si="20"/>
        <v/>
      </c>
      <c r="CL59" s="240" t="str">
        <f t="shared" si="21"/>
        <v/>
      </c>
      <c r="CM59" s="240" t="str">
        <f t="shared" si="22"/>
        <v/>
      </c>
      <c r="CN59" s="240" t="str">
        <f t="shared" si="23"/>
        <v/>
      </c>
      <c r="CO59" s="241" t="str">
        <f t="shared" si="24"/>
        <v/>
      </c>
      <c r="CQ59" s="239" t="str">
        <f>desired_skills(C59,"Vaardigheden/Uitvoeren impactanalyse","o")</f>
        <v/>
      </c>
      <c r="CR59" s="240" t="str">
        <f>desired_skills(C59,"Vaardigheden/Uitvoeren impactanalyse","j")</f>
        <v/>
      </c>
      <c r="CS59" s="240" t="str">
        <f>desired_skills(C59,"Vaardigheden/Uitvoeren impactanalyse","m")</f>
        <v/>
      </c>
      <c r="CT59" s="240" t="str">
        <f>desired_skills(C59,"Vaardigheden/Uitvoeren impactanalyse","s")</f>
        <v/>
      </c>
      <c r="CU59" s="241" t="str">
        <f>desired_skills(C59,"Vaardigheden/Uitvoeren impactanalyse","e")</f>
        <v/>
      </c>
      <c r="CW59" s="239" t="str">
        <f>calc_gap('Matrix 171007_1818'!$CK$59,'Matrix 171007_1818'!$CQ$59)</f>
        <v/>
      </c>
      <c r="CX59" s="240" t="str">
        <f>calc_gap('Matrix 171007_1818'!$CL$59,'Matrix 171007_1818'!$CR$59)</f>
        <v/>
      </c>
      <c r="CY59" s="240" t="str">
        <f>calc_gap('Matrix 171007_1818'!$CM$59,'Matrix 171007_1818'!$CS$59)</f>
        <v/>
      </c>
      <c r="CZ59" s="240" t="str">
        <f>calc_gap('Matrix 171007_1818'!$CN$59,'Matrix 171007_1818'!$CT$59)</f>
        <v/>
      </c>
      <c r="DA59" s="241" t="str">
        <f>calc_gap('Matrix 171007_1818'!$CO$59,'Matrix 171007_1818'!$CU$59)</f>
        <v/>
      </c>
    </row>
    <row r="60" spans="2:105" ht="12.75" customHeight="1" thickTop="1" thickBot="1" x14ac:dyDescent="0.3">
      <c r="B60" s="436"/>
      <c r="C60" s="248"/>
      <c r="D60" s="322"/>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c r="BA60" s="322"/>
      <c r="BB60" s="322"/>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2"/>
      <c r="CH60" s="322"/>
      <c r="CI60" s="322"/>
      <c r="CK60" s="249"/>
      <c r="CL60" s="249"/>
      <c r="CM60" s="249"/>
      <c r="CN60" s="249"/>
      <c r="CO60" s="249"/>
      <c r="CQ60" s="249"/>
      <c r="CR60" s="249"/>
      <c r="CS60" s="249"/>
      <c r="CT60" s="249"/>
      <c r="CU60" s="249"/>
      <c r="CW60" s="249"/>
      <c r="CX60" s="249"/>
      <c r="CY60" s="249"/>
      <c r="CZ60" s="249"/>
      <c r="DA60" s="249"/>
    </row>
    <row r="61" spans="2:105" ht="15.75" thickTop="1" x14ac:dyDescent="0.25">
      <c r="B61" s="434" t="s">
        <v>98</v>
      </c>
      <c r="C61" s="290" t="s">
        <v>99</v>
      </c>
      <c r="D61" s="310"/>
      <c r="E61" s="311"/>
      <c r="F61" s="311"/>
      <c r="G61" s="311"/>
      <c r="H61" s="311"/>
      <c r="I61" s="311"/>
      <c r="J61" s="311"/>
      <c r="K61" s="312"/>
      <c r="L61" s="310"/>
      <c r="M61" s="311"/>
      <c r="N61" s="311"/>
      <c r="O61" s="312"/>
      <c r="P61" s="310"/>
      <c r="Q61" s="311"/>
      <c r="R61" s="311"/>
      <c r="S61" s="311"/>
      <c r="T61" s="311"/>
      <c r="U61" s="311"/>
      <c r="V61" s="311"/>
      <c r="W61" s="311"/>
      <c r="X61" s="311"/>
      <c r="Y61" s="311"/>
      <c r="Z61" s="311"/>
      <c r="AA61" s="311"/>
      <c r="AB61" s="311"/>
      <c r="AC61" s="311"/>
      <c r="AD61" s="311"/>
      <c r="AE61" s="311"/>
      <c r="AF61" s="311"/>
      <c r="AG61" s="311"/>
      <c r="AH61" s="311"/>
      <c r="AI61" s="312"/>
      <c r="AJ61" s="310"/>
      <c r="AK61" s="311"/>
      <c r="AL61" s="312"/>
      <c r="AM61" s="310"/>
      <c r="AN61" s="311"/>
      <c r="AO61" s="312"/>
      <c r="AP61" s="310"/>
      <c r="AQ61" s="311"/>
      <c r="AR61" s="311"/>
      <c r="AS61" s="311"/>
      <c r="AT61" s="312"/>
      <c r="AU61" s="310" t="s">
        <v>147</v>
      </c>
      <c r="AV61" s="311" t="s">
        <v>47</v>
      </c>
      <c r="AW61" s="311" t="s">
        <v>148</v>
      </c>
      <c r="AX61" s="311" t="s">
        <v>150</v>
      </c>
      <c r="AY61" s="311" t="s">
        <v>148</v>
      </c>
      <c r="AZ61" s="311" t="s">
        <v>147</v>
      </c>
      <c r="BA61" s="311"/>
      <c r="BB61" s="312" t="s">
        <v>148</v>
      </c>
      <c r="BC61" s="310" t="s">
        <v>149</v>
      </c>
      <c r="BD61" s="311" t="s">
        <v>147</v>
      </c>
      <c r="BE61" s="311"/>
      <c r="BF61" s="311" t="s">
        <v>147</v>
      </c>
      <c r="BG61" s="312"/>
      <c r="BH61" s="310"/>
      <c r="BI61" s="311"/>
      <c r="BJ61" s="312"/>
      <c r="BK61" s="310"/>
      <c r="BL61" s="311"/>
      <c r="BM61" s="311"/>
      <c r="BN61" s="312"/>
      <c r="BO61" s="310"/>
      <c r="BP61" s="311"/>
      <c r="BQ61" s="311"/>
      <c r="BR61" s="311"/>
      <c r="BS61" s="311" t="s">
        <v>149</v>
      </c>
      <c r="BT61" s="311"/>
      <c r="BU61" s="311" t="s">
        <v>150</v>
      </c>
      <c r="BV61" s="312"/>
      <c r="BW61" s="310" t="s">
        <v>147</v>
      </c>
      <c r="BX61" s="311" t="s">
        <v>148</v>
      </c>
      <c r="BY61" s="311" t="s">
        <v>150</v>
      </c>
      <c r="BZ61" s="311" t="s">
        <v>147</v>
      </c>
      <c r="CA61" s="311" t="s">
        <v>47</v>
      </c>
      <c r="CB61" s="312" t="s">
        <v>47</v>
      </c>
      <c r="CC61" s="310"/>
      <c r="CD61" s="311" t="s">
        <v>148</v>
      </c>
      <c r="CE61" s="312"/>
      <c r="CF61" s="310"/>
      <c r="CG61" s="311"/>
      <c r="CH61" s="311"/>
      <c r="CI61" s="313"/>
      <c r="CK61" s="233">
        <f t="shared" ref="CK61:CK78" si="25">IF(COUNTIF(D61:CI61,"o")&gt;0,COUNTIF(D61:CI61,"o"),"")</f>
        <v>2</v>
      </c>
      <c r="CL61" s="234">
        <f t="shared" ref="CL61:CL78" si="26">IF(COUNTIF(D61:CI61,"j")&gt;0,COUNTIF(D61:CI61,"j"),"")</f>
        <v>6</v>
      </c>
      <c r="CM61" s="234">
        <f t="shared" ref="CM61:CM78" si="27">IF(COUNTIF(D61:CI61,"m")&gt;0,COUNTIF(D61:CI61,"m"),"")</f>
        <v>5</v>
      </c>
      <c r="CN61" s="234">
        <f t="shared" ref="CN61:CN78" si="28">IF(COUNTIF(D61:CI61,"s")&gt;0,COUNTIF(D61:CI61,"s"),"")</f>
        <v>3</v>
      </c>
      <c r="CO61" s="235">
        <f t="shared" ref="CO61:CO78" si="29">IF(COUNTIF(D61:CI61,"e")&gt;0,COUNTIF(D61:CI61,"e"),"")</f>
        <v>3</v>
      </c>
      <c r="CQ61" s="233" t="str">
        <f>desired_skills(C61,"Organisatie / klantomgeving/LB - PPB","o")</f>
        <v>31</v>
      </c>
      <c r="CR61" s="234" t="str">
        <f>desired_skills(C61,"Organisatie / klantomgeving/LB - PPB","j")</f>
        <v/>
      </c>
      <c r="CS61" s="234" t="str">
        <f>desired_skills(C61,"Organisatie / klantomgeving/LB - PPB","m")</f>
        <v/>
      </c>
      <c r="CT61" s="234" t="str">
        <f>desired_skills(C61,"Organisatie / klantomgeving/LB - PPB","s")</f>
        <v/>
      </c>
      <c r="CU61" s="235" t="str">
        <f>desired_skills(C61,"Organisatie / klantomgeving/LB - PPB","e")</f>
        <v/>
      </c>
      <c r="CW61" s="233" t="str">
        <f>calc_gap('Matrix 171007_1818'!$CK$61,'Matrix 171007_1818'!$CQ$61)</f>
        <v>29</v>
      </c>
      <c r="CX61" s="234" t="str">
        <f>calc_gap('Matrix 171007_1818'!$CL$61,'Matrix 171007_1818'!$CR$61)</f>
        <v/>
      </c>
      <c r="CY61" s="234" t="str">
        <f>calc_gap('Matrix 171007_1818'!$CM$61,'Matrix 171007_1818'!$CS$61)</f>
        <v/>
      </c>
      <c r="CZ61" s="234" t="str">
        <f>calc_gap('Matrix 171007_1818'!$CN$61,'Matrix 171007_1818'!$CT$61)</f>
        <v/>
      </c>
      <c r="DA61" s="235" t="str">
        <f>calc_gap('Matrix 171007_1818'!$CO$61,'Matrix 171007_1818'!$CU$61)</f>
        <v/>
      </c>
    </row>
    <row r="62" spans="2:105" x14ac:dyDescent="0.25">
      <c r="B62" s="435"/>
      <c r="C62" s="291" t="s">
        <v>100</v>
      </c>
      <c r="D62" s="314"/>
      <c r="E62" s="315"/>
      <c r="F62" s="315"/>
      <c r="G62" s="315"/>
      <c r="H62" s="315"/>
      <c r="I62" s="315"/>
      <c r="J62" s="315"/>
      <c r="K62" s="316"/>
      <c r="L62" s="314"/>
      <c r="M62" s="315"/>
      <c r="N62" s="315"/>
      <c r="O62" s="316"/>
      <c r="P62" s="314"/>
      <c r="Q62" s="315"/>
      <c r="R62" s="315"/>
      <c r="S62" s="315"/>
      <c r="T62" s="315"/>
      <c r="U62" s="315"/>
      <c r="V62" s="315"/>
      <c r="W62" s="315"/>
      <c r="X62" s="315"/>
      <c r="Y62" s="315"/>
      <c r="Z62" s="315"/>
      <c r="AA62" s="315"/>
      <c r="AB62" s="315"/>
      <c r="AC62" s="315"/>
      <c r="AD62" s="315"/>
      <c r="AE62" s="315"/>
      <c r="AF62" s="315"/>
      <c r="AG62" s="315"/>
      <c r="AH62" s="315"/>
      <c r="AI62" s="316"/>
      <c r="AJ62" s="314"/>
      <c r="AK62" s="315"/>
      <c r="AL62" s="316"/>
      <c r="AM62" s="314"/>
      <c r="AN62" s="315"/>
      <c r="AO62" s="316"/>
      <c r="AP62" s="314"/>
      <c r="AQ62" s="315"/>
      <c r="AR62" s="315"/>
      <c r="AS62" s="315"/>
      <c r="AT62" s="316"/>
      <c r="AU62" s="314" t="s">
        <v>147</v>
      </c>
      <c r="AV62" s="315" t="s">
        <v>150</v>
      </c>
      <c r="AW62" s="315" t="s">
        <v>148</v>
      </c>
      <c r="AX62" s="315" t="s">
        <v>150</v>
      </c>
      <c r="AY62" s="315" t="s">
        <v>148</v>
      </c>
      <c r="AZ62" s="315" t="s">
        <v>147</v>
      </c>
      <c r="BA62" s="315"/>
      <c r="BB62" s="316" t="s">
        <v>148</v>
      </c>
      <c r="BC62" s="314" t="s">
        <v>149</v>
      </c>
      <c r="BD62" s="315" t="s">
        <v>147</v>
      </c>
      <c r="BE62" s="315"/>
      <c r="BF62" s="315" t="s">
        <v>147</v>
      </c>
      <c r="BG62" s="316"/>
      <c r="BH62" s="314"/>
      <c r="BI62" s="315"/>
      <c r="BJ62" s="316"/>
      <c r="BK62" s="314"/>
      <c r="BL62" s="315"/>
      <c r="BM62" s="315"/>
      <c r="BN62" s="316"/>
      <c r="BO62" s="314"/>
      <c r="BP62" s="315"/>
      <c r="BQ62" s="315"/>
      <c r="BR62" s="315"/>
      <c r="BS62" s="315" t="s">
        <v>149</v>
      </c>
      <c r="BT62" s="315"/>
      <c r="BU62" s="315" t="s">
        <v>150</v>
      </c>
      <c r="BV62" s="316"/>
      <c r="BW62" s="314" t="s">
        <v>147</v>
      </c>
      <c r="BX62" s="315" t="s">
        <v>148</v>
      </c>
      <c r="BY62" s="315" t="s">
        <v>150</v>
      </c>
      <c r="BZ62" s="315" t="s">
        <v>147</v>
      </c>
      <c r="CA62" s="315" t="s">
        <v>47</v>
      </c>
      <c r="CB62" s="316" t="s">
        <v>150</v>
      </c>
      <c r="CC62" s="314"/>
      <c r="CD62" s="315" t="s">
        <v>148</v>
      </c>
      <c r="CE62" s="316"/>
      <c r="CF62" s="314"/>
      <c r="CG62" s="315"/>
      <c r="CH62" s="315"/>
      <c r="CI62" s="317"/>
      <c r="CK62" s="236">
        <f t="shared" si="25"/>
        <v>2</v>
      </c>
      <c r="CL62" s="237">
        <f t="shared" si="26"/>
        <v>6</v>
      </c>
      <c r="CM62" s="237">
        <f t="shared" si="27"/>
        <v>5</v>
      </c>
      <c r="CN62" s="237">
        <f t="shared" si="28"/>
        <v>5</v>
      </c>
      <c r="CO62" s="238">
        <f t="shared" si="29"/>
        <v>1</v>
      </c>
      <c r="CQ62" s="236" t="str">
        <f>desired_skills(C62,"Organisatie / klantomgeving/LB - Bedrijven","o")</f>
        <v/>
      </c>
      <c r="CR62" s="237" t="str">
        <f>desired_skills(C62,"Organisatie / klantomgeving/LB - Bedrijven","j")</f>
        <v>32</v>
      </c>
      <c r="CS62" s="237" t="str">
        <f>desired_skills(C62,"Organisatie / klantomgeving/LB - Bedrijven","m")</f>
        <v/>
      </c>
      <c r="CT62" s="237" t="str">
        <f>desired_skills(C62,"Organisatie / klantomgeving/LB - Bedrijven","s")</f>
        <v/>
      </c>
      <c r="CU62" s="238" t="str">
        <f>desired_skills(C62,"Organisatie / klantomgeving/LB - Bedrijven","e")</f>
        <v/>
      </c>
      <c r="CW62" s="236" t="str">
        <f>calc_gap('Matrix 171007_1818'!$CK$62,'Matrix 171007_1818'!$CQ$62)</f>
        <v/>
      </c>
      <c r="CX62" s="237" t="str">
        <f>calc_gap('Matrix 171007_1818'!$CL$62,'Matrix 171007_1818'!$CR$62)</f>
        <v>26</v>
      </c>
      <c r="CY62" s="237" t="str">
        <f>calc_gap('Matrix 171007_1818'!$CM$62,'Matrix 171007_1818'!$CS$62)</f>
        <v/>
      </c>
      <c r="CZ62" s="237" t="str">
        <f>calc_gap('Matrix 171007_1818'!$CN$62,'Matrix 171007_1818'!$CT$62)</f>
        <v/>
      </c>
      <c r="DA62" s="238" t="str">
        <f>calc_gap('Matrix 171007_1818'!$CO$62,'Matrix 171007_1818'!$CU$62)</f>
        <v/>
      </c>
    </row>
    <row r="63" spans="2:105" x14ac:dyDescent="0.25">
      <c r="B63" s="435"/>
      <c r="C63" s="291" t="s">
        <v>101</v>
      </c>
      <c r="D63" s="314"/>
      <c r="E63" s="315"/>
      <c r="F63" s="315"/>
      <c r="G63" s="315"/>
      <c r="H63" s="315"/>
      <c r="I63" s="315"/>
      <c r="J63" s="315"/>
      <c r="K63" s="316"/>
      <c r="L63" s="314"/>
      <c r="M63" s="315"/>
      <c r="N63" s="315"/>
      <c r="O63" s="316"/>
      <c r="P63" s="314"/>
      <c r="Q63" s="315"/>
      <c r="R63" s="315"/>
      <c r="S63" s="315"/>
      <c r="T63" s="315"/>
      <c r="U63" s="315"/>
      <c r="V63" s="315"/>
      <c r="W63" s="315"/>
      <c r="X63" s="315"/>
      <c r="Y63" s="315"/>
      <c r="Z63" s="315"/>
      <c r="AA63" s="315"/>
      <c r="AB63" s="315"/>
      <c r="AC63" s="315"/>
      <c r="AD63" s="315"/>
      <c r="AE63" s="315"/>
      <c r="AF63" s="315"/>
      <c r="AG63" s="315"/>
      <c r="AH63" s="315"/>
      <c r="AI63" s="316"/>
      <c r="AJ63" s="314"/>
      <c r="AK63" s="315"/>
      <c r="AL63" s="316"/>
      <c r="AM63" s="314"/>
      <c r="AN63" s="315"/>
      <c r="AO63" s="316"/>
      <c r="AP63" s="314"/>
      <c r="AQ63" s="315"/>
      <c r="AR63" s="315"/>
      <c r="AS63" s="315"/>
      <c r="AT63" s="316"/>
      <c r="AU63" s="314" t="s">
        <v>150</v>
      </c>
      <c r="AV63" s="315" t="s">
        <v>47</v>
      </c>
      <c r="AW63" s="315" t="s">
        <v>148</v>
      </c>
      <c r="AX63" s="315" t="s">
        <v>150</v>
      </c>
      <c r="AY63" s="315" t="s">
        <v>148</v>
      </c>
      <c r="AZ63" s="315"/>
      <c r="BA63" s="315"/>
      <c r="BB63" s="316" t="s">
        <v>148</v>
      </c>
      <c r="BC63" s="314" t="s">
        <v>149</v>
      </c>
      <c r="BD63" s="315" t="s">
        <v>147</v>
      </c>
      <c r="BE63" s="315"/>
      <c r="BF63" s="315" t="s">
        <v>150</v>
      </c>
      <c r="BG63" s="316"/>
      <c r="BH63" s="314"/>
      <c r="BI63" s="315"/>
      <c r="BJ63" s="316"/>
      <c r="BK63" s="314"/>
      <c r="BL63" s="315"/>
      <c r="BM63" s="315"/>
      <c r="BN63" s="316"/>
      <c r="BO63" s="314"/>
      <c r="BP63" s="315"/>
      <c r="BQ63" s="315"/>
      <c r="BR63" s="315"/>
      <c r="BS63" s="315" t="s">
        <v>149</v>
      </c>
      <c r="BT63" s="315"/>
      <c r="BU63" s="315" t="s">
        <v>150</v>
      </c>
      <c r="BV63" s="316"/>
      <c r="BW63" s="314" t="s">
        <v>147</v>
      </c>
      <c r="BX63" s="315" t="s">
        <v>148</v>
      </c>
      <c r="BY63" s="315" t="s">
        <v>47</v>
      </c>
      <c r="BZ63" s="315" t="s">
        <v>147</v>
      </c>
      <c r="CA63" s="315" t="s">
        <v>150</v>
      </c>
      <c r="CB63" s="316" t="s">
        <v>47</v>
      </c>
      <c r="CC63" s="314"/>
      <c r="CD63" s="315" t="s">
        <v>148</v>
      </c>
      <c r="CE63" s="316"/>
      <c r="CF63" s="314"/>
      <c r="CG63" s="315"/>
      <c r="CH63" s="315"/>
      <c r="CI63" s="317"/>
      <c r="CK63" s="236">
        <f t="shared" si="25"/>
        <v>2</v>
      </c>
      <c r="CL63" s="237">
        <f t="shared" si="26"/>
        <v>3</v>
      </c>
      <c r="CM63" s="237">
        <f t="shared" si="27"/>
        <v>5</v>
      </c>
      <c r="CN63" s="237">
        <f t="shared" si="28"/>
        <v>5</v>
      </c>
      <c r="CO63" s="238">
        <f t="shared" si="29"/>
        <v>3</v>
      </c>
      <c r="CQ63" s="236" t="str">
        <f>desired_skills(C63,"Organisatie / klantomgeving/LB - Business Support","o")</f>
        <v/>
      </c>
      <c r="CR63" s="237" t="str">
        <f>desired_skills(C63,"Organisatie / klantomgeving/LB - Business Support","j")</f>
        <v/>
      </c>
      <c r="CS63" s="237" t="str">
        <f>desired_skills(C63,"Organisatie / klantomgeving/LB - Business Support","m")</f>
        <v>33</v>
      </c>
      <c r="CT63" s="237" t="str">
        <f>desired_skills(C63,"Organisatie / klantomgeving/LB - Business Support","s")</f>
        <v/>
      </c>
      <c r="CU63" s="238" t="str">
        <f>desired_skills(C63,"Organisatie / klantomgeving/LB - Business Support","e")</f>
        <v/>
      </c>
      <c r="CW63" s="236" t="str">
        <f>calc_gap('Matrix 171007_1818'!$CK$63,'Matrix 171007_1818'!$CQ$63)</f>
        <v/>
      </c>
      <c r="CX63" s="237" t="str">
        <f>calc_gap('Matrix 171007_1818'!$CL$63,'Matrix 171007_1818'!$CR$63)</f>
        <v/>
      </c>
      <c r="CY63" s="237" t="str">
        <f>calc_gap('Matrix 171007_1818'!$CM$63,'Matrix 171007_1818'!$CS$63)</f>
        <v>28</v>
      </c>
      <c r="CZ63" s="237" t="str">
        <f>calc_gap('Matrix 171007_1818'!$CN$63,'Matrix 171007_1818'!$CT$63)</f>
        <v/>
      </c>
      <c r="DA63" s="238" t="str">
        <f>calc_gap('Matrix 171007_1818'!$CO$63,'Matrix 171007_1818'!$CU$63)</f>
        <v/>
      </c>
    </row>
    <row r="64" spans="2:105" x14ac:dyDescent="0.25">
      <c r="B64" s="435"/>
      <c r="C64" s="291" t="s">
        <v>102</v>
      </c>
      <c r="D64" s="314"/>
      <c r="E64" s="315"/>
      <c r="F64" s="315"/>
      <c r="G64" s="315"/>
      <c r="H64" s="315"/>
      <c r="I64" s="315"/>
      <c r="J64" s="315"/>
      <c r="K64" s="316"/>
      <c r="L64" s="314"/>
      <c r="M64" s="315"/>
      <c r="N64" s="315"/>
      <c r="O64" s="316"/>
      <c r="P64" s="314"/>
      <c r="Q64" s="315"/>
      <c r="R64" s="315"/>
      <c r="S64" s="315"/>
      <c r="T64" s="315"/>
      <c r="U64" s="315"/>
      <c r="V64" s="315"/>
      <c r="W64" s="315"/>
      <c r="X64" s="315"/>
      <c r="Y64" s="315"/>
      <c r="Z64" s="315"/>
      <c r="AA64" s="315"/>
      <c r="AB64" s="315"/>
      <c r="AC64" s="315"/>
      <c r="AD64" s="315"/>
      <c r="AE64" s="315"/>
      <c r="AF64" s="315"/>
      <c r="AG64" s="315"/>
      <c r="AH64" s="315"/>
      <c r="AI64" s="316"/>
      <c r="AJ64" s="314"/>
      <c r="AK64" s="315"/>
      <c r="AL64" s="316"/>
      <c r="AM64" s="314"/>
      <c r="AN64" s="315"/>
      <c r="AO64" s="316"/>
      <c r="AP64" s="314"/>
      <c r="AQ64" s="315"/>
      <c r="AR64" s="315"/>
      <c r="AS64" s="315"/>
      <c r="AT64" s="316"/>
      <c r="AU64" s="314" t="s">
        <v>147</v>
      </c>
      <c r="AV64" s="315" t="s">
        <v>47</v>
      </c>
      <c r="AW64" s="315" t="s">
        <v>148</v>
      </c>
      <c r="AX64" s="315" t="s">
        <v>150</v>
      </c>
      <c r="AY64" s="315" t="s">
        <v>148</v>
      </c>
      <c r="AZ64" s="315"/>
      <c r="BA64" s="315"/>
      <c r="BB64" s="316" t="s">
        <v>148</v>
      </c>
      <c r="BC64" s="314" t="s">
        <v>149</v>
      </c>
      <c r="BD64" s="315" t="s">
        <v>147</v>
      </c>
      <c r="BE64" s="315"/>
      <c r="BF64" s="315" t="s">
        <v>147</v>
      </c>
      <c r="BG64" s="316"/>
      <c r="BH64" s="314"/>
      <c r="BI64" s="315"/>
      <c r="BJ64" s="316"/>
      <c r="BK64" s="314"/>
      <c r="BL64" s="315"/>
      <c r="BM64" s="315"/>
      <c r="BN64" s="316"/>
      <c r="BO64" s="314" t="s">
        <v>148</v>
      </c>
      <c r="BP64" s="315" t="s">
        <v>150</v>
      </c>
      <c r="BQ64" s="315"/>
      <c r="BR64" s="315"/>
      <c r="BS64" s="315" t="s">
        <v>149</v>
      </c>
      <c r="BT64" s="315"/>
      <c r="BU64" s="315" t="s">
        <v>150</v>
      </c>
      <c r="BV64" s="316"/>
      <c r="BW64" s="314" t="s">
        <v>148</v>
      </c>
      <c r="BX64" s="315" t="s">
        <v>147</v>
      </c>
      <c r="BY64" s="315" t="s">
        <v>147</v>
      </c>
      <c r="BZ64" s="315" t="s">
        <v>148</v>
      </c>
      <c r="CA64" s="315" t="s">
        <v>150</v>
      </c>
      <c r="CB64" s="316" t="s">
        <v>47</v>
      </c>
      <c r="CC64" s="314"/>
      <c r="CD64" s="315" t="s">
        <v>148</v>
      </c>
      <c r="CE64" s="316"/>
      <c r="CF64" s="314"/>
      <c r="CG64" s="315"/>
      <c r="CH64" s="315"/>
      <c r="CI64" s="317"/>
      <c r="CK64" s="236">
        <f t="shared" si="25"/>
        <v>2</v>
      </c>
      <c r="CL64" s="237">
        <f t="shared" si="26"/>
        <v>5</v>
      </c>
      <c r="CM64" s="237">
        <f t="shared" si="27"/>
        <v>7</v>
      </c>
      <c r="CN64" s="237">
        <f t="shared" si="28"/>
        <v>4</v>
      </c>
      <c r="CO64" s="238">
        <f t="shared" si="29"/>
        <v>2</v>
      </c>
      <c r="CQ64" s="236" t="str">
        <f>desired_skills(C64,"Organisatie / klantomgeving/PPB","o")</f>
        <v/>
      </c>
      <c r="CR64" s="237" t="str">
        <f>desired_skills(C64,"Organisatie / klantomgeving/PPB","j")</f>
        <v/>
      </c>
      <c r="CS64" s="237" t="str">
        <f>desired_skills(C64,"Organisatie / klantomgeving/PPB","m")</f>
        <v/>
      </c>
      <c r="CT64" s="237" t="str">
        <f>desired_skills(C64,"Organisatie / klantomgeving/PPB","s")</f>
        <v>34</v>
      </c>
      <c r="CU64" s="238" t="str">
        <f>desired_skills(C64,"Organisatie / klantomgeving/PPB","e")</f>
        <v/>
      </c>
      <c r="CW64" s="236" t="str">
        <f>calc_gap('Matrix 171007_1818'!$CK$64,'Matrix 171007_1818'!$CQ$64)</f>
        <v/>
      </c>
      <c r="CX64" s="237" t="str">
        <f>calc_gap('Matrix 171007_1818'!$CL$64,'Matrix 171007_1818'!$CR$64)</f>
        <v/>
      </c>
      <c r="CY64" s="237" t="str">
        <f>calc_gap('Matrix 171007_1818'!$CM$64,'Matrix 171007_1818'!$CS$64)</f>
        <v/>
      </c>
      <c r="CZ64" s="237" t="str">
        <f>calc_gap('Matrix 171007_1818'!$CN$64,'Matrix 171007_1818'!$CT$64)</f>
        <v>30</v>
      </c>
      <c r="DA64" s="238" t="str">
        <f>calc_gap('Matrix 171007_1818'!$CO$64,'Matrix 171007_1818'!$CU$64)</f>
        <v/>
      </c>
    </row>
    <row r="65" spans="2:105" x14ac:dyDescent="0.25">
      <c r="B65" s="435"/>
      <c r="C65" s="291" t="s">
        <v>103</v>
      </c>
      <c r="D65" s="314"/>
      <c r="E65" s="315"/>
      <c r="F65" s="315"/>
      <c r="G65" s="315"/>
      <c r="H65" s="315"/>
      <c r="I65" s="315"/>
      <c r="J65" s="315"/>
      <c r="K65" s="316"/>
      <c r="L65" s="314"/>
      <c r="M65" s="315"/>
      <c r="N65" s="315"/>
      <c r="O65" s="316"/>
      <c r="P65" s="314"/>
      <c r="Q65" s="315"/>
      <c r="R65" s="315"/>
      <c r="S65" s="315"/>
      <c r="T65" s="315"/>
      <c r="U65" s="315"/>
      <c r="V65" s="315"/>
      <c r="W65" s="315"/>
      <c r="X65" s="315"/>
      <c r="Y65" s="315"/>
      <c r="Z65" s="315"/>
      <c r="AA65" s="315"/>
      <c r="AB65" s="315"/>
      <c r="AC65" s="315"/>
      <c r="AD65" s="315"/>
      <c r="AE65" s="315"/>
      <c r="AF65" s="315"/>
      <c r="AG65" s="315"/>
      <c r="AH65" s="315"/>
      <c r="AI65" s="316"/>
      <c r="AJ65" s="314"/>
      <c r="AK65" s="315"/>
      <c r="AL65" s="316"/>
      <c r="AM65" s="314"/>
      <c r="AN65" s="315"/>
      <c r="AO65" s="316"/>
      <c r="AP65" s="314"/>
      <c r="AQ65" s="315"/>
      <c r="AR65" s="315"/>
      <c r="AS65" s="315"/>
      <c r="AT65" s="316"/>
      <c r="AU65" s="314" t="s">
        <v>148</v>
      </c>
      <c r="AV65" s="315" t="s">
        <v>148</v>
      </c>
      <c r="AW65" s="315" t="s">
        <v>148</v>
      </c>
      <c r="AX65" s="315" t="s">
        <v>150</v>
      </c>
      <c r="AY65" s="315" t="s">
        <v>148</v>
      </c>
      <c r="AZ65" s="315"/>
      <c r="BA65" s="315"/>
      <c r="BB65" s="316" t="s">
        <v>148</v>
      </c>
      <c r="BC65" s="314" t="s">
        <v>149</v>
      </c>
      <c r="BD65" s="315" t="s">
        <v>147</v>
      </c>
      <c r="BE65" s="315"/>
      <c r="BF65" s="315" t="s">
        <v>147</v>
      </c>
      <c r="BG65" s="316"/>
      <c r="BH65" s="314"/>
      <c r="BI65" s="315"/>
      <c r="BJ65" s="316"/>
      <c r="BK65" s="314"/>
      <c r="BL65" s="315"/>
      <c r="BM65" s="315"/>
      <c r="BN65" s="316"/>
      <c r="BO65" s="314" t="s">
        <v>148</v>
      </c>
      <c r="BP65" s="315" t="s">
        <v>150</v>
      </c>
      <c r="BQ65" s="315"/>
      <c r="BR65" s="315"/>
      <c r="BS65" s="315" t="s">
        <v>149</v>
      </c>
      <c r="BT65" s="315"/>
      <c r="BU65" s="315" t="s">
        <v>150</v>
      </c>
      <c r="BV65" s="316"/>
      <c r="BW65" s="314" t="s">
        <v>148</v>
      </c>
      <c r="BX65" s="315" t="s">
        <v>147</v>
      </c>
      <c r="BY65" s="315" t="s">
        <v>147</v>
      </c>
      <c r="BZ65" s="315" t="s">
        <v>148</v>
      </c>
      <c r="CA65" s="315" t="s">
        <v>47</v>
      </c>
      <c r="CB65" s="316" t="s">
        <v>148</v>
      </c>
      <c r="CC65" s="314"/>
      <c r="CD65" s="315" t="s">
        <v>148</v>
      </c>
      <c r="CE65" s="316"/>
      <c r="CF65" s="314"/>
      <c r="CG65" s="315"/>
      <c r="CH65" s="315"/>
      <c r="CI65" s="317"/>
      <c r="CK65" s="236">
        <f t="shared" si="25"/>
        <v>2</v>
      </c>
      <c r="CL65" s="237">
        <f t="shared" si="26"/>
        <v>4</v>
      </c>
      <c r="CM65" s="237">
        <f t="shared" si="27"/>
        <v>10</v>
      </c>
      <c r="CN65" s="237">
        <f t="shared" si="28"/>
        <v>3</v>
      </c>
      <c r="CO65" s="238">
        <f t="shared" si="29"/>
        <v>1</v>
      </c>
      <c r="CQ65" s="236" t="str">
        <f>desired_skills(C65,"Organisatie / klantomgeving/Bedrijven","o")</f>
        <v/>
      </c>
      <c r="CR65" s="237" t="str">
        <f>desired_skills(C65,"Organisatie / klantomgeving/Bedrijven","j")</f>
        <v/>
      </c>
      <c r="CS65" s="237" t="str">
        <f>desired_skills(C65,"Organisatie / klantomgeving/Bedrijven","m")</f>
        <v/>
      </c>
      <c r="CT65" s="237" t="str">
        <f>desired_skills(C65,"Organisatie / klantomgeving/Bedrijven","s")</f>
        <v/>
      </c>
      <c r="CU65" s="238" t="str">
        <f>desired_skills(C65,"Organisatie / klantomgeving/Bedrijven","e")</f>
        <v>35</v>
      </c>
      <c r="CW65" s="236" t="str">
        <f>calc_gap('Matrix 171007_1818'!$CK$65,'Matrix 171007_1818'!$CQ$65)</f>
        <v/>
      </c>
      <c r="CX65" s="237" t="str">
        <f>calc_gap('Matrix 171007_1818'!$CL$65,'Matrix 171007_1818'!$CR$65)</f>
        <v/>
      </c>
      <c r="CY65" s="237" t="str">
        <f>calc_gap('Matrix 171007_1818'!$CM$65,'Matrix 171007_1818'!$CS$65)</f>
        <v/>
      </c>
      <c r="CZ65" s="237" t="str">
        <f>calc_gap('Matrix 171007_1818'!$CN$65,'Matrix 171007_1818'!$CT$65)</f>
        <v/>
      </c>
      <c r="DA65" s="238" t="str">
        <f>calc_gap('Matrix 171007_1818'!$CO$65,'Matrix 171007_1818'!$CU$65)</f>
        <v>34</v>
      </c>
    </row>
    <row r="66" spans="2:105" x14ac:dyDescent="0.25">
      <c r="B66" s="435"/>
      <c r="C66" s="291" t="s">
        <v>104</v>
      </c>
      <c r="D66" s="314"/>
      <c r="E66" s="315"/>
      <c r="F66" s="315"/>
      <c r="G66" s="315"/>
      <c r="H66" s="315"/>
      <c r="I66" s="315"/>
      <c r="J66" s="315"/>
      <c r="K66" s="316"/>
      <c r="L66" s="314"/>
      <c r="M66" s="315"/>
      <c r="N66" s="315"/>
      <c r="O66" s="316"/>
      <c r="P66" s="314"/>
      <c r="Q66" s="315"/>
      <c r="R66" s="315"/>
      <c r="S66" s="315"/>
      <c r="T66" s="315"/>
      <c r="U66" s="315"/>
      <c r="V66" s="315"/>
      <c r="W66" s="315"/>
      <c r="X66" s="315"/>
      <c r="Y66" s="315"/>
      <c r="Z66" s="315"/>
      <c r="AA66" s="315"/>
      <c r="AB66" s="315"/>
      <c r="AC66" s="315"/>
      <c r="AD66" s="315"/>
      <c r="AE66" s="315"/>
      <c r="AF66" s="315"/>
      <c r="AG66" s="315"/>
      <c r="AH66" s="315"/>
      <c r="AI66" s="316"/>
      <c r="AJ66" s="314"/>
      <c r="AK66" s="315"/>
      <c r="AL66" s="316"/>
      <c r="AM66" s="314"/>
      <c r="AN66" s="315"/>
      <c r="AO66" s="316"/>
      <c r="AP66" s="314"/>
      <c r="AQ66" s="315"/>
      <c r="AR66" s="315"/>
      <c r="AS66" s="315"/>
      <c r="AT66" s="316"/>
      <c r="AU66" s="314" t="s">
        <v>147</v>
      </c>
      <c r="AV66" s="315" t="s">
        <v>148</v>
      </c>
      <c r="AW66" s="315" t="s">
        <v>147</v>
      </c>
      <c r="AX66" s="315" t="s">
        <v>150</v>
      </c>
      <c r="AY66" s="315" t="s">
        <v>148</v>
      </c>
      <c r="AZ66" s="315"/>
      <c r="BA66" s="315"/>
      <c r="BB66" s="316" t="s">
        <v>148</v>
      </c>
      <c r="BC66" s="314" t="s">
        <v>149</v>
      </c>
      <c r="BD66" s="315" t="s">
        <v>147</v>
      </c>
      <c r="BE66" s="315"/>
      <c r="BF66" s="315" t="s">
        <v>147</v>
      </c>
      <c r="BG66" s="316"/>
      <c r="BH66" s="314"/>
      <c r="BI66" s="315"/>
      <c r="BJ66" s="316"/>
      <c r="BK66" s="314"/>
      <c r="BL66" s="315"/>
      <c r="BM66" s="315"/>
      <c r="BN66" s="316"/>
      <c r="BO66" s="314" t="s">
        <v>147</v>
      </c>
      <c r="BP66" s="315" t="s">
        <v>147</v>
      </c>
      <c r="BQ66" s="315"/>
      <c r="BR66" s="315"/>
      <c r="BS66" s="315" t="s">
        <v>149</v>
      </c>
      <c r="BT66" s="315"/>
      <c r="BU66" s="315" t="s">
        <v>148</v>
      </c>
      <c r="BV66" s="316"/>
      <c r="BW66" s="314" t="s">
        <v>148</v>
      </c>
      <c r="BX66" s="315"/>
      <c r="BY66" s="315" t="s">
        <v>150</v>
      </c>
      <c r="BZ66" s="315" t="s">
        <v>148</v>
      </c>
      <c r="CA66" s="315" t="s">
        <v>47</v>
      </c>
      <c r="CB66" s="316" t="s">
        <v>150</v>
      </c>
      <c r="CC66" s="314"/>
      <c r="CD66" s="315" t="s">
        <v>148</v>
      </c>
      <c r="CE66" s="316"/>
      <c r="CF66" s="314"/>
      <c r="CG66" s="315"/>
      <c r="CH66" s="315"/>
      <c r="CI66" s="317"/>
      <c r="CK66" s="236">
        <f t="shared" si="25"/>
        <v>2</v>
      </c>
      <c r="CL66" s="237">
        <f t="shared" si="26"/>
        <v>6</v>
      </c>
      <c r="CM66" s="237">
        <f t="shared" si="27"/>
        <v>7</v>
      </c>
      <c r="CN66" s="237">
        <f t="shared" si="28"/>
        <v>3</v>
      </c>
      <c r="CO66" s="238">
        <f t="shared" si="29"/>
        <v>1</v>
      </c>
      <c r="CQ66" s="236" t="str">
        <f>desired_skills(C66,"Organisatie / klantomgeving/Digitale Bank","o")</f>
        <v/>
      </c>
      <c r="CR66" s="237" t="str">
        <f>desired_skills(C66,"Organisatie / klantomgeving/Digitale Bank","j")</f>
        <v/>
      </c>
      <c r="CS66" s="237" t="str">
        <f>desired_skills(C66,"Organisatie / klantomgeving/Digitale Bank","m")</f>
        <v/>
      </c>
      <c r="CT66" s="237" t="str">
        <f>desired_skills(C66,"Organisatie / klantomgeving/Digitale Bank","s")</f>
        <v/>
      </c>
      <c r="CU66" s="238" t="str">
        <f>desired_skills(C66,"Organisatie / klantomgeving/Digitale Bank","e")</f>
        <v/>
      </c>
      <c r="CW66" s="236" t="str">
        <f>calc_gap('Matrix 171007_1818'!$CK$66,'Matrix 171007_1818'!$CQ$66)</f>
        <v/>
      </c>
      <c r="CX66" s="237" t="str">
        <f>calc_gap('Matrix 171007_1818'!$CL$66,'Matrix 171007_1818'!$CR$66)</f>
        <v/>
      </c>
      <c r="CY66" s="237" t="str">
        <f>calc_gap('Matrix 171007_1818'!$CM$66,'Matrix 171007_1818'!$CS$66)</f>
        <v/>
      </c>
      <c r="CZ66" s="237" t="str">
        <f>calc_gap('Matrix 171007_1818'!$CN$66,'Matrix 171007_1818'!$CT$66)</f>
        <v/>
      </c>
      <c r="DA66" s="238" t="str">
        <f>calc_gap('Matrix 171007_1818'!$CO$66,'Matrix 171007_1818'!$CU$66)</f>
        <v/>
      </c>
    </row>
    <row r="67" spans="2:105" x14ac:dyDescent="0.25">
      <c r="B67" s="435"/>
      <c r="C67" s="291" t="s">
        <v>105</v>
      </c>
      <c r="D67" s="314"/>
      <c r="E67" s="315"/>
      <c r="F67" s="315"/>
      <c r="G67" s="315"/>
      <c r="H67" s="315"/>
      <c r="I67" s="315"/>
      <c r="J67" s="315"/>
      <c r="K67" s="316"/>
      <c r="L67" s="314"/>
      <c r="M67" s="315"/>
      <c r="N67" s="315"/>
      <c r="O67" s="316"/>
      <c r="P67" s="314"/>
      <c r="Q67" s="315"/>
      <c r="R67" s="315"/>
      <c r="S67" s="315"/>
      <c r="T67" s="315"/>
      <c r="U67" s="315"/>
      <c r="V67" s="315"/>
      <c r="W67" s="315"/>
      <c r="X67" s="315"/>
      <c r="Y67" s="315"/>
      <c r="Z67" s="315"/>
      <c r="AA67" s="315"/>
      <c r="AB67" s="315"/>
      <c r="AC67" s="315"/>
      <c r="AD67" s="315"/>
      <c r="AE67" s="315"/>
      <c r="AF67" s="315"/>
      <c r="AG67" s="315"/>
      <c r="AH67" s="315"/>
      <c r="AI67" s="316"/>
      <c r="AJ67" s="314"/>
      <c r="AK67" s="315"/>
      <c r="AL67" s="316"/>
      <c r="AM67" s="314"/>
      <c r="AN67" s="315"/>
      <c r="AO67" s="316"/>
      <c r="AP67" s="314"/>
      <c r="AQ67" s="315"/>
      <c r="AR67" s="315"/>
      <c r="AS67" s="315"/>
      <c r="AT67" s="316"/>
      <c r="AU67" s="314" t="s">
        <v>150</v>
      </c>
      <c r="AV67" s="315" t="s">
        <v>150</v>
      </c>
      <c r="AW67" s="315" t="s">
        <v>147</v>
      </c>
      <c r="AX67" s="315" t="s">
        <v>150</v>
      </c>
      <c r="AY67" s="315" t="s">
        <v>150</v>
      </c>
      <c r="AZ67" s="315"/>
      <c r="BA67" s="315"/>
      <c r="BB67" s="316" t="s">
        <v>147</v>
      </c>
      <c r="BC67" s="314" t="s">
        <v>149</v>
      </c>
      <c r="BD67" s="315" t="s">
        <v>147</v>
      </c>
      <c r="BE67" s="315"/>
      <c r="BF67" s="315" t="s">
        <v>147</v>
      </c>
      <c r="BG67" s="316"/>
      <c r="BH67" s="314"/>
      <c r="BI67" s="315"/>
      <c r="BJ67" s="316"/>
      <c r="BK67" s="314"/>
      <c r="BL67" s="315"/>
      <c r="BM67" s="315"/>
      <c r="BN67" s="316"/>
      <c r="BO67" s="314" t="s">
        <v>148</v>
      </c>
      <c r="BP67" s="315" t="s">
        <v>148</v>
      </c>
      <c r="BQ67" s="315"/>
      <c r="BR67" s="315"/>
      <c r="BS67" s="315" t="s">
        <v>149</v>
      </c>
      <c r="BT67" s="315"/>
      <c r="BU67" s="315" t="s">
        <v>150</v>
      </c>
      <c r="BV67" s="316"/>
      <c r="BW67" s="314" t="s">
        <v>148</v>
      </c>
      <c r="BX67" s="315"/>
      <c r="BY67" s="315"/>
      <c r="BZ67" s="315" t="s">
        <v>148</v>
      </c>
      <c r="CA67" s="315" t="s">
        <v>147</v>
      </c>
      <c r="CB67" s="316" t="s">
        <v>147</v>
      </c>
      <c r="CC67" s="314"/>
      <c r="CD67" s="315" t="s">
        <v>147</v>
      </c>
      <c r="CE67" s="316"/>
      <c r="CF67" s="314"/>
      <c r="CG67" s="315"/>
      <c r="CH67" s="315"/>
      <c r="CI67" s="317"/>
      <c r="CK67" s="236">
        <f t="shared" si="25"/>
        <v>2</v>
      </c>
      <c r="CL67" s="237">
        <f t="shared" si="26"/>
        <v>7</v>
      </c>
      <c r="CM67" s="237">
        <f t="shared" si="27"/>
        <v>4</v>
      </c>
      <c r="CN67" s="237">
        <f t="shared" si="28"/>
        <v>5</v>
      </c>
      <c r="CO67" s="238" t="str">
        <f t="shared" si="29"/>
        <v/>
      </c>
      <c r="CQ67" s="236" t="str">
        <f>desired_skills(C67,"Organisatie / klantomgeving/CRO","o")</f>
        <v/>
      </c>
      <c r="CR67" s="237" t="str">
        <f>desired_skills(C67,"Organisatie / klantomgeving/CRO","j")</f>
        <v/>
      </c>
      <c r="CS67" s="237" t="str">
        <f>desired_skills(C67,"Organisatie / klantomgeving/CRO","m")</f>
        <v/>
      </c>
      <c r="CT67" s="237" t="str">
        <f>desired_skills(C67,"Organisatie / klantomgeving/CRO","s")</f>
        <v/>
      </c>
      <c r="CU67" s="238" t="str">
        <f>desired_skills(C67,"Organisatie / klantomgeving/CRO","e")</f>
        <v/>
      </c>
      <c r="CW67" s="236" t="str">
        <f>calc_gap('Matrix 171007_1818'!$CK$67,'Matrix 171007_1818'!$CQ$67)</f>
        <v/>
      </c>
      <c r="CX67" s="237" t="str">
        <f>calc_gap('Matrix 171007_1818'!$CL$67,'Matrix 171007_1818'!$CR$67)</f>
        <v/>
      </c>
      <c r="CY67" s="237" t="str">
        <f>calc_gap('Matrix 171007_1818'!$CM$67,'Matrix 171007_1818'!$CS$67)</f>
        <v/>
      </c>
      <c r="CZ67" s="237" t="str">
        <f>calc_gap('Matrix 171007_1818'!$CN$67,'Matrix 171007_1818'!$CT$67)</f>
        <v/>
      </c>
      <c r="DA67" s="238" t="str">
        <f>calc_gap('Matrix 171007_1818'!$CO$67,'Matrix 171007_1818'!$CU$67)</f>
        <v/>
      </c>
    </row>
    <row r="68" spans="2:105" x14ac:dyDescent="0.25">
      <c r="B68" s="435"/>
      <c r="C68" s="291" t="s">
        <v>106</v>
      </c>
      <c r="D68" s="314"/>
      <c r="E68" s="315"/>
      <c r="F68" s="315"/>
      <c r="G68" s="315"/>
      <c r="H68" s="315"/>
      <c r="I68" s="315"/>
      <c r="J68" s="315"/>
      <c r="K68" s="316"/>
      <c r="L68" s="314"/>
      <c r="M68" s="315"/>
      <c r="N68" s="315"/>
      <c r="O68" s="316"/>
      <c r="P68" s="314"/>
      <c r="Q68" s="315"/>
      <c r="R68" s="315"/>
      <c r="S68" s="315"/>
      <c r="T68" s="315"/>
      <c r="U68" s="315"/>
      <c r="V68" s="315"/>
      <c r="W68" s="315"/>
      <c r="X68" s="315"/>
      <c r="Y68" s="315"/>
      <c r="Z68" s="315"/>
      <c r="AA68" s="315"/>
      <c r="AB68" s="315"/>
      <c r="AC68" s="315"/>
      <c r="AD68" s="315"/>
      <c r="AE68" s="315"/>
      <c r="AF68" s="315"/>
      <c r="AG68" s="315"/>
      <c r="AH68" s="315"/>
      <c r="AI68" s="316"/>
      <c r="AJ68" s="314"/>
      <c r="AK68" s="315"/>
      <c r="AL68" s="316"/>
      <c r="AM68" s="314"/>
      <c r="AN68" s="315"/>
      <c r="AO68" s="316"/>
      <c r="AP68" s="314"/>
      <c r="AQ68" s="315"/>
      <c r="AR68" s="315"/>
      <c r="AS68" s="315"/>
      <c r="AT68" s="316"/>
      <c r="AU68" s="314" t="s">
        <v>148</v>
      </c>
      <c r="AV68" s="315" t="s">
        <v>148</v>
      </c>
      <c r="AW68" s="315" t="s">
        <v>147</v>
      </c>
      <c r="AX68" s="315" t="s">
        <v>150</v>
      </c>
      <c r="AY68" s="315" t="s">
        <v>150</v>
      </c>
      <c r="AZ68" s="315"/>
      <c r="BA68" s="315"/>
      <c r="BB68" s="316" t="s">
        <v>148</v>
      </c>
      <c r="BC68" s="314" t="s">
        <v>149</v>
      </c>
      <c r="BD68" s="315" t="s">
        <v>147</v>
      </c>
      <c r="BE68" s="315"/>
      <c r="BF68" s="315"/>
      <c r="BG68" s="316"/>
      <c r="BH68" s="314"/>
      <c r="BI68" s="315"/>
      <c r="BJ68" s="316"/>
      <c r="BK68" s="314"/>
      <c r="BL68" s="315"/>
      <c r="BM68" s="315"/>
      <c r="BN68" s="316"/>
      <c r="BO68" s="314" t="s">
        <v>148</v>
      </c>
      <c r="BP68" s="315" t="s">
        <v>148</v>
      </c>
      <c r="BQ68" s="315"/>
      <c r="BR68" s="315"/>
      <c r="BS68" s="315" t="s">
        <v>149</v>
      </c>
      <c r="BT68" s="315"/>
      <c r="BU68" s="315" t="s">
        <v>150</v>
      </c>
      <c r="BV68" s="316"/>
      <c r="BW68" s="314" t="s">
        <v>148</v>
      </c>
      <c r="BX68" s="315"/>
      <c r="BY68" s="315"/>
      <c r="BZ68" s="315" t="s">
        <v>148</v>
      </c>
      <c r="CA68" s="315" t="s">
        <v>147</v>
      </c>
      <c r="CB68" s="316" t="s">
        <v>147</v>
      </c>
      <c r="CC68" s="314"/>
      <c r="CD68" s="315" t="s">
        <v>147</v>
      </c>
      <c r="CE68" s="316"/>
      <c r="CF68" s="314"/>
      <c r="CG68" s="315"/>
      <c r="CH68" s="315"/>
      <c r="CI68" s="317"/>
      <c r="CK68" s="236">
        <f t="shared" si="25"/>
        <v>2</v>
      </c>
      <c r="CL68" s="237">
        <f t="shared" si="26"/>
        <v>5</v>
      </c>
      <c r="CM68" s="237">
        <f t="shared" si="27"/>
        <v>7</v>
      </c>
      <c r="CN68" s="237">
        <f t="shared" si="28"/>
        <v>3</v>
      </c>
      <c r="CO68" s="238" t="str">
        <f t="shared" si="29"/>
        <v/>
      </c>
      <c r="CQ68" s="236" t="str">
        <f>desired_skills(C68,"Organisatie / klantomgeving/CFO","o")</f>
        <v/>
      </c>
      <c r="CR68" s="237" t="str">
        <f>desired_skills(C68,"Organisatie / klantomgeving/CFO","j")</f>
        <v/>
      </c>
      <c r="CS68" s="237" t="str">
        <f>desired_skills(C68,"Organisatie / klantomgeving/CFO","m")</f>
        <v/>
      </c>
      <c r="CT68" s="237" t="str">
        <f>desired_skills(C68,"Organisatie / klantomgeving/CFO","s")</f>
        <v/>
      </c>
      <c r="CU68" s="238" t="str">
        <f>desired_skills(C68,"Organisatie / klantomgeving/CFO","e")</f>
        <v/>
      </c>
      <c r="CW68" s="236" t="str">
        <f>calc_gap('Matrix 171007_1818'!$CK$68,'Matrix 171007_1818'!$CQ$68)</f>
        <v/>
      </c>
      <c r="CX68" s="237" t="str">
        <f>calc_gap('Matrix 171007_1818'!$CL$68,'Matrix 171007_1818'!$CR$68)</f>
        <v/>
      </c>
      <c r="CY68" s="237" t="str">
        <f>calc_gap('Matrix 171007_1818'!$CM$68,'Matrix 171007_1818'!$CS$68)</f>
        <v/>
      </c>
      <c r="CZ68" s="237" t="str">
        <f>calc_gap('Matrix 171007_1818'!$CN$68,'Matrix 171007_1818'!$CT$68)</f>
        <v/>
      </c>
      <c r="DA68" s="238" t="str">
        <f>calc_gap('Matrix 171007_1818'!$CO$68,'Matrix 171007_1818'!$CU$68)</f>
        <v/>
      </c>
    </row>
    <row r="69" spans="2:105" x14ac:dyDescent="0.25">
      <c r="B69" s="435"/>
      <c r="C69" s="291" t="s">
        <v>107</v>
      </c>
      <c r="D69" s="314"/>
      <c r="E69" s="315"/>
      <c r="F69" s="315"/>
      <c r="G69" s="315"/>
      <c r="H69" s="315"/>
      <c r="I69" s="315"/>
      <c r="J69" s="315"/>
      <c r="K69" s="316"/>
      <c r="L69" s="314"/>
      <c r="M69" s="315"/>
      <c r="N69" s="315"/>
      <c r="O69" s="316"/>
      <c r="P69" s="314"/>
      <c r="Q69" s="315"/>
      <c r="R69" s="315"/>
      <c r="S69" s="315"/>
      <c r="T69" s="315"/>
      <c r="U69" s="315"/>
      <c r="V69" s="315"/>
      <c r="W69" s="315"/>
      <c r="X69" s="315"/>
      <c r="Y69" s="315"/>
      <c r="Z69" s="315"/>
      <c r="AA69" s="315"/>
      <c r="AB69" s="315"/>
      <c r="AC69" s="315"/>
      <c r="AD69" s="315"/>
      <c r="AE69" s="315"/>
      <c r="AF69" s="315"/>
      <c r="AG69" s="315"/>
      <c r="AH69" s="315"/>
      <c r="AI69" s="316"/>
      <c r="AJ69" s="314"/>
      <c r="AK69" s="315"/>
      <c r="AL69" s="316"/>
      <c r="AM69" s="314"/>
      <c r="AN69" s="315"/>
      <c r="AO69" s="316"/>
      <c r="AP69" s="314"/>
      <c r="AQ69" s="315"/>
      <c r="AR69" s="315"/>
      <c r="AS69" s="315"/>
      <c r="AT69" s="316"/>
      <c r="AU69" s="314" t="s">
        <v>148</v>
      </c>
      <c r="AV69" s="315" t="s">
        <v>148</v>
      </c>
      <c r="AW69" s="315" t="s">
        <v>147</v>
      </c>
      <c r="AX69" s="315" t="s">
        <v>150</v>
      </c>
      <c r="AY69" s="315" t="s">
        <v>150</v>
      </c>
      <c r="AZ69" s="315"/>
      <c r="BA69" s="315"/>
      <c r="BB69" s="316" t="s">
        <v>148</v>
      </c>
      <c r="BC69" s="314" t="s">
        <v>149</v>
      </c>
      <c r="BD69" s="315" t="s">
        <v>147</v>
      </c>
      <c r="BE69" s="315"/>
      <c r="BF69" s="315"/>
      <c r="BG69" s="316"/>
      <c r="BH69" s="314"/>
      <c r="BI69" s="315"/>
      <c r="BJ69" s="316"/>
      <c r="BK69" s="314"/>
      <c r="BL69" s="315"/>
      <c r="BM69" s="315"/>
      <c r="BN69" s="316"/>
      <c r="BO69" s="314" t="s">
        <v>147</v>
      </c>
      <c r="BP69" s="315" t="s">
        <v>150</v>
      </c>
      <c r="BQ69" s="315"/>
      <c r="BR69" s="315"/>
      <c r="BS69" s="315" t="s">
        <v>149</v>
      </c>
      <c r="BT69" s="315"/>
      <c r="BU69" s="315" t="s">
        <v>150</v>
      </c>
      <c r="BV69" s="316"/>
      <c r="BW69" s="314" t="s">
        <v>148</v>
      </c>
      <c r="BX69" s="315"/>
      <c r="BY69" s="315"/>
      <c r="BZ69" s="315" t="s">
        <v>150</v>
      </c>
      <c r="CA69" s="315" t="s">
        <v>148</v>
      </c>
      <c r="CB69" s="316" t="s">
        <v>147</v>
      </c>
      <c r="CC69" s="314"/>
      <c r="CD69" s="315" t="s">
        <v>147</v>
      </c>
      <c r="CE69" s="316"/>
      <c r="CF69" s="314"/>
      <c r="CG69" s="315"/>
      <c r="CH69" s="315"/>
      <c r="CI69" s="317"/>
      <c r="CK69" s="236">
        <f t="shared" si="25"/>
        <v>2</v>
      </c>
      <c r="CL69" s="237">
        <f t="shared" si="26"/>
        <v>5</v>
      </c>
      <c r="CM69" s="237">
        <f t="shared" si="27"/>
        <v>5</v>
      </c>
      <c r="CN69" s="237">
        <f t="shared" si="28"/>
        <v>5</v>
      </c>
      <c r="CO69" s="238" t="str">
        <f t="shared" si="29"/>
        <v/>
      </c>
      <c r="CQ69" s="236" t="str">
        <f>desired_skills(C69,"Organisatie / klantomgeving/COO - OPS B&amp;V","o")</f>
        <v/>
      </c>
      <c r="CR69" s="237" t="str">
        <f>desired_skills(C69,"Organisatie / klantomgeving/COO - OPS B&amp;V","j")</f>
        <v/>
      </c>
      <c r="CS69" s="237" t="str">
        <f>desired_skills(C69,"Organisatie / klantomgeving/COO - OPS B&amp;V","m")</f>
        <v/>
      </c>
      <c r="CT69" s="237" t="str">
        <f>desired_skills(C69,"Organisatie / klantomgeving/COO - OPS B&amp;V","s")</f>
        <v/>
      </c>
      <c r="CU69" s="238" t="str">
        <f>desired_skills(C69,"Organisatie / klantomgeving/COO - OPS B&amp;V","e")</f>
        <v/>
      </c>
      <c r="CW69" s="236" t="str">
        <f>calc_gap('Matrix 171007_1818'!$CK$69,'Matrix 171007_1818'!$CQ$69)</f>
        <v/>
      </c>
      <c r="CX69" s="237" t="str">
        <f>calc_gap('Matrix 171007_1818'!$CL$69,'Matrix 171007_1818'!$CR$69)</f>
        <v/>
      </c>
      <c r="CY69" s="237" t="str">
        <f>calc_gap('Matrix 171007_1818'!$CM$69,'Matrix 171007_1818'!$CS$69)</f>
        <v/>
      </c>
      <c r="CZ69" s="237" t="str">
        <f>calc_gap('Matrix 171007_1818'!$CN$69,'Matrix 171007_1818'!$CT$69)</f>
        <v/>
      </c>
      <c r="DA69" s="238" t="str">
        <f>calc_gap('Matrix 171007_1818'!$CO$69,'Matrix 171007_1818'!$CU$69)</f>
        <v/>
      </c>
    </row>
    <row r="70" spans="2:105" x14ac:dyDescent="0.25">
      <c r="B70" s="435"/>
      <c r="C70" s="291" t="s">
        <v>108</v>
      </c>
      <c r="D70" s="314"/>
      <c r="E70" s="315"/>
      <c r="F70" s="315"/>
      <c r="G70" s="315"/>
      <c r="H70" s="315"/>
      <c r="I70" s="315"/>
      <c r="J70" s="315"/>
      <c r="K70" s="316"/>
      <c r="L70" s="314"/>
      <c r="M70" s="315"/>
      <c r="N70" s="315"/>
      <c r="O70" s="316"/>
      <c r="P70" s="314"/>
      <c r="Q70" s="315"/>
      <c r="R70" s="315"/>
      <c r="S70" s="315"/>
      <c r="T70" s="315"/>
      <c r="U70" s="315"/>
      <c r="V70" s="315"/>
      <c r="W70" s="315"/>
      <c r="X70" s="315"/>
      <c r="Y70" s="315"/>
      <c r="Z70" s="315"/>
      <c r="AA70" s="315"/>
      <c r="AB70" s="315"/>
      <c r="AC70" s="315"/>
      <c r="AD70" s="315"/>
      <c r="AE70" s="315"/>
      <c r="AF70" s="315"/>
      <c r="AG70" s="315"/>
      <c r="AH70" s="315"/>
      <c r="AI70" s="316"/>
      <c r="AJ70" s="314"/>
      <c r="AK70" s="315"/>
      <c r="AL70" s="316"/>
      <c r="AM70" s="314"/>
      <c r="AN70" s="315"/>
      <c r="AO70" s="316"/>
      <c r="AP70" s="314"/>
      <c r="AQ70" s="315"/>
      <c r="AR70" s="315"/>
      <c r="AS70" s="315"/>
      <c r="AT70" s="316"/>
      <c r="AU70" s="314" t="s">
        <v>148</v>
      </c>
      <c r="AV70" s="315" t="s">
        <v>148</v>
      </c>
      <c r="AW70" s="315" t="s">
        <v>147</v>
      </c>
      <c r="AX70" s="315" t="s">
        <v>150</v>
      </c>
      <c r="AY70" s="315" t="s">
        <v>150</v>
      </c>
      <c r="AZ70" s="315"/>
      <c r="BA70" s="315"/>
      <c r="BB70" s="316" t="s">
        <v>148</v>
      </c>
      <c r="BC70" s="314" t="s">
        <v>148</v>
      </c>
      <c r="BD70" s="315" t="s">
        <v>147</v>
      </c>
      <c r="BE70" s="315"/>
      <c r="BF70" s="315"/>
      <c r="BG70" s="316"/>
      <c r="BH70" s="314"/>
      <c r="BI70" s="315"/>
      <c r="BJ70" s="316"/>
      <c r="BK70" s="314"/>
      <c r="BL70" s="315"/>
      <c r="BM70" s="315"/>
      <c r="BN70" s="316"/>
      <c r="BO70" s="314" t="s">
        <v>147</v>
      </c>
      <c r="BP70" s="315" t="s">
        <v>150</v>
      </c>
      <c r="BQ70" s="315"/>
      <c r="BR70" s="315"/>
      <c r="BS70" s="315" t="s">
        <v>149</v>
      </c>
      <c r="BT70" s="315"/>
      <c r="BU70" s="315" t="s">
        <v>150</v>
      </c>
      <c r="BV70" s="316"/>
      <c r="BW70" s="314" t="s">
        <v>148</v>
      </c>
      <c r="BX70" s="315"/>
      <c r="BY70" s="315"/>
      <c r="BZ70" s="315" t="s">
        <v>150</v>
      </c>
      <c r="CA70" s="315" t="s">
        <v>150</v>
      </c>
      <c r="CB70" s="316" t="s">
        <v>147</v>
      </c>
      <c r="CC70" s="314"/>
      <c r="CD70" s="315" t="s">
        <v>147</v>
      </c>
      <c r="CE70" s="316"/>
      <c r="CF70" s="314"/>
      <c r="CG70" s="315"/>
      <c r="CH70" s="315"/>
      <c r="CI70" s="317"/>
      <c r="CK70" s="236">
        <f t="shared" si="25"/>
        <v>1</v>
      </c>
      <c r="CL70" s="237">
        <f t="shared" si="26"/>
        <v>5</v>
      </c>
      <c r="CM70" s="237">
        <f t="shared" si="27"/>
        <v>5</v>
      </c>
      <c r="CN70" s="237">
        <f t="shared" si="28"/>
        <v>6</v>
      </c>
      <c r="CO70" s="238" t="str">
        <f t="shared" si="29"/>
        <v/>
      </c>
      <c r="CQ70" s="236" t="str">
        <f>desired_skills(C70,"Organisatie / klantomgeving/COO - OPS FIN","o")</f>
        <v/>
      </c>
      <c r="CR70" s="237" t="str">
        <f>desired_skills(C70,"Organisatie / klantomgeving/COO - OPS FIN","j")</f>
        <v/>
      </c>
      <c r="CS70" s="237" t="str">
        <f>desired_skills(C70,"Organisatie / klantomgeving/COO - OPS FIN","m")</f>
        <v/>
      </c>
      <c r="CT70" s="237" t="str">
        <f>desired_skills(C70,"Organisatie / klantomgeving/COO - OPS FIN","s")</f>
        <v/>
      </c>
      <c r="CU70" s="238" t="str">
        <f>desired_skills(C70,"Organisatie / klantomgeving/COO - OPS FIN","e")</f>
        <v/>
      </c>
      <c r="CW70" s="236" t="str">
        <f>calc_gap('Matrix 171007_1818'!$CK$70,'Matrix 171007_1818'!$CQ$70)</f>
        <v/>
      </c>
      <c r="CX70" s="237" t="str">
        <f>calc_gap('Matrix 171007_1818'!$CL$70,'Matrix 171007_1818'!$CR$70)</f>
        <v/>
      </c>
      <c r="CY70" s="237" t="str">
        <f>calc_gap('Matrix 171007_1818'!$CM$70,'Matrix 171007_1818'!$CS$70)</f>
        <v/>
      </c>
      <c r="CZ70" s="237" t="str">
        <f>calc_gap('Matrix 171007_1818'!$CN$70,'Matrix 171007_1818'!$CT$70)</f>
        <v/>
      </c>
      <c r="DA70" s="238" t="str">
        <f>calc_gap('Matrix 171007_1818'!$CO$70,'Matrix 171007_1818'!$CU$70)</f>
        <v/>
      </c>
    </row>
    <row r="71" spans="2:105" x14ac:dyDescent="0.25">
      <c r="B71" s="435"/>
      <c r="C71" s="291" t="s">
        <v>109</v>
      </c>
      <c r="D71" s="314"/>
      <c r="E71" s="315"/>
      <c r="F71" s="315"/>
      <c r="G71" s="315"/>
      <c r="H71" s="315"/>
      <c r="I71" s="315"/>
      <c r="J71" s="315"/>
      <c r="K71" s="316"/>
      <c r="L71" s="314"/>
      <c r="M71" s="315"/>
      <c r="N71" s="315"/>
      <c r="O71" s="316"/>
      <c r="P71" s="314"/>
      <c r="Q71" s="315"/>
      <c r="R71" s="315"/>
      <c r="S71" s="315"/>
      <c r="T71" s="315"/>
      <c r="U71" s="315"/>
      <c r="V71" s="315"/>
      <c r="W71" s="315"/>
      <c r="X71" s="315"/>
      <c r="Y71" s="315"/>
      <c r="Z71" s="315"/>
      <c r="AA71" s="315"/>
      <c r="AB71" s="315"/>
      <c r="AC71" s="315"/>
      <c r="AD71" s="315"/>
      <c r="AE71" s="315"/>
      <c r="AF71" s="315"/>
      <c r="AG71" s="315"/>
      <c r="AH71" s="315"/>
      <c r="AI71" s="316"/>
      <c r="AJ71" s="314"/>
      <c r="AK71" s="315"/>
      <c r="AL71" s="316"/>
      <c r="AM71" s="314"/>
      <c r="AN71" s="315"/>
      <c r="AO71" s="316"/>
      <c r="AP71" s="314"/>
      <c r="AQ71" s="315"/>
      <c r="AR71" s="315"/>
      <c r="AS71" s="315"/>
      <c r="AT71" s="316"/>
      <c r="AU71" s="314" t="s">
        <v>147</v>
      </c>
      <c r="AV71" s="315" t="s">
        <v>148</v>
      </c>
      <c r="AW71" s="315" t="s">
        <v>147</v>
      </c>
      <c r="AX71" s="315" t="s">
        <v>150</v>
      </c>
      <c r="AY71" s="315" t="s">
        <v>150</v>
      </c>
      <c r="AZ71" s="315"/>
      <c r="BA71" s="315"/>
      <c r="BB71" s="316" t="s">
        <v>148</v>
      </c>
      <c r="BC71" s="314" t="s">
        <v>149</v>
      </c>
      <c r="BD71" s="315" t="s">
        <v>147</v>
      </c>
      <c r="BE71" s="315"/>
      <c r="BF71" s="315"/>
      <c r="BG71" s="316"/>
      <c r="BH71" s="314"/>
      <c r="BI71" s="315"/>
      <c r="BJ71" s="316"/>
      <c r="BK71" s="314"/>
      <c r="BL71" s="315"/>
      <c r="BM71" s="315"/>
      <c r="BN71" s="316"/>
      <c r="BO71" s="314" t="s">
        <v>147</v>
      </c>
      <c r="BP71" s="315" t="s">
        <v>150</v>
      </c>
      <c r="BQ71" s="315"/>
      <c r="BR71" s="315"/>
      <c r="BS71" s="315" t="s">
        <v>149</v>
      </c>
      <c r="BT71" s="315"/>
      <c r="BU71" s="315" t="s">
        <v>150</v>
      </c>
      <c r="BV71" s="316"/>
      <c r="BW71" s="314" t="s">
        <v>148</v>
      </c>
      <c r="BX71" s="315"/>
      <c r="BY71" s="315"/>
      <c r="BZ71" s="315" t="s">
        <v>150</v>
      </c>
      <c r="CA71" s="315" t="s">
        <v>148</v>
      </c>
      <c r="CB71" s="316" t="s">
        <v>147</v>
      </c>
      <c r="CC71" s="314"/>
      <c r="CD71" s="315" t="s">
        <v>147</v>
      </c>
      <c r="CE71" s="316"/>
      <c r="CF71" s="314"/>
      <c r="CG71" s="315"/>
      <c r="CH71" s="315"/>
      <c r="CI71" s="317"/>
      <c r="CK71" s="236">
        <f t="shared" si="25"/>
        <v>2</v>
      </c>
      <c r="CL71" s="237">
        <f t="shared" si="26"/>
        <v>6</v>
      </c>
      <c r="CM71" s="237">
        <f t="shared" si="27"/>
        <v>4</v>
      </c>
      <c r="CN71" s="237">
        <f t="shared" si="28"/>
        <v>5</v>
      </c>
      <c r="CO71" s="238" t="str">
        <f t="shared" si="29"/>
        <v/>
      </c>
      <c r="CQ71" s="236" t="str">
        <f>desired_skills(C71,"Organisatie / klantomgeving/COO - OPS Beleggen","o")</f>
        <v/>
      </c>
      <c r="CR71" s="237" t="str">
        <f>desired_skills(C71,"Organisatie / klantomgeving/COO - OPS Beleggen","j")</f>
        <v/>
      </c>
      <c r="CS71" s="237" t="str">
        <f>desired_skills(C71,"Organisatie / klantomgeving/COO - OPS Beleggen","m")</f>
        <v/>
      </c>
      <c r="CT71" s="237" t="str">
        <f>desired_skills(C71,"Organisatie / klantomgeving/COO - OPS Beleggen","s")</f>
        <v/>
      </c>
      <c r="CU71" s="238" t="str">
        <f>desired_skills(C71,"Organisatie / klantomgeving/COO - OPS Beleggen","e")</f>
        <v/>
      </c>
      <c r="CW71" s="236" t="str">
        <f>calc_gap('Matrix 171007_1818'!$CK$71,'Matrix 171007_1818'!$CQ$71)</f>
        <v/>
      </c>
      <c r="CX71" s="237" t="str">
        <f>calc_gap('Matrix 171007_1818'!$CL$71,'Matrix 171007_1818'!$CR$71)</f>
        <v/>
      </c>
      <c r="CY71" s="237" t="str">
        <f>calc_gap('Matrix 171007_1818'!$CM$71,'Matrix 171007_1818'!$CS$71)</f>
        <v/>
      </c>
      <c r="CZ71" s="237" t="str">
        <f>calc_gap('Matrix 171007_1818'!$CN$71,'Matrix 171007_1818'!$CT$71)</f>
        <v/>
      </c>
      <c r="DA71" s="238" t="str">
        <f>calc_gap('Matrix 171007_1818'!$CO$71,'Matrix 171007_1818'!$CU$71)</f>
        <v/>
      </c>
    </row>
    <row r="72" spans="2:105" x14ac:dyDescent="0.25">
      <c r="B72" s="435"/>
      <c r="C72" s="291" t="s">
        <v>110</v>
      </c>
      <c r="D72" s="314"/>
      <c r="E72" s="315"/>
      <c r="F72" s="315"/>
      <c r="G72" s="315"/>
      <c r="H72" s="315"/>
      <c r="I72" s="315"/>
      <c r="J72" s="315"/>
      <c r="K72" s="316"/>
      <c r="L72" s="314"/>
      <c r="M72" s="315"/>
      <c r="N72" s="315"/>
      <c r="O72" s="316"/>
      <c r="P72" s="314"/>
      <c r="Q72" s="315"/>
      <c r="R72" s="315"/>
      <c r="S72" s="315"/>
      <c r="T72" s="315"/>
      <c r="U72" s="315"/>
      <c r="V72" s="315"/>
      <c r="W72" s="315"/>
      <c r="X72" s="315"/>
      <c r="Y72" s="315"/>
      <c r="Z72" s="315"/>
      <c r="AA72" s="315"/>
      <c r="AB72" s="315"/>
      <c r="AC72" s="315"/>
      <c r="AD72" s="315"/>
      <c r="AE72" s="315"/>
      <c r="AF72" s="315"/>
      <c r="AG72" s="315"/>
      <c r="AH72" s="315"/>
      <c r="AI72" s="316"/>
      <c r="AJ72" s="314"/>
      <c r="AK72" s="315"/>
      <c r="AL72" s="316"/>
      <c r="AM72" s="314"/>
      <c r="AN72" s="315"/>
      <c r="AO72" s="316"/>
      <c r="AP72" s="314"/>
      <c r="AQ72" s="315"/>
      <c r="AR72" s="315"/>
      <c r="AS72" s="315"/>
      <c r="AT72" s="316"/>
      <c r="AU72" s="314" t="s">
        <v>147</v>
      </c>
      <c r="AV72" s="315" t="s">
        <v>148</v>
      </c>
      <c r="AW72" s="315" t="s">
        <v>147</v>
      </c>
      <c r="AX72" s="315" t="s">
        <v>150</v>
      </c>
      <c r="AY72" s="315" t="s">
        <v>148</v>
      </c>
      <c r="AZ72" s="315"/>
      <c r="BA72" s="315"/>
      <c r="BB72" s="316" t="s">
        <v>148</v>
      </c>
      <c r="BC72" s="314" t="s">
        <v>149</v>
      </c>
      <c r="BD72" s="315" t="s">
        <v>147</v>
      </c>
      <c r="BE72" s="315"/>
      <c r="BF72" s="315"/>
      <c r="BG72" s="316"/>
      <c r="BH72" s="314"/>
      <c r="BI72" s="315"/>
      <c r="BJ72" s="316"/>
      <c r="BK72" s="314"/>
      <c r="BL72" s="315"/>
      <c r="BM72" s="315"/>
      <c r="BN72" s="316"/>
      <c r="BO72" s="314" t="s">
        <v>147</v>
      </c>
      <c r="BP72" s="315" t="s">
        <v>150</v>
      </c>
      <c r="BQ72" s="315"/>
      <c r="BR72" s="315"/>
      <c r="BS72" s="315" t="s">
        <v>149</v>
      </c>
      <c r="BT72" s="315"/>
      <c r="BU72" s="315" t="s">
        <v>150</v>
      </c>
      <c r="BV72" s="316"/>
      <c r="BW72" s="314" t="s">
        <v>148</v>
      </c>
      <c r="BX72" s="315"/>
      <c r="BY72" s="315"/>
      <c r="BZ72" s="315" t="s">
        <v>150</v>
      </c>
      <c r="CA72" s="315" t="s">
        <v>147</v>
      </c>
      <c r="CB72" s="316"/>
      <c r="CC72" s="314"/>
      <c r="CD72" s="315" t="s">
        <v>147</v>
      </c>
      <c r="CE72" s="316"/>
      <c r="CF72" s="314"/>
      <c r="CG72" s="315"/>
      <c r="CH72" s="315"/>
      <c r="CI72" s="317"/>
      <c r="CK72" s="236">
        <f t="shared" si="25"/>
        <v>2</v>
      </c>
      <c r="CL72" s="237">
        <f t="shared" si="26"/>
        <v>6</v>
      </c>
      <c r="CM72" s="237">
        <f t="shared" si="27"/>
        <v>4</v>
      </c>
      <c r="CN72" s="237">
        <f t="shared" si="28"/>
        <v>4</v>
      </c>
      <c r="CO72" s="238" t="str">
        <f t="shared" si="29"/>
        <v/>
      </c>
      <c r="CQ72" s="236" t="str">
        <f>desired_skills(C72,"Organisatie / klantomgeving/COO - OPS overig","o")</f>
        <v/>
      </c>
      <c r="CR72" s="237" t="str">
        <f>desired_skills(C72,"Organisatie / klantomgeving/COO - OPS overig","j")</f>
        <v/>
      </c>
      <c r="CS72" s="237" t="str">
        <f>desired_skills(C72,"Organisatie / klantomgeving/COO - OPS overig","m")</f>
        <v/>
      </c>
      <c r="CT72" s="237" t="str">
        <f>desired_skills(C72,"Organisatie / klantomgeving/COO - OPS overig","s")</f>
        <v/>
      </c>
      <c r="CU72" s="238" t="str">
        <f>desired_skills(C72,"Organisatie / klantomgeving/COO - OPS overig","e")</f>
        <v/>
      </c>
      <c r="CW72" s="236" t="str">
        <f>calc_gap('Matrix 171007_1818'!$CK$72,'Matrix 171007_1818'!$CQ$72)</f>
        <v/>
      </c>
      <c r="CX72" s="237" t="str">
        <f>calc_gap('Matrix 171007_1818'!$CL$72,'Matrix 171007_1818'!$CR$72)</f>
        <v/>
      </c>
      <c r="CY72" s="237" t="str">
        <f>calc_gap('Matrix 171007_1818'!$CM$72,'Matrix 171007_1818'!$CS$72)</f>
        <v/>
      </c>
      <c r="CZ72" s="237" t="str">
        <f>calc_gap('Matrix 171007_1818'!$CN$72,'Matrix 171007_1818'!$CT$72)</f>
        <v/>
      </c>
      <c r="DA72" s="238" t="str">
        <f>calc_gap('Matrix 171007_1818'!$CO$72,'Matrix 171007_1818'!$CU$72)</f>
        <v/>
      </c>
    </row>
    <row r="73" spans="2:105" x14ac:dyDescent="0.25">
      <c r="B73" s="435"/>
      <c r="C73" s="291" t="s">
        <v>111</v>
      </c>
      <c r="D73" s="314"/>
      <c r="E73" s="315"/>
      <c r="F73" s="315"/>
      <c r="G73" s="315"/>
      <c r="H73" s="315"/>
      <c r="I73" s="315"/>
      <c r="J73" s="315"/>
      <c r="K73" s="316"/>
      <c r="L73" s="314"/>
      <c r="M73" s="315"/>
      <c r="N73" s="315"/>
      <c r="O73" s="316"/>
      <c r="P73" s="314"/>
      <c r="Q73" s="315"/>
      <c r="R73" s="315"/>
      <c r="S73" s="315"/>
      <c r="T73" s="315"/>
      <c r="U73" s="315"/>
      <c r="V73" s="315"/>
      <c r="W73" s="315"/>
      <c r="X73" s="315"/>
      <c r="Y73" s="315"/>
      <c r="Z73" s="315"/>
      <c r="AA73" s="315"/>
      <c r="AB73" s="315"/>
      <c r="AC73" s="315"/>
      <c r="AD73" s="315"/>
      <c r="AE73" s="315"/>
      <c r="AF73" s="315"/>
      <c r="AG73" s="315"/>
      <c r="AH73" s="315"/>
      <c r="AI73" s="316"/>
      <c r="AJ73" s="314"/>
      <c r="AK73" s="315"/>
      <c r="AL73" s="316"/>
      <c r="AM73" s="314"/>
      <c r="AN73" s="315"/>
      <c r="AO73" s="316"/>
      <c r="AP73" s="314"/>
      <c r="AQ73" s="315"/>
      <c r="AR73" s="315"/>
      <c r="AS73" s="315"/>
      <c r="AT73" s="316"/>
      <c r="AU73" s="314" t="s">
        <v>148</v>
      </c>
      <c r="AV73" s="315" t="s">
        <v>147</v>
      </c>
      <c r="AW73" s="315" t="s">
        <v>147</v>
      </c>
      <c r="AX73" s="315" t="s">
        <v>150</v>
      </c>
      <c r="AY73" s="315" t="s">
        <v>148</v>
      </c>
      <c r="AZ73" s="315"/>
      <c r="BA73" s="315"/>
      <c r="BB73" s="316" t="s">
        <v>148</v>
      </c>
      <c r="BC73" s="314" t="s">
        <v>149</v>
      </c>
      <c r="BD73" s="315" t="s">
        <v>147</v>
      </c>
      <c r="BE73" s="315"/>
      <c r="BF73" s="315"/>
      <c r="BG73" s="316"/>
      <c r="BH73" s="314"/>
      <c r="BI73" s="315"/>
      <c r="BJ73" s="316"/>
      <c r="BK73" s="314"/>
      <c r="BL73" s="315"/>
      <c r="BM73" s="315"/>
      <c r="BN73" s="316"/>
      <c r="BO73" s="314" t="s">
        <v>148</v>
      </c>
      <c r="BP73" s="315" t="s">
        <v>148</v>
      </c>
      <c r="BQ73" s="315"/>
      <c r="BR73" s="315"/>
      <c r="BS73" s="315" t="s">
        <v>149</v>
      </c>
      <c r="BT73" s="315"/>
      <c r="BU73" s="315" t="s">
        <v>150</v>
      </c>
      <c r="BV73" s="316"/>
      <c r="BW73" s="314" t="s">
        <v>148</v>
      </c>
      <c r="BX73" s="315"/>
      <c r="BY73" s="315"/>
      <c r="BZ73" s="315" t="s">
        <v>150</v>
      </c>
      <c r="CA73" s="315" t="s">
        <v>147</v>
      </c>
      <c r="CB73" s="316"/>
      <c r="CC73" s="314"/>
      <c r="CD73" s="315" t="s">
        <v>147</v>
      </c>
      <c r="CE73" s="316"/>
      <c r="CF73" s="314"/>
      <c r="CG73" s="315"/>
      <c r="CH73" s="315"/>
      <c r="CI73" s="317"/>
      <c r="CK73" s="236">
        <f t="shared" si="25"/>
        <v>2</v>
      </c>
      <c r="CL73" s="237">
        <f t="shared" si="26"/>
        <v>5</v>
      </c>
      <c r="CM73" s="237">
        <f t="shared" si="27"/>
        <v>6</v>
      </c>
      <c r="CN73" s="237">
        <f t="shared" si="28"/>
        <v>3</v>
      </c>
      <c r="CO73" s="238" t="str">
        <f t="shared" si="29"/>
        <v/>
      </c>
      <c r="CQ73" s="236" t="str">
        <f>desired_skills(C73,"Organisatie / klantomgeving/COO - ITS","o")</f>
        <v/>
      </c>
      <c r="CR73" s="237" t="str">
        <f>desired_skills(C73,"Organisatie / klantomgeving/COO - ITS","j")</f>
        <v/>
      </c>
      <c r="CS73" s="237" t="str">
        <f>desired_skills(C73,"Organisatie / klantomgeving/COO - ITS","m")</f>
        <v/>
      </c>
      <c r="CT73" s="237" t="str">
        <f>desired_skills(C73,"Organisatie / klantomgeving/COO - ITS","s")</f>
        <v/>
      </c>
      <c r="CU73" s="238" t="str">
        <f>desired_skills(C73,"Organisatie / klantomgeving/COO - ITS","e")</f>
        <v/>
      </c>
      <c r="CW73" s="236" t="str">
        <f>calc_gap('Matrix 171007_1818'!$CK$73,'Matrix 171007_1818'!$CQ$73)</f>
        <v/>
      </c>
      <c r="CX73" s="237" t="str">
        <f>calc_gap('Matrix 171007_1818'!$CL$73,'Matrix 171007_1818'!$CR$73)</f>
        <v/>
      </c>
      <c r="CY73" s="237" t="str">
        <f>calc_gap('Matrix 171007_1818'!$CM$73,'Matrix 171007_1818'!$CS$73)</f>
        <v/>
      </c>
      <c r="CZ73" s="237" t="str">
        <f>calc_gap('Matrix 171007_1818'!$CN$73,'Matrix 171007_1818'!$CT$73)</f>
        <v/>
      </c>
      <c r="DA73" s="238" t="str">
        <f>calc_gap('Matrix 171007_1818'!$CO$73,'Matrix 171007_1818'!$CU$73)</f>
        <v/>
      </c>
    </row>
    <row r="74" spans="2:105" x14ac:dyDescent="0.25">
      <c r="B74" s="435"/>
      <c r="C74" s="291" t="s">
        <v>112</v>
      </c>
      <c r="D74" s="314"/>
      <c r="E74" s="315"/>
      <c r="F74" s="315"/>
      <c r="G74" s="315"/>
      <c r="H74" s="315"/>
      <c r="I74" s="315"/>
      <c r="J74" s="315"/>
      <c r="K74" s="316"/>
      <c r="L74" s="314"/>
      <c r="M74" s="315"/>
      <c r="N74" s="315"/>
      <c r="O74" s="316"/>
      <c r="P74" s="314"/>
      <c r="Q74" s="315"/>
      <c r="R74" s="315"/>
      <c r="S74" s="315"/>
      <c r="T74" s="315"/>
      <c r="U74" s="315"/>
      <c r="V74" s="315"/>
      <c r="W74" s="315"/>
      <c r="X74" s="315"/>
      <c r="Y74" s="315"/>
      <c r="Z74" s="315"/>
      <c r="AA74" s="315"/>
      <c r="AB74" s="315"/>
      <c r="AC74" s="315"/>
      <c r="AD74" s="315"/>
      <c r="AE74" s="315"/>
      <c r="AF74" s="315"/>
      <c r="AG74" s="315"/>
      <c r="AH74" s="315"/>
      <c r="AI74" s="316"/>
      <c r="AJ74" s="314"/>
      <c r="AK74" s="315"/>
      <c r="AL74" s="316"/>
      <c r="AM74" s="314"/>
      <c r="AN74" s="315"/>
      <c r="AO74" s="316"/>
      <c r="AP74" s="314"/>
      <c r="AQ74" s="315"/>
      <c r="AR74" s="315"/>
      <c r="AS74" s="315"/>
      <c r="AT74" s="316"/>
      <c r="AU74" s="314" t="s">
        <v>147</v>
      </c>
      <c r="AV74" s="315" t="s">
        <v>147</v>
      </c>
      <c r="AW74" s="315" t="s">
        <v>147</v>
      </c>
      <c r="AX74" s="315" t="s">
        <v>150</v>
      </c>
      <c r="AY74" s="315" t="s">
        <v>148</v>
      </c>
      <c r="AZ74" s="315"/>
      <c r="BA74" s="315"/>
      <c r="BB74" s="316" t="s">
        <v>147</v>
      </c>
      <c r="BC74" s="314" t="s">
        <v>149</v>
      </c>
      <c r="BD74" s="315" t="s">
        <v>148</v>
      </c>
      <c r="BE74" s="315"/>
      <c r="BF74" s="315"/>
      <c r="BG74" s="316"/>
      <c r="BH74" s="314"/>
      <c r="BI74" s="315"/>
      <c r="BJ74" s="316"/>
      <c r="BK74" s="314"/>
      <c r="BL74" s="315"/>
      <c r="BM74" s="315"/>
      <c r="BN74" s="316"/>
      <c r="BO74" s="314" t="s">
        <v>148</v>
      </c>
      <c r="BP74" s="315" t="s">
        <v>148</v>
      </c>
      <c r="BQ74" s="315"/>
      <c r="BR74" s="315"/>
      <c r="BS74" s="315" t="s">
        <v>149</v>
      </c>
      <c r="BT74" s="315"/>
      <c r="BU74" s="315" t="s">
        <v>150</v>
      </c>
      <c r="BV74" s="316"/>
      <c r="BW74" s="314" t="s">
        <v>148</v>
      </c>
      <c r="BX74" s="315"/>
      <c r="BY74" s="315"/>
      <c r="BZ74" s="315" t="s">
        <v>148</v>
      </c>
      <c r="CA74" s="315" t="s">
        <v>147</v>
      </c>
      <c r="CB74" s="316"/>
      <c r="CC74" s="314"/>
      <c r="CD74" s="315" t="s">
        <v>147</v>
      </c>
      <c r="CE74" s="316"/>
      <c r="CF74" s="314"/>
      <c r="CG74" s="315"/>
      <c r="CH74" s="315"/>
      <c r="CI74" s="317"/>
      <c r="CK74" s="236">
        <f t="shared" si="25"/>
        <v>2</v>
      </c>
      <c r="CL74" s="237">
        <f t="shared" si="26"/>
        <v>6</v>
      </c>
      <c r="CM74" s="237">
        <f t="shared" si="27"/>
        <v>6</v>
      </c>
      <c r="CN74" s="237">
        <f t="shared" si="28"/>
        <v>2</v>
      </c>
      <c r="CO74" s="238" t="str">
        <f t="shared" si="29"/>
        <v/>
      </c>
      <c r="CQ74" s="236" t="str">
        <f>desired_skills(C74,"Organisatie / klantomgeving/COO - Infra","o")</f>
        <v/>
      </c>
      <c r="CR74" s="237" t="str">
        <f>desired_skills(C74,"Organisatie / klantomgeving/COO - Infra","j")</f>
        <v/>
      </c>
      <c r="CS74" s="237" t="str">
        <f>desired_skills(C74,"Organisatie / klantomgeving/COO - Infra","m")</f>
        <v/>
      </c>
      <c r="CT74" s="237" t="str">
        <f>desired_skills(C74,"Organisatie / klantomgeving/COO - Infra","s")</f>
        <v/>
      </c>
      <c r="CU74" s="238" t="str">
        <f>desired_skills(C74,"Organisatie / klantomgeving/COO - Infra","e")</f>
        <v/>
      </c>
      <c r="CW74" s="236" t="str">
        <f>calc_gap('Matrix 171007_1818'!$CK$74,'Matrix 171007_1818'!$CQ$74)</f>
        <v/>
      </c>
      <c r="CX74" s="237" t="str">
        <f>calc_gap('Matrix 171007_1818'!$CL$74,'Matrix 171007_1818'!$CR$74)</f>
        <v/>
      </c>
      <c r="CY74" s="237" t="str">
        <f>calc_gap('Matrix 171007_1818'!$CM$74,'Matrix 171007_1818'!$CS$74)</f>
        <v/>
      </c>
      <c r="CZ74" s="237" t="str">
        <f>calc_gap('Matrix 171007_1818'!$CN$74,'Matrix 171007_1818'!$CT$74)</f>
        <v/>
      </c>
      <c r="DA74" s="238" t="str">
        <f>calc_gap('Matrix 171007_1818'!$CO$74,'Matrix 171007_1818'!$CU$74)</f>
        <v/>
      </c>
    </row>
    <row r="75" spans="2:105" x14ac:dyDescent="0.25">
      <c r="B75" s="435"/>
      <c r="C75" s="291" t="s">
        <v>113</v>
      </c>
      <c r="D75" s="314"/>
      <c r="E75" s="315"/>
      <c r="F75" s="315"/>
      <c r="G75" s="315"/>
      <c r="H75" s="315"/>
      <c r="I75" s="315"/>
      <c r="J75" s="315"/>
      <c r="K75" s="316"/>
      <c r="L75" s="314"/>
      <c r="M75" s="315"/>
      <c r="N75" s="315"/>
      <c r="O75" s="316"/>
      <c r="P75" s="314"/>
      <c r="Q75" s="315"/>
      <c r="R75" s="315"/>
      <c r="S75" s="315"/>
      <c r="T75" s="315"/>
      <c r="U75" s="315"/>
      <c r="V75" s="315"/>
      <c r="W75" s="315"/>
      <c r="X75" s="315"/>
      <c r="Y75" s="315"/>
      <c r="Z75" s="315"/>
      <c r="AA75" s="315"/>
      <c r="AB75" s="315"/>
      <c r="AC75" s="315"/>
      <c r="AD75" s="315"/>
      <c r="AE75" s="315"/>
      <c r="AF75" s="315"/>
      <c r="AG75" s="315"/>
      <c r="AH75" s="315"/>
      <c r="AI75" s="316"/>
      <c r="AJ75" s="314"/>
      <c r="AK75" s="315"/>
      <c r="AL75" s="316"/>
      <c r="AM75" s="314"/>
      <c r="AN75" s="315"/>
      <c r="AO75" s="316"/>
      <c r="AP75" s="314"/>
      <c r="AQ75" s="315"/>
      <c r="AR75" s="315"/>
      <c r="AS75" s="315"/>
      <c r="AT75" s="316"/>
      <c r="AU75" s="314" t="s">
        <v>148</v>
      </c>
      <c r="AV75" s="315" t="s">
        <v>150</v>
      </c>
      <c r="AW75" s="315" t="s">
        <v>147</v>
      </c>
      <c r="AX75" s="315" t="s">
        <v>150</v>
      </c>
      <c r="AY75" s="315" t="s">
        <v>150</v>
      </c>
      <c r="AZ75" s="315"/>
      <c r="BA75" s="315"/>
      <c r="BB75" s="316" t="s">
        <v>148</v>
      </c>
      <c r="BC75" s="314" t="s">
        <v>149</v>
      </c>
      <c r="BD75" s="315" t="s">
        <v>148</v>
      </c>
      <c r="BE75" s="315"/>
      <c r="BF75" s="315"/>
      <c r="BG75" s="316"/>
      <c r="BH75" s="314"/>
      <c r="BI75" s="315"/>
      <c r="BJ75" s="316"/>
      <c r="BK75" s="314"/>
      <c r="BL75" s="315"/>
      <c r="BM75" s="315"/>
      <c r="BN75" s="316"/>
      <c r="BO75" s="314" t="s">
        <v>148</v>
      </c>
      <c r="BP75" s="315" t="s">
        <v>148</v>
      </c>
      <c r="BQ75" s="315"/>
      <c r="BR75" s="315"/>
      <c r="BS75" s="315" t="s">
        <v>149</v>
      </c>
      <c r="BT75" s="315"/>
      <c r="BU75" s="315" t="s">
        <v>150</v>
      </c>
      <c r="BV75" s="316"/>
      <c r="BW75" s="314" t="s">
        <v>148</v>
      </c>
      <c r="BX75" s="315"/>
      <c r="BY75" s="315"/>
      <c r="BZ75" s="315" t="s">
        <v>148</v>
      </c>
      <c r="CA75" s="315" t="s">
        <v>147</v>
      </c>
      <c r="CB75" s="316"/>
      <c r="CC75" s="314"/>
      <c r="CD75" s="315" t="s">
        <v>147</v>
      </c>
      <c r="CE75" s="316"/>
      <c r="CF75" s="314"/>
      <c r="CG75" s="315"/>
      <c r="CH75" s="315"/>
      <c r="CI75" s="317"/>
      <c r="CK75" s="236">
        <f t="shared" si="25"/>
        <v>2</v>
      </c>
      <c r="CL75" s="237">
        <f t="shared" si="26"/>
        <v>3</v>
      </c>
      <c r="CM75" s="237">
        <f t="shared" si="27"/>
        <v>7</v>
      </c>
      <c r="CN75" s="237">
        <f t="shared" si="28"/>
        <v>4</v>
      </c>
      <c r="CO75" s="238" t="str">
        <f t="shared" si="29"/>
        <v/>
      </c>
      <c r="CQ75" s="236" t="str">
        <f>desired_skills(C75,"Organisatie / klantomgeving/COO - RRS","o")</f>
        <v/>
      </c>
      <c r="CR75" s="237" t="str">
        <f>desired_skills(C75,"Organisatie / klantomgeving/COO - RRS","j")</f>
        <v/>
      </c>
      <c r="CS75" s="237" t="str">
        <f>desired_skills(C75,"Organisatie / klantomgeving/COO - RRS","m")</f>
        <v/>
      </c>
      <c r="CT75" s="237" t="str">
        <f>desired_skills(C75,"Organisatie / klantomgeving/COO - RRS","s")</f>
        <v/>
      </c>
      <c r="CU75" s="238" t="str">
        <f>desired_skills(C75,"Organisatie / klantomgeving/COO - RRS","e")</f>
        <v/>
      </c>
      <c r="CW75" s="236" t="str">
        <f>calc_gap('Matrix 171007_1818'!$CK$75,'Matrix 171007_1818'!$CQ$75)</f>
        <v/>
      </c>
      <c r="CX75" s="237" t="str">
        <f>calc_gap('Matrix 171007_1818'!$CL$75,'Matrix 171007_1818'!$CR$75)</f>
        <v/>
      </c>
      <c r="CY75" s="237" t="str">
        <f>calc_gap('Matrix 171007_1818'!$CM$75,'Matrix 171007_1818'!$CS$75)</f>
        <v/>
      </c>
      <c r="CZ75" s="237" t="str">
        <f>calc_gap('Matrix 171007_1818'!$CN$75,'Matrix 171007_1818'!$CT$75)</f>
        <v/>
      </c>
      <c r="DA75" s="238" t="str">
        <f>calc_gap('Matrix 171007_1818'!$CO$75,'Matrix 171007_1818'!$CU$75)</f>
        <v/>
      </c>
    </row>
    <row r="76" spans="2:105" x14ac:dyDescent="0.25">
      <c r="B76" s="435"/>
      <c r="C76" s="291" t="s">
        <v>114</v>
      </c>
      <c r="D76" s="314"/>
      <c r="E76" s="315"/>
      <c r="F76" s="315"/>
      <c r="G76" s="315"/>
      <c r="H76" s="315"/>
      <c r="I76" s="315"/>
      <c r="J76" s="315"/>
      <c r="K76" s="316"/>
      <c r="L76" s="314"/>
      <c r="M76" s="315"/>
      <c r="N76" s="315"/>
      <c r="O76" s="316"/>
      <c r="P76" s="314"/>
      <c r="Q76" s="315"/>
      <c r="R76" s="315"/>
      <c r="S76" s="315"/>
      <c r="T76" s="315"/>
      <c r="U76" s="315"/>
      <c r="V76" s="315"/>
      <c r="W76" s="315"/>
      <c r="X76" s="315"/>
      <c r="Y76" s="315"/>
      <c r="Z76" s="315"/>
      <c r="AA76" s="315"/>
      <c r="AB76" s="315"/>
      <c r="AC76" s="315"/>
      <c r="AD76" s="315"/>
      <c r="AE76" s="315"/>
      <c r="AF76" s="315"/>
      <c r="AG76" s="315"/>
      <c r="AH76" s="315"/>
      <c r="AI76" s="316"/>
      <c r="AJ76" s="314"/>
      <c r="AK76" s="315"/>
      <c r="AL76" s="316"/>
      <c r="AM76" s="314"/>
      <c r="AN76" s="315"/>
      <c r="AO76" s="316"/>
      <c r="AP76" s="314"/>
      <c r="AQ76" s="315"/>
      <c r="AR76" s="315"/>
      <c r="AS76" s="315"/>
      <c r="AT76" s="316"/>
      <c r="AU76" s="314" t="s">
        <v>148</v>
      </c>
      <c r="AV76" s="315" t="s">
        <v>150</v>
      </c>
      <c r="AW76" s="315" t="s">
        <v>150</v>
      </c>
      <c r="AX76" s="315" t="s">
        <v>150</v>
      </c>
      <c r="AY76" s="315" t="s">
        <v>150</v>
      </c>
      <c r="AZ76" s="315" t="s">
        <v>148</v>
      </c>
      <c r="BA76" s="315"/>
      <c r="BB76" s="316" t="s">
        <v>150</v>
      </c>
      <c r="BC76" s="314" t="s">
        <v>148</v>
      </c>
      <c r="BD76" s="315" t="s">
        <v>150</v>
      </c>
      <c r="BE76" s="315"/>
      <c r="BF76" s="315"/>
      <c r="BG76" s="316"/>
      <c r="BH76" s="314"/>
      <c r="BI76" s="315"/>
      <c r="BJ76" s="316"/>
      <c r="BK76" s="314"/>
      <c r="BL76" s="315"/>
      <c r="BM76" s="315"/>
      <c r="BN76" s="316"/>
      <c r="BO76" s="314" t="s">
        <v>148</v>
      </c>
      <c r="BP76" s="315" t="s">
        <v>148</v>
      </c>
      <c r="BQ76" s="315"/>
      <c r="BR76" s="315"/>
      <c r="BS76" s="315" t="s">
        <v>149</v>
      </c>
      <c r="BT76" s="315"/>
      <c r="BU76" s="315" t="s">
        <v>150</v>
      </c>
      <c r="BV76" s="316"/>
      <c r="BW76" s="314" t="s">
        <v>150</v>
      </c>
      <c r="BX76" s="315"/>
      <c r="BY76" s="315"/>
      <c r="BZ76" s="315" t="s">
        <v>150</v>
      </c>
      <c r="CA76" s="315" t="s">
        <v>147</v>
      </c>
      <c r="CB76" s="316" t="s">
        <v>147</v>
      </c>
      <c r="CC76" s="314"/>
      <c r="CD76" s="315" t="s">
        <v>147</v>
      </c>
      <c r="CE76" s="316"/>
      <c r="CF76" s="314"/>
      <c r="CG76" s="315"/>
      <c r="CH76" s="315"/>
      <c r="CI76" s="317"/>
      <c r="CK76" s="236">
        <f t="shared" si="25"/>
        <v>1</v>
      </c>
      <c r="CL76" s="237">
        <f t="shared" si="26"/>
        <v>3</v>
      </c>
      <c r="CM76" s="237">
        <f t="shared" si="27"/>
        <v>5</v>
      </c>
      <c r="CN76" s="237">
        <f t="shared" si="28"/>
        <v>9</v>
      </c>
      <c r="CO76" s="238" t="str">
        <f t="shared" si="29"/>
        <v/>
      </c>
      <c r="CQ76" s="236" t="str">
        <f>desired_skills(C76,"Organisatie / klantomgeving/COO - IAM","o")</f>
        <v/>
      </c>
      <c r="CR76" s="237" t="str">
        <f>desired_skills(C76,"Organisatie / klantomgeving/COO - IAM","j")</f>
        <v/>
      </c>
      <c r="CS76" s="237" t="str">
        <f>desired_skills(C76,"Organisatie / klantomgeving/COO - IAM","m")</f>
        <v/>
      </c>
      <c r="CT76" s="237" t="str">
        <f>desired_skills(C76,"Organisatie / klantomgeving/COO - IAM","s")</f>
        <v/>
      </c>
      <c r="CU76" s="238" t="str">
        <f>desired_skills(C76,"Organisatie / klantomgeving/COO - IAM","e")</f>
        <v/>
      </c>
      <c r="CW76" s="236" t="str">
        <f>calc_gap('Matrix 171007_1818'!$CK$76,'Matrix 171007_1818'!$CQ$76)</f>
        <v/>
      </c>
      <c r="CX76" s="237" t="str">
        <f>calc_gap('Matrix 171007_1818'!$CL$76,'Matrix 171007_1818'!$CR$76)</f>
        <v/>
      </c>
      <c r="CY76" s="237" t="str">
        <f>calc_gap('Matrix 171007_1818'!$CM$76,'Matrix 171007_1818'!$CS$76)</f>
        <v/>
      </c>
      <c r="CZ76" s="237" t="str">
        <f>calc_gap('Matrix 171007_1818'!$CN$76,'Matrix 171007_1818'!$CT$76)</f>
        <v/>
      </c>
      <c r="DA76" s="238" t="str">
        <f>calc_gap('Matrix 171007_1818'!$CO$76,'Matrix 171007_1818'!$CU$76)</f>
        <v/>
      </c>
    </row>
    <row r="77" spans="2:105" x14ac:dyDescent="0.25">
      <c r="B77" s="435"/>
      <c r="C77" s="291" t="s">
        <v>115</v>
      </c>
      <c r="D77" s="314"/>
      <c r="E77" s="315"/>
      <c r="F77" s="315"/>
      <c r="G77" s="315"/>
      <c r="H77" s="315"/>
      <c r="I77" s="315"/>
      <c r="J77" s="315"/>
      <c r="K77" s="316"/>
      <c r="L77" s="314"/>
      <c r="M77" s="315"/>
      <c r="N77" s="315"/>
      <c r="O77" s="316"/>
      <c r="P77" s="314"/>
      <c r="Q77" s="315"/>
      <c r="R77" s="315"/>
      <c r="S77" s="315"/>
      <c r="T77" s="315"/>
      <c r="U77" s="315"/>
      <c r="V77" s="315"/>
      <c r="W77" s="315"/>
      <c r="X77" s="315"/>
      <c r="Y77" s="315"/>
      <c r="Z77" s="315"/>
      <c r="AA77" s="315"/>
      <c r="AB77" s="315"/>
      <c r="AC77" s="315"/>
      <c r="AD77" s="315"/>
      <c r="AE77" s="315"/>
      <c r="AF77" s="315"/>
      <c r="AG77" s="315"/>
      <c r="AH77" s="315"/>
      <c r="AI77" s="316"/>
      <c r="AJ77" s="314"/>
      <c r="AK77" s="315"/>
      <c r="AL77" s="316"/>
      <c r="AM77" s="314"/>
      <c r="AN77" s="315"/>
      <c r="AO77" s="316"/>
      <c r="AP77" s="314"/>
      <c r="AQ77" s="315"/>
      <c r="AR77" s="315"/>
      <c r="AS77" s="315"/>
      <c r="AT77" s="316"/>
      <c r="AU77" s="314" t="s">
        <v>47</v>
      </c>
      <c r="AV77" s="315" t="s">
        <v>148</v>
      </c>
      <c r="AW77" s="315" t="s">
        <v>148</v>
      </c>
      <c r="AX77" s="315" t="s">
        <v>150</v>
      </c>
      <c r="AY77" s="315" t="s">
        <v>150</v>
      </c>
      <c r="AZ77" s="315" t="s">
        <v>148</v>
      </c>
      <c r="BA77" s="315" t="s">
        <v>148</v>
      </c>
      <c r="BB77" s="316" t="s">
        <v>148</v>
      </c>
      <c r="BC77" s="314" t="s">
        <v>148</v>
      </c>
      <c r="BD77" s="315" t="s">
        <v>148</v>
      </c>
      <c r="BE77" s="315"/>
      <c r="BF77" s="315"/>
      <c r="BG77" s="316"/>
      <c r="BH77" s="314"/>
      <c r="BI77" s="315" t="s">
        <v>148</v>
      </c>
      <c r="BJ77" s="316"/>
      <c r="BK77" s="314" t="s">
        <v>148</v>
      </c>
      <c r="BL77" s="315" t="s">
        <v>148</v>
      </c>
      <c r="BM77" s="315"/>
      <c r="BN77" s="316"/>
      <c r="BO77" s="314" t="s">
        <v>148</v>
      </c>
      <c r="BP77" s="315" t="s">
        <v>148</v>
      </c>
      <c r="BQ77" s="315"/>
      <c r="BR77" s="315"/>
      <c r="BS77" s="315" t="s">
        <v>149</v>
      </c>
      <c r="BT77" s="315" t="s">
        <v>147</v>
      </c>
      <c r="BU77" s="315" t="s">
        <v>150</v>
      </c>
      <c r="BV77" s="316"/>
      <c r="BW77" s="314" t="s">
        <v>148</v>
      </c>
      <c r="BX77" s="315"/>
      <c r="BY77" s="315" t="s">
        <v>147</v>
      </c>
      <c r="BZ77" s="315" t="s">
        <v>150</v>
      </c>
      <c r="CA77" s="315" t="s">
        <v>147</v>
      </c>
      <c r="CB77" s="316" t="s">
        <v>147</v>
      </c>
      <c r="CC77" s="314" t="s">
        <v>147</v>
      </c>
      <c r="CD77" s="315" t="s">
        <v>148</v>
      </c>
      <c r="CE77" s="316"/>
      <c r="CF77" s="314"/>
      <c r="CG77" s="315"/>
      <c r="CH77" s="315"/>
      <c r="CI77" s="317"/>
      <c r="CK77" s="236">
        <f t="shared" si="25"/>
        <v>1</v>
      </c>
      <c r="CL77" s="237">
        <f t="shared" si="26"/>
        <v>5</v>
      </c>
      <c r="CM77" s="237">
        <f t="shared" si="27"/>
        <v>14</v>
      </c>
      <c r="CN77" s="237">
        <f t="shared" si="28"/>
        <v>4</v>
      </c>
      <c r="CO77" s="238">
        <f t="shared" si="29"/>
        <v>1</v>
      </c>
      <c r="CQ77" s="236" t="str">
        <f>desired_skills(C77,"Organisatie / klantomgeving/HR (processen)","o")</f>
        <v/>
      </c>
      <c r="CR77" s="237" t="str">
        <f>desired_skills(C77,"Organisatie / klantomgeving/HR (processen)","j")</f>
        <v/>
      </c>
      <c r="CS77" s="237" t="str">
        <f>desired_skills(C77,"Organisatie / klantomgeving/HR (processen)","m")</f>
        <v/>
      </c>
      <c r="CT77" s="237" t="str">
        <f>desired_skills(C77,"Organisatie / klantomgeving/HR (processen)","s")</f>
        <v/>
      </c>
      <c r="CU77" s="238" t="str">
        <f>desired_skills(C77,"Organisatie / klantomgeving/HR (processen)","e")</f>
        <v/>
      </c>
      <c r="CW77" s="236" t="str">
        <f>calc_gap('Matrix 171007_1818'!$CK$77,'Matrix 171007_1818'!$CQ$77)</f>
        <v/>
      </c>
      <c r="CX77" s="237" t="str">
        <f>calc_gap('Matrix 171007_1818'!$CL$77,'Matrix 171007_1818'!$CR$77)</f>
        <v/>
      </c>
      <c r="CY77" s="237" t="str">
        <f>calc_gap('Matrix 171007_1818'!$CM$77,'Matrix 171007_1818'!$CS$77)</f>
        <v/>
      </c>
      <c r="CZ77" s="237" t="str">
        <f>calc_gap('Matrix 171007_1818'!$CN$77,'Matrix 171007_1818'!$CT$77)</f>
        <v/>
      </c>
      <c r="DA77" s="238" t="str">
        <f>calc_gap('Matrix 171007_1818'!$CO$77,'Matrix 171007_1818'!$CU$77)</f>
        <v/>
      </c>
    </row>
    <row r="78" spans="2:105" ht="15.75" thickBot="1" x14ac:dyDescent="0.3">
      <c r="B78" s="435"/>
      <c r="C78" s="292" t="s">
        <v>116</v>
      </c>
      <c r="D78" s="318"/>
      <c r="E78" s="319"/>
      <c r="F78" s="319"/>
      <c r="G78" s="319"/>
      <c r="H78" s="319"/>
      <c r="I78" s="319"/>
      <c r="J78" s="319"/>
      <c r="K78" s="320"/>
      <c r="L78" s="318"/>
      <c r="M78" s="319"/>
      <c r="N78" s="319"/>
      <c r="O78" s="320"/>
      <c r="P78" s="318"/>
      <c r="Q78" s="319"/>
      <c r="R78" s="319"/>
      <c r="S78" s="319"/>
      <c r="T78" s="319"/>
      <c r="U78" s="319"/>
      <c r="V78" s="319"/>
      <c r="W78" s="319"/>
      <c r="X78" s="319"/>
      <c r="Y78" s="319"/>
      <c r="Z78" s="319"/>
      <c r="AA78" s="319"/>
      <c r="AB78" s="319"/>
      <c r="AC78" s="319"/>
      <c r="AD78" s="319"/>
      <c r="AE78" s="319"/>
      <c r="AF78" s="319"/>
      <c r="AG78" s="319"/>
      <c r="AH78" s="319"/>
      <c r="AI78" s="320"/>
      <c r="AJ78" s="318"/>
      <c r="AK78" s="319"/>
      <c r="AL78" s="320"/>
      <c r="AM78" s="318"/>
      <c r="AN78" s="319"/>
      <c r="AO78" s="320"/>
      <c r="AP78" s="318"/>
      <c r="AQ78" s="319"/>
      <c r="AR78" s="319"/>
      <c r="AS78" s="319"/>
      <c r="AT78" s="320"/>
      <c r="AU78" s="318" t="s">
        <v>148</v>
      </c>
      <c r="AV78" s="319" t="s">
        <v>47</v>
      </c>
      <c r="AW78" s="319" t="s">
        <v>150</v>
      </c>
      <c r="AX78" s="319" t="s">
        <v>150</v>
      </c>
      <c r="AY78" s="319" t="s">
        <v>150</v>
      </c>
      <c r="AZ78" s="319" t="s">
        <v>147</v>
      </c>
      <c r="BA78" s="319" t="s">
        <v>148</v>
      </c>
      <c r="BB78" s="320" t="s">
        <v>150</v>
      </c>
      <c r="BC78" s="318" t="s">
        <v>147</v>
      </c>
      <c r="BD78" s="319" t="s">
        <v>148</v>
      </c>
      <c r="BE78" s="319"/>
      <c r="BF78" s="319" t="s">
        <v>147</v>
      </c>
      <c r="BG78" s="320"/>
      <c r="BH78" s="318"/>
      <c r="BI78" s="319"/>
      <c r="BJ78" s="320"/>
      <c r="BK78" s="318" t="s">
        <v>148</v>
      </c>
      <c r="BL78" s="319" t="s">
        <v>148</v>
      </c>
      <c r="BM78" s="319"/>
      <c r="BN78" s="320" t="s">
        <v>149</v>
      </c>
      <c r="BO78" s="318" t="s">
        <v>147</v>
      </c>
      <c r="BP78" s="319" t="s">
        <v>148</v>
      </c>
      <c r="BQ78" s="319" t="s">
        <v>148</v>
      </c>
      <c r="BR78" s="319"/>
      <c r="BS78" s="319" t="s">
        <v>149</v>
      </c>
      <c r="BT78" s="319" t="s">
        <v>148</v>
      </c>
      <c r="BU78" s="319" t="s">
        <v>150</v>
      </c>
      <c r="BV78" s="320"/>
      <c r="BW78" s="318" t="s">
        <v>150</v>
      </c>
      <c r="BX78" s="319"/>
      <c r="BY78" s="319" t="s">
        <v>150</v>
      </c>
      <c r="BZ78" s="319" t="s">
        <v>150</v>
      </c>
      <c r="CA78" s="319" t="s">
        <v>150</v>
      </c>
      <c r="CB78" s="320" t="s">
        <v>150</v>
      </c>
      <c r="CC78" s="318" t="s">
        <v>147</v>
      </c>
      <c r="CD78" s="319" t="s">
        <v>148</v>
      </c>
      <c r="CE78" s="320"/>
      <c r="CF78" s="318"/>
      <c r="CG78" s="319"/>
      <c r="CH78" s="319"/>
      <c r="CI78" s="321"/>
      <c r="CK78" s="239">
        <f t="shared" si="25"/>
        <v>2</v>
      </c>
      <c r="CL78" s="240">
        <f t="shared" si="26"/>
        <v>5</v>
      </c>
      <c r="CM78" s="240">
        <f t="shared" si="27"/>
        <v>9</v>
      </c>
      <c r="CN78" s="240">
        <f t="shared" si="28"/>
        <v>10</v>
      </c>
      <c r="CO78" s="241">
        <f t="shared" si="29"/>
        <v>1</v>
      </c>
      <c r="CQ78" s="239" t="str">
        <f>desired_skills(C78,"Organisatie / klantomgeving/LEX-en","o")</f>
        <v/>
      </c>
      <c r="CR78" s="240" t="str">
        <f>desired_skills(C78,"Organisatie / klantomgeving/LEX-en","j")</f>
        <v/>
      </c>
      <c r="CS78" s="240" t="str">
        <f>desired_skills(C78,"Organisatie / klantomgeving/LEX-en","m")</f>
        <v/>
      </c>
      <c r="CT78" s="240" t="str">
        <f>desired_skills(C78,"Organisatie / klantomgeving/LEX-en","s")</f>
        <v/>
      </c>
      <c r="CU78" s="241" t="str">
        <f>desired_skills(C78,"Organisatie / klantomgeving/LEX-en","e")</f>
        <v/>
      </c>
      <c r="CW78" s="239" t="str">
        <f>calc_gap('Matrix 171007_1818'!$CK$78,'Matrix 171007_1818'!$CQ$78)</f>
        <v/>
      </c>
      <c r="CX78" s="240" t="str">
        <f>calc_gap('Matrix 171007_1818'!$CL$78,'Matrix 171007_1818'!$CR$78)</f>
        <v/>
      </c>
      <c r="CY78" s="240" t="str">
        <f>calc_gap('Matrix 171007_1818'!$CM$78,'Matrix 171007_1818'!$CS$78)</f>
        <v/>
      </c>
      <c r="CZ78" s="240" t="str">
        <f>calc_gap('Matrix 171007_1818'!$CN$78,'Matrix 171007_1818'!$CT$78)</f>
        <v/>
      </c>
      <c r="DA78" s="241" t="str">
        <f>calc_gap('Matrix 171007_1818'!$CO$78,'Matrix 171007_1818'!$CU$78)</f>
        <v/>
      </c>
    </row>
    <row r="79" spans="2:105" ht="12.75" customHeight="1" thickTop="1" thickBot="1" x14ac:dyDescent="0.3">
      <c r="B79" s="436"/>
      <c r="C79" s="248"/>
      <c r="D79" s="322"/>
      <c r="E79" s="322"/>
      <c r="F79" s="322"/>
      <c r="G79" s="322"/>
      <c r="H79" s="322"/>
      <c r="I79" s="322"/>
      <c r="J79" s="322"/>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c r="BG79" s="322"/>
      <c r="BH79" s="322"/>
      <c r="BI79" s="322"/>
      <c r="BJ79" s="322"/>
      <c r="BK79" s="322"/>
      <c r="BL79" s="322"/>
      <c r="BM79" s="322"/>
      <c r="BN79" s="322"/>
      <c r="BO79" s="322"/>
      <c r="BP79" s="322"/>
      <c r="BQ79" s="322"/>
      <c r="BR79" s="322"/>
      <c r="BS79" s="322"/>
      <c r="BT79" s="322"/>
      <c r="BU79" s="322"/>
      <c r="BV79" s="322"/>
      <c r="BW79" s="322"/>
      <c r="BX79" s="322"/>
      <c r="BY79" s="322"/>
      <c r="BZ79" s="322"/>
      <c r="CA79" s="322"/>
      <c r="CB79" s="322"/>
      <c r="CC79" s="322"/>
      <c r="CD79" s="322"/>
      <c r="CE79" s="322"/>
      <c r="CF79" s="322"/>
      <c r="CG79" s="322"/>
      <c r="CH79" s="322"/>
      <c r="CI79" s="322"/>
      <c r="CK79" s="249"/>
      <c r="CL79" s="249"/>
      <c r="CM79" s="249"/>
      <c r="CN79" s="249"/>
      <c r="CO79" s="249"/>
      <c r="CQ79" s="249"/>
      <c r="CR79" s="249"/>
      <c r="CS79" s="249"/>
      <c r="CT79" s="249"/>
      <c r="CU79" s="249"/>
      <c r="CW79" s="249"/>
      <c r="CX79" s="249"/>
      <c r="CY79" s="249"/>
      <c r="CZ79" s="249"/>
      <c r="DA79" s="249"/>
    </row>
    <row r="80" spans="2:105" ht="15.75" thickTop="1" x14ac:dyDescent="0.25">
      <c r="B80" s="434" t="s">
        <v>267</v>
      </c>
      <c r="C80" s="290" t="s">
        <v>269</v>
      </c>
      <c r="D80" s="310"/>
      <c r="E80" s="311"/>
      <c r="F80" s="311"/>
      <c r="G80" s="311"/>
      <c r="H80" s="311"/>
      <c r="I80" s="311"/>
      <c r="J80" s="311"/>
      <c r="K80" s="312"/>
      <c r="L80" s="310"/>
      <c r="M80" s="311"/>
      <c r="N80" s="311"/>
      <c r="O80" s="312"/>
      <c r="P80" s="310"/>
      <c r="Q80" s="311"/>
      <c r="R80" s="311"/>
      <c r="S80" s="311"/>
      <c r="T80" s="311"/>
      <c r="U80" s="311"/>
      <c r="V80" s="311"/>
      <c r="W80" s="311"/>
      <c r="X80" s="311"/>
      <c r="Y80" s="311"/>
      <c r="Z80" s="311"/>
      <c r="AA80" s="311"/>
      <c r="AB80" s="311"/>
      <c r="AC80" s="311"/>
      <c r="AD80" s="311"/>
      <c r="AE80" s="311"/>
      <c r="AF80" s="311"/>
      <c r="AG80" s="311"/>
      <c r="AH80" s="311"/>
      <c r="AI80" s="312"/>
      <c r="AJ80" s="310"/>
      <c r="AK80" s="311"/>
      <c r="AL80" s="312"/>
      <c r="AM80" s="310"/>
      <c r="AN80" s="311"/>
      <c r="AO80" s="312"/>
      <c r="AP80" s="310"/>
      <c r="AQ80" s="311"/>
      <c r="AR80" s="311"/>
      <c r="AS80" s="311"/>
      <c r="AT80" s="312"/>
      <c r="AU80" s="310"/>
      <c r="AV80" s="311"/>
      <c r="AW80" s="311"/>
      <c r="AX80" s="311"/>
      <c r="AY80" s="311"/>
      <c r="AZ80" s="311"/>
      <c r="BA80" s="311"/>
      <c r="BB80" s="312"/>
      <c r="BC80" s="310"/>
      <c r="BD80" s="311"/>
      <c r="BE80" s="311"/>
      <c r="BF80" s="311"/>
      <c r="BG80" s="312"/>
      <c r="BH80" s="310"/>
      <c r="BI80" s="311"/>
      <c r="BJ80" s="312"/>
      <c r="BK80" s="310"/>
      <c r="BL80" s="311"/>
      <c r="BM80" s="311"/>
      <c r="BN80" s="312"/>
      <c r="BO80" s="310"/>
      <c r="BP80" s="311"/>
      <c r="BQ80" s="311"/>
      <c r="BR80" s="311"/>
      <c r="BS80" s="311"/>
      <c r="BT80" s="311"/>
      <c r="BU80" s="311"/>
      <c r="BV80" s="312"/>
      <c r="BW80" s="310"/>
      <c r="BX80" s="311"/>
      <c r="BY80" s="311"/>
      <c r="BZ80" s="311"/>
      <c r="CA80" s="311"/>
      <c r="CB80" s="312"/>
      <c r="CC80" s="310"/>
      <c r="CD80" s="311"/>
      <c r="CE80" s="312"/>
      <c r="CF80" s="310"/>
      <c r="CG80" s="311"/>
      <c r="CH80" s="311"/>
      <c r="CI80" s="313"/>
      <c r="CK80" s="233" t="str">
        <f t="shared" ref="CK80:CK94" si="30">IF(COUNTIF(D80:CI80,"o")&gt;0,COUNTIF(D80:CI80,"o"),"")</f>
        <v/>
      </c>
      <c r="CL80" s="234" t="str">
        <f t="shared" ref="CL80:CL94" si="31">IF(COUNTIF(D80:CI80,"j")&gt;0,COUNTIF(D80:CI80,"j"),"")</f>
        <v/>
      </c>
      <c r="CM80" s="234" t="str">
        <f t="shared" ref="CM80:CM94" si="32">IF(COUNTIF(D80:CI80,"m")&gt;0,COUNTIF(D80:CI80,"m"),"")</f>
        <v/>
      </c>
      <c r="CN80" s="234" t="str">
        <f t="shared" ref="CN80:CN94" si="33">IF(COUNTIF(D80:CI80,"s")&gt;0,COUNTIF(D80:CI80,"s"),"")</f>
        <v/>
      </c>
      <c r="CO80" s="235" t="str">
        <f t="shared" ref="CO80:CO94" si="34">IF(COUNTIF(D80:CI80,"e")&gt;0,COUNTIF(D80:CI80,"e"),"")</f>
        <v/>
      </c>
      <c r="CQ80" s="233" t="str">
        <f>desired_skills(C80,"Extra vaardigheden/Vormgeving/ontwerpen","o")</f>
        <v/>
      </c>
      <c r="CR80" s="234" t="str">
        <f>desired_skills(C80,"Extra vaardigheden/Vormgeving/ontwerpen","j")</f>
        <v/>
      </c>
      <c r="CS80" s="234" t="str">
        <f>desired_skills(C80,"Extra vaardigheden/Vormgeving/ontwerpen","m")</f>
        <v/>
      </c>
      <c r="CT80" s="234" t="str">
        <f>desired_skills(C80,"Extra vaardigheden/Vormgeving/ontwerpen","s")</f>
        <v/>
      </c>
      <c r="CU80" s="235" t="str">
        <f>desired_skills(C80,"Extra vaardigheden/Vormgeving/ontwerpen","e")</f>
        <v/>
      </c>
      <c r="CW80" s="233" t="str">
        <f>calc_gap('Matrix 171007_1818'!$CK$80,'Matrix 171007_1818'!$CQ$80)</f>
        <v/>
      </c>
      <c r="CX80" s="234" t="str">
        <f>calc_gap('Matrix 171007_1818'!$CL$80,'Matrix 171007_1818'!$CR$80)</f>
        <v/>
      </c>
      <c r="CY80" s="234" t="str">
        <f>calc_gap('Matrix 171007_1818'!$CM$80,'Matrix 171007_1818'!$CS$80)</f>
        <v/>
      </c>
      <c r="CZ80" s="234" t="str">
        <f>calc_gap('Matrix 171007_1818'!$CN$80,'Matrix 171007_1818'!$CT$80)</f>
        <v/>
      </c>
      <c r="DA80" s="235" t="str">
        <f>calc_gap('Matrix 171007_1818'!$CO$80,'Matrix 171007_1818'!$CU$80)</f>
        <v/>
      </c>
    </row>
    <row r="81" spans="2:105" x14ac:dyDescent="0.25">
      <c r="B81" s="435"/>
      <c r="C81" s="291" t="s">
        <v>270</v>
      </c>
      <c r="D81" s="314"/>
      <c r="E81" s="315"/>
      <c r="F81" s="315"/>
      <c r="G81" s="315"/>
      <c r="H81" s="315"/>
      <c r="I81" s="315"/>
      <c r="J81" s="315"/>
      <c r="K81" s="316"/>
      <c r="L81" s="314"/>
      <c r="M81" s="315"/>
      <c r="N81" s="315"/>
      <c r="O81" s="316"/>
      <c r="P81" s="314"/>
      <c r="Q81" s="315"/>
      <c r="R81" s="315"/>
      <c r="S81" s="315"/>
      <c r="T81" s="315"/>
      <c r="U81" s="315"/>
      <c r="V81" s="315"/>
      <c r="W81" s="315"/>
      <c r="X81" s="315"/>
      <c r="Y81" s="315"/>
      <c r="Z81" s="315"/>
      <c r="AA81" s="315"/>
      <c r="AB81" s="315"/>
      <c r="AC81" s="315"/>
      <c r="AD81" s="315"/>
      <c r="AE81" s="315"/>
      <c r="AF81" s="315"/>
      <c r="AG81" s="315"/>
      <c r="AH81" s="315"/>
      <c r="AI81" s="316"/>
      <c r="AJ81" s="314"/>
      <c r="AK81" s="315"/>
      <c r="AL81" s="316"/>
      <c r="AM81" s="314"/>
      <c r="AN81" s="315"/>
      <c r="AO81" s="316"/>
      <c r="AP81" s="314"/>
      <c r="AQ81" s="315"/>
      <c r="AR81" s="315"/>
      <c r="AS81" s="315"/>
      <c r="AT81" s="316"/>
      <c r="AU81" s="314"/>
      <c r="AV81" s="315"/>
      <c r="AW81" s="315"/>
      <c r="AX81" s="315"/>
      <c r="AY81" s="315"/>
      <c r="AZ81" s="315"/>
      <c r="BA81" s="315"/>
      <c r="BB81" s="316"/>
      <c r="BC81" s="314"/>
      <c r="BD81" s="315"/>
      <c r="BE81" s="315"/>
      <c r="BF81" s="315"/>
      <c r="BG81" s="316"/>
      <c r="BH81" s="314"/>
      <c r="BI81" s="315"/>
      <c r="BJ81" s="316"/>
      <c r="BK81" s="314"/>
      <c r="BL81" s="315"/>
      <c r="BM81" s="315"/>
      <c r="BN81" s="316"/>
      <c r="BO81" s="314"/>
      <c r="BP81" s="315"/>
      <c r="BQ81" s="315"/>
      <c r="BR81" s="315"/>
      <c r="BS81" s="315"/>
      <c r="BT81" s="315"/>
      <c r="BU81" s="315"/>
      <c r="BV81" s="316"/>
      <c r="BW81" s="314"/>
      <c r="BX81" s="315"/>
      <c r="BY81" s="315"/>
      <c r="BZ81" s="315"/>
      <c r="CA81" s="315"/>
      <c r="CB81" s="316"/>
      <c r="CC81" s="314"/>
      <c r="CD81" s="315"/>
      <c r="CE81" s="316"/>
      <c r="CF81" s="314"/>
      <c r="CG81" s="315"/>
      <c r="CH81" s="315"/>
      <c r="CI81" s="317"/>
      <c r="CK81" s="236" t="str">
        <f t="shared" si="30"/>
        <v/>
      </c>
      <c r="CL81" s="237" t="str">
        <f t="shared" si="31"/>
        <v/>
      </c>
      <c r="CM81" s="237" t="str">
        <f t="shared" si="32"/>
        <v/>
      </c>
      <c r="CN81" s="237" t="str">
        <f t="shared" si="33"/>
        <v/>
      </c>
      <c r="CO81" s="238" t="str">
        <f t="shared" si="34"/>
        <v/>
      </c>
      <c r="CQ81" s="236" t="str">
        <f>desired_skills(C81,"Extra vaardigheden/Organiseren","o")</f>
        <v/>
      </c>
      <c r="CR81" s="237" t="str">
        <f>desired_skills(C81,"Extra vaardigheden/Organiseren","j")</f>
        <v/>
      </c>
      <c r="CS81" s="237" t="str">
        <f>desired_skills(C81,"Extra vaardigheden/Organiseren","m")</f>
        <v/>
      </c>
      <c r="CT81" s="237" t="str">
        <f>desired_skills(C81,"Extra vaardigheden/Organiseren","s")</f>
        <v/>
      </c>
      <c r="CU81" s="238" t="str">
        <f>desired_skills(C81,"Extra vaardigheden/Organiseren","e")</f>
        <v/>
      </c>
      <c r="CW81" s="236" t="str">
        <f>calc_gap('Matrix 171007_1818'!$CK$81,'Matrix 171007_1818'!$CQ$81)</f>
        <v/>
      </c>
      <c r="CX81" s="237" t="str">
        <f>calc_gap('Matrix 171007_1818'!$CL$81,'Matrix 171007_1818'!$CR$81)</f>
        <v/>
      </c>
      <c r="CY81" s="237" t="str">
        <f>calc_gap('Matrix 171007_1818'!$CM$81,'Matrix 171007_1818'!$CS$81)</f>
        <v/>
      </c>
      <c r="CZ81" s="237" t="str">
        <f>calc_gap('Matrix 171007_1818'!$CN$81,'Matrix 171007_1818'!$CT$81)</f>
        <v/>
      </c>
      <c r="DA81" s="238" t="str">
        <f>calc_gap('Matrix 171007_1818'!$CO$81,'Matrix 171007_1818'!$CU$81)</f>
        <v/>
      </c>
    </row>
    <row r="82" spans="2:105" x14ac:dyDescent="0.25">
      <c r="B82" s="435"/>
      <c r="C82" s="291" t="s">
        <v>271</v>
      </c>
      <c r="D82" s="314"/>
      <c r="E82" s="315"/>
      <c r="F82" s="315"/>
      <c r="G82" s="315"/>
      <c r="H82" s="315"/>
      <c r="I82" s="315"/>
      <c r="J82" s="315"/>
      <c r="K82" s="316"/>
      <c r="L82" s="314"/>
      <c r="M82" s="315"/>
      <c r="N82" s="315"/>
      <c r="O82" s="316"/>
      <c r="P82" s="314"/>
      <c r="Q82" s="315"/>
      <c r="R82" s="315"/>
      <c r="S82" s="315"/>
      <c r="T82" s="315"/>
      <c r="U82" s="315"/>
      <c r="V82" s="315"/>
      <c r="W82" s="315"/>
      <c r="X82" s="315"/>
      <c r="Y82" s="315"/>
      <c r="Z82" s="315"/>
      <c r="AA82" s="315"/>
      <c r="AB82" s="315"/>
      <c r="AC82" s="315"/>
      <c r="AD82" s="315"/>
      <c r="AE82" s="315"/>
      <c r="AF82" s="315"/>
      <c r="AG82" s="315"/>
      <c r="AH82" s="315"/>
      <c r="AI82" s="316"/>
      <c r="AJ82" s="314"/>
      <c r="AK82" s="315"/>
      <c r="AL82" s="316"/>
      <c r="AM82" s="314"/>
      <c r="AN82" s="315"/>
      <c r="AO82" s="316"/>
      <c r="AP82" s="314"/>
      <c r="AQ82" s="315"/>
      <c r="AR82" s="315"/>
      <c r="AS82" s="315"/>
      <c r="AT82" s="316"/>
      <c r="AU82" s="314"/>
      <c r="AV82" s="315"/>
      <c r="AW82" s="315"/>
      <c r="AX82" s="315"/>
      <c r="AY82" s="315"/>
      <c r="AZ82" s="315"/>
      <c r="BA82" s="315"/>
      <c r="BB82" s="316"/>
      <c r="BC82" s="314"/>
      <c r="BD82" s="315"/>
      <c r="BE82" s="315"/>
      <c r="BF82" s="315"/>
      <c r="BG82" s="316"/>
      <c r="BH82" s="314"/>
      <c r="BI82" s="315"/>
      <c r="BJ82" s="316"/>
      <c r="BK82" s="314"/>
      <c r="BL82" s="315"/>
      <c r="BM82" s="315"/>
      <c r="BN82" s="316"/>
      <c r="BO82" s="314"/>
      <c r="BP82" s="315"/>
      <c r="BQ82" s="315"/>
      <c r="BR82" s="315"/>
      <c r="BS82" s="315"/>
      <c r="BT82" s="315"/>
      <c r="BU82" s="315"/>
      <c r="BV82" s="316"/>
      <c r="BW82" s="314"/>
      <c r="BX82" s="315"/>
      <c r="BY82" s="315"/>
      <c r="BZ82" s="315"/>
      <c r="CA82" s="315"/>
      <c r="CB82" s="316"/>
      <c r="CC82" s="314"/>
      <c r="CD82" s="315"/>
      <c r="CE82" s="316"/>
      <c r="CF82" s="314"/>
      <c r="CG82" s="315"/>
      <c r="CH82" s="315"/>
      <c r="CI82" s="317"/>
      <c r="CK82" s="236" t="str">
        <f t="shared" si="30"/>
        <v/>
      </c>
      <c r="CL82" s="237" t="str">
        <f t="shared" si="31"/>
        <v/>
      </c>
      <c r="CM82" s="237" t="str">
        <f t="shared" si="32"/>
        <v/>
      </c>
      <c r="CN82" s="237" t="str">
        <f t="shared" si="33"/>
        <v/>
      </c>
      <c r="CO82" s="238" t="str">
        <f t="shared" si="34"/>
        <v/>
      </c>
      <c r="CQ82" s="236" t="str">
        <f>desired_skills(C82,"Extra vaardigheden/Fotografie","o")</f>
        <v/>
      </c>
      <c r="CR82" s="237" t="str">
        <f>desired_skills(C82,"Extra vaardigheden/Fotografie","j")</f>
        <v/>
      </c>
      <c r="CS82" s="237" t="str">
        <f>desired_skills(C82,"Extra vaardigheden/Fotografie","m")</f>
        <v/>
      </c>
      <c r="CT82" s="237" t="str">
        <f>desired_skills(C82,"Extra vaardigheden/Fotografie","s")</f>
        <v/>
      </c>
      <c r="CU82" s="238" t="str">
        <f>desired_skills(C82,"Extra vaardigheden/Fotografie","e")</f>
        <v/>
      </c>
      <c r="CW82" s="236" t="str">
        <f>calc_gap('Matrix 171007_1818'!$CK$82,'Matrix 171007_1818'!$CQ$82)</f>
        <v/>
      </c>
      <c r="CX82" s="237" t="str">
        <f>calc_gap('Matrix 171007_1818'!$CL$82,'Matrix 171007_1818'!$CR$82)</f>
        <v/>
      </c>
      <c r="CY82" s="237" t="str">
        <f>calc_gap('Matrix 171007_1818'!$CM$82,'Matrix 171007_1818'!$CS$82)</f>
        <v/>
      </c>
      <c r="CZ82" s="237" t="str">
        <f>calc_gap('Matrix 171007_1818'!$CN$82,'Matrix 171007_1818'!$CT$82)</f>
        <v/>
      </c>
      <c r="DA82" s="238" t="str">
        <f>calc_gap('Matrix 171007_1818'!$CO$82,'Matrix 171007_1818'!$CU$82)</f>
        <v/>
      </c>
    </row>
    <row r="83" spans="2:105" x14ac:dyDescent="0.25">
      <c r="B83" s="435"/>
      <c r="C83" s="291" t="s">
        <v>272</v>
      </c>
      <c r="D83" s="314"/>
      <c r="E83" s="315"/>
      <c r="F83" s="315"/>
      <c r="G83" s="315"/>
      <c r="H83" s="315"/>
      <c r="I83" s="315"/>
      <c r="J83" s="315"/>
      <c r="K83" s="316"/>
      <c r="L83" s="314"/>
      <c r="M83" s="315"/>
      <c r="N83" s="315"/>
      <c r="O83" s="316"/>
      <c r="P83" s="314"/>
      <c r="Q83" s="315"/>
      <c r="R83" s="315"/>
      <c r="S83" s="315"/>
      <c r="T83" s="315"/>
      <c r="U83" s="315"/>
      <c r="V83" s="315"/>
      <c r="W83" s="315"/>
      <c r="X83" s="315"/>
      <c r="Y83" s="315"/>
      <c r="Z83" s="315"/>
      <c r="AA83" s="315"/>
      <c r="AB83" s="315"/>
      <c r="AC83" s="315"/>
      <c r="AD83" s="315"/>
      <c r="AE83" s="315"/>
      <c r="AF83" s="315"/>
      <c r="AG83" s="315"/>
      <c r="AH83" s="315"/>
      <c r="AI83" s="316"/>
      <c r="AJ83" s="314"/>
      <c r="AK83" s="315"/>
      <c r="AL83" s="316"/>
      <c r="AM83" s="314"/>
      <c r="AN83" s="315"/>
      <c r="AO83" s="316"/>
      <c r="AP83" s="314"/>
      <c r="AQ83" s="315"/>
      <c r="AR83" s="315"/>
      <c r="AS83" s="315"/>
      <c r="AT83" s="316"/>
      <c r="AU83" s="314"/>
      <c r="AV83" s="315"/>
      <c r="AW83" s="315"/>
      <c r="AX83" s="315"/>
      <c r="AY83" s="315"/>
      <c r="AZ83" s="315"/>
      <c r="BA83" s="315"/>
      <c r="BB83" s="316"/>
      <c r="BC83" s="314"/>
      <c r="BD83" s="315"/>
      <c r="BE83" s="315"/>
      <c r="BF83" s="315"/>
      <c r="BG83" s="316"/>
      <c r="BH83" s="314"/>
      <c r="BI83" s="315"/>
      <c r="BJ83" s="316"/>
      <c r="BK83" s="314"/>
      <c r="BL83" s="315"/>
      <c r="BM83" s="315"/>
      <c r="BN83" s="316"/>
      <c r="BO83" s="314"/>
      <c r="BP83" s="315"/>
      <c r="BQ83" s="315"/>
      <c r="BR83" s="315"/>
      <c r="BS83" s="315"/>
      <c r="BT83" s="315"/>
      <c r="BU83" s="315"/>
      <c r="BV83" s="316"/>
      <c r="BW83" s="314"/>
      <c r="BX83" s="315"/>
      <c r="BY83" s="315"/>
      <c r="BZ83" s="315"/>
      <c r="CA83" s="315"/>
      <c r="CB83" s="316"/>
      <c r="CC83" s="314"/>
      <c r="CD83" s="315"/>
      <c r="CE83" s="316"/>
      <c r="CF83" s="314"/>
      <c r="CG83" s="315"/>
      <c r="CH83" s="315"/>
      <c r="CI83" s="317"/>
      <c r="CK83" s="236" t="str">
        <f t="shared" si="30"/>
        <v/>
      </c>
      <c r="CL83" s="237" t="str">
        <f t="shared" si="31"/>
        <v/>
      </c>
      <c r="CM83" s="237" t="str">
        <f t="shared" si="32"/>
        <v/>
      </c>
      <c r="CN83" s="237" t="str">
        <f t="shared" si="33"/>
        <v/>
      </c>
      <c r="CO83" s="238" t="str">
        <f t="shared" si="34"/>
        <v/>
      </c>
      <c r="CQ83" s="236" t="str">
        <f>desired_skills(C83,"Extra vaardigheden/Tekenen","o")</f>
        <v/>
      </c>
      <c r="CR83" s="237" t="str">
        <f>desired_skills(C83,"Extra vaardigheden/Tekenen","j")</f>
        <v/>
      </c>
      <c r="CS83" s="237" t="str">
        <f>desired_skills(C83,"Extra vaardigheden/Tekenen","m")</f>
        <v/>
      </c>
      <c r="CT83" s="237" t="str">
        <f>desired_skills(C83,"Extra vaardigheden/Tekenen","s")</f>
        <v/>
      </c>
      <c r="CU83" s="238" t="str">
        <f>desired_skills(C83,"Extra vaardigheden/Tekenen","e")</f>
        <v/>
      </c>
      <c r="CW83" s="236" t="str">
        <f>calc_gap('Matrix 171007_1818'!$CK$83,'Matrix 171007_1818'!$CQ$83)</f>
        <v/>
      </c>
      <c r="CX83" s="237" t="str">
        <f>calc_gap('Matrix 171007_1818'!$CL$83,'Matrix 171007_1818'!$CR$83)</f>
        <v/>
      </c>
      <c r="CY83" s="237" t="str">
        <f>calc_gap('Matrix 171007_1818'!$CM$83,'Matrix 171007_1818'!$CS$83)</f>
        <v/>
      </c>
      <c r="CZ83" s="237" t="str">
        <f>calc_gap('Matrix 171007_1818'!$CN$83,'Matrix 171007_1818'!$CT$83)</f>
        <v/>
      </c>
      <c r="DA83" s="238" t="str">
        <f>calc_gap('Matrix 171007_1818'!$CO$83,'Matrix 171007_1818'!$CU$83)</f>
        <v/>
      </c>
    </row>
    <row r="84" spans="2:105" x14ac:dyDescent="0.25">
      <c r="B84" s="435"/>
      <c r="C84" s="291" t="s">
        <v>273</v>
      </c>
      <c r="D84" s="314"/>
      <c r="E84" s="315"/>
      <c r="F84" s="315"/>
      <c r="G84" s="315"/>
      <c r="H84" s="315"/>
      <c r="I84" s="315"/>
      <c r="J84" s="315"/>
      <c r="K84" s="316"/>
      <c r="L84" s="314"/>
      <c r="M84" s="315"/>
      <c r="N84" s="315"/>
      <c r="O84" s="316"/>
      <c r="P84" s="314"/>
      <c r="Q84" s="315"/>
      <c r="R84" s="315"/>
      <c r="S84" s="315"/>
      <c r="T84" s="315"/>
      <c r="U84" s="315"/>
      <c r="V84" s="315"/>
      <c r="W84" s="315"/>
      <c r="X84" s="315"/>
      <c r="Y84" s="315"/>
      <c r="Z84" s="315"/>
      <c r="AA84" s="315"/>
      <c r="AB84" s="315"/>
      <c r="AC84" s="315"/>
      <c r="AD84" s="315"/>
      <c r="AE84" s="315"/>
      <c r="AF84" s="315"/>
      <c r="AG84" s="315"/>
      <c r="AH84" s="315"/>
      <c r="AI84" s="316"/>
      <c r="AJ84" s="314"/>
      <c r="AK84" s="315"/>
      <c r="AL84" s="316"/>
      <c r="AM84" s="314"/>
      <c r="AN84" s="315"/>
      <c r="AO84" s="316"/>
      <c r="AP84" s="314"/>
      <c r="AQ84" s="315"/>
      <c r="AR84" s="315"/>
      <c r="AS84" s="315"/>
      <c r="AT84" s="316"/>
      <c r="AU84" s="314"/>
      <c r="AV84" s="315"/>
      <c r="AW84" s="315"/>
      <c r="AX84" s="315"/>
      <c r="AY84" s="315"/>
      <c r="AZ84" s="315"/>
      <c r="BA84" s="315"/>
      <c r="BB84" s="316"/>
      <c r="BC84" s="314"/>
      <c r="BD84" s="315"/>
      <c r="BE84" s="315"/>
      <c r="BF84" s="315"/>
      <c r="BG84" s="316"/>
      <c r="BH84" s="314"/>
      <c r="BI84" s="315"/>
      <c r="BJ84" s="316"/>
      <c r="BK84" s="314"/>
      <c r="BL84" s="315"/>
      <c r="BM84" s="315"/>
      <c r="BN84" s="316"/>
      <c r="BO84" s="314"/>
      <c r="BP84" s="315"/>
      <c r="BQ84" s="315"/>
      <c r="BR84" s="315"/>
      <c r="BS84" s="315"/>
      <c r="BT84" s="315"/>
      <c r="BU84" s="315"/>
      <c r="BV84" s="316"/>
      <c r="BW84" s="314"/>
      <c r="BX84" s="315"/>
      <c r="BY84" s="315"/>
      <c r="BZ84" s="315"/>
      <c r="CA84" s="315"/>
      <c r="CB84" s="316"/>
      <c r="CC84" s="314"/>
      <c r="CD84" s="315"/>
      <c r="CE84" s="316"/>
      <c r="CF84" s="314"/>
      <c r="CG84" s="315"/>
      <c r="CH84" s="315"/>
      <c r="CI84" s="317"/>
      <c r="CK84" s="236" t="str">
        <f t="shared" si="30"/>
        <v/>
      </c>
      <c r="CL84" s="237" t="str">
        <f t="shared" si="31"/>
        <v/>
      </c>
      <c r="CM84" s="237" t="str">
        <f t="shared" si="32"/>
        <v/>
      </c>
      <c r="CN84" s="237" t="str">
        <f t="shared" si="33"/>
        <v/>
      </c>
      <c r="CO84" s="238" t="str">
        <f t="shared" si="34"/>
        <v/>
      </c>
      <c r="CQ84" s="236" t="str">
        <f>desired_skills(C84,"Extra vaardigheden/Creatief","o")</f>
        <v/>
      </c>
      <c r="CR84" s="237" t="str">
        <f>desired_skills(C84,"Extra vaardigheden/Creatief","j")</f>
        <v/>
      </c>
      <c r="CS84" s="237" t="str">
        <f>desired_skills(C84,"Extra vaardigheden/Creatief","m")</f>
        <v/>
      </c>
      <c r="CT84" s="237" t="str">
        <f>desired_skills(C84,"Extra vaardigheden/Creatief","s")</f>
        <v/>
      </c>
      <c r="CU84" s="238" t="str">
        <f>desired_skills(C84,"Extra vaardigheden/Creatief","e")</f>
        <v/>
      </c>
      <c r="CW84" s="236" t="str">
        <f>calc_gap('Matrix 171007_1818'!$CK$84,'Matrix 171007_1818'!$CQ$84)</f>
        <v/>
      </c>
      <c r="CX84" s="237" t="str">
        <f>calc_gap('Matrix 171007_1818'!$CL$84,'Matrix 171007_1818'!$CR$84)</f>
        <v/>
      </c>
      <c r="CY84" s="237" t="str">
        <f>calc_gap('Matrix 171007_1818'!$CM$84,'Matrix 171007_1818'!$CS$84)</f>
        <v/>
      </c>
      <c r="CZ84" s="237" t="str">
        <f>calc_gap('Matrix 171007_1818'!$CN$84,'Matrix 171007_1818'!$CT$84)</f>
        <v/>
      </c>
      <c r="DA84" s="238" t="str">
        <f>calc_gap('Matrix 171007_1818'!$CO$84,'Matrix 171007_1818'!$CU$84)</f>
        <v/>
      </c>
    </row>
    <row r="85" spans="2:105" x14ac:dyDescent="0.25">
      <c r="B85" s="435"/>
      <c r="C85" s="291" t="s">
        <v>274</v>
      </c>
      <c r="D85" s="314"/>
      <c r="E85" s="315"/>
      <c r="F85" s="315"/>
      <c r="G85" s="315"/>
      <c r="H85" s="315"/>
      <c r="I85" s="315"/>
      <c r="J85" s="315"/>
      <c r="K85" s="316"/>
      <c r="L85" s="314"/>
      <c r="M85" s="315"/>
      <c r="N85" s="315"/>
      <c r="O85" s="316"/>
      <c r="P85" s="314"/>
      <c r="Q85" s="315"/>
      <c r="R85" s="315"/>
      <c r="S85" s="315"/>
      <c r="T85" s="315"/>
      <c r="U85" s="315"/>
      <c r="V85" s="315"/>
      <c r="W85" s="315"/>
      <c r="X85" s="315"/>
      <c r="Y85" s="315"/>
      <c r="Z85" s="315"/>
      <c r="AA85" s="315"/>
      <c r="AB85" s="315"/>
      <c r="AC85" s="315"/>
      <c r="AD85" s="315"/>
      <c r="AE85" s="315"/>
      <c r="AF85" s="315"/>
      <c r="AG85" s="315"/>
      <c r="AH85" s="315"/>
      <c r="AI85" s="316"/>
      <c r="AJ85" s="314"/>
      <c r="AK85" s="315"/>
      <c r="AL85" s="316"/>
      <c r="AM85" s="314"/>
      <c r="AN85" s="315"/>
      <c r="AO85" s="316"/>
      <c r="AP85" s="314"/>
      <c r="AQ85" s="315"/>
      <c r="AR85" s="315"/>
      <c r="AS85" s="315"/>
      <c r="AT85" s="316"/>
      <c r="AU85" s="314"/>
      <c r="AV85" s="315"/>
      <c r="AW85" s="315"/>
      <c r="AX85" s="315"/>
      <c r="AY85" s="315"/>
      <c r="AZ85" s="315"/>
      <c r="BA85" s="315"/>
      <c r="BB85" s="316"/>
      <c r="BC85" s="314"/>
      <c r="BD85" s="315"/>
      <c r="BE85" s="315"/>
      <c r="BF85" s="315"/>
      <c r="BG85" s="316"/>
      <c r="BH85" s="314"/>
      <c r="BI85" s="315"/>
      <c r="BJ85" s="316"/>
      <c r="BK85" s="314"/>
      <c r="BL85" s="315"/>
      <c r="BM85" s="315"/>
      <c r="BN85" s="316"/>
      <c r="BO85" s="314"/>
      <c r="BP85" s="315"/>
      <c r="BQ85" s="315"/>
      <c r="BR85" s="315"/>
      <c r="BS85" s="315"/>
      <c r="BT85" s="315"/>
      <c r="BU85" s="315"/>
      <c r="BV85" s="316"/>
      <c r="BW85" s="314"/>
      <c r="BX85" s="315"/>
      <c r="BY85" s="315"/>
      <c r="BZ85" s="315"/>
      <c r="CA85" s="315"/>
      <c r="CB85" s="316"/>
      <c r="CC85" s="314"/>
      <c r="CD85" s="315"/>
      <c r="CE85" s="316"/>
      <c r="CF85" s="314"/>
      <c r="CG85" s="315"/>
      <c r="CH85" s="315"/>
      <c r="CI85" s="317"/>
      <c r="CK85" s="236" t="str">
        <f t="shared" si="30"/>
        <v/>
      </c>
      <c r="CL85" s="237" t="str">
        <f t="shared" si="31"/>
        <v/>
      </c>
      <c r="CM85" s="237" t="str">
        <f t="shared" si="32"/>
        <v/>
      </c>
      <c r="CN85" s="237" t="str">
        <f t="shared" si="33"/>
        <v/>
      </c>
      <c r="CO85" s="238" t="str">
        <f t="shared" si="34"/>
        <v/>
      </c>
      <c r="CQ85" s="236" t="str">
        <f>desired_skills(C85,"Extra vaardigheden/Videobewerking","o")</f>
        <v/>
      </c>
      <c r="CR85" s="237" t="str">
        <f>desired_skills(C85,"Extra vaardigheden/Videobewerking","j")</f>
        <v/>
      </c>
      <c r="CS85" s="237" t="str">
        <f>desired_skills(C85,"Extra vaardigheden/Videobewerking","m")</f>
        <v/>
      </c>
      <c r="CT85" s="237" t="str">
        <f>desired_skills(C85,"Extra vaardigheden/Videobewerking","s")</f>
        <v/>
      </c>
      <c r="CU85" s="238" t="str">
        <f>desired_skills(C85,"Extra vaardigheden/Videobewerking","e")</f>
        <v/>
      </c>
      <c r="CW85" s="236" t="str">
        <f>calc_gap('Matrix 171007_1818'!$CK$85,'Matrix 171007_1818'!$CQ$85)</f>
        <v/>
      </c>
      <c r="CX85" s="237" t="str">
        <f>calc_gap('Matrix 171007_1818'!$CL$85,'Matrix 171007_1818'!$CR$85)</f>
        <v/>
      </c>
      <c r="CY85" s="237" t="str">
        <f>calc_gap('Matrix 171007_1818'!$CM$85,'Matrix 171007_1818'!$CS$85)</f>
        <v/>
      </c>
      <c r="CZ85" s="237" t="str">
        <f>calc_gap('Matrix 171007_1818'!$CN$85,'Matrix 171007_1818'!$CT$85)</f>
        <v/>
      </c>
      <c r="DA85" s="238" t="str">
        <f>calc_gap('Matrix 171007_1818'!$CO$85,'Matrix 171007_1818'!$CU$85)</f>
        <v/>
      </c>
    </row>
    <row r="86" spans="2:105" x14ac:dyDescent="0.25">
      <c r="B86" s="435"/>
      <c r="C86" s="291" t="s">
        <v>275</v>
      </c>
      <c r="D86" s="314"/>
      <c r="E86" s="315"/>
      <c r="F86" s="315"/>
      <c r="G86" s="315"/>
      <c r="H86" s="315"/>
      <c r="I86" s="315"/>
      <c r="J86" s="315"/>
      <c r="K86" s="316"/>
      <c r="L86" s="314"/>
      <c r="M86" s="315"/>
      <c r="N86" s="315"/>
      <c r="O86" s="316"/>
      <c r="P86" s="314"/>
      <c r="Q86" s="315"/>
      <c r="R86" s="315"/>
      <c r="S86" s="315"/>
      <c r="T86" s="315"/>
      <c r="U86" s="315"/>
      <c r="V86" s="315"/>
      <c r="W86" s="315"/>
      <c r="X86" s="315"/>
      <c r="Y86" s="315"/>
      <c r="Z86" s="315"/>
      <c r="AA86" s="315"/>
      <c r="AB86" s="315"/>
      <c r="AC86" s="315"/>
      <c r="AD86" s="315"/>
      <c r="AE86" s="315"/>
      <c r="AF86" s="315"/>
      <c r="AG86" s="315"/>
      <c r="AH86" s="315"/>
      <c r="AI86" s="316"/>
      <c r="AJ86" s="314"/>
      <c r="AK86" s="315"/>
      <c r="AL86" s="316"/>
      <c r="AM86" s="314"/>
      <c r="AN86" s="315"/>
      <c r="AO86" s="316"/>
      <c r="AP86" s="314"/>
      <c r="AQ86" s="315"/>
      <c r="AR86" s="315"/>
      <c r="AS86" s="315"/>
      <c r="AT86" s="316"/>
      <c r="AU86" s="314"/>
      <c r="AV86" s="315"/>
      <c r="AW86" s="315"/>
      <c r="AX86" s="315"/>
      <c r="AY86" s="315"/>
      <c r="AZ86" s="315"/>
      <c r="BA86" s="315"/>
      <c r="BB86" s="316"/>
      <c r="BC86" s="314"/>
      <c r="BD86" s="315"/>
      <c r="BE86" s="315"/>
      <c r="BF86" s="315"/>
      <c r="BG86" s="316"/>
      <c r="BH86" s="314"/>
      <c r="BI86" s="315"/>
      <c r="BJ86" s="316"/>
      <c r="BK86" s="314"/>
      <c r="BL86" s="315"/>
      <c r="BM86" s="315"/>
      <c r="BN86" s="316"/>
      <c r="BO86" s="314"/>
      <c r="BP86" s="315"/>
      <c r="BQ86" s="315"/>
      <c r="BR86" s="315"/>
      <c r="BS86" s="315"/>
      <c r="BT86" s="315"/>
      <c r="BU86" s="315"/>
      <c r="BV86" s="316"/>
      <c r="BW86" s="314"/>
      <c r="BX86" s="315"/>
      <c r="BY86" s="315"/>
      <c r="BZ86" s="315"/>
      <c r="CA86" s="315"/>
      <c r="CB86" s="316"/>
      <c r="CC86" s="314"/>
      <c r="CD86" s="315"/>
      <c r="CE86" s="316"/>
      <c r="CF86" s="314"/>
      <c r="CG86" s="315"/>
      <c r="CH86" s="315"/>
      <c r="CI86" s="317"/>
      <c r="CK86" s="236" t="str">
        <f t="shared" si="30"/>
        <v/>
      </c>
      <c r="CL86" s="237" t="str">
        <f t="shared" si="31"/>
        <v/>
      </c>
      <c r="CM86" s="237" t="str">
        <f t="shared" si="32"/>
        <v/>
      </c>
      <c r="CN86" s="237" t="str">
        <f t="shared" si="33"/>
        <v/>
      </c>
      <c r="CO86" s="238" t="str">
        <f t="shared" si="34"/>
        <v/>
      </c>
      <c r="CQ86" s="236" t="str">
        <f>desired_skills(C86,"Extra vaardigheden/Excel","o")</f>
        <v/>
      </c>
      <c r="CR86" s="237" t="str">
        <f>desired_skills(C86,"Extra vaardigheden/Excel","j")</f>
        <v/>
      </c>
      <c r="CS86" s="237" t="str">
        <f>desired_skills(C86,"Extra vaardigheden/Excel","m")</f>
        <v/>
      </c>
      <c r="CT86" s="237" t="str">
        <f>desired_skills(C86,"Extra vaardigheden/Excel","s")</f>
        <v/>
      </c>
      <c r="CU86" s="238" t="str">
        <f>desired_skills(C86,"Extra vaardigheden/Excel","e")</f>
        <v/>
      </c>
      <c r="CW86" s="236" t="str">
        <f>calc_gap('Matrix 171007_1818'!$CK$86,'Matrix 171007_1818'!$CQ$86)</f>
        <v/>
      </c>
      <c r="CX86" s="237" t="str">
        <f>calc_gap('Matrix 171007_1818'!$CL$86,'Matrix 171007_1818'!$CR$86)</f>
        <v/>
      </c>
      <c r="CY86" s="237" t="str">
        <f>calc_gap('Matrix 171007_1818'!$CM$86,'Matrix 171007_1818'!$CS$86)</f>
        <v/>
      </c>
      <c r="CZ86" s="237" t="str">
        <f>calc_gap('Matrix 171007_1818'!$CN$86,'Matrix 171007_1818'!$CT$86)</f>
        <v/>
      </c>
      <c r="DA86" s="238" t="str">
        <f>calc_gap('Matrix 171007_1818'!$CO$86,'Matrix 171007_1818'!$CU$86)</f>
        <v/>
      </c>
    </row>
    <row r="87" spans="2:105" x14ac:dyDescent="0.25">
      <c r="B87" s="435"/>
      <c r="C87" s="291" t="s">
        <v>281</v>
      </c>
      <c r="D87" s="314"/>
      <c r="E87" s="315"/>
      <c r="F87" s="315"/>
      <c r="G87" s="315"/>
      <c r="H87" s="315"/>
      <c r="I87" s="315"/>
      <c r="J87" s="315"/>
      <c r="K87" s="316"/>
      <c r="L87" s="314"/>
      <c r="M87" s="315"/>
      <c r="N87" s="315"/>
      <c r="O87" s="316"/>
      <c r="P87" s="314"/>
      <c r="Q87" s="315"/>
      <c r="R87" s="315"/>
      <c r="S87" s="315"/>
      <c r="T87" s="315"/>
      <c r="U87" s="315"/>
      <c r="V87" s="315"/>
      <c r="W87" s="315"/>
      <c r="X87" s="315"/>
      <c r="Y87" s="315"/>
      <c r="Z87" s="315"/>
      <c r="AA87" s="315"/>
      <c r="AB87" s="315"/>
      <c r="AC87" s="315"/>
      <c r="AD87" s="315"/>
      <c r="AE87" s="315"/>
      <c r="AF87" s="315"/>
      <c r="AG87" s="315"/>
      <c r="AH87" s="315"/>
      <c r="AI87" s="316"/>
      <c r="AJ87" s="314"/>
      <c r="AK87" s="315"/>
      <c r="AL87" s="316"/>
      <c r="AM87" s="314"/>
      <c r="AN87" s="315"/>
      <c r="AO87" s="316"/>
      <c r="AP87" s="314"/>
      <c r="AQ87" s="315"/>
      <c r="AR87" s="315"/>
      <c r="AS87" s="315"/>
      <c r="AT87" s="316"/>
      <c r="AU87" s="314"/>
      <c r="AV87" s="315"/>
      <c r="AW87" s="315"/>
      <c r="AX87" s="315"/>
      <c r="AY87" s="315"/>
      <c r="AZ87" s="315"/>
      <c r="BA87" s="315"/>
      <c r="BB87" s="316"/>
      <c r="BC87" s="314"/>
      <c r="BD87" s="315"/>
      <c r="BE87" s="315"/>
      <c r="BF87" s="315"/>
      <c r="BG87" s="316"/>
      <c r="BH87" s="314"/>
      <c r="BI87" s="315"/>
      <c r="BJ87" s="316"/>
      <c r="BK87" s="314"/>
      <c r="BL87" s="315"/>
      <c r="BM87" s="315"/>
      <c r="BN87" s="316"/>
      <c r="BO87" s="314"/>
      <c r="BP87" s="315"/>
      <c r="BQ87" s="315"/>
      <c r="BR87" s="315"/>
      <c r="BS87" s="315"/>
      <c r="BT87" s="315"/>
      <c r="BU87" s="315"/>
      <c r="BV87" s="316"/>
      <c r="BW87" s="314"/>
      <c r="BX87" s="315"/>
      <c r="BY87" s="315"/>
      <c r="BZ87" s="315"/>
      <c r="CA87" s="315"/>
      <c r="CB87" s="316"/>
      <c r="CC87" s="314"/>
      <c r="CD87" s="315"/>
      <c r="CE87" s="316"/>
      <c r="CF87" s="314"/>
      <c r="CG87" s="315"/>
      <c r="CH87" s="315"/>
      <c r="CI87" s="317"/>
      <c r="CK87" s="236" t="str">
        <f t="shared" si="30"/>
        <v/>
      </c>
      <c r="CL87" s="237" t="str">
        <f t="shared" si="31"/>
        <v/>
      </c>
      <c r="CM87" s="237" t="str">
        <f t="shared" si="32"/>
        <v/>
      </c>
      <c r="CN87" s="237" t="str">
        <f t="shared" si="33"/>
        <v/>
      </c>
      <c r="CO87" s="238" t="str">
        <f t="shared" si="34"/>
        <v/>
      </c>
      <c r="CQ87" s="236" t="str">
        <f>desired_skills(C87,"Extra vaardigheden/PowerPoint","o")</f>
        <v/>
      </c>
      <c r="CR87" s="237" t="str">
        <f>desired_skills(C87,"Extra vaardigheden/PowerPoint","j")</f>
        <v/>
      </c>
      <c r="CS87" s="237" t="str">
        <f>desired_skills(C87,"Extra vaardigheden/PowerPoint","m")</f>
        <v/>
      </c>
      <c r="CT87" s="237" t="str">
        <f>desired_skills(C87,"Extra vaardigheden/PowerPoint","s")</f>
        <v/>
      </c>
      <c r="CU87" s="238" t="str">
        <f>desired_skills(C87,"Extra vaardigheden/PowerPoint","e")</f>
        <v/>
      </c>
      <c r="CW87" s="236" t="str">
        <f>calc_gap('Matrix 171007_1818'!$CK$87,'Matrix 171007_1818'!$CQ$87)</f>
        <v/>
      </c>
      <c r="CX87" s="237" t="str">
        <f>calc_gap('Matrix 171007_1818'!$CL$87,'Matrix 171007_1818'!$CR$87)</f>
        <v/>
      </c>
      <c r="CY87" s="237" t="str">
        <f>calc_gap('Matrix 171007_1818'!$CM$87,'Matrix 171007_1818'!$CS$87)</f>
        <v/>
      </c>
      <c r="CZ87" s="237" t="str">
        <f>calc_gap('Matrix 171007_1818'!$CN$87,'Matrix 171007_1818'!$CT$87)</f>
        <v/>
      </c>
      <c r="DA87" s="238" t="str">
        <f>calc_gap('Matrix 171007_1818'!$CO$87,'Matrix 171007_1818'!$CU$87)</f>
        <v/>
      </c>
    </row>
    <row r="88" spans="2:105" x14ac:dyDescent="0.25">
      <c r="B88" s="435"/>
      <c r="C88" s="291" t="s">
        <v>276</v>
      </c>
      <c r="D88" s="314"/>
      <c r="E88" s="315"/>
      <c r="F88" s="315"/>
      <c r="G88" s="315"/>
      <c r="H88" s="315"/>
      <c r="I88" s="315"/>
      <c r="J88" s="315"/>
      <c r="K88" s="316"/>
      <c r="L88" s="314"/>
      <c r="M88" s="315"/>
      <c r="N88" s="315"/>
      <c r="O88" s="316"/>
      <c r="P88" s="314"/>
      <c r="Q88" s="315"/>
      <c r="R88" s="315"/>
      <c r="S88" s="315"/>
      <c r="T88" s="315"/>
      <c r="U88" s="315"/>
      <c r="V88" s="315"/>
      <c r="W88" s="315"/>
      <c r="X88" s="315"/>
      <c r="Y88" s="315"/>
      <c r="Z88" s="315"/>
      <c r="AA88" s="315"/>
      <c r="AB88" s="315"/>
      <c r="AC88" s="315"/>
      <c r="AD88" s="315"/>
      <c r="AE88" s="315"/>
      <c r="AF88" s="315"/>
      <c r="AG88" s="315"/>
      <c r="AH88" s="315"/>
      <c r="AI88" s="316"/>
      <c r="AJ88" s="314"/>
      <c r="AK88" s="315"/>
      <c r="AL88" s="316"/>
      <c r="AM88" s="314"/>
      <c r="AN88" s="315"/>
      <c r="AO88" s="316"/>
      <c r="AP88" s="314"/>
      <c r="AQ88" s="315"/>
      <c r="AR88" s="315"/>
      <c r="AS88" s="315"/>
      <c r="AT88" s="316"/>
      <c r="AU88" s="314"/>
      <c r="AV88" s="315"/>
      <c r="AW88" s="315"/>
      <c r="AX88" s="315"/>
      <c r="AY88" s="315"/>
      <c r="AZ88" s="315"/>
      <c r="BA88" s="315"/>
      <c r="BB88" s="316"/>
      <c r="BC88" s="314"/>
      <c r="BD88" s="315"/>
      <c r="BE88" s="315"/>
      <c r="BF88" s="315"/>
      <c r="BG88" s="316"/>
      <c r="BH88" s="314"/>
      <c r="BI88" s="315"/>
      <c r="BJ88" s="316"/>
      <c r="BK88" s="314"/>
      <c r="BL88" s="315"/>
      <c r="BM88" s="315"/>
      <c r="BN88" s="316"/>
      <c r="BO88" s="314"/>
      <c r="BP88" s="315"/>
      <c r="BQ88" s="315"/>
      <c r="BR88" s="315"/>
      <c r="BS88" s="315"/>
      <c r="BT88" s="315"/>
      <c r="BU88" s="315"/>
      <c r="BV88" s="316"/>
      <c r="BW88" s="314"/>
      <c r="BX88" s="315"/>
      <c r="BY88" s="315"/>
      <c r="BZ88" s="315"/>
      <c r="CA88" s="315"/>
      <c r="CB88" s="316"/>
      <c r="CC88" s="314"/>
      <c r="CD88" s="315"/>
      <c r="CE88" s="316"/>
      <c r="CF88" s="314"/>
      <c r="CG88" s="315"/>
      <c r="CH88" s="315"/>
      <c r="CI88" s="317"/>
      <c r="CK88" s="236" t="str">
        <f t="shared" si="30"/>
        <v/>
      </c>
      <c r="CL88" s="237" t="str">
        <f t="shared" si="31"/>
        <v/>
      </c>
      <c r="CM88" s="237" t="str">
        <f t="shared" si="32"/>
        <v/>
      </c>
      <c r="CN88" s="237" t="str">
        <f t="shared" si="33"/>
        <v/>
      </c>
      <c r="CO88" s="238" t="str">
        <f t="shared" si="34"/>
        <v/>
      </c>
      <c r="CQ88" s="236" t="str">
        <f>desired_skills(C88,"Extra vaardigheden/Word","o")</f>
        <v/>
      </c>
      <c r="CR88" s="237" t="str">
        <f>desired_skills(C88,"Extra vaardigheden/Word","j")</f>
        <v/>
      </c>
      <c r="CS88" s="237" t="str">
        <f>desired_skills(C88,"Extra vaardigheden/Word","m")</f>
        <v/>
      </c>
      <c r="CT88" s="237" t="str">
        <f>desired_skills(C88,"Extra vaardigheden/Word","s")</f>
        <v/>
      </c>
      <c r="CU88" s="238" t="str">
        <f>desired_skills(C88,"Extra vaardigheden/Word","e")</f>
        <v/>
      </c>
      <c r="CW88" s="236" t="str">
        <f>calc_gap('Matrix 171007_1818'!$CK$88,'Matrix 171007_1818'!$CQ$88)</f>
        <v/>
      </c>
      <c r="CX88" s="237" t="str">
        <f>calc_gap('Matrix 171007_1818'!$CL$88,'Matrix 171007_1818'!$CR$88)</f>
        <v/>
      </c>
      <c r="CY88" s="237" t="str">
        <f>calc_gap('Matrix 171007_1818'!$CM$88,'Matrix 171007_1818'!$CS$88)</f>
        <v/>
      </c>
      <c r="CZ88" s="237" t="str">
        <f>calc_gap('Matrix 171007_1818'!$CN$88,'Matrix 171007_1818'!$CT$88)</f>
        <v/>
      </c>
      <c r="DA88" s="238" t="str">
        <f>calc_gap('Matrix 171007_1818'!$CO$88,'Matrix 171007_1818'!$CU$88)</f>
        <v/>
      </c>
    </row>
    <row r="89" spans="2:105" x14ac:dyDescent="0.25">
      <c r="B89" s="435"/>
      <c r="C89" s="291" t="s">
        <v>277</v>
      </c>
      <c r="D89" s="314"/>
      <c r="E89" s="315"/>
      <c r="F89" s="315"/>
      <c r="G89" s="315"/>
      <c r="H89" s="315"/>
      <c r="I89" s="315"/>
      <c r="J89" s="315"/>
      <c r="K89" s="316"/>
      <c r="L89" s="314"/>
      <c r="M89" s="315"/>
      <c r="N89" s="315"/>
      <c r="O89" s="316"/>
      <c r="P89" s="314"/>
      <c r="Q89" s="315"/>
      <c r="R89" s="315"/>
      <c r="S89" s="315"/>
      <c r="T89" s="315"/>
      <c r="U89" s="315"/>
      <c r="V89" s="315"/>
      <c r="W89" s="315"/>
      <c r="X89" s="315"/>
      <c r="Y89" s="315"/>
      <c r="Z89" s="315"/>
      <c r="AA89" s="315"/>
      <c r="AB89" s="315"/>
      <c r="AC89" s="315"/>
      <c r="AD89" s="315"/>
      <c r="AE89" s="315"/>
      <c r="AF89" s="315"/>
      <c r="AG89" s="315"/>
      <c r="AH89" s="315"/>
      <c r="AI89" s="316"/>
      <c r="AJ89" s="314"/>
      <c r="AK89" s="315"/>
      <c r="AL89" s="316"/>
      <c r="AM89" s="314"/>
      <c r="AN89" s="315"/>
      <c r="AO89" s="316"/>
      <c r="AP89" s="314"/>
      <c r="AQ89" s="315"/>
      <c r="AR89" s="315"/>
      <c r="AS89" s="315"/>
      <c r="AT89" s="316"/>
      <c r="AU89" s="314"/>
      <c r="AV89" s="315"/>
      <c r="AW89" s="315"/>
      <c r="AX89" s="315"/>
      <c r="AY89" s="315"/>
      <c r="AZ89" s="315"/>
      <c r="BA89" s="315"/>
      <c r="BB89" s="316"/>
      <c r="BC89" s="314"/>
      <c r="BD89" s="315"/>
      <c r="BE89" s="315"/>
      <c r="BF89" s="315"/>
      <c r="BG89" s="316"/>
      <c r="BH89" s="314"/>
      <c r="BI89" s="315"/>
      <c r="BJ89" s="316"/>
      <c r="BK89" s="314"/>
      <c r="BL89" s="315"/>
      <c r="BM89" s="315"/>
      <c r="BN89" s="316"/>
      <c r="BO89" s="314"/>
      <c r="BP89" s="315"/>
      <c r="BQ89" s="315"/>
      <c r="BR89" s="315"/>
      <c r="BS89" s="315"/>
      <c r="BT89" s="315"/>
      <c r="BU89" s="315"/>
      <c r="BV89" s="316"/>
      <c r="BW89" s="314"/>
      <c r="BX89" s="315"/>
      <c r="BY89" s="315"/>
      <c r="BZ89" s="315"/>
      <c r="CA89" s="315"/>
      <c r="CB89" s="316"/>
      <c r="CC89" s="314"/>
      <c r="CD89" s="315"/>
      <c r="CE89" s="316"/>
      <c r="CF89" s="314"/>
      <c r="CG89" s="315"/>
      <c r="CH89" s="315"/>
      <c r="CI89" s="317"/>
      <c r="CK89" s="236" t="str">
        <f t="shared" si="30"/>
        <v/>
      </c>
      <c r="CL89" s="237" t="str">
        <f t="shared" si="31"/>
        <v/>
      </c>
      <c r="CM89" s="237" t="str">
        <f t="shared" si="32"/>
        <v/>
      </c>
      <c r="CN89" s="237" t="str">
        <f t="shared" si="33"/>
        <v/>
      </c>
      <c r="CO89" s="238" t="str">
        <f t="shared" si="34"/>
        <v/>
      </c>
      <c r="CQ89" s="236" t="str">
        <f>desired_skills(C89,"Extra vaardigheden/Filmpjes maken","o")</f>
        <v/>
      </c>
      <c r="CR89" s="237" t="str">
        <f>desired_skills(C89,"Extra vaardigheden/Filmpjes maken","j")</f>
        <v/>
      </c>
      <c r="CS89" s="237" t="str">
        <f>desired_skills(C89,"Extra vaardigheden/Filmpjes maken","m")</f>
        <v/>
      </c>
      <c r="CT89" s="237" t="str">
        <f>desired_skills(C89,"Extra vaardigheden/Filmpjes maken","s")</f>
        <v/>
      </c>
      <c r="CU89" s="238" t="str">
        <f>desired_skills(C89,"Extra vaardigheden/Filmpjes maken","e")</f>
        <v/>
      </c>
      <c r="CW89" s="236" t="str">
        <f>calc_gap('Matrix 171007_1818'!$CK$89,'Matrix 171007_1818'!$CQ$89)</f>
        <v/>
      </c>
      <c r="CX89" s="237" t="str">
        <f>calc_gap('Matrix 171007_1818'!$CL$89,'Matrix 171007_1818'!$CR$89)</f>
        <v/>
      </c>
      <c r="CY89" s="237" t="str">
        <f>calc_gap('Matrix 171007_1818'!$CM$89,'Matrix 171007_1818'!$CS$89)</f>
        <v/>
      </c>
      <c r="CZ89" s="237" t="str">
        <f>calc_gap('Matrix 171007_1818'!$CN$89,'Matrix 171007_1818'!$CT$89)</f>
        <v/>
      </c>
      <c r="DA89" s="238" t="str">
        <f>calc_gap('Matrix 171007_1818'!$CO$89,'Matrix 171007_1818'!$CU$89)</f>
        <v/>
      </c>
    </row>
    <row r="90" spans="2:105" x14ac:dyDescent="0.25">
      <c r="B90" s="435"/>
      <c r="C90" s="291" t="s">
        <v>278</v>
      </c>
      <c r="D90" s="314"/>
      <c r="E90" s="315"/>
      <c r="F90" s="315"/>
      <c r="G90" s="315"/>
      <c r="H90" s="315"/>
      <c r="I90" s="315"/>
      <c r="J90" s="315"/>
      <c r="K90" s="316"/>
      <c r="L90" s="314"/>
      <c r="M90" s="315"/>
      <c r="N90" s="315"/>
      <c r="O90" s="316"/>
      <c r="P90" s="314"/>
      <c r="Q90" s="315"/>
      <c r="R90" s="315"/>
      <c r="S90" s="315"/>
      <c r="T90" s="315"/>
      <c r="U90" s="315"/>
      <c r="V90" s="315"/>
      <c r="W90" s="315"/>
      <c r="X90" s="315"/>
      <c r="Y90" s="315"/>
      <c r="Z90" s="315"/>
      <c r="AA90" s="315"/>
      <c r="AB90" s="315"/>
      <c r="AC90" s="315"/>
      <c r="AD90" s="315"/>
      <c r="AE90" s="315"/>
      <c r="AF90" s="315"/>
      <c r="AG90" s="315"/>
      <c r="AH90" s="315"/>
      <c r="AI90" s="316"/>
      <c r="AJ90" s="314"/>
      <c r="AK90" s="315"/>
      <c r="AL90" s="316"/>
      <c r="AM90" s="314"/>
      <c r="AN90" s="315"/>
      <c r="AO90" s="316"/>
      <c r="AP90" s="314"/>
      <c r="AQ90" s="315"/>
      <c r="AR90" s="315"/>
      <c r="AS90" s="315"/>
      <c r="AT90" s="316"/>
      <c r="AU90" s="314"/>
      <c r="AV90" s="315"/>
      <c r="AW90" s="315"/>
      <c r="AX90" s="315"/>
      <c r="AY90" s="315"/>
      <c r="AZ90" s="315"/>
      <c r="BA90" s="315"/>
      <c r="BB90" s="316"/>
      <c r="BC90" s="314"/>
      <c r="BD90" s="315"/>
      <c r="BE90" s="315"/>
      <c r="BF90" s="315"/>
      <c r="BG90" s="316"/>
      <c r="BH90" s="314"/>
      <c r="BI90" s="315"/>
      <c r="BJ90" s="316"/>
      <c r="BK90" s="314"/>
      <c r="BL90" s="315"/>
      <c r="BM90" s="315"/>
      <c r="BN90" s="316"/>
      <c r="BO90" s="314"/>
      <c r="BP90" s="315"/>
      <c r="BQ90" s="315"/>
      <c r="BR90" s="315"/>
      <c r="BS90" s="315"/>
      <c r="BT90" s="315"/>
      <c r="BU90" s="315"/>
      <c r="BV90" s="316"/>
      <c r="BW90" s="314"/>
      <c r="BX90" s="315"/>
      <c r="BY90" s="315"/>
      <c r="BZ90" s="315"/>
      <c r="CA90" s="315"/>
      <c r="CB90" s="316"/>
      <c r="CC90" s="314"/>
      <c r="CD90" s="315"/>
      <c r="CE90" s="316"/>
      <c r="CF90" s="314"/>
      <c r="CG90" s="315"/>
      <c r="CH90" s="315"/>
      <c r="CI90" s="317"/>
      <c r="CK90" s="236" t="str">
        <f t="shared" si="30"/>
        <v/>
      </c>
      <c r="CL90" s="237" t="str">
        <f t="shared" si="31"/>
        <v/>
      </c>
      <c r="CM90" s="237" t="str">
        <f t="shared" si="32"/>
        <v/>
      </c>
      <c r="CN90" s="237" t="str">
        <f t="shared" si="33"/>
        <v/>
      </c>
      <c r="CO90" s="238" t="str">
        <f t="shared" si="34"/>
        <v/>
      </c>
      <c r="CQ90" s="236" t="str">
        <f>desired_skills(C90,"Extra vaardigheden/Website bouwen","o")</f>
        <v/>
      </c>
      <c r="CR90" s="237" t="str">
        <f>desired_skills(C90,"Extra vaardigheden/Website bouwen","j")</f>
        <v/>
      </c>
      <c r="CS90" s="237" t="str">
        <f>desired_skills(C90,"Extra vaardigheden/Website bouwen","m")</f>
        <v/>
      </c>
      <c r="CT90" s="237" t="str">
        <f>desired_skills(C90,"Extra vaardigheden/Website bouwen","s")</f>
        <v/>
      </c>
      <c r="CU90" s="238" t="str">
        <f>desired_skills(C90,"Extra vaardigheden/Website bouwen","e")</f>
        <v/>
      </c>
      <c r="CW90" s="236" t="str">
        <f>calc_gap('Matrix 171007_1818'!$CK$90,'Matrix 171007_1818'!$CQ$90)</f>
        <v/>
      </c>
      <c r="CX90" s="237" t="str">
        <f>calc_gap('Matrix 171007_1818'!$CL$90,'Matrix 171007_1818'!$CR$90)</f>
        <v/>
      </c>
      <c r="CY90" s="237" t="str">
        <f>calc_gap('Matrix 171007_1818'!$CM$90,'Matrix 171007_1818'!$CS$90)</f>
        <v/>
      </c>
      <c r="CZ90" s="237" t="str">
        <f>calc_gap('Matrix 171007_1818'!$CN$90,'Matrix 171007_1818'!$CT$90)</f>
        <v/>
      </c>
      <c r="DA90" s="238" t="str">
        <f>calc_gap('Matrix 171007_1818'!$CO$90,'Matrix 171007_1818'!$CU$90)</f>
        <v/>
      </c>
    </row>
    <row r="91" spans="2:105" x14ac:dyDescent="0.25">
      <c r="B91" s="435"/>
      <c r="C91" s="291" t="s">
        <v>282</v>
      </c>
      <c r="D91" s="314"/>
      <c r="E91" s="315"/>
      <c r="F91" s="315"/>
      <c r="G91" s="315"/>
      <c r="H91" s="315"/>
      <c r="I91" s="315"/>
      <c r="J91" s="315"/>
      <c r="K91" s="316"/>
      <c r="L91" s="314"/>
      <c r="M91" s="315"/>
      <c r="N91" s="315"/>
      <c r="O91" s="316"/>
      <c r="P91" s="314"/>
      <c r="Q91" s="315"/>
      <c r="R91" s="315"/>
      <c r="S91" s="315"/>
      <c r="T91" s="315"/>
      <c r="U91" s="315"/>
      <c r="V91" s="315"/>
      <c r="W91" s="315"/>
      <c r="X91" s="315"/>
      <c r="Y91" s="315"/>
      <c r="Z91" s="315"/>
      <c r="AA91" s="315"/>
      <c r="AB91" s="315"/>
      <c r="AC91" s="315"/>
      <c r="AD91" s="315"/>
      <c r="AE91" s="315"/>
      <c r="AF91" s="315"/>
      <c r="AG91" s="315"/>
      <c r="AH91" s="315"/>
      <c r="AI91" s="316"/>
      <c r="AJ91" s="314"/>
      <c r="AK91" s="315"/>
      <c r="AL91" s="316"/>
      <c r="AM91" s="314"/>
      <c r="AN91" s="315"/>
      <c r="AO91" s="316"/>
      <c r="AP91" s="314"/>
      <c r="AQ91" s="315"/>
      <c r="AR91" s="315"/>
      <c r="AS91" s="315"/>
      <c r="AT91" s="316"/>
      <c r="AU91" s="314"/>
      <c r="AV91" s="315"/>
      <c r="AW91" s="315"/>
      <c r="AX91" s="315"/>
      <c r="AY91" s="315"/>
      <c r="AZ91" s="315"/>
      <c r="BA91" s="315"/>
      <c r="BB91" s="316"/>
      <c r="BC91" s="314"/>
      <c r="BD91" s="315"/>
      <c r="BE91" s="315"/>
      <c r="BF91" s="315"/>
      <c r="BG91" s="316"/>
      <c r="BH91" s="314"/>
      <c r="BI91" s="315"/>
      <c r="BJ91" s="316"/>
      <c r="BK91" s="314"/>
      <c r="BL91" s="315"/>
      <c r="BM91" s="315"/>
      <c r="BN91" s="316"/>
      <c r="BO91" s="314"/>
      <c r="BP91" s="315"/>
      <c r="BQ91" s="315"/>
      <c r="BR91" s="315"/>
      <c r="BS91" s="315"/>
      <c r="BT91" s="315"/>
      <c r="BU91" s="315"/>
      <c r="BV91" s="316"/>
      <c r="BW91" s="314"/>
      <c r="BX91" s="315"/>
      <c r="BY91" s="315"/>
      <c r="BZ91" s="315"/>
      <c r="CA91" s="315"/>
      <c r="CB91" s="316"/>
      <c r="CC91" s="314"/>
      <c r="CD91" s="315"/>
      <c r="CE91" s="316"/>
      <c r="CF91" s="314"/>
      <c r="CG91" s="315"/>
      <c r="CH91" s="315"/>
      <c r="CI91" s="317"/>
      <c r="CK91" s="236" t="str">
        <f t="shared" si="30"/>
        <v/>
      </c>
      <c r="CL91" s="237" t="str">
        <f t="shared" si="31"/>
        <v/>
      </c>
      <c r="CM91" s="237" t="str">
        <f t="shared" si="32"/>
        <v/>
      </c>
      <c r="CN91" s="237" t="str">
        <f t="shared" si="33"/>
        <v/>
      </c>
      <c r="CO91" s="238" t="str">
        <f t="shared" si="34"/>
        <v/>
      </c>
      <c r="CQ91" s="236" t="str">
        <f>desired_skills(C91,"Extra vaardigheden/Muziek maken","o")</f>
        <v/>
      </c>
      <c r="CR91" s="237" t="str">
        <f>desired_skills(C91,"Extra vaardigheden/Muziek maken","j")</f>
        <v/>
      </c>
      <c r="CS91" s="237" t="str">
        <f>desired_skills(C91,"Extra vaardigheden/Muziek maken","m")</f>
        <v/>
      </c>
      <c r="CT91" s="237" t="str">
        <f>desired_skills(C91,"Extra vaardigheden/Muziek maken","s")</f>
        <v/>
      </c>
      <c r="CU91" s="238" t="str">
        <f>desired_skills(C91,"Extra vaardigheden/Muziek maken","e")</f>
        <v/>
      </c>
      <c r="CW91" s="236" t="str">
        <f>calc_gap('Matrix 171007_1818'!$CK$91,'Matrix 171007_1818'!$CQ$91)</f>
        <v/>
      </c>
      <c r="CX91" s="237" t="str">
        <f>calc_gap('Matrix 171007_1818'!$CL$91,'Matrix 171007_1818'!$CR$91)</f>
        <v/>
      </c>
      <c r="CY91" s="237" t="str">
        <f>calc_gap('Matrix 171007_1818'!$CM$91,'Matrix 171007_1818'!$CS$91)</f>
        <v/>
      </c>
      <c r="CZ91" s="237" t="str">
        <f>calc_gap('Matrix 171007_1818'!$CN$91,'Matrix 171007_1818'!$CT$91)</f>
        <v/>
      </c>
      <c r="DA91" s="238" t="str">
        <f>calc_gap('Matrix 171007_1818'!$CO$91,'Matrix 171007_1818'!$CU$91)</f>
        <v/>
      </c>
    </row>
    <row r="92" spans="2:105" x14ac:dyDescent="0.25">
      <c r="B92" s="435"/>
      <c r="C92" s="291" t="s">
        <v>283</v>
      </c>
      <c r="D92" s="314"/>
      <c r="E92" s="315"/>
      <c r="F92" s="315"/>
      <c r="G92" s="315"/>
      <c r="H92" s="315"/>
      <c r="I92" s="315"/>
      <c r="J92" s="315"/>
      <c r="K92" s="316"/>
      <c r="L92" s="314"/>
      <c r="M92" s="315"/>
      <c r="N92" s="315"/>
      <c r="O92" s="316"/>
      <c r="P92" s="314"/>
      <c r="Q92" s="315"/>
      <c r="R92" s="315"/>
      <c r="S92" s="315"/>
      <c r="T92" s="315"/>
      <c r="U92" s="315"/>
      <c r="V92" s="315"/>
      <c r="W92" s="315"/>
      <c r="X92" s="315"/>
      <c r="Y92" s="315"/>
      <c r="Z92" s="315"/>
      <c r="AA92" s="315"/>
      <c r="AB92" s="315"/>
      <c r="AC92" s="315"/>
      <c r="AD92" s="315"/>
      <c r="AE92" s="315"/>
      <c r="AF92" s="315"/>
      <c r="AG92" s="315"/>
      <c r="AH92" s="315"/>
      <c r="AI92" s="316"/>
      <c r="AJ92" s="314"/>
      <c r="AK92" s="315"/>
      <c r="AL92" s="316"/>
      <c r="AM92" s="314"/>
      <c r="AN92" s="315"/>
      <c r="AO92" s="316"/>
      <c r="AP92" s="314"/>
      <c r="AQ92" s="315"/>
      <c r="AR92" s="315"/>
      <c r="AS92" s="315"/>
      <c r="AT92" s="316"/>
      <c r="AU92" s="314"/>
      <c r="AV92" s="315"/>
      <c r="AW92" s="315"/>
      <c r="AX92" s="315"/>
      <c r="AY92" s="315"/>
      <c r="AZ92" s="315"/>
      <c r="BA92" s="315"/>
      <c r="BB92" s="316"/>
      <c r="BC92" s="314"/>
      <c r="BD92" s="315"/>
      <c r="BE92" s="315"/>
      <c r="BF92" s="315"/>
      <c r="BG92" s="316"/>
      <c r="BH92" s="314"/>
      <c r="BI92" s="315"/>
      <c r="BJ92" s="316"/>
      <c r="BK92" s="314"/>
      <c r="BL92" s="315"/>
      <c r="BM92" s="315"/>
      <c r="BN92" s="316"/>
      <c r="BO92" s="314"/>
      <c r="BP92" s="315"/>
      <c r="BQ92" s="315"/>
      <c r="BR92" s="315"/>
      <c r="BS92" s="315"/>
      <c r="BT92" s="315"/>
      <c r="BU92" s="315"/>
      <c r="BV92" s="316"/>
      <c r="BW92" s="314"/>
      <c r="BX92" s="315"/>
      <c r="BY92" s="315"/>
      <c r="BZ92" s="315"/>
      <c r="CA92" s="315"/>
      <c r="CB92" s="316"/>
      <c r="CC92" s="314"/>
      <c r="CD92" s="315"/>
      <c r="CE92" s="316"/>
      <c r="CF92" s="314"/>
      <c r="CG92" s="315"/>
      <c r="CH92" s="315"/>
      <c r="CI92" s="317"/>
      <c r="CK92" s="236" t="str">
        <f t="shared" si="30"/>
        <v/>
      </c>
      <c r="CL92" s="237" t="str">
        <f t="shared" si="31"/>
        <v/>
      </c>
      <c r="CM92" s="237" t="str">
        <f t="shared" si="32"/>
        <v/>
      </c>
      <c r="CN92" s="237" t="str">
        <f t="shared" si="33"/>
        <v/>
      </c>
      <c r="CO92" s="238" t="str">
        <f t="shared" si="34"/>
        <v/>
      </c>
      <c r="CQ92" s="236" t="str">
        <f>desired_skills(C92,"Extra vaardigheden/Koken en/of bakken","o")</f>
        <v/>
      </c>
      <c r="CR92" s="237" t="str">
        <f>desired_skills(C92,"Extra vaardigheden/Koken en/of bakken","j")</f>
        <v/>
      </c>
      <c r="CS92" s="237" t="str">
        <f>desired_skills(C92,"Extra vaardigheden/Koken en/of bakken","m")</f>
        <v/>
      </c>
      <c r="CT92" s="237" t="str">
        <f>desired_skills(C92,"Extra vaardigheden/Koken en/of bakken","s")</f>
        <v/>
      </c>
      <c r="CU92" s="238" t="str">
        <f>desired_skills(C92,"Extra vaardigheden/Koken en/of bakken","e")</f>
        <v/>
      </c>
      <c r="CW92" s="236" t="str">
        <f>calc_gap('Matrix 171007_1818'!$CK$92,'Matrix 171007_1818'!$CQ$92)</f>
        <v/>
      </c>
      <c r="CX92" s="237" t="str">
        <f>calc_gap('Matrix 171007_1818'!$CL$92,'Matrix 171007_1818'!$CR$92)</f>
        <v/>
      </c>
      <c r="CY92" s="237" t="str">
        <f>calc_gap('Matrix 171007_1818'!$CM$92,'Matrix 171007_1818'!$CS$92)</f>
        <v/>
      </c>
      <c r="CZ92" s="237" t="str">
        <f>calc_gap('Matrix 171007_1818'!$CN$92,'Matrix 171007_1818'!$CT$92)</f>
        <v/>
      </c>
      <c r="DA92" s="238" t="str">
        <f>calc_gap('Matrix 171007_1818'!$CO$92,'Matrix 171007_1818'!$CU$92)</f>
        <v/>
      </c>
    </row>
    <row r="93" spans="2:105" x14ac:dyDescent="0.25">
      <c r="B93" s="435"/>
      <c r="C93" s="291" t="s">
        <v>279</v>
      </c>
      <c r="D93" s="314"/>
      <c r="E93" s="315"/>
      <c r="F93" s="315"/>
      <c r="G93" s="315"/>
      <c r="H93" s="315"/>
      <c r="I93" s="315"/>
      <c r="J93" s="315"/>
      <c r="K93" s="316"/>
      <c r="L93" s="314"/>
      <c r="M93" s="315"/>
      <c r="N93" s="315"/>
      <c r="O93" s="316"/>
      <c r="P93" s="314"/>
      <c r="Q93" s="315"/>
      <c r="R93" s="315"/>
      <c r="S93" s="315"/>
      <c r="T93" s="315"/>
      <c r="U93" s="315"/>
      <c r="V93" s="315"/>
      <c r="W93" s="315"/>
      <c r="X93" s="315"/>
      <c r="Y93" s="315"/>
      <c r="Z93" s="315"/>
      <c r="AA93" s="315"/>
      <c r="AB93" s="315"/>
      <c r="AC93" s="315"/>
      <c r="AD93" s="315"/>
      <c r="AE93" s="315"/>
      <c r="AF93" s="315"/>
      <c r="AG93" s="315"/>
      <c r="AH93" s="315"/>
      <c r="AI93" s="316"/>
      <c r="AJ93" s="314"/>
      <c r="AK93" s="315"/>
      <c r="AL93" s="316"/>
      <c r="AM93" s="314"/>
      <c r="AN93" s="315"/>
      <c r="AO93" s="316"/>
      <c r="AP93" s="314"/>
      <c r="AQ93" s="315"/>
      <c r="AR93" s="315"/>
      <c r="AS93" s="315"/>
      <c r="AT93" s="316"/>
      <c r="AU93" s="314"/>
      <c r="AV93" s="315"/>
      <c r="AW93" s="315"/>
      <c r="AX93" s="315"/>
      <c r="AY93" s="315"/>
      <c r="AZ93" s="315"/>
      <c r="BA93" s="315"/>
      <c r="BB93" s="316"/>
      <c r="BC93" s="314"/>
      <c r="BD93" s="315"/>
      <c r="BE93" s="315"/>
      <c r="BF93" s="315"/>
      <c r="BG93" s="316"/>
      <c r="BH93" s="314"/>
      <c r="BI93" s="315"/>
      <c r="BJ93" s="316"/>
      <c r="BK93" s="314"/>
      <c r="BL93" s="315"/>
      <c r="BM93" s="315"/>
      <c r="BN93" s="316"/>
      <c r="BO93" s="314"/>
      <c r="BP93" s="315"/>
      <c r="BQ93" s="315"/>
      <c r="BR93" s="315"/>
      <c r="BS93" s="315"/>
      <c r="BT93" s="315"/>
      <c r="BU93" s="315"/>
      <c r="BV93" s="316"/>
      <c r="BW93" s="314"/>
      <c r="BX93" s="315"/>
      <c r="BY93" s="315"/>
      <c r="BZ93" s="315"/>
      <c r="CA93" s="315"/>
      <c r="CB93" s="316"/>
      <c r="CC93" s="314"/>
      <c r="CD93" s="315"/>
      <c r="CE93" s="316"/>
      <c r="CF93" s="314"/>
      <c r="CG93" s="315"/>
      <c r="CH93" s="315"/>
      <c r="CI93" s="317"/>
      <c r="CK93" s="236" t="str">
        <f t="shared" si="30"/>
        <v/>
      </c>
      <c r="CL93" s="237" t="str">
        <f t="shared" si="31"/>
        <v/>
      </c>
      <c r="CM93" s="237" t="str">
        <f t="shared" si="32"/>
        <v/>
      </c>
      <c r="CN93" s="237" t="str">
        <f t="shared" si="33"/>
        <v/>
      </c>
      <c r="CO93" s="238" t="str">
        <f t="shared" si="34"/>
        <v/>
      </c>
      <c r="CQ93" s="236" t="str">
        <f>desired_skills(C93,"Extra vaardigheden/Lesgeven op school","o")</f>
        <v/>
      </c>
      <c r="CR93" s="237" t="str">
        <f>desired_skills(C93,"Extra vaardigheden/Lesgeven op school","j")</f>
        <v/>
      </c>
      <c r="CS93" s="237" t="str">
        <f>desired_skills(C93,"Extra vaardigheden/Lesgeven op school","m")</f>
        <v/>
      </c>
      <c r="CT93" s="237" t="str">
        <f>desired_skills(C93,"Extra vaardigheden/Lesgeven op school","s")</f>
        <v/>
      </c>
      <c r="CU93" s="238" t="str">
        <f>desired_skills(C93,"Extra vaardigheden/Lesgeven op school","e")</f>
        <v/>
      </c>
      <c r="CW93" s="236" t="str">
        <f>calc_gap('Matrix 171007_1818'!$CK$93,'Matrix 171007_1818'!$CQ$93)</f>
        <v/>
      </c>
      <c r="CX93" s="237" t="str">
        <f>calc_gap('Matrix 171007_1818'!$CL$93,'Matrix 171007_1818'!$CR$93)</f>
        <v/>
      </c>
      <c r="CY93" s="237" t="str">
        <f>calc_gap('Matrix 171007_1818'!$CM$93,'Matrix 171007_1818'!$CS$93)</f>
        <v/>
      </c>
      <c r="CZ93" s="237" t="str">
        <f>calc_gap('Matrix 171007_1818'!$CN$93,'Matrix 171007_1818'!$CT$93)</f>
        <v/>
      </c>
      <c r="DA93" s="238" t="str">
        <f>calc_gap('Matrix 171007_1818'!$CO$93,'Matrix 171007_1818'!$CU$93)</f>
        <v/>
      </c>
    </row>
    <row r="94" spans="2:105" ht="15.75" thickBot="1" x14ac:dyDescent="0.3">
      <c r="B94" s="435"/>
      <c r="C94" s="292" t="s">
        <v>280</v>
      </c>
      <c r="D94" s="318"/>
      <c r="E94" s="319"/>
      <c r="F94" s="319"/>
      <c r="G94" s="319"/>
      <c r="H94" s="319"/>
      <c r="I94" s="319"/>
      <c r="J94" s="319"/>
      <c r="K94" s="320"/>
      <c r="L94" s="318"/>
      <c r="M94" s="319"/>
      <c r="N94" s="319"/>
      <c r="O94" s="320"/>
      <c r="P94" s="318"/>
      <c r="Q94" s="319"/>
      <c r="R94" s="319"/>
      <c r="S94" s="319"/>
      <c r="T94" s="319"/>
      <c r="U94" s="319"/>
      <c r="V94" s="319"/>
      <c r="W94" s="319"/>
      <c r="X94" s="319"/>
      <c r="Y94" s="319"/>
      <c r="Z94" s="319"/>
      <c r="AA94" s="319"/>
      <c r="AB94" s="319"/>
      <c r="AC94" s="319"/>
      <c r="AD94" s="319"/>
      <c r="AE94" s="319"/>
      <c r="AF94" s="319"/>
      <c r="AG94" s="319"/>
      <c r="AH94" s="319"/>
      <c r="AI94" s="320"/>
      <c r="AJ94" s="318"/>
      <c r="AK94" s="319"/>
      <c r="AL94" s="320"/>
      <c r="AM94" s="318"/>
      <c r="AN94" s="319"/>
      <c r="AO94" s="320"/>
      <c r="AP94" s="318"/>
      <c r="AQ94" s="319"/>
      <c r="AR94" s="319"/>
      <c r="AS94" s="319"/>
      <c r="AT94" s="320"/>
      <c r="AU94" s="318"/>
      <c r="AV94" s="319"/>
      <c r="AW94" s="319"/>
      <c r="AX94" s="319"/>
      <c r="AY94" s="319"/>
      <c r="AZ94" s="319"/>
      <c r="BA94" s="319"/>
      <c r="BB94" s="320"/>
      <c r="BC94" s="318"/>
      <c r="BD94" s="319"/>
      <c r="BE94" s="319"/>
      <c r="BF94" s="319"/>
      <c r="BG94" s="320"/>
      <c r="BH94" s="318"/>
      <c r="BI94" s="319"/>
      <c r="BJ94" s="320"/>
      <c r="BK94" s="318"/>
      <c r="BL94" s="319"/>
      <c r="BM94" s="319"/>
      <c r="BN94" s="320"/>
      <c r="BO94" s="318"/>
      <c r="BP94" s="319"/>
      <c r="BQ94" s="319"/>
      <c r="BR94" s="319"/>
      <c r="BS94" s="319"/>
      <c r="BT94" s="319"/>
      <c r="BU94" s="319"/>
      <c r="BV94" s="320"/>
      <c r="BW94" s="318"/>
      <c r="BX94" s="319"/>
      <c r="BY94" s="319"/>
      <c r="BZ94" s="319"/>
      <c r="CA94" s="319"/>
      <c r="CB94" s="320"/>
      <c r="CC94" s="318"/>
      <c r="CD94" s="319"/>
      <c r="CE94" s="320"/>
      <c r="CF94" s="318"/>
      <c r="CG94" s="319"/>
      <c r="CH94" s="319"/>
      <c r="CI94" s="321"/>
      <c r="CK94" s="239" t="str">
        <f t="shared" si="30"/>
        <v/>
      </c>
      <c r="CL94" s="240" t="str">
        <f t="shared" si="31"/>
        <v/>
      </c>
      <c r="CM94" s="240" t="str">
        <f t="shared" si="32"/>
        <v/>
      </c>
      <c r="CN94" s="240" t="str">
        <f t="shared" si="33"/>
        <v/>
      </c>
      <c r="CO94" s="241" t="str">
        <f t="shared" si="34"/>
        <v/>
      </c>
      <c r="CQ94" s="239" t="str">
        <f>desired_skills(C94,"Extra vaardigheden/Coachen","o")</f>
        <v/>
      </c>
      <c r="CR94" s="240" t="str">
        <f>desired_skills(C94,"Extra vaardigheden/Coachen","j")</f>
        <v/>
      </c>
      <c r="CS94" s="240" t="str">
        <f>desired_skills(C94,"Extra vaardigheden/Coachen","m")</f>
        <v/>
      </c>
      <c r="CT94" s="240" t="str">
        <f>desired_skills(C94,"Extra vaardigheden/Coachen","s")</f>
        <v/>
      </c>
      <c r="CU94" s="241" t="str">
        <f>desired_skills(C94,"Extra vaardigheden/Coachen","e")</f>
        <v/>
      </c>
      <c r="CW94" s="239" t="str">
        <f>calc_gap('Matrix 171007_1818'!$CK$94,'Matrix 171007_1818'!$CQ$94)</f>
        <v/>
      </c>
      <c r="CX94" s="240" t="str">
        <f>calc_gap('Matrix 171007_1818'!$CL$94,'Matrix 171007_1818'!$CR$94)</f>
        <v/>
      </c>
      <c r="CY94" s="240" t="str">
        <f>calc_gap('Matrix 171007_1818'!$CM$94,'Matrix 171007_1818'!$CS$94)</f>
        <v/>
      </c>
      <c r="CZ94" s="240" t="str">
        <f>calc_gap('Matrix 171007_1818'!$CN$94,'Matrix 171007_1818'!$CT$94)</f>
        <v/>
      </c>
      <c r="DA94" s="241" t="str">
        <f>calc_gap('Matrix 171007_1818'!$CO$94,'Matrix 171007_1818'!$CU$94)</f>
        <v/>
      </c>
    </row>
    <row r="95" spans="2:105" ht="12.75" customHeight="1" thickTop="1" thickBot="1" x14ac:dyDescent="0.3">
      <c r="B95" s="436"/>
      <c r="C95" s="248"/>
      <c r="D95" s="322"/>
      <c r="E95" s="322"/>
      <c r="F95" s="322"/>
      <c r="G95" s="322"/>
      <c r="H95" s="322"/>
      <c r="I95" s="322"/>
      <c r="J95" s="322"/>
      <c r="K95" s="322"/>
      <c r="L95" s="322"/>
      <c r="M95" s="322"/>
      <c r="N95" s="322"/>
      <c r="O95" s="322"/>
      <c r="P95" s="322"/>
      <c r="Q95" s="322"/>
      <c r="R95" s="322"/>
      <c r="S95" s="322"/>
      <c r="T95" s="322"/>
      <c r="U95" s="322"/>
      <c r="V95" s="322"/>
      <c r="W95" s="322"/>
      <c r="X95" s="322"/>
      <c r="Y95" s="322"/>
      <c r="Z95" s="322"/>
      <c r="AA95" s="322"/>
      <c r="AB95" s="322"/>
      <c r="AC95" s="322"/>
      <c r="AD95" s="322"/>
      <c r="AE95" s="322"/>
      <c r="AF95" s="322"/>
      <c r="AG95" s="322"/>
      <c r="AH95" s="322"/>
      <c r="AI95" s="322"/>
      <c r="AJ95" s="322"/>
      <c r="AK95" s="322"/>
      <c r="AL95" s="322"/>
      <c r="AM95" s="322"/>
      <c r="AN95" s="322"/>
      <c r="AO95" s="322"/>
      <c r="AP95" s="322"/>
      <c r="AQ95" s="322"/>
      <c r="AR95" s="322"/>
      <c r="AS95" s="322"/>
      <c r="AT95" s="322"/>
      <c r="AU95" s="322"/>
      <c r="AV95" s="322"/>
      <c r="AW95" s="322"/>
      <c r="AX95" s="322"/>
      <c r="AY95" s="322"/>
      <c r="AZ95" s="322"/>
      <c r="BA95" s="322"/>
      <c r="BB95" s="322"/>
      <c r="BC95" s="322"/>
      <c r="BD95" s="322"/>
      <c r="BE95" s="322"/>
      <c r="BF95" s="322"/>
      <c r="BG95" s="322"/>
      <c r="BH95" s="322"/>
      <c r="BI95" s="322"/>
      <c r="BJ95" s="322"/>
      <c r="BK95" s="322"/>
      <c r="BL95" s="322"/>
      <c r="BM95" s="322"/>
      <c r="BN95" s="322"/>
      <c r="BO95" s="322"/>
      <c r="BP95" s="322"/>
      <c r="BQ95" s="322"/>
      <c r="BR95" s="322"/>
      <c r="BS95" s="322"/>
      <c r="BT95" s="322"/>
      <c r="BU95" s="322"/>
      <c r="BV95" s="322"/>
      <c r="BW95" s="322"/>
      <c r="BX95" s="322"/>
      <c r="BY95" s="322"/>
      <c r="BZ95" s="322"/>
      <c r="CA95" s="322"/>
      <c r="CB95" s="322"/>
      <c r="CC95" s="322"/>
      <c r="CD95" s="322"/>
      <c r="CE95" s="322"/>
      <c r="CF95" s="322"/>
      <c r="CG95" s="322"/>
      <c r="CH95" s="322"/>
      <c r="CI95" s="322"/>
      <c r="CK95" s="249"/>
      <c r="CL95" s="249"/>
      <c r="CM95" s="249"/>
      <c r="CN95" s="249"/>
      <c r="CO95" s="249"/>
      <c r="CQ95" s="249"/>
      <c r="CR95" s="249"/>
      <c r="CS95" s="249"/>
      <c r="CT95" s="249"/>
      <c r="CU95" s="249"/>
      <c r="CW95" s="249"/>
      <c r="CX95" s="249"/>
      <c r="CY95" s="249"/>
      <c r="CZ95" s="249"/>
      <c r="DA95" s="249"/>
    </row>
    <row r="96" spans="2:105" ht="15.75" thickTop="1" x14ac:dyDescent="0.25">
      <c r="B96" s="434" t="s">
        <v>266</v>
      </c>
      <c r="C96" s="290" t="s">
        <v>184</v>
      </c>
      <c r="D96" s="310"/>
      <c r="E96" s="311"/>
      <c r="F96" s="311"/>
      <c r="G96" s="311"/>
      <c r="H96" s="311"/>
      <c r="I96" s="311"/>
      <c r="J96" s="311"/>
      <c r="K96" s="312"/>
      <c r="L96" s="310"/>
      <c r="M96" s="311"/>
      <c r="N96" s="311"/>
      <c r="O96" s="312"/>
      <c r="P96" s="310"/>
      <c r="Q96" s="311"/>
      <c r="R96" s="311"/>
      <c r="S96" s="311"/>
      <c r="T96" s="311"/>
      <c r="U96" s="311"/>
      <c r="V96" s="311"/>
      <c r="W96" s="311"/>
      <c r="X96" s="311"/>
      <c r="Y96" s="311"/>
      <c r="Z96" s="311"/>
      <c r="AA96" s="311"/>
      <c r="AB96" s="311"/>
      <c r="AC96" s="311"/>
      <c r="AD96" s="311"/>
      <c r="AE96" s="311"/>
      <c r="AF96" s="311"/>
      <c r="AG96" s="311"/>
      <c r="AH96" s="311"/>
      <c r="AI96" s="312"/>
      <c r="AJ96" s="310"/>
      <c r="AK96" s="311"/>
      <c r="AL96" s="312"/>
      <c r="AM96" s="310"/>
      <c r="AN96" s="311"/>
      <c r="AO96" s="312"/>
      <c r="AP96" s="310"/>
      <c r="AQ96" s="311"/>
      <c r="AR96" s="311"/>
      <c r="AS96" s="311"/>
      <c r="AT96" s="312"/>
      <c r="AU96" s="310"/>
      <c r="AV96" s="311"/>
      <c r="AW96" s="311"/>
      <c r="AX96" s="311"/>
      <c r="AY96" s="311"/>
      <c r="AZ96" s="311"/>
      <c r="BA96" s="311"/>
      <c r="BB96" s="312"/>
      <c r="BC96" s="310"/>
      <c r="BD96" s="311"/>
      <c r="BE96" s="311"/>
      <c r="BF96" s="311"/>
      <c r="BG96" s="312"/>
      <c r="BH96" s="310"/>
      <c r="BI96" s="311"/>
      <c r="BJ96" s="312"/>
      <c r="BK96" s="310"/>
      <c r="BL96" s="311"/>
      <c r="BM96" s="311"/>
      <c r="BN96" s="312"/>
      <c r="BO96" s="310"/>
      <c r="BP96" s="311"/>
      <c r="BQ96" s="311"/>
      <c r="BR96" s="311"/>
      <c r="BS96" s="311"/>
      <c r="BT96" s="311"/>
      <c r="BU96" s="311"/>
      <c r="BV96" s="312"/>
      <c r="BW96" s="310"/>
      <c r="BX96" s="311"/>
      <c r="BY96" s="311"/>
      <c r="BZ96" s="311"/>
      <c r="CA96" s="311"/>
      <c r="CB96" s="312"/>
      <c r="CC96" s="310"/>
      <c r="CD96" s="311"/>
      <c r="CE96" s="312"/>
      <c r="CF96" s="310"/>
      <c r="CG96" s="311"/>
      <c r="CH96" s="311"/>
      <c r="CI96" s="313"/>
      <c r="CK96" s="233" t="str">
        <f>IF(COUNTIF(D96:CI96,"o")&gt;0,COUNTIF(D96:CI96,"o"),"")</f>
        <v/>
      </c>
      <c r="CL96" s="234" t="str">
        <f>IF(COUNTIF(D96:CI96,"j")&gt;0,COUNTIF(D96:CI96,"j"),"")</f>
        <v/>
      </c>
      <c r="CM96" s="234" t="str">
        <f>IF(COUNTIF(D96:CI96,"m")&gt;0,COUNTIF(D96:CI96,"m"),"")</f>
        <v/>
      </c>
      <c r="CN96" s="234" t="str">
        <f>IF(COUNTIF(D96:CI96,"s")&gt;0,COUNTIF(D96:CI96,"s"),"")</f>
        <v/>
      </c>
      <c r="CO96" s="235" t="str">
        <f>IF(COUNTIF(D96:CI96,"e")&gt;0,COUNTIF(D96:CI96,"e"),"")</f>
        <v/>
      </c>
      <c r="CQ96" s="233" t="str">
        <f>desired_skills(C96,"Talen/Nederlands","o")</f>
        <v/>
      </c>
      <c r="CR96" s="234" t="str">
        <f>desired_skills(C96,"Talen/Nederlands","j")</f>
        <v/>
      </c>
      <c r="CS96" s="234" t="str">
        <f>desired_skills(C96,"Talen/Nederlands","m")</f>
        <v/>
      </c>
      <c r="CT96" s="234" t="str">
        <f>desired_skills(C96,"Talen/Nederlands","s")</f>
        <v/>
      </c>
      <c r="CU96" s="235" t="str">
        <f>desired_skills(C96,"Talen/Nederlands","e")</f>
        <v/>
      </c>
      <c r="CW96" s="233" t="str">
        <f>calc_gap('Matrix 171007_1818'!$CK$96,'Matrix 171007_1818'!$CQ$96)</f>
        <v/>
      </c>
      <c r="CX96" s="234" t="str">
        <f>calc_gap('Matrix 171007_1818'!$CL$96,'Matrix 171007_1818'!$CR$96)</f>
        <v/>
      </c>
      <c r="CY96" s="234" t="str">
        <f>calc_gap('Matrix 171007_1818'!$CM$96,'Matrix 171007_1818'!$CS$96)</f>
        <v/>
      </c>
      <c r="CZ96" s="234" t="str">
        <f>calc_gap('Matrix 171007_1818'!$CN$96,'Matrix 171007_1818'!$CT$96)</f>
        <v/>
      </c>
      <c r="DA96" s="235" t="str">
        <f>calc_gap('Matrix 171007_1818'!$CO$96,'Matrix 171007_1818'!$CU$96)</f>
        <v/>
      </c>
    </row>
    <row r="97" spans="2:105" x14ac:dyDescent="0.25">
      <c r="B97" s="435"/>
      <c r="C97" s="291" t="s">
        <v>123</v>
      </c>
      <c r="D97" s="314"/>
      <c r="E97" s="315"/>
      <c r="F97" s="315"/>
      <c r="G97" s="315"/>
      <c r="H97" s="315"/>
      <c r="I97" s="315"/>
      <c r="J97" s="315"/>
      <c r="K97" s="316"/>
      <c r="L97" s="314"/>
      <c r="M97" s="315"/>
      <c r="N97" s="315"/>
      <c r="O97" s="316"/>
      <c r="P97" s="314"/>
      <c r="Q97" s="315"/>
      <c r="R97" s="315"/>
      <c r="S97" s="315"/>
      <c r="T97" s="315"/>
      <c r="U97" s="315"/>
      <c r="V97" s="315"/>
      <c r="W97" s="315"/>
      <c r="X97" s="315"/>
      <c r="Y97" s="315"/>
      <c r="Z97" s="315"/>
      <c r="AA97" s="315"/>
      <c r="AB97" s="315"/>
      <c r="AC97" s="315"/>
      <c r="AD97" s="315"/>
      <c r="AE97" s="315"/>
      <c r="AF97" s="315"/>
      <c r="AG97" s="315"/>
      <c r="AH97" s="315"/>
      <c r="AI97" s="316"/>
      <c r="AJ97" s="314"/>
      <c r="AK97" s="315"/>
      <c r="AL97" s="316"/>
      <c r="AM97" s="314"/>
      <c r="AN97" s="315"/>
      <c r="AO97" s="316"/>
      <c r="AP97" s="314"/>
      <c r="AQ97" s="315"/>
      <c r="AR97" s="315"/>
      <c r="AS97" s="315"/>
      <c r="AT97" s="316"/>
      <c r="AU97" s="314"/>
      <c r="AV97" s="315"/>
      <c r="AW97" s="315"/>
      <c r="AX97" s="315"/>
      <c r="AY97" s="315"/>
      <c r="AZ97" s="315"/>
      <c r="BA97" s="315"/>
      <c r="BB97" s="316"/>
      <c r="BC97" s="314"/>
      <c r="BD97" s="315"/>
      <c r="BE97" s="315"/>
      <c r="BF97" s="315"/>
      <c r="BG97" s="316"/>
      <c r="BH97" s="314"/>
      <c r="BI97" s="315"/>
      <c r="BJ97" s="316"/>
      <c r="BK97" s="314"/>
      <c r="BL97" s="315"/>
      <c r="BM97" s="315"/>
      <c r="BN97" s="316"/>
      <c r="BO97" s="314"/>
      <c r="BP97" s="315"/>
      <c r="BQ97" s="315"/>
      <c r="BR97" s="315"/>
      <c r="BS97" s="315"/>
      <c r="BT97" s="315"/>
      <c r="BU97" s="315"/>
      <c r="BV97" s="316"/>
      <c r="BW97" s="314"/>
      <c r="BX97" s="315"/>
      <c r="BY97" s="315"/>
      <c r="BZ97" s="315"/>
      <c r="CA97" s="315"/>
      <c r="CB97" s="316"/>
      <c r="CC97" s="314"/>
      <c r="CD97" s="315"/>
      <c r="CE97" s="316"/>
      <c r="CF97" s="314"/>
      <c r="CG97" s="315"/>
      <c r="CH97" s="315"/>
      <c r="CI97" s="317"/>
      <c r="CK97" s="236" t="str">
        <f>IF(COUNTIF(D97:CI97,"o")&gt;0,COUNTIF(D97:CI97,"o"),"")</f>
        <v/>
      </c>
      <c r="CL97" s="237" t="str">
        <f>IF(COUNTIF(D97:CI97,"j")&gt;0,COUNTIF(D97:CI97,"j"),"")</f>
        <v/>
      </c>
      <c r="CM97" s="237" t="str">
        <f>IF(COUNTIF(D97:CI97,"m")&gt;0,COUNTIF(D97:CI97,"m"),"")</f>
        <v/>
      </c>
      <c r="CN97" s="237" t="str">
        <f>IF(COUNTIF(D97:CI97,"s")&gt;0,COUNTIF(D97:CI97,"s"),"")</f>
        <v/>
      </c>
      <c r="CO97" s="238" t="str">
        <f>IF(COUNTIF(D97:CI97,"e")&gt;0,COUNTIF(D97:CI97,"e"),"")</f>
        <v/>
      </c>
      <c r="CQ97" s="236" t="str">
        <f>desired_skills(C97,"Talen/Engels","o")</f>
        <v/>
      </c>
      <c r="CR97" s="237" t="str">
        <f>desired_skills(C97,"Talen/Engels","j")</f>
        <v/>
      </c>
      <c r="CS97" s="237" t="str">
        <f>desired_skills(C97,"Talen/Engels","m")</f>
        <v/>
      </c>
      <c r="CT97" s="237" t="str">
        <f>desired_skills(C97,"Talen/Engels","s")</f>
        <v/>
      </c>
      <c r="CU97" s="238" t="str">
        <f>desired_skills(C97,"Talen/Engels","e")</f>
        <v/>
      </c>
      <c r="CW97" s="236" t="str">
        <f>calc_gap('Matrix 171007_1818'!$CK$97,'Matrix 171007_1818'!$CQ$97)</f>
        <v/>
      </c>
      <c r="CX97" s="237" t="str">
        <f>calc_gap('Matrix 171007_1818'!$CL$97,'Matrix 171007_1818'!$CR$97)</f>
        <v/>
      </c>
      <c r="CY97" s="237" t="str">
        <f>calc_gap('Matrix 171007_1818'!$CM$97,'Matrix 171007_1818'!$CS$97)</f>
        <v/>
      </c>
      <c r="CZ97" s="237" t="str">
        <f>calc_gap('Matrix 171007_1818'!$CN$97,'Matrix 171007_1818'!$CT$97)</f>
        <v/>
      </c>
      <c r="DA97" s="238" t="str">
        <f>calc_gap('Matrix 171007_1818'!$CO$97,'Matrix 171007_1818'!$CU$97)</f>
        <v/>
      </c>
    </row>
    <row r="98" spans="2:105" x14ac:dyDescent="0.25">
      <c r="B98" s="435"/>
      <c r="C98" s="291" t="s">
        <v>268</v>
      </c>
      <c r="D98" s="314"/>
      <c r="E98" s="315"/>
      <c r="F98" s="315"/>
      <c r="G98" s="315"/>
      <c r="H98" s="315"/>
      <c r="I98" s="315"/>
      <c r="J98" s="315"/>
      <c r="K98" s="316"/>
      <c r="L98" s="314"/>
      <c r="M98" s="315"/>
      <c r="N98" s="315"/>
      <c r="O98" s="316"/>
      <c r="P98" s="314"/>
      <c r="Q98" s="315"/>
      <c r="R98" s="315"/>
      <c r="S98" s="315"/>
      <c r="T98" s="315"/>
      <c r="U98" s="315"/>
      <c r="V98" s="315"/>
      <c r="W98" s="315"/>
      <c r="X98" s="315"/>
      <c r="Y98" s="315"/>
      <c r="Z98" s="315"/>
      <c r="AA98" s="315"/>
      <c r="AB98" s="315"/>
      <c r="AC98" s="315"/>
      <c r="AD98" s="315"/>
      <c r="AE98" s="315"/>
      <c r="AF98" s="315"/>
      <c r="AG98" s="315"/>
      <c r="AH98" s="315"/>
      <c r="AI98" s="316"/>
      <c r="AJ98" s="314"/>
      <c r="AK98" s="315"/>
      <c r="AL98" s="316"/>
      <c r="AM98" s="314"/>
      <c r="AN98" s="315"/>
      <c r="AO98" s="316"/>
      <c r="AP98" s="314"/>
      <c r="AQ98" s="315"/>
      <c r="AR98" s="315"/>
      <c r="AS98" s="315"/>
      <c r="AT98" s="316"/>
      <c r="AU98" s="314"/>
      <c r="AV98" s="315"/>
      <c r="AW98" s="315"/>
      <c r="AX98" s="315"/>
      <c r="AY98" s="315"/>
      <c r="AZ98" s="315"/>
      <c r="BA98" s="315"/>
      <c r="BB98" s="316"/>
      <c r="BC98" s="314"/>
      <c r="BD98" s="315"/>
      <c r="BE98" s="315"/>
      <c r="BF98" s="315"/>
      <c r="BG98" s="316"/>
      <c r="BH98" s="314"/>
      <c r="BI98" s="315"/>
      <c r="BJ98" s="316"/>
      <c r="BK98" s="314"/>
      <c r="BL98" s="315"/>
      <c r="BM98" s="315"/>
      <c r="BN98" s="316"/>
      <c r="BO98" s="314"/>
      <c r="BP98" s="315"/>
      <c r="BQ98" s="315"/>
      <c r="BR98" s="315"/>
      <c r="BS98" s="315"/>
      <c r="BT98" s="315"/>
      <c r="BU98" s="315"/>
      <c r="BV98" s="316"/>
      <c r="BW98" s="314"/>
      <c r="BX98" s="315"/>
      <c r="BY98" s="315"/>
      <c r="BZ98" s="315"/>
      <c r="CA98" s="315"/>
      <c r="CB98" s="316"/>
      <c r="CC98" s="314"/>
      <c r="CD98" s="315"/>
      <c r="CE98" s="316"/>
      <c r="CF98" s="314"/>
      <c r="CG98" s="315"/>
      <c r="CH98" s="315"/>
      <c r="CI98" s="317"/>
      <c r="CK98" s="236" t="str">
        <f>IF(COUNTIF(D98:CI98,"o")&gt;0,COUNTIF(D98:CI98,"o"),"")</f>
        <v/>
      </c>
      <c r="CL98" s="237" t="str">
        <f>IF(COUNTIF(D98:CI98,"j")&gt;0,COUNTIF(D98:CI98,"j"),"")</f>
        <v/>
      </c>
      <c r="CM98" s="237" t="str">
        <f>IF(COUNTIF(D98:CI98,"m")&gt;0,COUNTIF(D98:CI98,"m"),"")</f>
        <v/>
      </c>
      <c r="CN98" s="237" t="str">
        <f>IF(COUNTIF(D98:CI98,"s")&gt;0,COUNTIF(D98:CI98,"s"),"")</f>
        <v/>
      </c>
      <c r="CO98" s="238" t="str">
        <f>IF(COUNTIF(D98:CI98,"e")&gt;0,COUNTIF(D98:CI98,"e"),"")</f>
        <v/>
      </c>
      <c r="CQ98" s="236" t="str">
        <f>desired_skills(C98,"Talen/Duits","o")</f>
        <v/>
      </c>
      <c r="CR98" s="237" t="str">
        <f>desired_skills(C98,"Talen/Duits","j")</f>
        <v/>
      </c>
      <c r="CS98" s="237" t="str">
        <f>desired_skills(C98,"Talen/Duits","m")</f>
        <v/>
      </c>
      <c r="CT98" s="237" t="str">
        <f>desired_skills(C98,"Talen/Duits","s")</f>
        <v/>
      </c>
      <c r="CU98" s="238" t="str">
        <f>desired_skills(C98,"Talen/Duits","e")</f>
        <v/>
      </c>
      <c r="CW98" s="236" t="str">
        <f>calc_gap('Matrix 171007_1818'!$CK$98,'Matrix 171007_1818'!$CQ$98)</f>
        <v/>
      </c>
      <c r="CX98" s="237" t="str">
        <f>calc_gap('Matrix 171007_1818'!$CL$98,'Matrix 171007_1818'!$CR$98)</f>
        <v/>
      </c>
      <c r="CY98" s="237" t="str">
        <f>calc_gap('Matrix 171007_1818'!$CM$98,'Matrix 171007_1818'!$CS$98)</f>
        <v/>
      </c>
      <c r="CZ98" s="237" t="str">
        <f>calc_gap('Matrix 171007_1818'!$CN$98,'Matrix 171007_1818'!$CT$98)</f>
        <v/>
      </c>
      <c r="DA98" s="238" t="str">
        <f>calc_gap('Matrix 171007_1818'!$CO$98,'Matrix 171007_1818'!$CU$98)</f>
        <v/>
      </c>
    </row>
    <row r="99" spans="2:105" ht="15.75" thickBot="1" x14ac:dyDescent="0.3">
      <c r="B99" s="435"/>
      <c r="C99" s="292" t="s">
        <v>143</v>
      </c>
      <c r="D99" s="318"/>
      <c r="E99" s="319"/>
      <c r="F99" s="319"/>
      <c r="G99" s="319"/>
      <c r="H99" s="319"/>
      <c r="I99" s="319"/>
      <c r="J99" s="319"/>
      <c r="K99" s="320"/>
      <c r="L99" s="318"/>
      <c r="M99" s="319"/>
      <c r="N99" s="319"/>
      <c r="O99" s="320"/>
      <c r="P99" s="318"/>
      <c r="Q99" s="319"/>
      <c r="R99" s="319"/>
      <c r="S99" s="319"/>
      <c r="T99" s="319"/>
      <c r="U99" s="319"/>
      <c r="V99" s="319"/>
      <c r="W99" s="319"/>
      <c r="X99" s="319"/>
      <c r="Y99" s="319"/>
      <c r="Z99" s="319"/>
      <c r="AA99" s="319"/>
      <c r="AB99" s="319"/>
      <c r="AC99" s="319"/>
      <c r="AD99" s="319"/>
      <c r="AE99" s="319"/>
      <c r="AF99" s="319"/>
      <c r="AG99" s="319"/>
      <c r="AH99" s="319"/>
      <c r="AI99" s="320"/>
      <c r="AJ99" s="318"/>
      <c r="AK99" s="319"/>
      <c r="AL99" s="320"/>
      <c r="AM99" s="318"/>
      <c r="AN99" s="319"/>
      <c r="AO99" s="320"/>
      <c r="AP99" s="318"/>
      <c r="AQ99" s="319"/>
      <c r="AR99" s="319"/>
      <c r="AS99" s="319"/>
      <c r="AT99" s="320"/>
      <c r="AU99" s="318"/>
      <c r="AV99" s="319"/>
      <c r="AW99" s="319"/>
      <c r="AX99" s="319"/>
      <c r="AY99" s="319"/>
      <c r="AZ99" s="319"/>
      <c r="BA99" s="319"/>
      <c r="BB99" s="320"/>
      <c r="BC99" s="318"/>
      <c r="BD99" s="319"/>
      <c r="BE99" s="319"/>
      <c r="BF99" s="319"/>
      <c r="BG99" s="320"/>
      <c r="BH99" s="318"/>
      <c r="BI99" s="319"/>
      <c r="BJ99" s="320"/>
      <c r="BK99" s="318"/>
      <c r="BL99" s="319"/>
      <c r="BM99" s="319"/>
      <c r="BN99" s="320"/>
      <c r="BO99" s="318"/>
      <c r="BP99" s="319"/>
      <c r="BQ99" s="319"/>
      <c r="BR99" s="319"/>
      <c r="BS99" s="319"/>
      <c r="BT99" s="319"/>
      <c r="BU99" s="319"/>
      <c r="BV99" s="320"/>
      <c r="BW99" s="318"/>
      <c r="BX99" s="319"/>
      <c r="BY99" s="319"/>
      <c r="BZ99" s="319"/>
      <c r="CA99" s="319"/>
      <c r="CB99" s="320"/>
      <c r="CC99" s="318"/>
      <c r="CD99" s="319"/>
      <c r="CE99" s="320"/>
      <c r="CF99" s="318"/>
      <c r="CG99" s="319"/>
      <c r="CH99" s="319"/>
      <c r="CI99" s="321"/>
      <c r="CK99" s="239" t="str">
        <f>IF(COUNTIF(D99:CI99,"o")&gt;0,COUNTIF(D99:CI99,"o"),"")</f>
        <v/>
      </c>
      <c r="CL99" s="240" t="str">
        <f>IF(COUNTIF(D99:CI99,"j")&gt;0,COUNTIF(D99:CI99,"j"),"")</f>
        <v/>
      </c>
      <c r="CM99" s="240" t="str">
        <f>IF(COUNTIF(D99:CI99,"m")&gt;0,COUNTIF(D99:CI99,"m"),"")</f>
        <v/>
      </c>
      <c r="CN99" s="240" t="str">
        <f>IF(COUNTIF(D99:CI99,"s")&gt;0,COUNTIF(D99:CI99,"s"),"")</f>
        <v/>
      </c>
      <c r="CO99" s="241" t="str">
        <f>IF(COUNTIF(D99:CI99,"e")&gt;0,COUNTIF(D99:CI99,"e"),"")</f>
        <v/>
      </c>
      <c r="CQ99" s="239" t="str">
        <f>desired_skills(C99,"Talen/Frans","o")</f>
        <v/>
      </c>
      <c r="CR99" s="240" t="str">
        <f>desired_skills(C99,"Talen/Frans","j")</f>
        <v/>
      </c>
      <c r="CS99" s="240" t="str">
        <f>desired_skills(C99,"Talen/Frans","m")</f>
        <v/>
      </c>
      <c r="CT99" s="240" t="str">
        <f>desired_skills(C99,"Talen/Frans","s")</f>
        <v/>
      </c>
      <c r="CU99" s="241" t="str">
        <f>desired_skills(C99,"Talen/Frans","e")</f>
        <v/>
      </c>
      <c r="CW99" s="239" t="str">
        <f>calc_gap('Matrix 171007_1818'!$CK$99,'Matrix 171007_1818'!$CQ$99)</f>
        <v/>
      </c>
      <c r="CX99" s="240" t="str">
        <f>calc_gap('Matrix 171007_1818'!$CL$99,'Matrix 171007_1818'!$CR$99)</f>
        <v/>
      </c>
      <c r="CY99" s="240" t="str">
        <f>calc_gap('Matrix 171007_1818'!$CM$99,'Matrix 171007_1818'!$CS$99)</f>
        <v/>
      </c>
      <c r="CZ99" s="240" t="str">
        <f>calc_gap('Matrix 171007_1818'!$CN$99,'Matrix 171007_1818'!$CT$99)</f>
        <v/>
      </c>
      <c r="DA99" s="241" t="str">
        <f>calc_gap('Matrix 171007_1818'!$CO$99,'Matrix 171007_1818'!$CU$99)</f>
        <v/>
      </c>
    </row>
    <row r="100" spans="2:105" ht="12.75" customHeight="1" thickTop="1" thickBot="1" x14ac:dyDescent="0.3">
      <c r="B100" s="437"/>
      <c r="C100" s="248"/>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2"/>
      <c r="BK100" s="322"/>
      <c r="BL100" s="322"/>
      <c r="BM100" s="322"/>
      <c r="BN100" s="322"/>
      <c r="BO100" s="322"/>
      <c r="BP100" s="322"/>
      <c r="BQ100" s="322"/>
      <c r="BR100" s="322"/>
      <c r="BS100" s="322"/>
      <c r="BT100" s="322"/>
      <c r="BU100" s="322"/>
      <c r="BV100" s="322"/>
      <c r="BW100" s="322"/>
      <c r="BX100" s="322"/>
      <c r="BY100" s="322"/>
      <c r="BZ100" s="322"/>
      <c r="CA100" s="322"/>
      <c r="CB100" s="322"/>
      <c r="CC100" s="322"/>
      <c r="CD100" s="322"/>
      <c r="CE100" s="322"/>
      <c r="CF100" s="322"/>
      <c r="CG100" s="322"/>
      <c r="CH100" s="322"/>
      <c r="CI100" s="322"/>
      <c r="CK100" s="249"/>
      <c r="CL100" s="249"/>
      <c r="CM100" s="249"/>
      <c r="CN100" s="249"/>
      <c r="CO100" s="249"/>
      <c r="CQ100" s="249"/>
      <c r="CR100" s="249"/>
      <c r="CS100" s="249"/>
      <c r="CT100" s="249"/>
      <c r="CU100" s="249"/>
      <c r="CW100" s="249"/>
      <c r="CX100" s="249"/>
      <c r="CY100" s="249"/>
      <c r="CZ100" s="249"/>
      <c r="DA100" s="249"/>
    </row>
    <row r="101" spans="2:105" ht="16.5" thickTop="1" thickBot="1" x14ac:dyDescent="0.3"/>
    <row r="102" spans="2:105" ht="15.75" thickTop="1" x14ac:dyDescent="0.25">
      <c r="B102" s="434" t="s">
        <v>303</v>
      </c>
      <c r="C102" s="298" t="s">
        <v>217</v>
      </c>
      <c r="D102" s="294" t="str">
        <f t="shared" ref="D102:AI102" si="35">IF(COUNTIF(D4:D100,"o")&gt;0,COUNTIF(D4:D100,"o"),"")</f>
        <v/>
      </c>
      <c r="E102" s="234" t="str">
        <f t="shared" si="35"/>
        <v/>
      </c>
      <c r="F102" s="234" t="str">
        <f t="shared" si="35"/>
        <v/>
      </c>
      <c r="G102" s="234" t="str">
        <f t="shared" si="35"/>
        <v/>
      </c>
      <c r="H102" s="234" t="str">
        <f t="shared" si="35"/>
        <v/>
      </c>
      <c r="I102" s="234" t="str">
        <f t="shared" si="35"/>
        <v/>
      </c>
      <c r="J102" s="234" t="str">
        <f t="shared" si="35"/>
        <v/>
      </c>
      <c r="K102" s="242" t="str">
        <f t="shared" si="35"/>
        <v/>
      </c>
      <c r="L102" s="233" t="str">
        <f t="shared" si="35"/>
        <v/>
      </c>
      <c r="M102" s="234" t="str">
        <f t="shared" si="35"/>
        <v/>
      </c>
      <c r="N102" s="234" t="str">
        <f t="shared" si="35"/>
        <v/>
      </c>
      <c r="O102" s="242" t="str">
        <f t="shared" si="35"/>
        <v/>
      </c>
      <c r="P102" s="233" t="str">
        <f t="shared" si="35"/>
        <v/>
      </c>
      <c r="Q102" s="234" t="str">
        <f t="shared" si="35"/>
        <v/>
      </c>
      <c r="R102" s="234" t="str">
        <f t="shared" si="35"/>
        <v/>
      </c>
      <c r="S102" s="234" t="str">
        <f t="shared" si="35"/>
        <v/>
      </c>
      <c r="T102" s="234" t="str">
        <f t="shared" si="35"/>
        <v/>
      </c>
      <c r="U102" s="234" t="str">
        <f t="shared" si="35"/>
        <v/>
      </c>
      <c r="V102" s="234" t="str">
        <f t="shared" si="35"/>
        <v/>
      </c>
      <c r="W102" s="234" t="str">
        <f t="shared" si="35"/>
        <v/>
      </c>
      <c r="X102" s="234" t="str">
        <f t="shared" si="35"/>
        <v/>
      </c>
      <c r="Y102" s="234" t="str">
        <f t="shared" si="35"/>
        <v/>
      </c>
      <c r="Z102" s="234" t="str">
        <f t="shared" si="35"/>
        <v/>
      </c>
      <c r="AA102" s="234" t="str">
        <f t="shared" si="35"/>
        <v/>
      </c>
      <c r="AB102" s="234" t="str">
        <f t="shared" si="35"/>
        <v/>
      </c>
      <c r="AC102" s="234" t="str">
        <f t="shared" si="35"/>
        <v/>
      </c>
      <c r="AD102" s="234" t="str">
        <f t="shared" si="35"/>
        <v/>
      </c>
      <c r="AE102" s="234" t="str">
        <f t="shared" si="35"/>
        <v/>
      </c>
      <c r="AF102" s="234" t="str">
        <f t="shared" si="35"/>
        <v/>
      </c>
      <c r="AG102" s="234" t="str">
        <f t="shared" si="35"/>
        <v/>
      </c>
      <c r="AH102" s="234" t="str">
        <f t="shared" si="35"/>
        <v/>
      </c>
      <c r="AI102" s="242" t="str">
        <f t="shared" si="35"/>
        <v/>
      </c>
      <c r="AJ102" s="233" t="str">
        <f t="shared" ref="AJ102:BO102" si="36">IF(COUNTIF(AJ4:AJ100,"o")&gt;0,COUNTIF(AJ4:AJ100,"o"),"")</f>
        <v/>
      </c>
      <c r="AK102" s="234" t="str">
        <f t="shared" si="36"/>
        <v/>
      </c>
      <c r="AL102" s="242" t="str">
        <f t="shared" si="36"/>
        <v/>
      </c>
      <c r="AM102" s="233" t="str">
        <f t="shared" si="36"/>
        <v/>
      </c>
      <c r="AN102" s="234" t="str">
        <f t="shared" si="36"/>
        <v/>
      </c>
      <c r="AO102" s="242" t="str">
        <f t="shared" si="36"/>
        <v/>
      </c>
      <c r="AP102" s="233" t="str">
        <f t="shared" si="36"/>
        <v/>
      </c>
      <c r="AQ102" s="234" t="str">
        <f t="shared" si="36"/>
        <v/>
      </c>
      <c r="AR102" s="234" t="str">
        <f t="shared" si="36"/>
        <v/>
      </c>
      <c r="AS102" s="234" t="str">
        <f t="shared" si="36"/>
        <v/>
      </c>
      <c r="AT102" s="242" t="str">
        <f t="shared" si="36"/>
        <v/>
      </c>
      <c r="AU102" s="233" t="str">
        <f t="shared" si="36"/>
        <v/>
      </c>
      <c r="AV102" s="234">
        <f t="shared" si="36"/>
        <v>3</v>
      </c>
      <c r="AW102" s="234">
        <f t="shared" si="36"/>
        <v>9</v>
      </c>
      <c r="AX102" s="234" t="str">
        <f t="shared" si="36"/>
        <v/>
      </c>
      <c r="AY102" s="234" t="str">
        <f t="shared" si="36"/>
        <v/>
      </c>
      <c r="AZ102" s="234">
        <f t="shared" si="36"/>
        <v>1</v>
      </c>
      <c r="BA102" s="234">
        <f t="shared" si="36"/>
        <v>2</v>
      </c>
      <c r="BB102" s="242" t="str">
        <f t="shared" si="36"/>
        <v/>
      </c>
      <c r="BC102" s="233">
        <f t="shared" si="36"/>
        <v>20</v>
      </c>
      <c r="BD102" s="234">
        <f t="shared" si="36"/>
        <v>12</v>
      </c>
      <c r="BE102" s="234" t="str">
        <f t="shared" si="36"/>
        <v/>
      </c>
      <c r="BF102" s="234" t="str">
        <f t="shared" si="36"/>
        <v/>
      </c>
      <c r="BG102" s="242" t="str">
        <f t="shared" si="36"/>
        <v/>
      </c>
      <c r="BH102" s="233" t="str">
        <f t="shared" si="36"/>
        <v/>
      </c>
      <c r="BI102" s="234">
        <f t="shared" si="36"/>
        <v>2</v>
      </c>
      <c r="BJ102" s="242" t="str">
        <f t="shared" si="36"/>
        <v/>
      </c>
      <c r="BK102" s="233" t="str">
        <f t="shared" si="36"/>
        <v/>
      </c>
      <c r="BL102" s="234">
        <f t="shared" si="36"/>
        <v>3</v>
      </c>
      <c r="BM102" s="234" t="str">
        <f t="shared" si="36"/>
        <v/>
      </c>
      <c r="BN102" s="242">
        <f t="shared" si="36"/>
        <v>9</v>
      </c>
      <c r="BO102" s="233" t="str">
        <f t="shared" si="36"/>
        <v/>
      </c>
      <c r="BP102" s="234" t="str">
        <f t="shared" ref="BP102:CI102" si="37">IF(COUNTIF(BP4:BP100,"o")&gt;0,COUNTIF(BP4:BP100,"o"),"")</f>
        <v/>
      </c>
      <c r="BQ102" s="234" t="str">
        <f t="shared" si="37"/>
        <v/>
      </c>
      <c r="BR102" s="234" t="str">
        <f t="shared" si="37"/>
        <v/>
      </c>
      <c r="BS102" s="234">
        <f t="shared" si="37"/>
        <v>22</v>
      </c>
      <c r="BT102" s="234">
        <f t="shared" si="37"/>
        <v>1</v>
      </c>
      <c r="BU102" s="234" t="str">
        <f t="shared" si="37"/>
        <v/>
      </c>
      <c r="BV102" s="242" t="str">
        <f t="shared" si="37"/>
        <v/>
      </c>
      <c r="BW102" s="233">
        <f t="shared" si="37"/>
        <v>3</v>
      </c>
      <c r="BX102" s="234" t="str">
        <f t="shared" si="37"/>
        <v/>
      </c>
      <c r="BY102" s="234" t="str">
        <f t="shared" si="37"/>
        <v/>
      </c>
      <c r="BZ102" s="234">
        <f t="shared" si="37"/>
        <v>1</v>
      </c>
      <c r="CA102" s="234" t="str">
        <f t="shared" si="37"/>
        <v/>
      </c>
      <c r="CB102" s="242" t="str">
        <f t="shared" si="37"/>
        <v/>
      </c>
      <c r="CC102" s="233" t="str">
        <f t="shared" si="37"/>
        <v/>
      </c>
      <c r="CD102" s="234" t="str">
        <f t="shared" si="37"/>
        <v/>
      </c>
      <c r="CE102" s="242" t="str">
        <f t="shared" si="37"/>
        <v/>
      </c>
      <c r="CF102" s="233" t="str">
        <f t="shared" si="37"/>
        <v/>
      </c>
      <c r="CG102" s="234" t="str">
        <f t="shared" si="37"/>
        <v/>
      </c>
      <c r="CH102" s="234" t="str">
        <f t="shared" si="37"/>
        <v/>
      </c>
      <c r="CI102" s="235" t="str">
        <f t="shared" si="37"/>
        <v/>
      </c>
    </row>
    <row r="103" spans="2:105" x14ac:dyDescent="0.25">
      <c r="B103" s="435"/>
      <c r="C103" s="299" t="s">
        <v>218</v>
      </c>
      <c r="D103" s="295" t="str">
        <f t="shared" ref="D103:AI103" si="38">IF(COUNTIF(D4:D100,"j")&gt;0,COUNTIF(D4:D100,"j"),"")</f>
        <v/>
      </c>
      <c r="E103" s="237" t="str">
        <f t="shared" si="38"/>
        <v/>
      </c>
      <c r="F103" s="237" t="str">
        <f t="shared" si="38"/>
        <v/>
      </c>
      <c r="G103" s="237" t="str">
        <f t="shared" si="38"/>
        <v/>
      </c>
      <c r="H103" s="237" t="str">
        <f t="shared" si="38"/>
        <v/>
      </c>
      <c r="I103" s="237" t="str">
        <f t="shared" si="38"/>
        <v/>
      </c>
      <c r="J103" s="237" t="str">
        <f t="shared" si="38"/>
        <v/>
      </c>
      <c r="K103" s="243" t="str">
        <f t="shared" si="38"/>
        <v/>
      </c>
      <c r="L103" s="236" t="str">
        <f t="shared" si="38"/>
        <v/>
      </c>
      <c r="M103" s="237" t="str">
        <f t="shared" si="38"/>
        <v/>
      </c>
      <c r="N103" s="237" t="str">
        <f t="shared" si="38"/>
        <v/>
      </c>
      <c r="O103" s="243" t="str">
        <f t="shared" si="38"/>
        <v/>
      </c>
      <c r="P103" s="236" t="str">
        <f t="shared" si="38"/>
        <v/>
      </c>
      <c r="Q103" s="237" t="str">
        <f t="shared" si="38"/>
        <v/>
      </c>
      <c r="R103" s="237" t="str">
        <f t="shared" si="38"/>
        <v/>
      </c>
      <c r="S103" s="237" t="str">
        <f t="shared" si="38"/>
        <v/>
      </c>
      <c r="T103" s="237" t="str">
        <f t="shared" si="38"/>
        <v/>
      </c>
      <c r="U103" s="237" t="str">
        <f t="shared" si="38"/>
        <v/>
      </c>
      <c r="V103" s="237" t="str">
        <f t="shared" si="38"/>
        <v/>
      </c>
      <c r="W103" s="237" t="str">
        <f t="shared" si="38"/>
        <v/>
      </c>
      <c r="X103" s="237" t="str">
        <f t="shared" si="38"/>
        <v/>
      </c>
      <c r="Y103" s="237" t="str">
        <f t="shared" si="38"/>
        <v/>
      </c>
      <c r="Z103" s="237" t="str">
        <f t="shared" si="38"/>
        <v/>
      </c>
      <c r="AA103" s="237" t="str">
        <f t="shared" si="38"/>
        <v/>
      </c>
      <c r="AB103" s="237" t="str">
        <f t="shared" si="38"/>
        <v/>
      </c>
      <c r="AC103" s="237" t="str">
        <f t="shared" si="38"/>
        <v/>
      </c>
      <c r="AD103" s="237" t="str">
        <f t="shared" si="38"/>
        <v/>
      </c>
      <c r="AE103" s="237" t="str">
        <f t="shared" si="38"/>
        <v/>
      </c>
      <c r="AF103" s="237" t="str">
        <f t="shared" si="38"/>
        <v/>
      </c>
      <c r="AG103" s="237" t="str">
        <f t="shared" si="38"/>
        <v/>
      </c>
      <c r="AH103" s="237" t="str">
        <f t="shared" si="38"/>
        <v/>
      </c>
      <c r="AI103" s="243" t="str">
        <f t="shared" si="38"/>
        <v/>
      </c>
      <c r="AJ103" s="236" t="str">
        <f t="shared" ref="AJ103:BO103" si="39">IF(COUNTIF(AJ4:AJ100,"j")&gt;0,COUNTIF(AJ4:AJ100,"j"),"")</f>
        <v/>
      </c>
      <c r="AK103" s="237" t="str">
        <f t="shared" si="39"/>
        <v/>
      </c>
      <c r="AL103" s="243" t="str">
        <f t="shared" si="39"/>
        <v/>
      </c>
      <c r="AM103" s="236" t="str">
        <f t="shared" si="39"/>
        <v/>
      </c>
      <c r="AN103" s="237" t="str">
        <f t="shared" si="39"/>
        <v/>
      </c>
      <c r="AO103" s="243" t="str">
        <f t="shared" si="39"/>
        <v/>
      </c>
      <c r="AP103" s="236" t="str">
        <f t="shared" si="39"/>
        <v/>
      </c>
      <c r="AQ103" s="237" t="str">
        <f t="shared" si="39"/>
        <v/>
      </c>
      <c r="AR103" s="237" t="str">
        <f t="shared" si="39"/>
        <v/>
      </c>
      <c r="AS103" s="237" t="str">
        <f t="shared" si="39"/>
        <v/>
      </c>
      <c r="AT103" s="243" t="str">
        <f t="shared" si="39"/>
        <v/>
      </c>
      <c r="AU103" s="236">
        <f t="shared" si="39"/>
        <v>12</v>
      </c>
      <c r="AV103" s="237">
        <f t="shared" si="39"/>
        <v>9</v>
      </c>
      <c r="AW103" s="237">
        <f t="shared" si="39"/>
        <v>15</v>
      </c>
      <c r="AX103" s="237">
        <f t="shared" si="39"/>
        <v>7</v>
      </c>
      <c r="AY103" s="237">
        <f t="shared" si="39"/>
        <v>14</v>
      </c>
      <c r="AZ103" s="237">
        <f t="shared" si="39"/>
        <v>7</v>
      </c>
      <c r="BA103" s="237">
        <f t="shared" si="39"/>
        <v>5</v>
      </c>
      <c r="BB103" s="243">
        <f t="shared" si="39"/>
        <v>14</v>
      </c>
      <c r="BC103" s="236">
        <f t="shared" si="39"/>
        <v>18</v>
      </c>
      <c r="BD103" s="237">
        <f t="shared" si="39"/>
        <v>22</v>
      </c>
      <c r="BE103" s="237" t="str">
        <f t="shared" si="39"/>
        <v/>
      </c>
      <c r="BF103" s="237">
        <f t="shared" si="39"/>
        <v>17</v>
      </c>
      <c r="BG103" s="243" t="str">
        <f t="shared" si="39"/>
        <v/>
      </c>
      <c r="BH103" s="236" t="str">
        <f t="shared" si="39"/>
        <v/>
      </c>
      <c r="BI103" s="237">
        <f t="shared" si="39"/>
        <v>6</v>
      </c>
      <c r="BJ103" s="243" t="str">
        <f t="shared" si="39"/>
        <v/>
      </c>
      <c r="BK103" s="236">
        <f t="shared" si="39"/>
        <v>14</v>
      </c>
      <c r="BL103" s="237">
        <f t="shared" si="39"/>
        <v>6</v>
      </c>
      <c r="BM103" s="237" t="str">
        <f t="shared" si="39"/>
        <v/>
      </c>
      <c r="BN103" s="243">
        <f t="shared" si="39"/>
        <v>8</v>
      </c>
      <c r="BO103" s="236">
        <f t="shared" si="39"/>
        <v>13</v>
      </c>
      <c r="BP103" s="237">
        <f t="shared" ref="BP103:CI103" si="40">IF(COUNTIF(BP4:BP100,"j")&gt;0,COUNTIF(BP4:BP100,"j"),"")</f>
        <v>3</v>
      </c>
      <c r="BQ103" s="237">
        <f t="shared" si="40"/>
        <v>9</v>
      </c>
      <c r="BR103" s="237" t="str">
        <f t="shared" si="40"/>
        <v/>
      </c>
      <c r="BS103" s="237">
        <f t="shared" si="40"/>
        <v>15</v>
      </c>
      <c r="BT103" s="237">
        <f t="shared" si="40"/>
        <v>8</v>
      </c>
      <c r="BU103" s="237">
        <f t="shared" si="40"/>
        <v>2</v>
      </c>
      <c r="BV103" s="243" t="str">
        <f t="shared" si="40"/>
        <v/>
      </c>
      <c r="BW103" s="236">
        <f t="shared" si="40"/>
        <v>9</v>
      </c>
      <c r="BX103" s="237">
        <f t="shared" si="40"/>
        <v>3</v>
      </c>
      <c r="BY103" s="237">
        <f t="shared" si="40"/>
        <v>12</v>
      </c>
      <c r="BZ103" s="237">
        <f t="shared" si="40"/>
        <v>7</v>
      </c>
      <c r="CA103" s="237">
        <f t="shared" si="40"/>
        <v>18</v>
      </c>
      <c r="CB103" s="243">
        <f t="shared" si="40"/>
        <v>15</v>
      </c>
      <c r="CC103" s="236">
        <f t="shared" si="40"/>
        <v>8</v>
      </c>
      <c r="CD103" s="237">
        <f t="shared" si="40"/>
        <v>18</v>
      </c>
      <c r="CE103" s="243" t="str">
        <f t="shared" si="40"/>
        <v/>
      </c>
      <c r="CF103" s="236" t="str">
        <f t="shared" si="40"/>
        <v/>
      </c>
      <c r="CG103" s="237" t="str">
        <f t="shared" si="40"/>
        <v/>
      </c>
      <c r="CH103" s="237" t="str">
        <f t="shared" si="40"/>
        <v/>
      </c>
      <c r="CI103" s="238" t="str">
        <f t="shared" si="40"/>
        <v/>
      </c>
    </row>
    <row r="104" spans="2:105" x14ac:dyDescent="0.25">
      <c r="B104" s="435"/>
      <c r="C104" s="300" t="s">
        <v>219</v>
      </c>
      <c r="D104" s="295" t="str">
        <f t="shared" ref="D104:AI104" si="41">IF(COUNTIF(D4:D100,"m")&gt;0,COUNTIF(D4:D100,"m"),"")</f>
        <v/>
      </c>
      <c r="E104" s="237" t="str">
        <f t="shared" si="41"/>
        <v/>
      </c>
      <c r="F104" s="237" t="str">
        <f t="shared" si="41"/>
        <v/>
      </c>
      <c r="G104" s="237" t="str">
        <f t="shared" si="41"/>
        <v/>
      </c>
      <c r="H104" s="237" t="str">
        <f t="shared" si="41"/>
        <v/>
      </c>
      <c r="I104" s="237" t="str">
        <f t="shared" si="41"/>
        <v/>
      </c>
      <c r="J104" s="237" t="str">
        <f t="shared" si="41"/>
        <v/>
      </c>
      <c r="K104" s="243" t="str">
        <f t="shared" si="41"/>
        <v/>
      </c>
      <c r="L104" s="236" t="str">
        <f t="shared" si="41"/>
        <v/>
      </c>
      <c r="M104" s="237" t="str">
        <f t="shared" si="41"/>
        <v/>
      </c>
      <c r="N104" s="237" t="str">
        <f t="shared" si="41"/>
        <v/>
      </c>
      <c r="O104" s="243" t="str">
        <f t="shared" si="41"/>
        <v/>
      </c>
      <c r="P104" s="236" t="str">
        <f t="shared" si="41"/>
        <v/>
      </c>
      <c r="Q104" s="237" t="str">
        <f t="shared" si="41"/>
        <v/>
      </c>
      <c r="R104" s="237" t="str">
        <f t="shared" si="41"/>
        <v/>
      </c>
      <c r="S104" s="237" t="str">
        <f t="shared" si="41"/>
        <v/>
      </c>
      <c r="T104" s="237" t="str">
        <f t="shared" si="41"/>
        <v/>
      </c>
      <c r="U104" s="237" t="str">
        <f t="shared" si="41"/>
        <v/>
      </c>
      <c r="V104" s="237" t="str">
        <f t="shared" si="41"/>
        <v/>
      </c>
      <c r="W104" s="237" t="str">
        <f t="shared" si="41"/>
        <v/>
      </c>
      <c r="X104" s="237" t="str">
        <f t="shared" si="41"/>
        <v/>
      </c>
      <c r="Y104" s="237" t="str">
        <f t="shared" si="41"/>
        <v/>
      </c>
      <c r="Z104" s="237" t="str">
        <f t="shared" si="41"/>
        <v/>
      </c>
      <c r="AA104" s="237" t="str">
        <f t="shared" si="41"/>
        <v/>
      </c>
      <c r="AB104" s="237" t="str">
        <f t="shared" si="41"/>
        <v/>
      </c>
      <c r="AC104" s="237" t="str">
        <f t="shared" si="41"/>
        <v/>
      </c>
      <c r="AD104" s="237" t="str">
        <f t="shared" si="41"/>
        <v/>
      </c>
      <c r="AE104" s="237" t="str">
        <f t="shared" si="41"/>
        <v/>
      </c>
      <c r="AF104" s="237" t="str">
        <f t="shared" si="41"/>
        <v/>
      </c>
      <c r="AG104" s="237" t="str">
        <f t="shared" si="41"/>
        <v/>
      </c>
      <c r="AH104" s="237" t="str">
        <f t="shared" si="41"/>
        <v/>
      </c>
      <c r="AI104" s="243" t="str">
        <f t="shared" si="41"/>
        <v/>
      </c>
      <c r="AJ104" s="236" t="str">
        <f t="shared" ref="AJ104:BO104" si="42">IF(COUNTIF(AJ4:AJ100,"m")&gt;0,COUNTIF(AJ4:AJ100,"m"),"")</f>
        <v/>
      </c>
      <c r="AK104" s="237" t="str">
        <f t="shared" si="42"/>
        <v/>
      </c>
      <c r="AL104" s="243" t="str">
        <f t="shared" si="42"/>
        <v/>
      </c>
      <c r="AM104" s="236" t="str">
        <f t="shared" si="42"/>
        <v/>
      </c>
      <c r="AN104" s="237" t="str">
        <f t="shared" si="42"/>
        <v/>
      </c>
      <c r="AO104" s="243" t="str">
        <f t="shared" si="42"/>
        <v/>
      </c>
      <c r="AP104" s="236" t="str">
        <f t="shared" si="42"/>
        <v/>
      </c>
      <c r="AQ104" s="237" t="str">
        <f t="shared" si="42"/>
        <v/>
      </c>
      <c r="AR104" s="237" t="str">
        <f t="shared" si="42"/>
        <v/>
      </c>
      <c r="AS104" s="237" t="str">
        <f t="shared" si="42"/>
        <v/>
      </c>
      <c r="AT104" s="243" t="str">
        <f t="shared" si="42"/>
        <v/>
      </c>
      <c r="AU104" s="236">
        <f t="shared" si="42"/>
        <v>28</v>
      </c>
      <c r="AV104" s="237">
        <f t="shared" si="42"/>
        <v>27</v>
      </c>
      <c r="AW104" s="237">
        <f t="shared" si="42"/>
        <v>14</v>
      </c>
      <c r="AX104" s="237">
        <f t="shared" si="42"/>
        <v>15</v>
      </c>
      <c r="AY104" s="237">
        <f t="shared" si="42"/>
        <v>22</v>
      </c>
      <c r="AZ104" s="237">
        <f t="shared" si="42"/>
        <v>6</v>
      </c>
      <c r="BA104" s="237">
        <f t="shared" si="42"/>
        <v>7</v>
      </c>
      <c r="BB104" s="243">
        <f t="shared" si="42"/>
        <v>24</v>
      </c>
      <c r="BC104" s="236">
        <f t="shared" si="42"/>
        <v>13</v>
      </c>
      <c r="BD104" s="237">
        <f t="shared" si="42"/>
        <v>22</v>
      </c>
      <c r="BE104" s="237" t="str">
        <f t="shared" si="42"/>
        <v/>
      </c>
      <c r="BF104" s="237">
        <f t="shared" si="42"/>
        <v>6</v>
      </c>
      <c r="BG104" s="243" t="str">
        <f t="shared" si="42"/>
        <v/>
      </c>
      <c r="BH104" s="236" t="str">
        <f t="shared" si="42"/>
        <v/>
      </c>
      <c r="BI104" s="237">
        <f t="shared" si="42"/>
        <v>16</v>
      </c>
      <c r="BJ104" s="243" t="str">
        <f t="shared" si="42"/>
        <v/>
      </c>
      <c r="BK104" s="236">
        <f t="shared" si="42"/>
        <v>13</v>
      </c>
      <c r="BL104" s="237">
        <f t="shared" si="42"/>
        <v>17</v>
      </c>
      <c r="BM104" s="237" t="str">
        <f t="shared" si="42"/>
        <v/>
      </c>
      <c r="BN104" s="243">
        <f t="shared" si="42"/>
        <v>8</v>
      </c>
      <c r="BO104" s="236">
        <f t="shared" si="42"/>
        <v>23</v>
      </c>
      <c r="BP104" s="237">
        <f t="shared" ref="BP104:CI104" si="43">IF(COUNTIF(BP4:BP100,"m")&gt;0,COUNTIF(BP4:BP100,"m"),"")</f>
        <v>14</v>
      </c>
      <c r="BQ104" s="237">
        <f t="shared" si="43"/>
        <v>17</v>
      </c>
      <c r="BR104" s="237" t="str">
        <f t="shared" si="43"/>
        <v/>
      </c>
      <c r="BS104" s="237">
        <f t="shared" si="43"/>
        <v>2</v>
      </c>
      <c r="BT104" s="237">
        <f t="shared" si="43"/>
        <v>15</v>
      </c>
      <c r="BU104" s="237">
        <f t="shared" si="43"/>
        <v>20</v>
      </c>
      <c r="BV104" s="243" t="str">
        <f t="shared" si="43"/>
        <v/>
      </c>
      <c r="BW104" s="236">
        <f t="shared" si="43"/>
        <v>30</v>
      </c>
      <c r="BX104" s="237">
        <f t="shared" si="43"/>
        <v>21</v>
      </c>
      <c r="BY104" s="237">
        <f t="shared" si="43"/>
        <v>7</v>
      </c>
      <c r="BZ104" s="237">
        <f t="shared" si="43"/>
        <v>16</v>
      </c>
      <c r="CA104" s="237">
        <f t="shared" si="43"/>
        <v>4</v>
      </c>
      <c r="CB104" s="243">
        <f t="shared" si="43"/>
        <v>8</v>
      </c>
      <c r="CC104" s="236">
        <f t="shared" si="43"/>
        <v>4</v>
      </c>
      <c r="CD104" s="237">
        <f t="shared" si="43"/>
        <v>18</v>
      </c>
      <c r="CE104" s="243" t="str">
        <f t="shared" si="43"/>
        <v/>
      </c>
      <c r="CF104" s="236" t="str">
        <f t="shared" si="43"/>
        <v/>
      </c>
      <c r="CG104" s="237" t="str">
        <f t="shared" si="43"/>
        <v/>
      </c>
      <c r="CH104" s="237" t="str">
        <f t="shared" si="43"/>
        <v/>
      </c>
      <c r="CI104" s="238" t="str">
        <f t="shared" si="43"/>
        <v/>
      </c>
    </row>
    <row r="105" spans="2:105" x14ac:dyDescent="0.25">
      <c r="B105" s="435"/>
      <c r="C105" s="301" t="s">
        <v>220</v>
      </c>
      <c r="D105" s="295" t="str">
        <f t="shared" ref="D105:AI105" si="44">IF(COUNTIF(D4:D100,"s")&gt;0,COUNTIF(D4:D100,"s"),"")</f>
        <v/>
      </c>
      <c r="E105" s="237" t="str">
        <f t="shared" si="44"/>
        <v/>
      </c>
      <c r="F105" s="237" t="str">
        <f t="shared" si="44"/>
        <v/>
      </c>
      <c r="G105" s="237" t="str">
        <f t="shared" si="44"/>
        <v/>
      </c>
      <c r="H105" s="237" t="str">
        <f t="shared" si="44"/>
        <v/>
      </c>
      <c r="I105" s="237" t="str">
        <f t="shared" si="44"/>
        <v/>
      </c>
      <c r="J105" s="237" t="str">
        <f t="shared" si="44"/>
        <v/>
      </c>
      <c r="K105" s="243" t="str">
        <f t="shared" si="44"/>
        <v/>
      </c>
      <c r="L105" s="236" t="str">
        <f t="shared" si="44"/>
        <v/>
      </c>
      <c r="M105" s="237" t="str">
        <f t="shared" si="44"/>
        <v/>
      </c>
      <c r="N105" s="237" t="str">
        <f t="shared" si="44"/>
        <v/>
      </c>
      <c r="O105" s="243" t="str">
        <f t="shared" si="44"/>
        <v/>
      </c>
      <c r="P105" s="236" t="str">
        <f t="shared" si="44"/>
        <v/>
      </c>
      <c r="Q105" s="237" t="str">
        <f t="shared" si="44"/>
        <v/>
      </c>
      <c r="R105" s="237" t="str">
        <f t="shared" si="44"/>
        <v/>
      </c>
      <c r="S105" s="237" t="str">
        <f t="shared" si="44"/>
        <v/>
      </c>
      <c r="T105" s="237" t="str">
        <f t="shared" si="44"/>
        <v/>
      </c>
      <c r="U105" s="237" t="str">
        <f t="shared" si="44"/>
        <v/>
      </c>
      <c r="V105" s="237" t="str">
        <f t="shared" si="44"/>
        <v/>
      </c>
      <c r="W105" s="237" t="str">
        <f t="shared" si="44"/>
        <v/>
      </c>
      <c r="X105" s="237" t="str">
        <f t="shared" si="44"/>
        <v/>
      </c>
      <c r="Y105" s="237" t="str">
        <f t="shared" si="44"/>
        <v/>
      </c>
      <c r="Z105" s="237" t="str">
        <f t="shared" si="44"/>
        <v/>
      </c>
      <c r="AA105" s="237" t="str">
        <f t="shared" si="44"/>
        <v/>
      </c>
      <c r="AB105" s="237" t="str">
        <f t="shared" si="44"/>
        <v/>
      </c>
      <c r="AC105" s="237" t="str">
        <f t="shared" si="44"/>
        <v/>
      </c>
      <c r="AD105" s="237" t="str">
        <f t="shared" si="44"/>
        <v/>
      </c>
      <c r="AE105" s="237" t="str">
        <f t="shared" si="44"/>
        <v/>
      </c>
      <c r="AF105" s="237" t="str">
        <f t="shared" si="44"/>
        <v/>
      </c>
      <c r="AG105" s="237" t="str">
        <f t="shared" si="44"/>
        <v/>
      </c>
      <c r="AH105" s="237" t="str">
        <f t="shared" si="44"/>
        <v/>
      </c>
      <c r="AI105" s="243" t="str">
        <f t="shared" si="44"/>
        <v/>
      </c>
      <c r="AJ105" s="236" t="str">
        <f t="shared" ref="AJ105:BO105" si="45">IF(COUNTIF(AJ4:AJ100,"s")&gt;0,COUNTIF(AJ4:AJ100,"s"),"")</f>
        <v/>
      </c>
      <c r="AK105" s="237" t="str">
        <f t="shared" si="45"/>
        <v/>
      </c>
      <c r="AL105" s="243" t="str">
        <f t="shared" si="45"/>
        <v/>
      </c>
      <c r="AM105" s="236" t="str">
        <f t="shared" si="45"/>
        <v/>
      </c>
      <c r="AN105" s="237" t="str">
        <f t="shared" si="45"/>
        <v/>
      </c>
      <c r="AO105" s="243" t="str">
        <f t="shared" si="45"/>
        <v/>
      </c>
      <c r="AP105" s="236" t="str">
        <f t="shared" si="45"/>
        <v/>
      </c>
      <c r="AQ105" s="237" t="str">
        <f t="shared" si="45"/>
        <v/>
      </c>
      <c r="AR105" s="237" t="str">
        <f t="shared" si="45"/>
        <v/>
      </c>
      <c r="AS105" s="237" t="str">
        <f t="shared" si="45"/>
        <v/>
      </c>
      <c r="AT105" s="243" t="str">
        <f t="shared" si="45"/>
        <v/>
      </c>
      <c r="AU105" s="236">
        <f t="shared" si="45"/>
        <v>16</v>
      </c>
      <c r="AV105" s="237">
        <f t="shared" si="45"/>
        <v>19</v>
      </c>
      <c r="AW105" s="237">
        <f t="shared" si="45"/>
        <v>27</v>
      </c>
      <c r="AX105" s="237">
        <f t="shared" si="45"/>
        <v>38</v>
      </c>
      <c r="AY105" s="237">
        <f t="shared" si="45"/>
        <v>25</v>
      </c>
      <c r="AZ105" s="237">
        <f t="shared" si="45"/>
        <v>11</v>
      </c>
      <c r="BA105" s="237">
        <f t="shared" si="45"/>
        <v>13</v>
      </c>
      <c r="BB105" s="243">
        <f t="shared" si="45"/>
        <v>19</v>
      </c>
      <c r="BC105" s="236">
        <f t="shared" si="45"/>
        <v>11</v>
      </c>
      <c r="BD105" s="237">
        <f t="shared" si="45"/>
        <v>4</v>
      </c>
      <c r="BE105" s="237" t="str">
        <f t="shared" si="45"/>
        <v/>
      </c>
      <c r="BF105" s="237">
        <f t="shared" si="45"/>
        <v>15</v>
      </c>
      <c r="BG105" s="243" t="str">
        <f t="shared" si="45"/>
        <v/>
      </c>
      <c r="BH105" s="236" t="str">
        <f t="shared" si="45"/>
        <v/>
      </c>
      <c r="BI105" s="237">
        <f t="shared" si="45"/>
        <v>2</v>
      </c>
      <c r="BJ105" s="243" t="str">
        <f t="shared" si="45"/>
        <v/>
      </c>
      <c r="BK105" s="236">
        <f t="shared" si="45"/>
        <v>2</v>
      </c>
      <c r="BL105" s="237">
        <f t="shared" si="45"/>
        <v>9</v>
      </c>
      <c r="BM105" s="237" t="str">
        <f t="shared" si="45"/>
        <v/>
      </c>
      <c r="BN105" s="243">
        <f t="shared" si="45"/>
        <v>5</v>
      </c>
      <c r="BO105" s="236">
        <f t="shared" si="45"/>
        <v>9</v>
      </c>
      <c r="BP105" s="237">
        <f t="shared" ref="BP105:CI105" si="46">IF(COUNTIF(BP4:BP100,"s")&gt;0,COUNTIF(BP4:BP100,"s"),"")</f>
        <v>22</v>
      </c>
      <c r="BQ105" s="237">
        <f t="shared" si="46"/>
        <v>10</v>
      </c>
      <c r="BR105" s="237" t="str">
        <f t="shared" si="46"/>
        <v/>
      </c>
      <c r="BS105" s="237" t="str">
        <f t="shared" si="46"/>
        <v/>
      </c>
      <c r="BT105" s="237">
        <f t="shared" si="46"/>
        <v>12</v>
      </c>
      <c r="BU105" s="237">
        <f t="shared" si="46"/>
        <v>42</v>
      </c>
      <c r="BV105" s="243" t="str">
        <f t="shared" si="46"/>
        <v/>
      </c>
      <c r="BW105" s="236">
        <f t="shared" si="46"/>
        <v>16</v>
      </c>
      <c r="BX105" s="237">
        <f t="shared" si="46"/>
        <v>4</v>
      </c>
      <c r="BY105" s="237">
        <f t="shared" si="46"/>
        <v>22</v>
      </c>
      <c r="BZ105" s="237">
        <f t="shared" si="46"/>
        <v>27</v>
      </c>
      <c r="CA105" s="237">
        <f t="shared" si="46"/>
        <v>25</v>
      </c>
      <c r="CB105" s="243">
        <f t="shared" si="46"/>
        <v>22</v>
      </c>
      <c r="CC105" s="236">
        <f t="shared" si="46"/>
        <v>3</v>
      </c>
      <c r="CD105" s="237">
        <f t="shared" si="46"/>
        <v>9</v>
      </c>
      <c r="CE105" s="243" t="str">
        <f t="shared" si="46"/>
        <v/>
      </c>
      <c r="CF105" s="236" t="str">
        <f t="shared" si="46"/>
        <v/>
      </c>
      <c r="CG105" s="237" t="str">
        <f t="shared" si="46"/>
        <v/>
      </c>
      <c r="CH105" s="237" t="str">
        <f t="shared" si="46"/>
        <v/>
      </c>
      <c r="CI105" s="238" t="str">
        <f t="shared" si="46"/>
        <v/>
      </c>
    </row>
    <row r="106" spans="2:105" ht="15.75" thickBot="1" x14ac:dyDescent="0.3">
      <c r="B106" s="435"/>
      <c r="C106" s="302" t="s">
        <v>221</v>
      </c>
      <c r="D106" s="296" t="str">
        <f t="shared" ref="D106:AI106" si="47">IF(COUNTIF(D4:D100,"e")&gt;0,COUNTIF(D4:D100,"e"),"")</f>
        <v/>
      </c>
      <c r="E106" s="240" t="str">
        <f t="shared" si="47"/>
        <v/>
      </c>
      <c r="F106" s="240" t="str">
        <f t="shared" si="47"/>
        <v/>
      </c>
      <c r="G106" s="240" t="str">
        <f t="shared" si="47"/>
        <v/>
      </c>
      <c r="H106" s="240" t="str">
        <f t="shared" si="47"/>
        <v/>
      </c>
      <c r="I106" s="240" t="str">
        <f t="shared" si="47"/>
        <v/>
      </c>
      <c r="J106" s="240" t="str">
        <f t="shared" si="47"/>
        <v/>
      </c>
      <c r="K106" s="250" t="str">
        <f t="shared" si="47"/>
        <v/>
      </c>
      <c r="L106" s="239" t="str">
        <f t="shared" si="47"/>
        <v/>
      </c>
      <c r="M106" s="240" t="str">
        <f t="shared" si="47"/>
        <v/>
      </c>
      <c r="N106" s="240" t="str">
        <f t="shared" si="47"/>
        <v/>
      </c>
      <c r="O106" s="250" t="str">
        <f t="shared" si="47"/>
        <v/>
      </c>
      <c r="P106" s="239" t="str">
        <f t="shared" si="47"/>
        <v/>
      </c>
      <c r="Q106" s="240" t="str">
        <f t="shared" si="47"/>
        <v/>
      </c>
      <c r="R106" s="240" t="str">
        <f t="shared" si="47"/>
        <v/>
      </c>
      <c r="S106" s="240" t="str">
        <f t="shared" si="47"/>
        <v/>
      </c>
      <c r="T106" s="240" t="str">
        <f t="shared" si="47"/>
        <v/>
      </c>
      <c r="U106" s="240" t="str">
        <f t="shared" si="47"/>
        <v/>
      </c>
      <c r="V106" s="240" t="str">
        <f t="shared" si="47"/>
        <v/>
      </c>
      <c r="W106" s="240" t="str">
        <f t="shared" si="47"/>
        <v/>
      </c>
      <c r="X106" s="240" t="str">
        <f t="shared" si="47"/>
        <v/>
      </c>
      <c r="Y106" s="240" t="str">
        <f t="shared" si="47"/>
        <v/>
      </c>
      <c r="Z106" s="240" t="str">
        <f t="shared" si="47"/>
        <v/>
      </c>
      <c r="AA106" s="240" t="str">
        <f t="shared" si="47"/>
        <v/>
      </c>
      <c r="AB106" s="240" t="str">
        <f t="shared" si="47"/>
        <v/>
      </c>
      <c r="AC106" s="240" t="str">
        <f t="shared" si="47"/>
        <v/>
      </c>
      <c r="AD106" s="240" t="str">
        <f t="shared" si="47"/>
        <v/>
      </c>
      <c r="AE106" s="240" t="str">
        <f t="shared" si="47"/>
        <v/>
      </c>
      <c r="AF106" s="240" t="str">
        <f t="shared" si="47"/>
        <v/>
      </c>
      <c r="AG106" s="240" t="str">
        <f t="shared" si="47"/>
        <v/>
      </c>
      <c r="AH106" s="240" t="str">
        <f t="shared" si="47"/>
        <v/>
      </c>
      <c r="AI106" s="250" t="str">
        <f t="shared" si="47"/>
        <v/>
      </c>
      <c r="AJ106" s="239" t="str">
        <f t="shared" ref="AJ106:BO106" si="48">IF(COUNTIF(AJ4:AJ100,"e")&gt;0,COUNTIF(AJ4:AJ100,"e"),"")</f>
        <v/>
      </c>
      <c r="AK106" s="240" t="str">
        <f t="shared" si="48"/>
        <v/>
      </c>
      <c r="AL106" s="250" t="str">
        <f t="shared" si="48"/>
        <v/>
      </c>
      <c r="AM106" s="239" t="str">
        <f t="shared" si="48"/>
        <v/>
      </c>
      <c r="AN106" s="240" t="str">
        <f t="shared" si="48"/>
        <v/>
      </c>
      <c r="AO106" s="250" t="str">
        <f t="shared" si="48"/>
        <v/>
      </c>
      <c r="AP106" s="239" t="str">
        <f t="shared" si="48"/>
        <v/>
      </c>
      <c r="AQ106" s="240" t="str">
        <f t="shared" si="48"/>
        <v/>
      </c>
      <c r="AR106" s="240" t="str">
        <f t="shared" si="48"/>
        <v/>
      </c>
      <c r="AS106" s="240" t="str">
        <f t="shared" si="48"/>
        <v/>
      </c>
      <c r="AT106" s="250" t="str">
        <f t="shared" si="48"/>
        <v/>
      </c>
      <c r="AU106" s="239">
        <f t="shared" si="48"/>
        <v>6</v>
      </c>
      <c r="AV106" s="240">
        <f t="shared" si="48"/>
        <v>7</v>
      </c>
      <c r="AW106" s="240" t="str">
        <f t="shared" si="48"/>
        <v/>
      </c>
      <c r="AX106" s="240">
        <f t="shared" si="48"/>
        <v>5</v>
      </c>
      <c r="AY106" s="240">
        <f t="shared" si="48"/>
        <v>4</v>
      </c>
      <c r="AZ106" s="240">
        <f t="shared" si="48"/>
        <v>2</v>
      </c>
      <c r="BA106" s="240">
        <f t="shared" si="48"/>
        <v>2</v>
      </c>
      <c r="BB106" s="250">
        <f t="shared" si="48"/>
        <v>2</v>
      </c>
      <c r="BC106" s="239">
        <f t="shared" si="48"/>
        <v>3</v>
      </c>
      <c r="BD106" s="240" t="str">
        <f t="shared" si="48"/>
        <v/>
      </c>
      <c r="BE106" s="240" t="str">
        <f t="shared" si="48"/>
        <v/>
      </c>
      <c r="BF106" s="240">
        <f t="shared" si="48"/>
        <v>2</v>
      </c>
      <c r="BG106" s="250" t="str">
        <f t="shared" si="48"/>
        <v/>
      </c>
      <c r="BH106" s="239" t="str">
        <f t="shared" si="48"/>
        <v/>
      </c>
      <c r="BI106" s="240">
        <f t="shared" si="48"/>
        <v>1</v>
      </c>
      <c r="BJ106" s="250" t="str">
        <f t="shared" si="48"/>
        <v/>
      </c>
      <c r="BK106" s="239">
        <f t="shared" si="48"/>
        <v>1</v>
      </c>
      <c r="BL106" s="240" t="str">
        <f t="shared" si="48"/>
        <v/>
      </c>
      <c r="BM106" s="240" t="str">
        <f t="shared" si="48"/>
        <v/>
      </c>
      <c r="BN106" s="250">
        <f t="shared" si="48"/>
        <v>1</v>
      </c>
      <c r="BO106" s="239" t="str">
        <f t="shared" si="48"/>
        <v/>
      </c>
      <c r="BP106" s="240">
        <f t="shared" ref="BP106:CI106" si="49">IF(COUNTIF(BP4:BP100,"e")&gt;0,COUNTIF(BP4:BP100,"e"),"")</f>
        <v>4</v>
      </c>
      <c r="BQ106" s="240" t="str">
        <f t="shared" si="49"/>
        <v/>
      </c>
      <c r="BR106" s="240" t="str">
        <f t="shared" si="49"/>
        <v/>
      </c>
      <c r="BS106" s="240" t="str">
        <f t="shared" si="49"/>
        <v/>
      </c>
      <c r="BT106" s="240">
        <f t="shared" si="49"/>
        <v>2</v>
      </c>
      <c r="BU106" s="240">
        <f t="shared" si="49"/>
        <v>1</v>
      </c>
      <c r="BV106" s="250" t="str">
        <f t="shared" si="49"/>
        <v/>
      </c>
      <c r="BW106" s="239">
        <f t="shared" si="49"/>
        <v>5</v>
      </c>
      <c r="BX106" s="240" t="str">
        <f t="shared" si="49"/>
        <v/>
      </c>
      <c r="BY106" s="240">
        <f t="shared" si="49"/>
        <v>7</v>
      </c>
      <c r="BZ106" s="240">
        <f t="shared" si="49"/>
        <v>5</v>
      </c>
      <c r="CA106" s="240">
        <f t="shared" si="49"/>
        <v>13</v>
      </c>
      <c r="CB106" s="250">
        <f t="shared" si="49"/>
        <v>9</v>
      </c>
      <c r="CC106" s="239" t="str">
        <f t="shared" si="49"/>
        <v/>
      </c>
      <c r="CD106" s="240">
        <f t="shared" si="49"/>
        <v>2</v>
      </c>
      <c r="CE106" s="250" t="str">
        <f t="shared" si="49"/>
        <v/>
      </c>
      <c r="CF106" s="239" t="str">
        <f t="shared" si="49"/>
        <v/>
      </c>
      <c r="CG106" s="240" t="str">
        <f t="shared" si="49"/>
        <v/>
      </c>
      <c r="CH106" s="240" t="str">
        <f t="shared" si="49"/>
        <v/>
      </c>
      <c r="CI106" s="241" t="str">
        <f t="shared" si="49"/>
        <v/>
      </c>
    </row>
    <row r="107" spans="2:105" ht="12.75" customHeight="1" thickTop="1" thickBot="1" x14ac:dyDescent="0.3">
      <c r="B107" s="437"/>
      <c r="C107" s="248"/>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c r="AD107" s="249"/>
      <c r="AE107" s="249"/>
      <c r="AF107" s="249"/>
      <c r="AG107" s="249"/>
      <c r="AH107" s="249"/>
      <c r="AI107" s="249"/>
      <c r="AJ107" s="249"/>
      <c r="AK107" s="249"/>
      <c r="AL107" s="249"/>
      <c r="AM107" s="249"/>
      <c r="AN107" s="249"/>
      <c r="AO107" s="249"/>
      <c r="AP107" s="249"/>
      <c r="AQ107" s="249"/>
      <c r="AR107" s="249"/>
      <c r="AS107" s="249"/>
      <c r="AT107" s="249"/>
      <c r="AU107" s="249"/>
      <c r="AV107" s="249"/>
      <c r="AW107" s="249"/>
      <c r="AX107" s="249"/>
      <c r="AY107" s="249"/>
      <c r="AZ107" s="249"/>
      <c r="BA107" s="249"/>
      <c r="BB107" s="249"/>
      <c r="BC107" s="249"/>
      <c r="BD107" s="249"/>
      <c r="BE107" s="249"/>
      <c r="BF107" s="249"/>
      <c r="BG107" s="249"/>
      <c r="BH107" s="249"/>
      <c r="BI107" s="249"/>
      <c r="BJ107" s="249"/>
      <c r="BK107" s="249"/>
      <c r="BL107" s="249"/>
      <c r="BM107" s="249"/>
      <c r="BN107" s="249"/>
      <c r="BO107" s="249"/>
      <c r="BP107" s="249"/>
      <c r="BQ107" s="249"/>
      <c r="BR107" s="249"/>
      <c r="BS107" s="249"/>
      <c r="BT107" s="249"/>
      <c r="BU107" s="249"/>
      <c r="BV107" s="249"/>
      <c r="BW107" s="249"/>
      <c r="BX107" s="249"/>
      <c r="BY107" s="249"/>
      <c r="BZ107" s="249"/>
      <c r="CA107" s="249"/>
      <c r="CB107" s="249"/>
      <c r="CC107" s="249"/>
      <c r="CD107" s="249"/>
      <c r="CE107" s="249"/>
      <c r="CF107" s="249"/>
      <c r="CG107" s="249"/>
      <c r="CH107" s="249"/>
      <c r="CI107" s="249"/>
    </row>
    <row r="108" spans="2:105" ht="16.5" thickTop="1" thickBot="1" x14ac:dyDescent="0.3"/>
    <row r="109" spans="2:105" ht="16.5" thickTop="1" thickBot="1" x14ac:dyDescent="0.3">
      <c r="C109" s="297" t="s">
        <v>222</v>
      </c>
      <c r="D109" s="232">
        <f t="shared" ref="D109:AI109" si="50">SUM(D102:D106)</f>
        <v>0</v>
      </c>
      <c r="E109" s="246">
        <f t="shared" si="50"/>
        <v>0</v>
      </c>
      <c r="F109" s="246">
        <f t="shared" si="50"/>
        <v>0</v>
      </c>
      <c r="G109" s="246">
        <f t="shared" si="50"/>
        <v>0</v>
      </c>
      <c r="H109" s="246">
        <f t="shared" si="50"/>
        <v>0</v>
      </c>
      <c r="I109" s="246">
        <f t="shared" si="50"/>
        <v>0</v>
      </c>
      <c r="J109" s="246">
        <f t="shared" si="50"/>
        <v>0</v>
      </c>
      <c r="K109" s="244">
        <f t="shared" si="50"/>
        <v>0</v>
      </c>
      <c r="L109" s="245">
        <f t="shared" si="50"/>
        <v>0</v>
      </c>
      <c r="M109" s="246">
        <f t="shared" si="50"/>
        <v>0</v>
      </c>
      <c r="N109" s="246">
        <f t="shared" si="50"/>
        <v>0</v>
      </c>
      <c r="O109" s="244">
        <f t="shared" si="50"/>
        <v>0</v>
      </c>
      <c r="P109" s="245">
        <f t="shared" si="50"/>
        <v>0</v>
      </c>
      <c r="Q109" s="246">
        <f t="shared" si="50"/>
        <v>0</v>
      </c>
      <c r="R109" s="246">
        <f t="shared" si="50"/>
        <v>0</v>
      </c>
      <c r="S109" s="246">
        <f t="shared" si="50"/>
        <v>0</v>
      </c>
      <c r="T109" s="246">
        <f t="shared" si="50"/>
        <v>0</v>
      </c>
      <c r="U109" s="246">
        <f t="shared" si="50"/>
        <v>0</v>
      </c>
      <c r="V109" s="246">
        <f t="shared" si="50"/>
        <v>0</v>
      </c>
      <c r="W109" s="246">
        <f t="shared" si="50"/>
        <v>0</v>
      </c>
      <c r="X109" s="246">
        <f t="shared" si="50"/>
        <v>0</v>
      </c>
      <c r="Y109" s="246">
        <f t="shared" si="50"/>
        <v>0</v>
      </c>
      <c r="Z109" s="246">
        <f t="shared" si="50"/>
        <v>0</v>
      </c>
      <c r="AA109" s="246">
        <f t="shared" si="50"/>
        <v>0</v>
      </c>
      <c r="AB109" s="246">
        <f t="shared" si="50"/>
        <v>0</v>
      </c>
      <c r="AC109" s="246">
        <f t="shared" si="50"/>
        <v>0</v>
      </c>
      <c r="AD109" s="246">
        <f t="shared" si="50"/>
        <v>0</v>
      </c>
      <c r="AE109" s="246">
        <f t="shared" si="50"/>
        <v>0</v>
      </c>
      <c r="AF109" s="246">
        <f t="shared" si="50"/>
        <v>0</v>
      </c>
      <c r="AG109" s="246">
        <f t="shared" si="50"/>
        <v>0</v>
      </c>
      <c r="AH109" s="246">
        <f t="shared" si="50"/>
        <v>0</v>
      </c>
      <c r="AI109" s="244">
        <f t="shared" si="50"/>
        <v>0</v>
      </c>
      <c r="AJ109" s="245">
        <f t="shared" ref="AJ109:BO109" si="51">SUM(AJ102:AJ106)</f>
        <v>0</v>
      </c>
      <c r="AK109" s="246">
        <f t="shared" si="51"/>
        <v>0</v>
      </c>
      <c r="AL109" s="244">
        <f t="shared" si="51"/>
        <v>0</v>
      </c>
      <c r="AM109" s="245">
        <f t="shared" si="51"/>
        <v>0</v>
      </c>
      <c r="AN109" s="246">
        <f t="shared" si="51"/>
        <v>0</v>
      </c>
      <c r="AO109" s="244">
        <f t="shared" si="51"/>
        <v>0</v>
      </c>
      <c r="AP109" s="245">
        <f t="shared" si="51"/>
        <v>0</v>
      </c>
      <c r="AQ109" s="246">
        <f t="shared" si="51"/>
        <v>0</v>
      </c>
      <c r="AR109" s="246">
        <f t="shared" si="51"/>
        <v>0</v>
      </c>
      <c r="AS109" s="246">
        <f t="shared" si="51"/>
        <v>0</v>
      </c>
      <c r="AT109" s="244">
        <f t="shared" si="51"/>
        <v>0</v>
      </c>
      <c r="AU109" s="245">
        <f t="shared" si="51"/>
        <v>62</v>
      </c>
      <c r="AV109" s="246">
        <f t="shared" si="51"/>
        <v>65</v>
      </c>
      <c r="AW109" s="246">
        <f t="shared" si="51"/>
        <v>65</v>
      </c>
      <c r="AX109" s="246">
        <f t="shared" si="51"/>
        <v>65</v>
      </c>
      <c r="AY109" s="246">
        <f t="shared" si="51"/>
        <v>65</v>
      </c>
      <c r="AZ109" s="246">
        <f t="shared" si="51"/>
        <v>27</v>
      </c>
      <c r="BA109" s="246">
        <f t="shared" si="51"/>
        <v>29</v>
      </c>
      <c r="BB109" s="244">
        <f t="shared" si="51"/>
        <v>59</v>
      </c>
      <c r="BC109" s="245">
        <f t="shared" si="51"/>
        <v>65</v>
      </c>
      <c r="BD109" s="246">
        <f t="shared" si="51"/>
        <v>60</v>
      </c>
      <c r="BE109" s="246">
        <f t="shared" si="51"/>
        <v>0</v>
      </c>
      <c r="BF109" s="246">
        <f t="shared" si="51"/>
        <v>40</v>
      </c>
      <c r="BG109" s="244">
        <f t="shared" si="51"/>
        <v>0</v>
      </c>
      <c r="BH109" s="245">
        <f t="shared" si="51"/>
        <v>0</v>
      </c>
      <c r="BI109" s="246">
        <f t="shared" si="51"/>
        <v>27</v>
      </c>
      <c r="BJ109" s="244">
        <f t="shared" si="51"/>
        <v>0</v>
      </c>
      <c r="BK109" s="245">
        <f t="shared" si="51"/>
        <v>30</v>
      </c>
      <c r="BL109" s="246">
        <f t="shared" si="51"/>
        <v>35</v>
      </c>
      <c r="BM109" s="246">
        <f t="shared" si="51"/>
        <v>0</v>
      </c>
      <c r="BN109" s="244">
        <f t="shared" si="51"/>
        <v>31</v>
      </c>
      <c r="BO109" s="245">
        <f t="shared" si="51"/>
        <v>45</v>
      </c>
      <c r="BP109" s="246">
        <f t="shared" ref="BP109:CI109" si="52">SUM(BP102:BP106)</f>
        <v>43</v>
      </c>
      <c r="BQ109" s="246">
        <f t="shared" si="52"/>
        <v>36</v>
      </c>
      <c r="BR109" s="246">
        <f t="shared" si="52"/>
        <v>0</v>
      </c>
      <c r="BS109" s="246">
        <f t="shared" si="52"/>
        <v>39</v>
      </c>
      <c r="BT109" s="246">
        <f t="shared" si="52"/>
        <v>38</v>
      </c>
      <c r="BU109" s="246">
        <f t="shared" si="52"/>
        <v>65</v>
      </c>
      <c r="BV109" s="244">
        <f t="shared" si="52"/>
        <v>0</v>
      </c>
      <c r="BW109" s="245">
        <f t="shared" si="52"/>
        <v>63</v>
      </c>
      <c r="BX109" s="246">
        <f t="shared" si="52"/>
        <v>28</v>
      </c>
      <c r="BY109" s="246">
        <f t="shared" si="52"/>
        <v>48</v>
      </c>
      <c r="BZ109" s="246">
        <f t="shared" si="52"/>
        <v>56</v>
      </c>
      <c r="CA109" s="246">
        <f t="shared" si="52"/>
        <v>60</v>
      </c>
      <c r="CB109" s="244">
        <f t="shared" si="52"/>
        <v>54</v>
      </c>
      <c r="CC109" s="245">
        <f t="shared" si="52"/>
        <v>15</v>
      </c>
      <c r="CD109" s="246">
        <f t="shared" si="52"/>
        <v>47</v>
      </c>
      <c r="CE109" s="244">
        <f t="shared" si="52"/>
        <v>0</v>
      </c>
      <c r="CF109" s="245">
        <f t="shared" si="52"/>
        <v>0</v>
      </c>
      <c r="CG109" s="246">
        <f t="shared" si="52"/>
        <v>0</v>
      </c>
      <c r="CH109" s="246">
        <f t="shared" si="52"/>
        <v>0</v>
      </c>
      <c r="CI109" s="247">
        <f t="shared" si="52"/>
        <v>0</v>
      </c>
    </row>
    <row r="110" spans="2:105" ht="15.75" thickTop="1" x14ac:dyDescent="0.25"/>
  </sheetData>
  <mergeCells count="27">
    <mergeCell ref="B80:B95"/>
    <mergeCell ref="B96:B100"/>
    <mergeCell ref="B102:B107"/>
    <mergeCell ref="CK1:CO1"/>
    <mergeCell ref="CC1:CE1"/>
    <mergeCell ref="CF1:CI1"/>
    <mergeCell ref="B4:B17"/>
    <mergeCell ref="B18:B27"/>
    <mergeCell ref="B28:B38"/>
    <mergeCell ref="B39:B51"/>
    <mergeCell ref="AU1:BB1"/>
    <mergeCell ref="BC1:BG1"/>
    <mergeCell ref="BH1:BJ1"/>
    <mergeCell ref="BK1:BN1"/>
    <mergeCell ref="BO1:BV1"/>
    <mergeCell ref="BW1:CB1"/>
    <mergeCell ref="CQ1:CU1"/>
    <mergeCell ref="CW1:DA1"/>
    <mergeCell ref="A1:C1"/>
    <mergeCell ref="B52:B60"/>
    <mergeCell ref="B61:B79"/>
    <mergeCell ref="D1:K1"/>
    <mergeCell ref="L1:O1"/>
    <mergeCell ref="P1:AI1"/>
    <mergeCell ref="AJ1:AL1"/>
    <mergeCell ref="AM1:AO1"/>
    <mergeCell ref="AP1:AT1"/>
  </mergeCells>
  <conditionalFormatting sqref="D4:K16">
    <cfRule type="cellIs" dxfId="5617" priority="1" stopIfTrue="1" operator="equal">
      <formula>"E"</formula>
    </cfRule>
    <cfRule type="cellIs" dxfId="5616" priority="2" stopIfTrue="1" operator="equal">
      <formula>"S"</formula>
    </cfRule>
    <cfRule type="cellIs" dxfId="5615" priority="3" stopIfTrue="1" operator="equal">
      <formula>"M"</formula>
    </cfRule>
    <cfRule type="cellIs" dxfId="5614" priority="4" stopIfTrue="1" operator="equal">
      <formula>"J"</formula>
    </cfRule>
    <cfRule type="cellIs" dxfId="5613" priority="5" stopIfTrue="1" operator="equal">
      <formula>"O"</formula>
    </cfRule>
    <cfRule type="expression" dxfId="5612" priority="6" stopIfTrue="1">
      <formula>LEN(TRIM(D4))=0</formula>
    </cfRule>
  </conditionalFormatting>
  <conditionalFormatting sqref="L4:O16">
    <cfRule type="cellIs" dxfId="5611" priority="7" stopIfTrue="1" operator="equal">
      <formula>"E"</formula>
    </cfRule>
    <cfRule type="cellIs" dxfId="5610" priority="8" stopIfTrue="1" operator="equal">
      <formula>"S"</formula>
    </cfRule>
    <cfRule type="cellIs" dxfId="5609" priority="9" stopIfTrue="1" operator="equal">
      <formula>"M"</formula>
    </cfRule>
    <cfRule type="cellIs" dxfId="5608" priority="10" stopIfTrue="1" operator="equal">
      <formula>"J"</formula>
    </cfRule>
    <cfRule type="cellIs" dxfId="5607" priority="11" stopIfTrue="1" operator="equal">
      <formula>"O"</formula>
    </cfRule>
    <cfRule type="expression" dxfId="5606" priority="12" stopIfTrue="1">
      <formula>LEN(TRIM(L4))=0</formula>
    </cfRule>
  </conditionalFormatting>
  <conditionalFormatting sqref="P4:AI16">
    <cfRule type="cellIs" dxfId="5605" priority="13" stopIfTrue="1" operator="equal">
      <formula>"E"</formula>
    </cfRule>
    <cfRule type="cellIs" dxfId="5604" priority="14" stopIfTrue="1" operator="equal">
      <formula>"S"</formula>
    </cfRule>
    <cfRule type="cellIs" dxfId="5603" priority="15" stopIfTrue="1" operator="equal">
      <formula>"M"</formula>
    </cfRule>
    <cfRule type="cellIs" dxfId="5602" priority="16" stopIfTrue="1" operator="equal">
      <formula>"J"</formula>
    </cfRule>
    <cfRule type="cellIs" dxfId="5601" priority="17" stopIfTrue="1" operator="equal">
      <formula>"O"</formula>
    </cfRule>
    <cfRule type="expression" dxfId="5600" priority="18" stopIfTrue="1">
      <formula>LEN(TRIM(P4))=0</formula>
    </cfRule>
  </conditionalFormatting>
  <conditionalFormatting sqref="AJ4:AL16">
    <cfRule type="cellIs" dxfId="5599" priority="19" stopIfTrue="1" operator="equal">
      <formula>"E"</formula>
    </cfRule>
    <cfRule type="cellIs" dxfId="5598" priority="20" stopIfTrue="1" operator="equal">
      <formula>"S"</formula>
    </cfRule>
    <cfRule type="cellIs" dxfId="5597" priority="21" stopIfTrue="1" operator="equal">
      <formula>"M"</formula>
    </cfRule>
    <cfRule type="cellIs" dxfId="5596" priority="22" stopIfTrue="1" operator="equal">
      <formula>"J"</formula>
    </cfRule>
    <cfRule type="cellIs" dxfId="5595" priority="23" stopIfTrue="1" operator="equal">
      <formula>"O"</formula>
    </cfRule>
    <cfRule type="expression" dxfId="5594" priority="24" stopIfTrue="1">
      <formula>LEN(TRIM(AJ4))=0</formula>
    </cfRule>
  </conditionalFormatting>
  <conditionalFormatting sqref="AM4:AO16">
    <cfRule type="cellIs" dxfId="5593" priority="25" stopIfTrue="1" operator="equal">
      <formula>"E"</formula>
    </cfRule>
    <cfRule type="cellIs" dxfId="5592" priority="26" stopIfTrue="1" operator="equal">
      <formula>"S"</formula>
    </cfRule>
    <cfRule type="cellIs" dxfId="5591" priority="27" stopIfTrue="1" operator="equal">
      <formula>"M"</formula>
    </cfRule>
    <cfRule type="cellIs" dxfId="5590" priority="28" stopIfTrue="1" operator="equal">
      <formula>"J"</formula>
    </cfRule>
    <cfRule type="cellIs" dxfId="5589" priority="29" stopIfTrue="1" operator="equal">
      <formula>"O"</formula>
    </cfRule>
    <cfRule type="expression" dxfId="5588" priority="30" stopIfTrue="1">
      <formula>LEN(TRIM(AM4))=0</formula>
    </cfRule>
  </conditionalFormatting>
  <conditionalFormatting sqref="AP4:AT16">
    <cfRule type="cellIs" dxfId="5587" priority="31" stopIfTrue="1" operator="equal">
      <formula>"E"</formula>
    </cfRule>
    <cfRule type="cellIs" dxfId="5586" priority="32" stopIfTrue="1" operator="equal">
      <formula>"S"</formula>
    </cfRule>
    <cfRule type="cellIs" dxfId="5585" priority="33" stopIfTrue="1" operator="equal">
      <formula>"M"</formula>
    </cfRule>
    <cfRule type="cellIs" dxfId="5584" priority="34" stopIfTrue="1" operator="equal">
      <formula>"J"</formula>
    </cfRule>
    <cfRule type="cellIs" dxfId="5583" priority="35" stopIfTrue="1" operator="equal">
      <formula>"O"</formula>
    </cfRule>
    <cfRule type="expression" dxfId="5582" priority="36" stopIfTrue="1">
      <formula>LEN(TRIM(AP4))=0</formula>
    </cfRule>
  </conditionalFormatting>
  <conditionalFormatting sqref="AU4:BB16">
    <cfRule type="cellIs" dxfId="5581" priority="37" stopIfTrue="1" operator="equal">
      <formula>"E"</formula>
    </cfRule>
    <cfRule type="cellIs" dxfId="5580" priority="38" stopIfTrue="1" operator="equal">
      <formula>"S"</formula>
    </cfRule>
    <cfRule type="cellIs" dxfId="5579" priority="39" stopIfTrue="1" operator="equal">
      <formula>"M"</formula>
    </cfRule>
    <cfRule type="cellIs" dxfId="5578" priority="40" stopIfTrue="1" operator="equal">
      <formula>"J"</formula>
    </cfRule>
    <cfRule type="cellIs" dxfId="5577" priority="41" stopIfTrue="1" operator="equal">
      <formula>"O"</formula>
    </cfRule>
    <cfRule type="expression" dxfId="5576" priority="42" stopIfTrue="1">
      <formula>LEN(TRIM(AU4))=0</formula>
    </cfRule>
  </conditionalFormatting>
  <conditionalFormatting sqref="BC4:BG16">
    <cfRule type="cellIs" dxfId="5575" priority="43" stopIfTrue="1" operator="equal">
      <formula>"E"</formula>
    </cfRule>
    <cfRule type="cellIs" dxfId="5574" priority="44" stopIfTrue="1" operator="equal">
      <formula>"S"</formula>
    </cfRule>
    <cfRule type="cellIs" dxfId="5573" priority="45" stopIfTrue="1" operator="equal">
      <formula>"M"</formula>
    </cfRule>
    <cfRule type="cellIs" dxfId="5572" priority="46" stopIfTrue="1" operator="equal">
      <formula>"J"</formula>
    </cfRule>
    <cfRule type="cellIs" dxfId="5571" priority="47" stopIfTrue="1" operator="equal">
      <formula>"O"</formula>
    </cfRule>
    <cfRule type="expression" dxfId="5570" priority="48" stopIfTrue="1">
      <formula>LEN(TRIM(BC4))=0</formula>
    </cfRule>
  </conditionalFormatting>
  <conditionalFormatting sqref="BH4:BJ16">
    <cfRule type="cellIs" dxfId="5569" priority="49" stopIfTrue="1" operator="equal">
      <formula>"E"</formula>
    </cfRule>
    <cfRule type="cellIs" dxfId="5568" priority="50" stopIfTrue="1" operator="equal">
      <formula>"S"</formula>
    </cfRule>
    <cfRule type="cellIs" dxfId="5567" priority="51" stopIfTrue="1" operator="equal">
      <formula>"M"</formula>
    </cfRule>
    <cfRule type="cellIs" dxfId="5566" priority="52" stopIfTrue="1" operator="equal">
      <formula>"J"</formula>
    </cfRule>
    <cfRule type="cellIs" dxfId="5565" priority="53" stopIfTrue="1" operator="equal">
      <formula>"O"</formula>
    </cfRule>
    <cfRule type="expression" dxfId="5564" priority="54" stopIfTrue="1">
      <formula>LEN(TRIM(BH4))=0</formula>
    </cfRule>
  </conditionalFormatting>
  <conditionalFormatting sqref="BK4:BN16">
    <cfRule type="cellIs" dxfId="5563" priority="55" stopIfTrue="1" operator="equal">
      <formula>"E"</formula>
    </cfRule>
    <cfRule type="cellIs" dxfId="5562" priority="56" stopIfTrue="1" operator="equal">
      <formula>"S"</formula>
    </cfRule>
    <cfRule type="cellIs" dxfId="5561" priority="57" stopIfTrue="1" operator="equal">
      <formula>"M"</formula>
    </cfRule>
    <cfRule type="cellIs" dxfId="5560" priority="58" stopIfTrue="1" operator="equal">
      <formula>"J"</formula>
    </cfRule>
    <cfRule type="cellIs" dxfId="5559" priority="59" stopIfTrue="1" operator="equal">
      <formula>"O"</formula>
    </cfRule>
    <cfRule type="expression" dxfId="5558" priority="60" stopIfTrue="1">
      <formula>LEN(TRIM(BK4))=0</formula>
    </cfRule>
  </conditionalFormatting>
  <conditionalFormatting sqref="BO4:BV16">
    <cfRule type="cellIs" dxfId="5557" priority="61" stopIfTrue="1" operator="equal">
      <formula>"E"</formula>
    </cfRule>
    <cfRule type="cellIs" dxfId="5556" priority="62" stopIfTrue="1" operator="equal">
      <formula>"S"</formula>
    </cfRule>
    <cfRule type="cellIs" dxfId="5555" priority="63" stopIfTrue="1" operator="equal">
      <formula>"M"</formula>
    </cfRule>
    <cfRule type="cellIs" dxfId="5554" priority="64" stopIfTrue="1" operator="equal">
      <formula>"J"</formula>
    </cfRule>
    <cfRule type="cellIs" dxfId="5553" priority="65" stopIfTrue="1" operator="equal">
      <formula>"O"</formula>
    </cfRule>
    <cfRule type="expression" dxfId="5552" priority="66" stopIfTrue="1">
      <formula>LEN(TRIM(BO4))=0</formula>
    </cfRule>
  </conditionalFormatting>
  <conditionalFormatting sqref="BW4:CB16">
    <cfRule type="cellIs" dxfId="5551" priority="67" stopIfTrue="1" operator="equal">
      <formula>"E"</formula>
    </cfRule>
    <cfRule type="cellIs" dxfId="5550" priority="68" stopIfTrue="1" operator="equal">
      <formula>"S"</formula>
    </cfRule>
    <cfRule type="cellIs" dxfId="5549" priority="69" stopIfTrue="1" operator="equal">
      <formula>"M"</formula>
    </cfRule>
    <cfRule type="cellIs" dxfId="5548" priority="70" stopIfTrue="1" operator="equal">
      <formula>"J"</formula>
    </cfRule>
    <cfRule type="cellIs" dxfId="5547" priority="71" stopIfTrue="1" operator="equal">
      <formula>"O"</formula>
    </cfRule>
    <cfRule type="expression" dxfId="5546" priority="72" stopIfTrue="1">
      <formula>LEN(TRIM(BW4))=0</formula>
    </cfRule>
  </conditionalFormatting>
  <conditionalFormatting sqref="CC4:CE16">
    <cfRule type="cellIs" dxfId="5545" priority="73" stopIfTrue="1" operator="equal">
      <formula>"E"</formula>
    </cfRule>
    <cfRule type="cellIs" dxfId="5544" priority="74" stopIfTrue="1" operator="equal">
      <formula>"S"</formula>
    </cfRule>
    <cfRule type="cellIs" dxfId="5543" priority="75" stopIfTrue="1" operator="equal">
      <formula>"M"</formula>
    </cfRule>
    <cfRule type="cellIs" dxfId="5542" priority="76" stopIfTrue="1" operator="equal">
      <formula>"J"</formula>
    </cfRule>
    <cfRule type="cellIs" dxfId="5541" priority="77" stopIfTrue="1" operator="equal">
      <formula>"O"</formula>
    </cfRule>
    <cfRule type="expression" dxfId="5540" priority="78" stopIfTrue="1">
      <formula>LEN(TRIM(CC4))=0</formula>
    </cfRule>
  </conditionalFormatting>
  <conditionalFormatting sqref="CF4:CI16">
    <cfRule type="cellIs" dxfId="5539" priority="79" stopIfTrue="1" operator="equal">
      <formula>"E"</formula>
    </cfRule>
    <cfRule type="cellIs" dxfId="5538" priority="80" stopIfTrue="1" operator="equal">
      <formula>"S"</formula>
    </cfRule>
    <cfRule type="cellIs" dxfId="5537" priority="81" stopIfTrue="1" operator="equal">
      <formula>"M"</formula>
    </cfRule>
    <cfRule type="cellIs" dxfId="5536" priority="82" stopIfTrue="1" operator="equal">
      <formula>"J"</formula>
    </cfRule>
    <cfRule type="cellIs" dxfId="5535" priority="83" stopIfTrue="1" operator="equal">
      <formula>"O"</formula>
    </cfRule>
    <cfRule type="expression" dxfId="5534" priority="84" stopIfTrue="1">
      <formula>LEN(TRIM(CF4))=0</formula>
    </cfRule>
  </conditionalFormatting>
  <conditionalFormatting sqref="CK4:CO16">
    <cfRule type="cellIs" dxfId="5533" priority="85" stopIfTrue="1" operator="equal">
      <formula>"E"</formula>
    </cfRule>
    <cfRule type="cellIs" dxfId="5532" priority="86" stopIfTrue="1" operator="equal">
      <formula>"S"</formula>
    </cfRule>
    <cfRule type="cellIs" dxfId="5531" priority="87" stopIfTrue="1" operator="equal">
      <formula>"M"</formula>
    </cfRule>
    <cfRule type="cellIs" dxfId="5530" priority="88" stopIfTrue="1" operator="equal">
      <formula>"J"</formula>
    </cfRule>
    <cfRule type="cellIs" dxfId="5529" priority="89" stopIfTrue="1" operator="equal">
      <formula>"O"</formula>
    </cfRule>
    <cfRule type="expression" dxfId="5528" priority="90" stopIfTrue="1">
      <formula>LEN(TRIM(CK4))=0</formula>
    </cfRule>
  </conditionalFormatting>
  <conditionalFormatting sqref="CQ4:CU16">
    <cfRule type="cellIs" dxfId="5527" priority="91" stopIfTrue="1" operator="equal">
      <formula>"E"</formula>
    </cfRule>
    <cfRule type="cellIs" dxfId="5526" priority="92" stopIfTrue="1" operator="equal">
      <formula>"S"</formula>
    </cfRule>
    <cfRule type="cellIs" dxfId="5525" priority="93" stopIfTrue="1" operator="equal">
      <formula>"M"</formula>
    </cfRule>
    <cfRule type="cellIs" dxfId="5524" priority="94" stopIfTrue="1" operator="equal">
      <formula>"J"</formula>
    </cfRule>
    <cfRule type="cellIs" dxfId="5523" priority="95" stopIfTrue="1" operator="equal">
      <formula>"O"</formula>
    </cfRule>
    <cfRule type="expression" dxfId="5522" priority="96" stopIfTrue="1">
      <formula>LEN(TRIM(CQ4))=0</formula>
    </cfRule>
  </conditionalFormatting>
  <conditionalFormatting sqref="CW4:DA16">
    <cfRule type="cellIs" dxfId="5521" priority="97" stopIfTrue="1" operator="equal">
      <formula>"E"</formula>
    </cfRule>
    <cfRule type="cellIs" dxfId="5520" priority="98" stopIfTrue="1" operator="equal">
      <formula>"S"</formula>
    </cfRule>
    <cfRule type="cellIs" dxfId="5519" priority="99" stopIfTrue="1" operator="equal">
      <formula>"M"</formula>
    </cfRule>
    <cfRule type="cellIs" dxfId="5518" priority="100" stopIfTrue="1" operator="equal">
      <formula>"J"</formula>
    </cfRule>
    <cfRule type="cellIs" dxfId="5517" priority="101" stopIfTrue="1" operator="equal">
      <formula>"O"</formula>
    </cfRule>
    <cfRule type="expression" dxfId="5516" priority="102" stopIfTrue="1">
      <formula>LEN(TRIM(CW4))=0</formula>
    </cfRule>
  </conditionalFormatting>
  <conditionalFormatting sqref="D18:K26">
    <cfRule type="cellIs" dxfId="5515" priority="103" stopIfTrue="1" operator="equal">
      <formula>"E"</formula>
    </cfRule>
    <cfRule type="cellIs" dxfId="5514" priority="104" stopIfTrue="1" operator="equal">
      <formula>"S"</formula>
    </cfRule>
    <cfRule type="cellIs" dxfId="5513" priority="105" stopIfTrue="1" operator="equal">
      <formula>"M"</formula>
    </cfRule>
    <cfRule type="cellIs" dxfId="5512" priority="106" stopIfTrue="1" operator="equal">
      <formula>"J"</formula>
    </cfRule>
    <cfRule type="cellIs" dxfId="5511" priority="107" stopIfTrue="1" operator="equal">
      <formula>"O"</formula>
    </cfRule>
    <cfRule type="expression" dxfId="5510" priority="108" stopIfTrue="1">
      <formula>LEN(TRIM(D18))=0</formula>
    </cfRule>
  </conditionalFormatting>
  <conditionalFormatting sqref="L18:O26">
    <cfRule type="cellIs" dxfId="5509" priority="109" stopIfTrue="1" operator="equal">
      <formula>"E"</formula>
    </cfRule>
    <cfRule type="cellIs" dxfId="5508" priority="110" stopIfTrue="1" operator="equal">
      <formula>"S"</formula>
    </cfRule>
    <cfRule type="cellIs" dxfId="5507" priority="111" stopIfTrue="1" operator="equal">
      <formula>"M"</formula>
    </cfRule>
    <cfRule type="cellIs" dxfId="5506" priority="112" stopIfTrue="1" operator="equal">
      <formula>"J"</formula>
    </cfRule>
    <cfRule type="cellIs" dxfId="5505" priority="113" stopIfTrue="1" operator="equal">
      <formula>"O"</formula>
    </cfRule>
    <cfRule type="expression" dxfId="5504" priority="114" stopIfTrue="1">
      <formula>LEN(TRIM(L18))=0</formula>
    </cfRule>
  </conditionalFormatting>
  <conditionalFormatting sqref="P18:AI26">
    <cfRule type="cellIs" dxfId="5503" priority="115" stopIfTrue="1" operator="equal">
      <formula>"E"</formula>
    </cfRule>
    <cfRule type="cellIs" dxfId="5502" priority="116" stopIfTrue="1" operator="equal">
      <formula>"S"</formula>
    </cfRule>
    <cfRule type="cellIs" dxfId="5501" priority="117" stopIfTrue="1" operator="equal">
      <formula>"M"</formula>
    </cfRule>
    <cfRule type="cellIs" dxfId="5500" priority="118" stopIfTrue="1" operator="equal">
      <formula>"J"</formula>
    </cfRule>
    <cfRule type="cellIs" dxfId="5499" priority="119" stopIfTrue="1" operator="equal">
      <formula>"O"</formula>
    </cfRule>
    <cfRule type="expression" dxfId="5498" priority="120" stopIfTrue="1">
      <formula>LEN(TRIM(P18))=0</formula>
    </cfRule>
  </conditionalFormatting>
  <conditionalFormatting sqref="AJ18:AL26">
    <cfRule type="cellIs" dxfId="5497" priority="121" stopIfTrue="1" operator="equal">
      <formula>"E"</formula>
    </cfRule>
    <cfRule type="cellIs" dxfId="5496" priority="122" stopIfTrue="1" operator="equal">
      <formula>"S"</formula>
    </cfRule>
    <cfRule type="cellIs" dxfId="5495" priority="123" stopIfTrue="1" operator="equal">
      <formula>"M"</formula>
    </cfRule>
    <cfRule type="cellIs" dxfId="5494" priority="124" stopIfTrue="1" operator="equal">
      <formula>"J"</formula>
    </cfRule>
    <cfRule type="cellIs" dxfId="5493" priority="125" stopIfTrue="1" operator="equal">
      <formula>"O"</formula>
    </cfRule>
    <cfRule type="expression" dxfId="5492" priority="126" stopIfTrue="1">
      <formula>LEN(TRIM(AJ18))=0</formula>
    </cfRule>
  </conditionalFormatting>
  <conditionalFormatting sqref="AM18:AO26">
    <cfRule type="cellIs" dxfId="5491" priority="127" stopIfTrue="1" operator="equal">
      <formula>"E"</formula>
    </cfRule>
    <cfRule type="cellIs" dxfId="5490" priority="128" stopIfTrue="1" operator="equal">
      <formula>"S"</formula>
    </cfRule>
    <cfRule type="cellIs" dxfId="5489" priority="129" stopIfTrue="1" operator="equal">
      <formula>"M"</formula>
    </cfRule>
    <cfRule type="cellIs" dxfId="5488" priority="130" stopIfTrue="1" operator="equal">
      <formula>"J"</formula>
    </cfRule>
    <cfRule type="cellIs" dxfId="5487" priority="131" stopIfTrue="1" operator="equal">
      <formula>"O"</formula>
    </cfRule>
    <cfRule type="expression" dxfId="5486" priority="132" stopIfTrue="1">
      <formula>LEN(TRIM(AM18))=0</formula>
    </cfRule>
  </conditionalFormatting>
  <conditionalFormatting sqref="AP18:AT26">
    <cfRule type="cellIs" dxfId="5485" priority="133" stopIfTrue="1" operator="equal">
      <formula>"E"</formula>
    </cfRule>
    <cfRule type="cellIs" dxfId="5484" priority="134" stopIfTrue="1" operator="equal">
      <formula>"S"</formula>
    </cfRule>
    <cfRule type="cellIs" dxfId="5483" priority="135" stopIfTrue="1" operator="equal">
      <formula>"M"</formula>
    </cfRule>
    <cfRule type="cellIs" dxfId="5482" priority="136" stopIfTrue="1" operator="equal">
      <formula>"J"</formula>
    </cfRule>
    <cfRule type="cellIs" dxfId="5481" priority="137" stopIfTrue="1" operator="equal">
      <formula>"O"</formula>
    </cfRule>
    <cfRule type="expression" dxfId="5480" priority="138" stopIfTrue="1">
      <formula>LEN(TRIM(AP18))=0</formula>
    </cfRule>
  </conditionalFormatting>
  <conditionalFormatting sqref="AU18:BB26">
    <cfRule type="cellIs" dxfId="5479" priority="139" stopIfTrue="1" operator="equal">
      <formula>"E"</formula>
    </cfRule>
  </conditionalFormatting>
  <conditionalFormatting sqref="AU18:BB26">
    <cfRule type="cellIs" dxfId="5478" priority="140" stopIfTrue="1" operator="equal">
      <formula>"S"</formula>
    </cfRule>
  </conditionalFormatting>
  <conditionalFormatting sqref="AU18:BB26">
    <cfRule type="cellIs" dxfId="5477" priority="141" stopIfTrue="1" operator="equal">
      <formula>"M"</formula>
    </cfRule>
  </conditionalFormatting>
  <conditionalFormatting sqref="AU18:BB26">
    <cfRule type="cellIs" dxfId="5476" priority="142" stopIfTrue="1" operator="equal">
      <formula>"J"</formula>
    </cfRule>
  </conditionalFormatting>
  <conditionalFormatting sqref="AU18:BB26">
    <cfRule type="cellIs" dxfId="5475" priority="143" stopIfTrue="1" operator="equal">
      <formula>"O"</formula>
    </cfRule>
  </conditionalFormatting>
  <conditionalFormatting sqref="AU18:BB26">
    <cfRule type="expression" dxfId="5474" priority="144" stopIfTrue="1">
      <formula>LEN(TRIM(AU18))=0</formula>
    </cfRule>
  </conditionalFormatting>
  <conditionalFormatting sqref="BC18:BG26">
    <cfRule type="cellIs" dxfId="5473" priority="145" stopIfTrue="1" operator="equal">
      <formula>"E"</formula>
    </cfRule>
  </conditionalFormatting>
  <conditionalFormatting sqref="BC18:BG26">
    <cfRule type="cellIs" dxfId="5472" priority="146" stopIfTrue="1" operator="equal">
      <formula>"S"</formula>
    </cfRule>
  </conditionalFormatting>
  <conditionalFormatting sqref="BC18:BG26">
    <cfRule type="cellIs" dxfId="5471" priority="147" stopIfTrue="1" operator="equal">
      <formula>"M"</formula>
    </cfRule>
  </conditionalFormatting>
  <conditionalFormatting sqref="BC18:BG26">
    <cfRule type="cellIs" dxfId="5470" priority="148" stopIfTrue="1" operator="equal">
      <formula>"J"</formula>
    </cfRule>
  </conditionalFormatting>
  <conditionalFormatting sqref="BC18:BG26">
    <cfRule type="cellIs" dxfId="5469" priority="149" stopIfTrue="1" operator="equal">
      <formula>"O"</formula>
    </cfRule>
  </conditionalFormatting>
  <conditionalFormatting sqref="BC18:BG26">
    <cfRule type="expression" dxfId="5468" priority="150" stopIfTrue="1">
      <formula>LEN(TRIM(BC18))=0</formula>
    </cfRule>
  </conditionalFormatting>
  <conditionalFormatting sqref="BH18:BJ26">
    <cfRule type="cellIs" dxfId="5467" priority="151" stopIfTrue="1" operator="equal">
      <formula>"E"</formula>
    </cfRule>
  </conditionalFormatting>
  <conditionalFormatting sqref="BH18:BJ26">
    <cfRule type="cellIs" dxfId="5466" priority="152" stopIfTrue="1" operator="equal">
      <formula>"S"</formula>
    </cfRule>
  </conditionalFormatting>
  <conditionalFormatting sqref="BH18:BJ26">
    <cfRule type="cellIs" dxfId="5465" priority="153" stopIfTrue="1" operator="equal">
      <formula>"M"</formula>
    </cfRule>
  </conditionalFormatting>
  <conditionalFormatting sqref="BH18:BJ26">
    <cfRule type="cellIs" dxfId="5464" priority="154" stopIfTrue="1" operator="equal">
      <formula>"J"</formula>
    </cfRule>
  </conditionalFormatting>
  <conditionalFormatting sqref="BH18:BJ26">
    <cfRule type="cellIs" dxfId="5463" priority="155" stopIfTrue="1" operator="equal">
      <formula>"O"</formula>
    </cfRule>
  </conditionalFormatting>
  <conditionalFormatting sqref="BH18:BJ26">
    <cfRule type="expression" dxfId="5462" priority="156" stopIfTrue="1">
      <formula>LEN(TRIM(BH18))=0</formula>
    </cfRule>
  </conditionalFormatting>
  <conditionalFormatting sqref="BK18:BN26">
    <cfRule type="cellIs" dxfId="5461" priority="157" stopIfTrue="1" operator="equal">
      <formula>"E"</formula>
    </cfRule>
  </conditionalFormatting>
  <conditionalFormatting sqref="BK18:BN26">
    <cfRule type="cellIs" dxfId="5460" priority="158" stopIfTrue="1" operator="equal">
      <formula>"S"</formula>
    </cfRule>
  </conditionalFormatting>
  <conditionalFormatting sqref="BK18:BN26">
    <cfRule type="cellIs" dxfId="5459" priority="159" stopIfTrue="1" operator="equal">
      <formula>"M"</formula>
    </cfRule>
  </conditionalFormatting>
  <conditionalFormatting sqref="BK18:BN26">
    <cfRule type="cellIs" dxfId="5458" priority="160" stopIfTrue="1" operator="equal">
      <formula>"J"</formula>
    </cfRule>
  </conditionalFormatting>
  <conditionalFormatting sqref="BK18:BN26">
    <cfRule type="cellIs" dxfId="5457" priority="161" stopIfTrue="1" operator="equal">
      <formula>"O"</formula>
    </cfRule>
  </conditionalFormatting>
  <conditionalFormatting sqref="BK18:BN26">
    <cfRule type="expression" dxfId="5456" priority="162" stopIfTrue="1">
      <formula>LEN(TRIM(BK18))=0</formula>
    </cfRule>
  </conditionalFormatting>
  <conditionalFormatting sqref="BO18:BV26">
    <cfRule type="cellIs" dxfId="5455" priority="163" stopIfTrue="1" operator="equal">
      <formula>"E"</formula>
    </cfRule>
  </conditionalFormatting>
  <conditionalFormatting sqref="BO18:BV26">
    <cfRule type="cellIs" dxfId="5454" priority="164" stopIfTrue="1" operator="equal">
      <formula>"S"</formula>
    </cfRule>
  </conditionalFormatting>
  <conditionalFormatting sqref="BO18:BV26">
    <cfRule type="cellIs" dxfId="5453" priority="165" stopIfTrue="1" operator="equal">
      <formula>"M"</formula>
    </cfRule>
  </conditionalFormatting>
  <conditionalFormatting sqref="BO18:BV26">
    <cfRule type="cellIs" dxfId="5452" priority="166" stopIfTrue="1" operator="equal">
      <formula>"J"</formula>
    </cfRule>
  </conditionalFormatting>
  <conditionalFormatting sqref="BO18:BV26">
    <cfRule type="cellIs" dxfId="5451" priority="167" stopIfTrue="1" operator="equal">
      <formula>"O"</formula>
    </cfRule>
  </conditionalFormatting>
  <conditionalFormatting sqref="BO18:BV26">
    <cfRule type="expression" dxfId="5450" priority="168" stopIfTrue="1">
      <formula>LEN(TRIM(BO18))=0</formula>
    </cfRule>
  </conditionalFormatting>
  <conditionalFormatting sqref="BW18:CB26">
    <cfRule type="cellIs" dxfId="5449" priority="169" stopIfTrue="1" operator="equal">
      <formula>"E"</formula>
    </cfRule>
  </conditionalFormatting>
  <conditionalFormatting sqref="BW18:CB26">
    <cfRule type="cellIs" dxfId="5448" priority="170" stopIfTrue="1" operator="equal">
      <formula>"S"</formula>
    </cfRule>
  </conditionalFormatting>
  <conditionalFormatting sqref="BW18:CB26">
    <cfRule type="cellIs" dxfId="5447" priority="171" stopIfTrue="1" operator="equal">
      <formula>"M"</formula>
    </cfRule>
  </conditionalFormatting>
  <conditionalFormatting sqref="BW18:CB26">
    <cfRule type="cellIs" dxfId="5446" priority="172" stopIfTrue="1" operator="equal">
      <formula>"J"</formula>
    </cfRule>
  </conditionalFormatting>
  <conditionalFormatting sqref="BW18:CB26">
    <cfRule type="cellIs" dxfId="5445" priority="173" stopIfTrue="1" operator="equal">
      <formula>"O"</formula>
    </cfRule>
  </conditionalFormatting>
  <conditionalFormatting sqref="BW18:CB26">
    <cfRule type="expression" dxfId="5444" priority="174" stopIfTrue="1">
      <formula>LEN(TRIM(BW18))=0</formula>
    </cfRule>
  </conditionalFormatting>
  <conditionalFormatting sqref="CC18:CE26">
    <cfRule type="cellIs" dxfId="5443" priority="175" stopIfTrue="1" operator="equal">
      <formula>"E"</formula>
    </cfRule>
  </conditionalFormatting>
  <conditionalFormatting sqref="CC18:CE26">
    <cfRule type="cellIs" dxfId="5442" priority="176" stopIfTrue="1" operator="equal">
      <formula>"S"</formula>
    </cfRule>
  </conditionalFormatting>
  <conditionalFormatting sqref="CC18:CE26">
    <cfRule type="cellIs" dxfId="5441" priority="177" stopIfTrue="1" operator="equal">
      <formula>"M"</formula>
    </cfRule>
  </conditionalFormatting>
  <conditionalFormatting sqref="CC18:CE26">
    <cfRule type="cellIs" dxfId="5440" priority="178" stopIfTrue="1" operator="equal">
      <formula>"J"</formula>
    </cfRule>
  </conditionalFormatting>
  <conditionalFormatting sqref="CC18:CE26">
    <cfRule type="cellIs" dxfId="5439" priority="179" stopIfTrue="1" operator="equal">
      <formula>"O"</formula>
    </cfRule>
  </conditionalFormatting>
  <conditionalFormatting sqref="CC18:CE26">
    <cfRule type="expression" dxfId="5438" priority="180" stopIfTrue="1">
      <formula>LEN(TRIM(CC18))=0</formula>
    </cfRule>
  </conditionalFormatting>
  <conditionalFormatting sqref="CF18:CI26">
    <cfRule type="cellIs" dxfId="5437" priority="181" stopIfTrue="1" operator="equal">
      <formula>"E"</formula>
    </cfRule>
  </conditionalFormatting>
  <conditionalFormatting sqref="CF18:CI26">
    <cfRule type="cellIs" dxfId="5436" priority="182" stopIfTrue="1" operator="equal">
      <formula>"S"</formula>
    </cfRule>
  </conditionalFormatting>
  <conditionalFormatting sqref="CF18:CI26">
    <cfRule type="cellIs" dxfId="5435" priority="183" stopIfTrue="1" operator="equal">
      <formula>"M"</formula>
    </cfRule>
  </conditionalFormatting>
  <conditionalFormatting sqref="CF18:CI26">
    <cfRule type="cellIs" dxfId="5434" priority="184" stopIfTrue="1" operator="equal">
      <formula>"J"</formula>
    </cfRule>
  </conditionalFormatting>
  <conditionalFormatting sqref="CF18:CI26">
    <cfRule type="cellIs" dxfId="5433" priority="185" stopIfTrue="1" operator="equal">
      <formula>"O"</formula>
    </cfRule>
  </conditionalFormatting>
  <conditionalFormatting sqref="CF18:CI26">
    <cfRule type="expression" dxfId="5432" priority="186" stopIfTrue="1">
      <formula>LEN(TRIM(CF18))=0</formula>
    </cfRule>
  </conditionalFormatting>
  <conditionalFormatting sqref="CK18:CO26">
    <cfRule type="cellIs" dxfId="5431" priority="187" stopIfTrue="1" operator="equal">
      <formula>"E"</formula>
    </cfRule>
  </conditionalFormatting>
  <conditionalFormatting sqref="CK18:CO26">
    <cfRule type="cellIs" dxfId="5430" priority="188" stopIfTrue="1" operator="equal">
      <formula>"S"</formula>
    </cfRule>
  </conditionalFormatting>
  <conditionalFormatting sqref="CK18:CO26">
    <cfRule type="cellIs" dxfId="5429" priority="189" stopIfTrue="1" operator="equal">
      <formula>"M"</formula>
    </cfRule>
  </conditionalFormatting>
  <conditionalFormatting sqref="CK18:CO26">
    <cfRule type="cellIs" dxfId="5428" priority="190" stopIfTrue="1" operator="equal">
      <formula>"J"</formula>
    </cfRule>
  </conditionalFormatting>
  <conditionalFormatting sqref="CK18:CO26">
    <cfRule type="cellIs" dxfId="5427" priority="191" stopIfTrue="1" operator="equal">
      <formula>"O"</formula>
    </cfRule>
  </conditionalFormatting>
  <conditionalFormatting sqref="CK18:CO26">
    <cfRule type="expression" dxfId="5426" priority="192" stopIfTrue="1">
      <formula>LEN(TRIM(CK18))=0</formula>
    </cfRule>
  </conditionalFormatting>
  <conditionalFormatting sqref="CQ18:CU26">
    <cfRule type="cellIs" dxfId="5425" priority="193" stopIfTrue="1" operator="equal">
      <formula>"E"</formula>
    </cfRule>
  </conditionalFormatting>
  <conditionalFormatting sqref="CQ18:CU26">
    <cfRule type="cellIs" dxfId="5424" priority="194" stopIfTrue="1" operator="equal">
      <formula>"S"</formula>
    </cfRule>
  </conditionalFormatting>
  <conditionalFormatting sqref="CQ18:CU26">
    <cfRule type="cellIs" dxfId="5423" priority="195" stopIfTrue="1" operator="equal">
      <formula>"M"</formula>
    </cfRule>
  </conditionalFormatting>
  <conditionalFormatting sqref="CQ18:CU26">
    <cfRule type="cellIs" dxfId="5422" priority="196" stopIfTrue="1" operator="equal">
      <formula>"J"</formula>
    </cfRule>
  </conditionalFormatting>
  <conditionalFormatting sqref="CQ18:CU26">
    <cfRule type="cellIs" dxfId="5421" priority="197" stopIfTrue="1" operator="equal">
      <formula>"O"</formula>
    </cfRule>
  </conditionalFormatting>
  <conditionalFormatting sqref="CQ18:CU26">
    <cfRule type="expression" dxfId="5420" priority="198" stopIfTrue="1">
      <formula>LEN(TRIM(CQ18))=0</formula>
    </cfRule>
  </conditionalFormatting>
  <conditionalFormatting sqref="CW18:DA26">
    <cfRule type="cellIs" dxfId="5419" priority="199" stopIfTrue="1" operator="equal">
      <formula>"E"</formula>
    </cfRule>
  </conditionalFormatting>
  <conditionalFormatting sqref="CW18:DA26">
    <cfRule type="cellIs" dxfId="5418" priority="200" stopIfTrue="1" operator="equal">
      <formula>"S"</formula>
    </cfRule>
  </conditionalFormatting>
  <conditionalFormatting sqref="CW18:DA26">
    <cfRule type="cellIs" dxfId="5417" priority="201" stopIfTrue="1" operator="equal">
      <formula>"M"</formula>
    </cfRule>
  </conditionalFormatting>
  <conditionalFormatting sqref="CW18:DA26">
    <cfRule type="cellIs" dxfId="5416" priority="202" stopIfTrue="1" operator="equal">
      <formula>"J"</formula>
    </cfRule>
  </conditionalFormatting>
  <conditionalFormatting sqref="CW18:DA26">
    <cfRule type="cellIs" dxfId="5415" priority="203" stopIfTrue="1" operator="equal">
      <formula>"O"</formula>
    </cfRule>
  </conditionalFormatting>
  <conditionalFormatting sqref="CW18:DA26">
    <cfRule type="expression" dxfId="5414" priority="204" stopIfTrue="1">
      <formula>LEN(TRIM(CW18))=0</formula>
    </cfRule>
  </conditionalFormatting>
  <conditionalFormatting sqref="D28:K37">
    <cfRule type="cellIs" dxfId="5413" priority="205" stopIfTrue="1" operator="equal">
      <formula>"E"</formula>
    </cfRule>
    <cfRule type="cellIs" dxfId="5412" priority="206" stopIfTrue="1" operator="equal">
      <formula>"S"</formula>
    </cfRule>
    <cfRule type="cellIs" dxfId="5411" priority="207" stopIfTrue="1" operator="equal">
      <formula>"M"</formula>
    </cfRule>
    <cfRule type="cellIs" dxfId="5410" priority="208" stopIfTrue="1" operator="equal">
      <formula>"J"</formula>
    </cfRule>
    <cfRule type="cellIs" dxfId="5409" priority="209" stopIfTrue="1" operator="equal">
      <formula>"O"</formula>
    </cfRule>
    <cfRule type="expression" dxfId="5408" priority="210" stopIfTrue="1">
      <formula>LEN(TRIM(D28))=0</formula>
    </cfRule>
  </conditionalFormatting>
  <conditionalFormatting sqref="L28:O37">
    <cfRule type="cellIs" dxfId="5407" priority="211" stopIfTrue="1" operator="equal">
      <formula>"E"</formula>
    </cfRule>
    <cfRule type="cellIs" dxfId="5406" priority="212" stopIfTrue="1" operator="equal">
      <formula>"S"</formula>
    </cfRule>
    <cfRule type="cellIs" dxfId="5405" priority="213" stopIfTrue="1" operator="equal">
      <formula>"M"</formula>
    </cfRule>
    <cfRule type="cellIs" dxfId="5404" priority="214" stopIfTrue="1" operator="equal">
      <formula>"J"</formula>
    </cfRule>
    <cfRule type="cellIs" dxfId="5403" priority="215" stopIfTrue="1" operator="equal">
      <formula>"O"</formula>
    </cfRule>
    <cfRule type="expression" dxfId="5402" priority="216" stopIfTrue="1">
      <formula>LEN(TRIM(L28))=0</formula>
    </cfRule>
  </conditionalFormatting>
  <conditionalFormatting sqref="P28:AI37">
    <cfRule type="cellIs" dxfId="5401" priority="217" stopIfTrue="1" operator="equal">
      <formula>"E"</formula>
    </cfRule>
    <cfRule type="cellIs" dxfId="5400" priority="218" stopIfTrue="1" operator="equal">
      <formula>"S"</formula>
    </cfRule>
    <cfRule type="cellIs" dxfId="5399" priority="219" stopIfTrue="1" operator="equal">
      <formula>"M"</formula>
    </cfRule>
    <cfRule type="cellIs" dxfId="5398" priority="220" stopIfTrue="1" operator="equal">
      <formula>"J"</formula>
    </cfRule>
    <cfRule type="cellIs" dxfId="5397" priority="221" stopIfTrue="1" operator="equal">
      <formula>"O"</formula>
    </cfRule>
    <cfRule type="expression" dxfId="5396" priority="222" stopIfTrue="1">
      <formula>LEN(TRIM(P28))=0</formula>
    </cfRule>
  </conditionalFormatting>
  <conditionalFormatting sqref="AJ28:AL37">
    <cfRule type="cellIs" dxfId="5395" priority="223" stopIfTrue="1" operator="equal">
      <formula>"E"</formula>
    </cfRule>
    <cfRule type="cellIs" dxfId="5394" priority="224" stopIfTrue="1" operator="equal">
      <formula>"S"</formula>
    </cfRule>
    <cfRule type="cellIs" dxfId="5393" priority="225" stopIfTrue="1" operator="equal">
      <formula>"M"</formula>
    </cfRule>
    <cfRule type="cellIs" dxfId="5392" priority="226" stopIfTrue="1" operator="equal">
      <formula>"J"</formula>
    </cfRule>
    <cfRule type="cellIs" dxfId="5391" priority="227" stopIfTrue="1" operator="equal">
      <formula>"O"</formula>
    </cfRule>
    <cfRule type="expression" dxfId="5390" priority="228" stopIfTrue="1">
      <formula>LEN(TRIM(AJ28))=0</formula>
    </cfRule>
  </conditionalFormatting>
  <conditionalFormatting sqref="AM28:AO37">
    <cfRule type="cellIs" dxfId="5389" priority="229" stopIfTrue="1" operator="equal">
      <formula>"E"</formula>
    </cfRule>
  </conditionalFormatting>
  <conditionalFormatting sqref="AM28:AO37">
    <cfRule type="cellIs" dxfId="5388" priority="230" stopIfTrue="1" operator="equal">
      <formula>"S"</formula>
    </cfRule>
  </conditionalFormatting>
  <conditionalFormatting sqref="AM28:AO37">
    <cfRule type="cellIs" dxfId="5387" priority="231" stopIfTrue="1" operator="equal">
      <formula>"M"</formula>
    </cfRule>
  </conditionalFormatting>
  <conditionalFormatting sqref="AM28:AO37">
    <cfRule type="cellIs" dxfId="5386" priority="232" stopIfTrue="1" operator="equal">
      <formula>"J"</formula>
    </cfRule>
  </conditionalFormatting>
  <conditionalFormatting sqref="AM28:AO37">
    <cfRule type="cellIs" dxfId="5385" priority="233" stopIfTrue="1" operator="equal">
      <formula>"O"</formula>
    </cfRule>
  </conditionalFormatting>
  <conditionalFormatting sqref="AM28:AO37">
    <cfRule type="expression" dxfId="5384" priority="234" stopIfTrue="1">
      <formula>LEN(TRIM(AM28))=0</formula>
    </cfRule>
  </conditionalFormatting>
  <conditionalFormatting sqref="AP28:AT37">
    <cfRule type="cellIs" dxfId="5383" priority="235" stopIfTrue="1" operator="equal">
      <formula>"E"</formula>
    </cfRule>
  </conditionalFormatting>
  <conditionalFormatting sqref="AP28:AT37">
    <cfRule type="cellIs" dxfId="5382" priority="236" stopIfTrue="1" operator="equal">
      <formula>"S"</formula>
    </cfRule>
  </conditionalFormatting>
  <conditionalFormatting sqref="AP28:AT37">
    <cfRule type="cellIs" dxfId="5381" priority="237" stopIfTrue="1" operator="equal">
      <formula>"M"</formula>
    </cfRule>
  </conditionalFormatting>
  <conditionalFormatting sqref="AP28:AT37">
    <cfRule type="cellIs" dxfId="5380" priority="238" stopIfTrue="1" operator="equal">
      <formula>"J"</formula>
    </cfRule>
  </conditionalFormatting>
  <conditionalFormatting sqref="AP28:AT37">
    <cfRule type="cellIs" dxfId="5379" priority="239" stopIfTrue="1" operator="equal">
      <formula>"O"</formula>
    </cfRule>
  </conditionalFormatting>
  <conditionalFormatting sqref="AP28:AT37">
    <cfRule type="expression" dxfId="5378" priority="240" stopIfTrue="1">
      <formula>LEN(TRIM(AP28))=0</formula>
    </cfRule>
  </conditionalFormatting>
  <conditionalFormatting sqref="AU28:BB37">
    <cfRule type="cellIs" dxfId="5377" priority="241" stopIfTrue="1" operator="equal">
      <formula>"E"</formula>
    </cfRule>
  </conditionalFormatting>
  <conditionalFormatting sqref="AU28:BB37">
    <cfRule type="cellIs" dxfId="5376" priority="242" stopIfTrue="1" operator="equal">
      <formula>"S"</formula>
    </cfRule>
  </conditionalFormatting>
  <conditionalFormatting sqref="AU28:BB37">
    <cfRule type="cellIs" dxfId="5375" priority="243" stopIfTrue="1" operator="equal">
      <formula>"M"</formula>
    </cfRule>
  </conditionalFormatting>
  <conditionalFormatting sqref="AU28:BB37">
    <cfRule type="cellIs" dxfId="5374" priority="244" stopIfTrue="1" operator="equal">
      <formula>"J"</formula>
    </cfRule>
  </conditionalFormatting>
  <conditionalFormatting sqref="AU28:BB37">
    <cfRule type="cellIs" dxfId="5373" priority="245" stopIfTrue="1" operator="equal">
      <formula>"O"</formula>
    </cfRule>
  </conditionalFormatting>
  <conditionalFormatting sqref="AU28:BB37">
    <cfRule type="expression" dxfId="5372" priority="246" stopIfTrue="1">
      <formula>LEN(TRIM(AU28))=0</formula>
    </cfRule>
  </conditionalFormatting>
  <conditionalFormatting sqref="BC28:BG37">
    <cfRule type="cellIs" dxfId="5371" priority="247" stopIfTrue="1" operator="equal">
      <formula>"E"</formula>
    </cfRule>
  </conditionalFormatting>
  <conditionalFormatting sqref="BC28:BG37">
    <cfRule type="cellIs" dxfId="5370" priority="248" stopIfTrue="1" operator="equal">
      <formula>"S"</formula>
    </cfRule>
  </conditionalFormatting>
  <conditionalFormatting sqref="BC28:BG37">
    <cfRule type="cellIs" dxfId="5369" priority="249" stopIfTrue="1" operator="equal">
      <formula>"M"</formula>
    </cfRule>
  </conditionalFormatting>
  <conditionalFormatting sqref="BC28:BG37">
    <cfRule type="cellIs" dxfId="5368" priority="250" stopIfTrue="1" operator="equal">
      <formula>"J"</formula>
    </cfRule>
  </conditionalFormatting>
  <conditionalFormatting sqref="BC28:BG37">
    <cfRule type="cellIs" dxfId="5367" priority="251" stopIfTrue="1" operator="equal">
      <formula>"O"</formula>
    </cfRule>
  </conditionalFormatting>
  <conditionalFormatting sqref="BC28:BG37">
    <cfRule type="expression" dxfId="5366" priority="252" stopIfTrue="1">
      <formula>LEN(TRIM(BC28))=0</formula>
    </cfRule>
  </conditionalFormatting>
  <conditionalFormatting sqref="BH28:BJ37">
    <cfRule type="cellIs" dxfId="5365" priority="253" stopIfTrue="1" operator="equal">
      <formula>"E"</formula>
    </cfRule>
  </conditionalFormatting>
  <conditionalFormatting sqref="BH28:BJ37">
    <cfRule type="cellIs" dxfId="5364" priority="254" stopIfTrue="1" operator="equal">
      <formula>"S"</formula>
    </cfRule>
  </conditionalFormatting>
  <conditionalFormatting sqref="BH28:BJ37">
    <cfRule type="cellIs" dxfId="5363" priority="255" stopIfTrue="1" operator="equal">
      <formula>"M"</formula>
    </cfRule>
  </conditionalFormatting>
  <conditionalFormatting sqref="BH28:BJ37">
    <cfRule type="cellIs" dxfId="5362" priority="256" stopIfTrue="1" operator="equal">
      <formula>"J"</formula>
    </cfRule>
  </conditionalFormatting>
  <conditionalFormatting sqref="BH28:BJ37">
    <cfRule type="cellIs" dxfId="5361" priority="257" stopIfTrue="1" operator="equal">
      <formula>"O"</formula>
    </cfRule>
  </conditionalFormatting>
  <conditionalFormatting sqref="BH28:BJ37">
    <cfRule type="expression" dxfId="5360" priority="258" stopIfTrue="1">
      <formula>LEN(TRIM(BH28))=0</formula>
    </cfRule>
  </conditionalFormatting>
  <conditionalFormatting sqref="BK28:BN37">
    <cfRule type="cellIs" dxfId="5359" priority="259" stopIfTrue="1" operator="equal">
      <formula>"E"</formula>
    </cfRule>
  </conditionalFormatting>
  <conditionalFormatting sqref="BK28:BN37">
    <cfRule type="cellIs" dxfId="5358" priority="260" stopIfTrue="1" operator="equal">
      <formula>"S"</formula>
    </cfRule>
  </conditionalFormatting>
  <conditionalFormatting sqref="BK28:BN37">
    <cfRule type="cellIs" dxfId="5357" priority="261" stopIfTrue="1" operator="equal">
      <formula>"M"</formula>
    </cfRule>
  </conditionalFormatting>
  <conditionalFormatting sqref="BK28:BN37">
    <cfRule type="cellIs" dxfId="5356" priority="262" stopIfTrue="1" operator="equal">
      <formula>"J"</formula>
    </cfRule>
  </conditionalFormatting>
  <conditionalFormatting sqref="BK28:BN37">
    <cfRule type="cellIs" dxfId="5355" priority="263" stopIfTrue="1" operator="equal">
      <formula>"O"</formula>
    </cfRule>
  </conditionalFormatting>
  <conditionalFormatting sqref="BK28:BN37">
    <cfRule type="expression" dxfId="5354" priority="264" stopIfTrue="1">
      <formula>LEN(TRIM(BK28))=0</formula>
    </cfRule>
  </conditionalFormatting>
  <conditionalFormatting sqref="BO28:BV37">
    <cfRule type="cellIs" dxfId="5353" priority="265" stopIfTrue="1" operator="equal">
      <formula>"E"</formula>
    </cfRule>
  </conditionalFormatting>
  <conditionalFormatting sqref="BO28:BV37">
    <cfRule type="cellIs" dxfId="5352" priority="266" stopIfTrue="1" operator="equal">
      <formula>"S"</formula>
    </cfRule>
  </conditionalFormatting>
  <conditionalFormatting sqref="BO28:BV37">
    <cfRule type="cellIs" dxfId="5351" priority="267" stopIfTrue="1" operator="equal">
      <formula>"M"</formula>
    </cfRule>
  </conditionalFormatting>
  <conditionalFormatting sqref="BO28:BV37">
    <cfRule type="cellIs" dxfId="5350" priority="268" stopIfTrue="1" operator="equal">
      <formula>"J"</formula>
    </cfRule>
  </conditionalFormatting>
  <conditionalFormatting sqref="BO28:BV37">
    <cfRule type="cellIs" dxfId="5349" priority="269" stopIfTrue="1" operator="equal">
      <formula>"O"</formula>
    </cfRule>
  </conditionalFormatting>
  <conditionalFormatting sqref="BO28:BV37">
    <cfRule type="expression" dxfId="5348" priority="270" stopIfTrue="1">
      <formula>LEN(TRIM(BO28))=0</formula>
    </cfRule>
  </conditionalFormatting>
  <conditionalFormatting sqref="BW28:CB37">
    <cfRule type="cellIs" dxfId="5347" priority="271" stopIfTrue="1" operator="equal">
      <formula>"E"</formula>
    </cfRule>
  </conditionalFormatting>
  <conditionalFormatting sqref="BW28:CB37">
    <cfRule type="cellIs" dxfId="5346" priority="272" stopIfTrue="1" operator="equal">
      <formula>"S"</formula>
    </cfRule>
  </conditionalFormatting>
  <conditionalFormatting sqref="BW28:CB37">
    <cfRule type="cellIs" dxfId="5345" priority="273" stopIfTrue="1" operator="equal">
      <formula>"M"</formula>
    </cfRule>
  </conditionalFormatting>
  <conditionalFormatting sqref="BW28:CB37">
    <cfRule type="cellIs" dxfId="5344" priority="274" stopIfTrue="1" operator="equal">
      <formula>"J"</formula>
    </cfRule>
  </conditionalFormatting>
  <conditionalFormatting sqref="BW28:CB37">
    <cfRule type="cellIs" dxfId="5343" priority="275" stopIfTrue="1" operator="equal">
      <formula>"O"</formula>
    </cfRule>
  </conditionalFormatting>
  <conditionalFormatting sqref="BW28:CB37">
    <cfRule type="expression" dxfId="5342" priority="276" stopIfTrue="1">
      <formula>LEN(TRIM(BW28))=0</formula>
    </cfRule>
  </conditionalFormatting>
  <conditionalFormatting sqref="CC28:CE37">
    <cfRule type="cellIs" dxfId="5341" priority="277" stopIfTrue="1" operator="equal">
      <formula>"E"</formula>
    </cfRule>
  </conditionalFormatting>
  <conditionalFormatting sqref="CC28:CE37">
    <cfRule type="cellIs" dxfId="5340" priority="278" stopIfTrue="1" operator="equal">
      <formula>"S"</formula>
    </cfRule>
  </conditionalFormatting>
  <conditionalFormatting sqref="CC28:CE37">
    <cfRule type="cellIs" dxfId="5339" priority="279" stopIfTrue="1" operator="equal">
      <formula>"M"</formula>
    </cfRule>
  </conditionalFormatting>
  <conditionalFormatting sqref="CC28:CE37">
    <cfRule type="cellIs" dxfId="5338" priority="280" stopIfTrue="1" operator="equal">
      <formula>"J"</formula>
    </cfRule>
  </conditionalFormatting>
  <conditionalFormatting sqref="CC28:CE37">
    <cfRule type="cellIs" dxfId="5337" priority="281" stopIfTrue="1" operator="equal">
      <formula>"O"</formula>
    </cfRule>
  </conditionalFormatting>
  <conditionalFormatting sqref="CC28:CE37">
    <cfRule type="expression" dxfId="5336" priority="282" stopIfTrue="1">
      <formula>LEN(TRIM(CC28))=0</formula>
    </cfRule>
  </conditionalFormatting>
  <conditionalFormatting sqref="CF28:CI37">
    <cfRule type="cellIs" dxfId="5335" priority="283" stopIfTrue="1" operator="equal">
      <formula>"E"</formula>
    </cfRule>
  </conditionalFormatting>
  <conditionalFormatting sqref="CF28:CI37">
    <cfRule type="cellIs" dxfId="5334" priority="284" stopIfTrue="1" operator="equal">
      <formula>"S"</formula>
    </cfRule>
  </conditionalFormatting>
  <conditionalFormatting sqref="CF28:CI37">
    <cfRule type="cellIs" dxfId="5333" priority="285" stopIfTrue="1" operator="equal">
      <formula>"M"</formula>
    </cfRule>
  </conditionalFormatting>
  <conditionalFormatting sqref="CF28:CI37">
    <cfRule type="cellIs" dxfId="5332" priority="286" stopIfTrue="1" operator="equal">
      <formula>"J"</formula>
    </cfRule>
  </conditionalFormatting>
  <conditionalFormatting sqref="CF28:CI37">
    <cfRule type="cellIs" dxfId="5331" priority="287" stopIfTrue="1" operator="equal">
      <formula>"O"</formula>
    </cfRule>
  </conditionalFormatting>
  <conditionalFormatting sqref="CF28:CI37">
    <cfRule type="expression" dxfId="5330" priority="288" stopIfTrue="1">
      <formula>LEN(TRIM(CF28))=0</formula>
    </cfRule>
  </conditionalFormatting>
  <conditionalFormatting sqref="CK28:CO37">
    <cfRule type="cellIs" dxfId="5329" priority="289" stopIfTrue="1" operator="equal">
      <formula>"E"</formula>
    </cfRule>
  </conditionalFormatting>
  <conditionalFormatting sqref="CK28:CO37">
    <cfRule type="cellIs" dxfId="5328" priority="290" stopIfTrue="1" operator="equal">
      <formula>"S"</formula>
    </cfRule>
  </conditionalFormatting>
  <conditionalFormatting sqref="CK28:CO37">
    <cfRule type="cellIs" dxfId="5327" priority="291" stopIfTrue="1" operator="equal">
      <formula>"M"</formula>
    </cfRule>
  </conditionalFormatting>
  <conditionalFormatting sqref="CK28:CO37">
    <cfRule type="cellIs" dxfId="5326" priority="292" stopIfTrue="1" operator="equal">
      <formula>"J"</formula>
    </cfRule>
  </conditionalFormatting>
  <conditionalFormatting sqref="CK28:CO37">
    <cfRule type="cellIs" dxfId="5325" priority="293" stopIfTrue="1" operator="equal">
      <formula>"O"</formula>
    </cfRule>
  </conditionalFormatting>
  <conditionalFormatting sqref="CK28:CO37">
    <cfRule type="expression" dxfId="5324" priority="294" stopIfTrue="1">
      <formula>LEN(TRIM(CK28))=0</formula>
    </cfRule>
  </conditionalFormatting>
  <conditionalFormatting sqref="CQ28:CU37">
    <cfRule type="cellIs" dxfId="5323" priority="295" stopIfTrue="1" operator="equal">
      <formula>"E"</formula>
    </cfRule>
  </conditionalFormatting>
  <conditionalFormatting sqref="CQ28:CU37">
    <cfRule type="cellIs" dxfId="5322" priority="296" stopIfTrue="1" operator="equal">
      <formula>"S"</formula>
    </cfRule>
  </conditionalFormatting>
  <conditionalFormatting sqref="CQ28:CU37">
    <cfRule type="cellIs" dxfId="5321" priority="297" stopIfTrue="1" operator="equal">
      <formula>"M"</formula>
    </cfRule>
  </conditionalFormatting>
  <conditionalFormatting sqref="CQ28:CU37">
    <cfRule type="cellIs" dxfId="5320" priority="298" stopIfTrue="1" operator="equal">
      <formula>"J"</formula>
    </cfRule>
  </conditionalFormatting>
  <conditionalFormatting sqref="CQ28:CU37">
    <cfRule type="cellIs" dxfId="5319" priority="299" stopIfTrue="1" operator="equal">
      <formula>"O"</formula>
    </cfRule>
  </conditionalFormatting>
  <conditionalFormatting sqref="CQ28:CU37">
    <cfRule type="expression" dxfId="5318" priority="300" stopIfTrue="1">
      <formula>LEN(TRIM(CQ28))=0</formula>
    </cfRule>
  </conditionalFormatting>
  <conditionalFormatting sqref="CW28:DA37">
    <cfRule type="cellIs" dxfId="5317" priority="301" stopIfTrue="1" operator="equal">
      <formula>"E"</formula>
    </cfRule>
  </conditionalFormatting>
  <conditionalFormatting sqref="CW28:DA37">
    <cfRule type="cellIs" dxfId="5316" priority="302" stopIfTrue="1" operator="equal">
      <formula>"S"</formula>
    </cfRule>
  </conditionalFormatting>
  <conditionalFormatting sqref="CW28:DA37">
    <cfRule type="cellIs" dxfId="5315" priority="303" stopIfTrue="1" operator="equal">
      <formula>"M"</formula>
    </cfRule>
  </conditionalFormatting>
  <conditionalFormatting sqref="CW28:DA37">
    <cfRule type="cellIs" dxfId="5314" priority="304" stopIfTrue="1" operator="equal">
      <formula>"J"</formula>
    </cfRule>
  </conditionalFormatting>
  <conditionalFormatting sqref="CW28:DA37">
    <cfRule type="cellIs" dxfId="5313" priority="305" stopIfTrue="1" operator="equal">
      <formula>"O"</formula>
    </cfRule>
  </conditionalFormatting>
  <conditionalFormatting sqref="CW28:DA37">
    <cfRule type="expression" dxfId="5312" priority="306" stopIfTrue="1">
      <formula>LEN(TRIM(CW28))=0</formula>
    </cfRule>
  </conditionalFormatting>
  <conditionalFormatting sqref="D39:K50">
    <cfRule type="cellIs" dxfId="5311" priority="307" stopIfTrue="1" operator="equal">
      <formula>"E"</formula>
    </cfRule>
    <cfRule type="cellIs" dxfId="5310" priority="308" stopIfTrue="1" operator="equal">
      <formula>"S"</formula>
    </cfRule>
    <cfRule type="cellIs" dxfId="5309" priority="309" stopIfTrue="1" operator="equal">
      <formula>"M"</formula>
    </cfRule>
    <cfRule type="cellIs" dxfId="5308" priority="310" stopIfTrue="1" operator="equal">
      <formula>"J"</formula>
    </cfRule>
    <cfRule type="cellIs" dxfId="5307" priority="311" stopIfTrue="1" operator="equal">
      <formula>"O"</formula>
    </cfRule>
    <cfRule type="expression" dxfId="5306" priority="312" stopIfTrue="1">
      <formula>LEN(TRIM(D39))=0</formula>
    </cfRule>
  </conditionalFormatting>
  <conditionalFormatting sqref="L39:O50">
    <cfRule type="cellIs" dxfId="5305" priority="313" stopIfTrue="1" operator="equal">
      <formula>"E"</formula>
    </cfRule>
    <cfRule type="cellIs" dxfId="5304" priority="314" stopIfTrue="1" operator="equal">
      <formula>"S"</formula>
    </cfRule>
    <cfRule type="cellIs" dxfId="5303" priority="315" stopIfTrue="1" operator="equal">
      <formula>"M"</formula>
    </cfRule>
    <cfRule type="cellIs" dxfId="5302" priority="316" stopIfTrue="1" operator="equal">
      <formula>"J"</formula>
    </cfRule>
    <cfRule type="cellIs" dxfId="5301" priority="317" stopIfTrue="1" operator="equal">
      <formula>"O"</formula>
    </cfRule>
    <cfRule type="expression" dxfId="5300" priority="318" stopIfTrue="1">
      <formula>LEN(TRIM(L39))=0</formula>
    </cfRule>
  </conditionalFormatting>
  <conditionalFormatting sqref="P39:AI50">
    <cfRule type="cellIs" dxfId="5299" priority="319" stopIfTrue="1" operator="equal">
      <formula>"E"</formula>
    </cfRule>
    <cfRule type="cellIs" dxfId="5298" priority="320" stopIfTrue="1" operator="equal">
      <formula>"S"</formula>
    </cfRule>
    <cfRule type="cellIs" dxfId="5297" priority="321" stopIfTrue="1" operator="equal">
      <formula>"M"</formula>
    </cfRule>
    <cfRule type="cellIs" dxfId="5296" priority="322" stopIfTrue="1" operator="equal">
      <formula>"J"</formula>
    </cfRule>
    <cfRule type="cellIs" dxfId="5295" priority="323" stopIfTrue="1" operator="equal">
      <formula>"O"</formula>
    </cfRule>
    <cfRule type="expression" dxfId="5294" priority="324" stopIfTrue="1">
      <formula>LEN(TRIM(P39))=0</formula>
    </cfRule>
  </conditionalFormatting>
  <conditionalFormatting sqref="AJ39:AL50">
    <cfRule type="cellIs" dxfId="5293" priority="325" stopIfTrue="1" operator="equal">
      <formula>"E"</formula>
    </cfRule>
    <cfRule type="cellIs" dxfId="5292" priority="326" stopIfTrue="1" operator="equal">
      <formula>"S"</formula>
    </cfRule>
    <cfRule type="cellIs" dxfId="5291" priority="327" stopIfTrue="1" operator="equal">
      <formula>"M"</formula>
    </cfRule>
    <cfRule type="cellIs" dxfId="5290" priority="328" stopIfTrue="1" operator="equal">
      <formula>"J"</formula>
    </cfRule>
    <cfRule type="cellIs" dxfId="5289" priority="329" stopIfTrue="1" operator="equal">
      <formula>"O"</formula>
    </cfRule>
    <cfRule type="expression" dxfId="5288" priority="330" stopIfTrue="1">
      <formula>LEN(TRIM(AJ39))=0</formula>
    </cfRule>
  </conditionalFormatting>
  <conditionalFormatting sqref="AM39:AO50">
    <cfRule type="cellIs" dxfId="5287" priority="331" stopIfTrue="1" operator="equal">
      <formula>"E"</formula>
    </cfRule>
  </conditionalFormatting>
  <conditionalFormatting sqref="AM39:AO50">
    <cfRule type="cellIs" dxfId="5286" priority="332" stopIfTrue="1" operator="equal">
      <formula>"S"</formula>
    </cfRule>
  </conditionalFormatting>
  <conditionalFormatting sqref="AM39:AO50">
    <cfRule type="cellIs" dxfId="5285" priority="333" stopIfTrue="1" operator="equal">
      <formula>"M"</formula>
    </cfRule>
  </conditionalFormatting>
  <conditionalFormatting sqref="AM39:AO50">
    <cfRule type="cellIs" dxfId="5284" priority="334" stopIfTrue="1" operator="equal">
      <formula>"J"</formula>
    </cfRule>
  </conditionalFormatting>
  <conditionalFormatting sqref="AM39:AO50">
    <cfRule type="cellIs" dxfId="5283" priority="335" stopIfTrue="1" operator="equal">
      <formula>"O"</formula>
    </cfRule>
  </conditionalFormatting>
  <conditionalFormatting sqref="AM39:AO50">
    <cfRule type="expression" dxfId="5282" priority="336" stopIfTrue="1">
      <formula>LEN(TRIM(AM39))=0</formula>
    </cfRule>
  </conditionalFormatting>
  <conditionalFormatting sqref="AP39:AT50">
    <cfRule type="cellIs" dxfId="5281" priority="337" stopIfTrue="1" operator="equal">
      <formula>"E"</formula>
    </cfRule>
  </conditionalFormatting>
  <conditionalFormatting sqref="AP39:AT50">
    <cfRule type="cellIs" dxfId="5280" priority="338" stopIfTrue="1" operator="equal">
      <formula>"S"</formula>
    </cfRule>
  </conditionalFormatting>
  <conditionalFormatting sqref="AP39:AT50">
    <cfRule type="cellIs" dxfId="5279" priority="339" stopIfTrue="1" operator="equal">
      <formula>"M"</formula>
    </cfRule>
  </conditionalFormatting>
  <conditionalFormatting sqref="AP39:AT50">
    <cfRule type="cellIs" dxfId="5278" priority="340" stopIfTrue="1" operator="equal">
      <formula>"J"</formula>
    </cfRule>
  </conditionalFormatting>
  <conditionalFormatting sqref="AP39:AT50">
    <cfRule type="cellIs" dxfId="5277" priority="341" stopIfTrue="1" operator="equal">
      <formula>"O"</formula>
    </cfRule>
  </conditionalFormatting>
  <conditionalFormatting sqref="AP39:AT50">
    <cfRule type="expression" dxfId="5276" priority="342" stopIfTrue="1">
      <formula>LEN(TRIM(AP39))=0</formula>
    </cfRule>
  </conditionalFormatting>
  <conditionalFormatting sqref="AU39:BB50">
    <cfRule type="cellIs" dxfId="5275" priority="343" stopIfTrue="1" operator="equal">
      <formula>"E"</formula>
    </cfRule>
  </conditionalFormatting>
  <conditionalFormatting sqref="AU39:BB50">
    <cfRule type="cellIs" dxfId="5274" priority="344" stopIfTrue="1" operator="equal">
      <formula>"S"</formula>
    </cfRule>
  </conditionalFormatting>
  <conditionalFormatting sqref="AU39:BB50">
    <cfRule type="cellIs" dxfId="5273" priority="345" stopIfTrue="1" operator="equal">
      <formula>"M"</formula>
    </cfRule>
  </conditionalFormatting>
  <conditionalFormatting sqref="AU39:BB50">
    <cfRule type="cellIs" dxfId="5272" priority="346" stopIfTrue="1" operator="equal">
      <formula>"J"</formula>
    </cfRule>
  </conditionalFormatting>
  <conditionalFormatting sqref="AU39:BB50">
    <cfRule type="cellIs" dxfId="5271" priority="347" stopIfTrue="1" operator="equal">
      <formula>"O"</formula>
    </cfRule>
  </conditionalFormatting>
  <conditionalFormatting sqref="AU39:BB50">
    <cfRule type="expression" dxfId="5270" priority="348" stopIfTrue="1">
      <formula>LEN(TRIM(AU39))=0</formula>
    </cfRule>
  </conditionalFormatting>
  <conditionalFormatting sqref="BC39:BG50">
    <cfRule type="cellIs" dxfId="5269" priority="349" stopIfTrue="1" operator="equal">
      <formula>"E"</formula>
    </cfRule>
  </conditionalFormatting>
  <conditionalFormatting sqref="BC39:BG50">
    <cfRule type="cellIs" dxfId="5268" priority="350" stopIfTrue="1" operator="equal">
      <formula>"S"</formula>
    </cfRule>
  </conditionalFormatting>
  <conditionalFormatting sqref="BC39:BG50">
    <cfRule type="cellIs" dxfId="5267" priority="351" stopIfTrue="1" operator="equal">
      <formula>"M"</formula>
    </cfRule>
  </conditionalFormatting>
  <conditionalFormatting sqref="BC39:BG50">
    <cfRule type="cellIs" dxfId="5266" priority="352" stopIfTrue="1" operator="equal">
      <formula>"J"</formula>
    </cfRule>
  </conditionalFormatting>
  <conditionalFormatting sqref="BC39:BG50">
    <cfRule type="cellIs" dxfId="5265" priority="353" stopIfTrue="1" operator="equal">
      <formula>"O"</formula>
    </cfRule>
  </conditionalFormatting>
  <conditionalFormatting sqref="BC39:BG50">
    <cfRule type="expression" dxfId="5264" priority="354" stopIfTrue="1">
      <formula>LEN(TRIM(BC39))=0</formula>
    </cfRule>
  </conditionalFormatting>
  <conditionalFormatting sqref="BH39:BJ50">
    <cfRule type="cellIs" dxfId="5263" priority="355" stopIfTrue="1" operator="equal">
      <formula>"E"</formula>
    </cfRule>
  </conditionalFormatting>
  <conditionalFormatting sqref="BH39:BJ50">
    <cfRule type="cellIs" dxfId="5262" priority="356" stopIfTrue="1" operator="equal">
      <formula>"S"</formula>
    </cfRule>
  </conditionalFormatting>
  <conditionalFormatting sqref="BH39:BJ50">
    <cfRule type="cellIs" dxfId="5261" priority="357" stopIfTrue="1" operator="equal">
      <formula>"M"</formula>
    </cfRule>
  </conditionalFormatting>
  <conditionalFormatting sqref="BH39:BJ50">
    <cfRule type="cellIs" dxfId="5260" priority="358" stopIfTrue="1" operator="equal">
      <formula>"J"</formula>
    </cfRule>
  </conditionalFormatting>
  <conditionalFormatting sqref="BH39:BJ50">
    <cfRule type="cellIs" dxfId="5259" priority="359" stopIfTrue="1" operator="equal">
      <formula>"O"</formula>
    </cfRule>
  </conditionalFormatting>
  <conditionalFormatting sqref="BH39:BJ50">
    <cfRule type="expression" dxfId="5258" priority="360" stopIfTrue="1">
      <formula>LEN(TRIM(BH39))=0</formula>
    </cfRule>
  </conditionalFormatting>
  <conditionalFormatting sqref="BK39:BN50">
    <cfRule type="cellIs" dxfId="5257" priority="361" stopIfTrue="1" operator="equal">
      <formula>"E"</formula>
    </cfRule>
  </conditionalFormatting>
  <conditionalFormatting sqref="BK39:BN50">
    <cfRule type="cellIs" dxfId="5256" priority="362" stopIfTrue="1" operator="equal">
      <formula>"S"</formula>
    </cfRule>
  </conditionalFormatting>
  <conditionalFormatting sqref="BK39:BN50">
    <cfRule type="cellIs" dxfId="5255" priority="363" stopIfTrue="1" operator="equal">
      <formula>"M"</formula>
    </cfRule>
  </conditionalFormatting>
  <conditionalFormatting sqref="BK39:BN50">
    <cfRule type="cellIs" dxfId="5254" priority="364" stopIfTrue="1" operator="equal">
      <formula>"J"</formula>
    </cfRule>
  </conditionalFormatting>
  <conditionalFormatting sqref="BK39:BN50">
    <cfRule type="cellIs" dxfId="5253" priority="365" stopIfTrue="1" operator="equal">
      <formula>"O"</formula>
    </cfRule>
  </conditionalFormatting>
  <conditionalFormatting sqref="BK39:BN50">
    <cfRule type="expression" dxfId="5252" priority="366" stopIfTrue="1">
      <formula>LEN(TRIM(BK39))=0</formula>
    </cfRule>
  </conditionalFormatting>
  <conditionalFormatting sqref="BO39:BV50">
    <cfRule type="cellIs" dxfId="5251" priority="367" stopIfTrue="1" operator="equal">
      <formula>"E"</formula>
    </cfRule>
  </conditionalFormatting>
  <conditionalFormatting sqref="BO39:BV50">
    <cfRule type="cellIs" dxfId="5250" priority="368" stopIfTrue="1" operator="equal">
      <formula>"S"</formula>
    </cfRule>
  </conditionalFormatting>
  <conditionalFormatting sqref="BO39:BV50">
    <cfRule type="cellIs" dxfId="5249" priority="369" stopIfTrue="1" operator="equal">
      <formula>"M"</formula>
    </cfRule>
  </conditionalFormatting>
  <conditionalFormatting sqref="BO39:BV50">
    <cfRule type="cellIs" dxfId="5248" priority="370" stopIfTrue="1" operator="equal">
      <formula>"J"</formula>
    </cfRule>
  </conditionalFormatting>
  <conditionalFormatting sqref="BO39:BV50">
    <cfRule type="cellIs" dxfId="5247" priority="371" stopIfTrue="1" operator="equal">
      <formula>"O"</formula>
    </cfRule>
  </conditionalFormatting>
  <conditionalFormatting sqref="BO39:BV50">
    <cfRule type="expression" dxfId="5246" priority="372" stopIfTrue="1">
      <formula>LEN(TRIM(BO39))=0</formula>
    </cfRule>
  </conditionalFormatting>
  <conditionalFormatting sqref="BW39:CB50">
    <cfRule type="cellIs" dxfId="5245" priority="373" stopIfTrue="1" operator="equal">
      <formula>"E"</formula>
    </cfRule>
  </conditionalFormatting>
  <conditionalFormatting sqref="BW39:CB50">
    <cfRule type="cellIs" dxfId="5244" priority="374" stopIfTrue="1" operator="equal">
      <formula>"S"</formula>
    </cfRule>
  </conditionalFormatting>
  <conditionalFormatting sqref="BW39:CB50">
    <cfRule type="cellIs" dxfId="5243" priority="375" stopIfTrue="1" operator="equal">
      <formula>"M"</formula>
    </cfRule>
  </conditionalFormatting>
  <conditionalFormatting sqref="BW39:CB50">
    <cfRule type="cellIs" dxfId="5242" priority="376" stopIfTrue="1" operator="equal">
      <formula>"J"</formula>
    </cfRule>
  </conditionalFormatting>
  <conditionalFormatting sqref="BW39:CB50">
    <cfRule type="cellIs" dxfId="5241" priority="377" stopIfTrue="1" operator="equal">
      <formula>"O"</formula>
    </cfRule>
  </conditionalFormatting>
  <conditionalFormatting sqref="BW39:CB50">
    <cfRule type="expression" dxfId="5240" priority="378" stopIfTrue="1">
      <formula>LEN(TRIM(BW39))=0</formula>
    </cfRule>
  </conditionalFormatting>
  <conditionalFormatting sqref="CC39:CE50">
    <cfRule type="cellIs" dxfId="5239" priority="379" stopIfTrue="1" operator="equal">
      <formula>"E"</formula>
    </cfRule>
  </conditionalFormatting>
  <conditionalFormatting sqref="CC39:CE50">
    <cfRule type="cellIs" dxfId="5238" priority="380" stopIfTrue="1" operator="equal">
      <formula>"S"</formula>
    </cfRule>
  </conditionalFormatting>
  <conditionalFormatting sqref="CC39:CE50">
    <cfRule type="cellIs" dxfId="5237" priority="381" stopIfTrue="1" operator="equal">
      <formula>"M"</formula>
    </cfRule>
  </conditionalFormatting>
  <conditionalFormatting sqref="CC39:CE50">
    <cfRule type="cellIs" dxfId="5236" priority="382" stopIfTrue="1" operator="equal">
      <formula>"J"</formula>
    </cfRule>
  </conditionalFormatting>
  <conditionalFormatting sqref="CC39:CE50">
    <cfRule type="cellIs" dxfId="5235" priority="383" stopIfTrue="1" operator="equal">
      <formula>"O"</formula>
    </cfRule>
  </conditionalFormatting>
  <conditionalFormatting sqref="CC39:CE50">
    <cfRule type="expression" dxfId="5234" priority="384" stopIfTrue="1">
      <formula>LEN(TRIM(CC39))=0</formula>
    </cfRule>
  </conditionalFormatting>
  <conditionalFormatting sqref="CF39:CI50">
    <cfRule type="cellIs" dxfId="5233" priority="385" stopIfTrue="1" operator="equal">
      <formula>"E"</formula>
    </cfRule>
  </conditionalFormatting>
  <conditionalFormatting sqref="CF39:CI50">
    <cfRule type="cellIs" dxfId="5232" priority="386" stopIfTrue="1" operator="equal">
      <formula>"S"</formula>
    </cfRule>
  </conditionalFormatting>
  <conditionalFormatting sqref="CF39:CI50">
    <cfRule type="cellIs" dxfId="5231" priority="387" stopIfTrue="1" operator="equal">
      <formula>"M"</formula>
    </cfRule>
  </conditionalFormatting>
  <conditionalFormatting sqref="CF39:CI50">
    <cfRule type="cellIs" dxfId="5230" priority="388" stopIfTrue="1" operator="equal">
      <formula>"J"</formula>
    </cfRule>
  </conditionalFormatting>
  <conditionalFormatting sqref="CF39:CI50">
    <cfRule type="cellIs" dxfId="5229" priority="389" stopIfTrue="1" operator="equal">
      <formula>"O"</formula>
    </cfRule>
  </conditionalFormatting>
  <conditionalFormatting sqref="CF39:CI50">
    <cfRule type="expression" dxfId="5228" priority="390" stopIfTrue="1">
      <formula>LEN(TRIM(CF39))=0</formula>
    </cfRule>
  </conditionalFormatting>
  <conditionalFormatting sqref="CK39:CO50">
    <cfRule type="cellIs" dxfId="5227" priority="391" stopIfTrue="1" operator="equal">
      <formula>"E"</formula>
    </cfRule>
  </conditionalFormatting>
  <conditionalFormatting sqref="CK39:CO50">
    <cfRule type="cellIs" dxfId="5226" priority="392" stopIfTrue="1" operator="equal">
      <formula>"S"</formula>
    </cfRule>
  </conditionalFormatting>
  <conditionalFormatting sqref="CK39:CO50">
    <cfRule type="cellIs" dxfId="5225" priority="393" stopIfTrue="1" operator="equal">
      <formula>"M"</formula>
    </cfRule>
  </conditionalFormatting>
  <conditionalFormatting sqref="CK39:CO50">
    <cfRule type="cellIs" dxfId="5224" priority="394" stopIfTrue="1" operator="equal">
      <formula>"J"</formula>
    </cfRule>
  </conditionalFormatting>
  <conditionalFormatting sqref="CK39:CO50">
    <cfRule type="cellIs" dxfId="5223" priority="395" stopIfTrue="1" operator="equal">
      <formula>"O"</formula>
    </cfRule>
  </conditionalFormatting>
  <conditionalFormatting sqref="CK39:CO50">
    <cfRule type="expression" dxfId="5222" priority="396" stopIfTrue="1">
      <formula>LEN(TRIM(CK39))=0</formula>
    </cfRule>
  </conditionalFormatting>
  <conditionalFormatting sqref="CQ39:CU50">
    <cfRule type="cellIs" dxfId="5221" priority="397" stopIfTrue="1" operator="equal">
      <formula>"E"</formula>
    </cfRule>
  </conditionalFormatting>
  <conditionalFormatting sqref="CQ39:CU50">
    <cfRule type="cellIs" dxfId="5220" priority="398" stopIfTrue="1" operator="equal">
      <formula>"S"</formula>
    </cfRule>
  </conditionalFormatting>
  <conditionalFormatting sqref="CQ39:CU50">
    <cfRule type="cellIs" dxfId="5219" priority="399" stopIfTrue="1" operator="equal">
      <formula>"M"</formula>
    </cfRule>
  </conditionalFormatting>
  <conditionalFormatting sqref="CQ39:CU50">
    <cfRule type="cellIs" dxfId="5218" priority="400" stopIfTrue="1" operator="equal">
      <formula>"J"</formula>
    </cfRule>
  </conditionalFormatting>
  <conditionalFormatting sqref="CQ39:CU50">
    <cfRule type="cellIs" dxfId="5217" priority="401" stopIfTrue="1" operator="equal">
      <formula>"O"</formula>
    </cfRule>
  </conditionalFormatting>
  <conditionalFormatting sqref="CQ39:CU50">
    <cfRule type="expression" dxfId="5216" priority="402" stopIfTrue="1">
      <formula>LEN(TRIM(CQ39))=0</formula>
    </cfRule>
  </conditionalFormatting>
  <conditionalFormatting sqref="CW39:DA50">
    <cfRule type="cellIs" dxfId="5215" priority="403" stopIfTrue="1" operator="equal">
      <formula>"E"</formula>
    </cfRule>
  </conditionalFormatting>
  <conditionalFormatting sqref="CW39:DA50">
    <cfRule type="cellIs" dxfId="5214" priority="404" stopIfTrue="1" operator="equal">
      <formula>"S"</formula>
    </cfRule>
  </conditionalFormatting>
  <conditionalFormatting sqref="CW39:DA50">
    <cfRule type="cellIs" dxfId="5213" priority="405" stopIfTrue="1" operator="equal">
      <formula>"M"</formula>
    </cfRule>
  </conditionalFormatting>
  <conditionalFormatting sqref="CW39:DA50">
    <cfRule type="cellIs" dxfId="5212" priority="406" stopIfTrue="1" operator="equal">
      <formula>"J"</formula>
    </cfRule>
  </conditionalFormatting>
  <conditionalFormatting sqref="CW39:DA50">
    <cfRule type="cellIs" dxfId="5211" priority="407" stopIfTrue="1" operator="equal">
      <formula>"O"</formula>
    </cfRule>
  </conditionalFormatting>
  <conditionalFormatting sqref="CW39:DA50">
    <cfRule type="expression" dxfId="5210" priority="408" stopIfTrue="1">
      <formula>LEN(TRIM(CW39))=0</formula>
    </cfRule>
  </conditionalFormatting>
  <conditionalFormatting sqref="D52:K59">
    <cfRule type="cellIs" dxfId="5209" priority="409" stopIfTrue="1" operator="equal">
      <formula>"E"</formula>
    </cfRule>
    <cfRule type="cellIs" dxfId="5208" priority="410" stopIfTrue="1" operator="equal">
      <formula>"S"</formula>
    </cfRule>
    <cfRule type="cellIs" dxfId="5207" priority="411" stopIfTrue="1" operator="equal">
      <formula>"M"</formula>
    </cfRule>
    <cfRule type="cellIs" dxfId="5206" priority="412" stopIfTrue="1" operator="equal">
      <formula>"J"</formula>
    </cfRule>
    <cfRule type="cellIs" dxfId="5205" priority="413" stopIfTrue="1" operator="equal">
      <formula>"O"</formula>
    </cfRule>
    <cfRule type="expression" dxfId="5204" priority="414" stopIfTrue="1">
      <formula>LEN(TRIM(D52))=0</formula>
    </cfRule>
  </conditionalFormatting>
  <conditionalFormatting sqref="L52:O59">
    <cfRule type="cellIs" dxfId="5203" priority="415" stopIfTrue="1" operator="equal">
      <formula>"E"</formula>
    </cfRule>
    <cfRule type="cellIs" dxfId="5202" priority="416" stopIfTrue="1" operator="equal">
      <formula>"S"</formula>
    </cfRule>
    <cfRule type="cellIs" dxfId="5201" priority="417" stopIfTrue="1" operator="equal">
      <formula>"M"</formula>
    </cfRule>
    <cfRule type="cellIs" dxfId="5200" priority="418" stopIfTrue="1" operator="equal">
      <formula>"J"</formula>
    </cfRule>
    <cfRule type="cellIs" dxfId="5199" priority="419" stopIfTrue="1" operator="equal">
      <formula>"O"</formula>
    </cfRule>
    <cfRule type="expression" dxfId="5198" priority="420" stopIfTrue="1">
      <formula>LEN(TRIM(L52))=0</formula>
    </cfRule>
  </conditionalFormatting>
  <conditionalFormatting sqref="P52:AI59">
    <cfRule type="cellIs" dxfId="5197" priority="421" stopIfTrue="1" operator="equal">
      <formula>"E"</formula>
    </cfRule>
    <cfRule type="cellIs" dxfId="5196" priority="422" stopIfTrue="1" operator="equal">
      <formula>"S"</formula>
    </cfRule>
    <cfRule type="cellIs" dxfId="5195" priority="423" stopIfTrue="1" operator="equal">
      <formula>"M"</formula>
    </cfRule>
    <cfRule type="cellIs" dxfId="5194" priority="424" stopIfTrue="1" operator="equal">
      <formula>"J"</formula>
    </cfRule>
    <cfRule type="cellIs" dxfId="5193" priority="425" stopIfTrue="1" operator="equal">
      <formula>"O"</formula>
    </cfRule>
    <cfRule type="expression" dxfId="5192" priority="426" stopIfTrue="1">
      <formula>LEN(TRIM(P52))=0</formula>
    </cfRule>
  </conditionalFormatting>
  <conditionalFormatting sqref="AJ52:AL59">
    <cfRule type="cellIs" dxfId="5191" priority="427" stopIfTrue="1" operator="equal">
      <formula>"E"</formula>
    </cfRule>
    <cfRule type="cellIs" dxfId="5190" priority="428" stopIfTrue="1" operator="equal">
      <formula>"S"</formula>
    </cfRule>
    <cfRule type="cellIs" dxfId="5189" priority="429" stopIfTrue="1" operator="equal">
      <formula>"M"</formula>
    </cfRule>
    <cfRule type="cellIs" dxfId="5188" priority="430" stopIfTrue="1" operator="equal">
      <formula>"J"</formula>
    </cfRule>
    <cfRule type="cellIs" dxfId="5187" priority="431" stopIfTrue="1" operator="equal">
      <formula>"O"</formula>
    </cfRule>
    <cfRule type="expression" dxfId="5186" priority="432" stopIfTrue="1">
      <formula>LEN(TRIM(AJ52))=0</formula>
    </cfRule>
  </conditionalFormatting>
  <conditionalFormatting sqref="AM52:AO59">
    <cfRule type="cellIs" dxfId="5185" priority="433" stopIfTrue="1" operator="equal">
      <formula>"E"</formula>
    </cfRule>
  </conditionalFormatting>
  <conditionalFormatting sqref="AM52:AO59">
    <cfRule type="cellIs" dxfId="5184" priority="434" stopIfTrue="1" operator="equal">
      <formula>"S"</formula>
    </cfRule>
  </conditionalFormatting>
  <conditionalFormatting sqref="AM52:AO59">
    <cfRule type="cellIs" dxfId="5183" priority="435" stopIfTrue="1" operator="equal">
      <formula>"M"</formula>
    </cfRule>
  </conditionalFormatting>
  <conditionalFormatting sqref="AM52:AO59">
    <cfRule type="cellIs" dxfId="5182" priority="436" stopIfTrue="1" operator="equal">
      <formula>"J"</formula>
    </cfRule>
  </conditionalFormatting>
  <conditionalFormatting sqref="AM52:AO59">
    <cfRule type="cellIs" dxfId="5181" priority="437" stopIfTrue="1" operator="equal">
      <formula>"O"</formula>
    </cfRule>
  </conditionalFormatting>
  <conditionalFormatting sqref="AM52:AO59">
    <cfRule type="expression" dxfId="5180" priority="438" stopIfTrue="1">
      <formula>LEN(TRIM(AM52))=0</formula>
    </cfRule>
  </conditionalFormatting>
  <conditionalFormatting sqref="AP52:AT59">
    <cfRule type="cellIs" dxfId="5179" priority="439" stopIfTrue="1" operator="equal">
      <formula>"E"</formula>
    </cfRule>
  </conditionalFormatting>
  <conditionalFormatting sqref="AP52:AT59">
    <cfRule type="cellIs" dxfId="5178" priority="440" stopIfTrue="1" operator="equal">
      <formula>"S"</formula>
    </cfRule>
  </conditionalFormatting>
  <conditionalFormatting sqref="AP52:AT59">
    <cfRule type="cellIs" dxfId="5177" priority="441" stopIfTrue="1" operator="equal">
      <formula>"M"</formula>
    </cfRule>
  </conditionalFormatting>
  <conditionalFormatting sqref="AP52:AT59">
    <cfRule type="cellIs" dxfId="5176" priority="442" stopIfTrue="1" operator="equal">
      <formula>"J"</formula>
    </cfRule>
  </conditionalFormatting>
  <conditionalFormatting sqref="AP52:AT59">
    <cfRule type="cellIs" dxfId="5175" priority="443" stopIfTrue="1" operator="equal">
      <formula>"O"</formula>
    </cfRule>
  </conditionalFormatting>
  <conditionalFormatting sqref="AP52:AT59">
    <cfRule type="expression" dxfId="5174" priority="444" stopIfTrue="1">
      <formula>LEN(TRIM(AP52))=0</formula>
    </cfRule>
  </conditionalFormatting>
  <conditionalFormatting sqref="AU52:BB59">
    <cfRule type="cellIs" dxfId="5173" priority="445" stopIfTrue="1" operator="equal">
      <formula>"E"</formula>
    </cfRule>
  </conditionalFormatting>
  <conditionalFormatting sqref="AU52:BB59">
    <cfRule type="cellIs" dxfId="5172" priority="446" stopIfTrue="1" operator="equal">
      <formula>"S"</formula>
    </cfRule>
  </conditionalFormatting>
  <conditionalFormatting sqref="AU52:BB59">
    <cfRule type="cellIs" dxfId="5171" priority="447" stopIfTrue="1" operator="equal">
      <formula>"M"</formula>
    </cfRule>
  </conditionalFormatting>
  <conditionalFormatting sqref="AU52:BB59">
    <cfRule type="cellIs" dxfId="5170" priority="448" stopIfTrue="1" operator="equal">
      <formula>"J"</formula>
    </cfRule>
  </conditionalFormatting>
  <conditionalFormatting sqref="AU52:BB59">
    <cfRule type="cellIs" dxfId="5169" priority="449" stopIfTrue="1" operator="equal">
      <formula>"O"</formula>
    </cfRule>
  </conditionalFormatting>
  <conditionalFormatting sqref="AU52:BB59">
    <cfRule type="expression" dxfId="5168" priority="450" stopIfTrue="1">
      <formula>LEN(TRIM(AU52))=0</formula>
    </cfRule>
  </conditionalFormatting>
  <conditionalFormatting sqref="BC52:BG59">
    <cfRule type="cellIs" dxfId="5167" priority="451" stopIfTrue="1" operator="equal">
      <formula>"E"</formula>
    </cfRule>
  </conditionalFormatting>
  <conditionalFormatting sqref="BC52:BG59">
    <cfRule type="cellIs" dxfId="5166" priority="452" stopIfTrue="1" operator="equal">
      <formula>"S"</formula>
    </cfRule>
  </conditionalFormatting>
  <conditionalFormatting sqref="BC52:BG59">
    <cfRule type="cellIs" dxfId="5165" priority="453" stopIfTrue="1" operator="equal">
      <formula>"M"</formula>
    </cfRule>
  </conditionalFormatting>
  <conditionalFormatting sqref="BC52:BG59">
    <cfRule type="cellIs" dxfId="5164" priority="454" stopIfTrue="1" operator="equal">
      <formula>"J"</formula>
    </cfRule>
  </conditionalFormatting>
  <conditionalFormatting sqref="BC52:BG59">
    <cfRule type="cellIs" dxfId="5163" priority="455" stopIfTrue="1" operator="equal">
      <formula>"O"</formula>
    </cfRule>
  </conditionalFormatting>
  <conditionalFormatting sqref="BC52:BG59">
    <cfRule type="expression" dxfId="5162" priority="456" stopIfTrue="1">
      <formula>LEN(TRIM(BC52))=0</formula>
    </cfRule>
  </conditionalFormatting>
  <conditionalFormatting sqref="BH52:BJ59">
    <cfRule type="cellIs" dxfId="5161" priority="457" stopIfTrue="1" operator="equal">
      <formula>"E"</formula>
    </cfRule>
  </conditionalFormatting>
  <conditionalFormatting sqref="BH52:BJ59">
    <cfRule type="cellIs" dxfId="5160" priority="458" stopIfTrue="1" operator="equal">
      <formula>"S"</formula>
    </cfRule>
  </conditionalFormatting>
  <conditionalFormatting sqref="BH52:BJ59">
    <cfRule type="cellIs" dxfId="5159" priority="459" stopIfTrue="1" operator="equal">
      <formula>"M"</formula>
    </cfRule>
  </conditionalFormatting>
  <conditionalFormatting sqref="BH52:BJ59">
    <cfRule type="cellIs" dxfId="5158" priority="460" stopIfTrue="1" operator="equal">
      <formula>"J"</formula>
    </cfRule>
  </conditionalFormatting>
  <conditionalFormatting sqref="BH52:BJ59">
    <cfRule type="cellIs" dxfId="5157" priority="461" stopIfTrue="1" operator="equal">
      <formula>"O"</formula>
    </cfRule>
  </conditionalFormatting>
  <conditionalFormatting sqref="BH52:BJ59">
    <cfRule type="expression" dxfId="5156" priority="462" stopIfTrue="1">
      <formula>LEN(TRIM(BH52))=0</formula>
    </cfRule>
  </conditionalFormatting>
  <conditionalFormatting sqref="BK52:BN59">
    <cfRule type="cellIs" dxfId="5155" priority="463" stopIfTrue="1" operator="equal">
      <formula>"E"</formula>
    </cfRule>
  </conditionalFormatting>
  <conditionalFormatting sqref="BK52:BN59">
    <cfRule type="cellIs" dxfId="5154" priority="464" stopIfTrue="1" operator="equal">
      <formula>"S"</formula>
    </cfRule>
  </conditionalFormatting>
  <conditionalFormatting sqref="BK52:BN59">
    <cfRule type="cellIs" dxfId="5153" priority="465" stopIfTrue="1" operator="equal">
      <formula>"M"</formula>
    </cfRule>
  </conditionalFormatting>
  <conditionalFormatting sqref="BK52:BN59">
    <cfRule type="cellIs" dxfId="5152" priority="466" stopIfTrue="1" operator="equal">
      <formula>"J"</formula>
    </cfRule>
  </conditionalFormatting>
  <conditionalFormatting sqref="BK52:BN59">
    <cfRule type="cellIs" dxfId="5151" priority="467" stopIfTrue="1" operator="equal">
      <formula>"O"</formula>
    </cfRule>
  </conditionalFormatting>
  <conditionalFormatting sqref="BK52:BN59">
    <cfRule type="expression" dxfId="5150" priority="468" stopIfTrue="1">
      <formula>LEN(TRIM(BK52))=0</formula>
    </cfRule>
  </conditionalFormatting>
  <conditionalFormatting sqref="BO52:BV59">
    <cfRule type="cellIs" dxfId="5149" priority="469" stopIfTrue="1" operator="equal">
      <formula>"E"</formula>
    </cfRule>
  </conditionalFormatting>
  <conditionalFormatting sqref="BO52:BV59">
    <cfRule type="cellIs" dxfId="5148" priority="470" stopIfTrue="1" operator="equal">
      <formula>"S"</formula>
    </cfRule>
  </conditionalFormatting>
  <conditionalFormatting sqref="BO52:BV59">
    <cfRule type="cellIs" dxfId="5147" priority="471" stopIfTrue="1" operator="equal">
      <formula>"M"</formula>
    </cfRule>
  </conditionalFormatting>
  <conditionalFormatting sqref="BO52:BV59">
    <cfRule type="cellIs" dxfId="5146" priority="472" stopIfTrue="1" operator="equal">
      <formula>"J"</formula>
    </cfRule>
  </conditionalFormatting>
  <conditionalFormatting sqref="BO52:BV59">
    <cfRule type="cellIs" dxfId="5145" priority="473" stopIfTrue="1" operator="equal">
      <formula>"O"</formula>
    </cfRule>
  </conditionalFormatting>
  <conditionalFormatting sqref="BO52:BV59">
    <cfRule type="expression" dxfId="5144" priority="474" stopIfTrue="1">
      <formula>LEN(TRIM(BO52))=0</formula>
    </cfRule>
  </conditionalFormatting>
  <conditionalFormatting sqref="BW52:CB59">
    <cfRule type="cellIs" dxfId="5143" priority="475" stopIfTrue="1" operator="equal">
      <formula>"E"</formula>
    </cfRule>
  </conditionalFormatting>
  <conditionalFormatting sqref="BW52:CB59">
    <cfRule type="cellIs" dxfId="5142" priority="476" stopIfTrue="1" operator="equal">
      <formula>"S"</formula>
    </cfRule>
  </conditionalFormatting>
  <conditionalFormatting sqref="BW52:CB59">
    <cfRule type="cellIs" dxfId="5141" priority="477" stopIfTrue="1" operator="equal">
      <formula>"M"</formula>
    </cfRule>
  </conditionalFormatting>
  <conditionalFormatting sqref="BW52:CB59">
    <cfRule type="cellIs" dxfId="5140" priority="478" stopIfTrue="1" operator="equal">
      <formula>"J"</formula>
    </cfRule>
  </conditionalFormatting>
  <conditionalFormatting sqref="BW52:CB59">
    <cfRule type="cellIs" dxfId="5139" priority="479" stopIfTrue="1" operator="equal">
      <formula>"O"</formula>
    </cfRule>
  </conditionalFormatting>
  <conditionalFormatting sqref="BW52:CB59">
    <cfRule type="expression" dxfId="5138" priority="480" stopIfTrue="1">
      <formula>LEN(TRIM(BW52))=0</formula>
    </cfRule>
  </conditionalFormatting>
  <conditionalFormatting sqref="CC52:CE59">
    <cfRule type="cellIs" dxfId="5137" priority="481" stopIfTrue="1" operator="equal">
      <formula>"E"</formula>
    </cfRule>
  </conditionalFormatting>
  <conditionalFormatting sqref="CC52:CE59">
    <cfRule type="cellIs" dxfId="5136" priority="482" stopIfTrue="1" operator="equal">
      <formula>"S"</formula>
    </cfRule>
  </conditionalFormatting>
  <conditionalFormatting sqref="CC52:CE59">
    <cfRule type="cellIs" dxfId="5135" priority="483" stopIfTrue="1" operator="equal">
      <formula>"M"</formula>
    </cfRule>
  </conditionalFormatting>
  <conditionalFormatting sqref="CC52:CE59">
    <cfRule type="cellIs" dxfId="5134" priority="484" stopIfTrue="1" operator="equal">
      <formula>"J"</formula>
    </cfRule>
  </conditionalFormatting>
  <conditionalFormatting sqref="CC52:CE59">
    <cfRule type="cellIs" dxfId="5133" priority="485" stopIfTrue="1" operator="equal">
      <formula>"O"</formula>
    </cfRule>
  </conditionalFormatting>
  <conditionalFormatting sqref="CC52:CE59">
    <cfRule type="expression" dxfId="5132" priority="486" stopIfTrue="1">
      <formula>LEN(TRIM(CC52))=0</formula>
    </cfRule>
  </conditionalFormatting>
  <conditionalFormatting sqref="CF52:CI59">
    <cfRule type="cellIs" dxfId="5131" priority="487" stopIfTrue="1" operator="equal">
      <formula>"E"</formula>
    </cfRule>
  </conditionalFormatting>
  <conditionalFormatting sqref="CF52:CI59">
    <cfRule type="cellIs" dxfId="5130" priority="488" stopIfTrue="1" operator="equal">
      <formula>"S"</formula>
    </cfRule>
  </conditionalFormatting>
  <conditionalFormatting sqref="CF52:CI59">
    <cfRule type="cellIs" dxfId="5129" priority="489" stopIfTrue="1" operator="equal">
      <formula>"M"</formula>
    </cfRule>
  </conditionalFormatting>
  <conditionalFormatting sqref="CF52:CI59">
    <cfRule type="cellIs" dxfId="5128" priority="490" stopIfTrue="1" operator="equal">
      <formula>"J"</formula>
    </cfRule>
  </conditionalFormatting>
  <conditionalFormatting sqref="CF52:CI59">
    <cfRule type="cellIs" dxfId="5127" priority="491" stopIfTrue="1" operator="equal">
      <formula>"O"</formula>
    </cfRule>
  </conditionalFormatting>
  <conditionalFormatting sqref="CF52:CI59">
    <cfRule type="expression" dxfId="5126" priority="492" stopIfTrue="1">
      <formula>LEN(TRIM(CF52))=0</formula>
    </cfRule>
  </conditionalFormatting>
  <conditionalFormatting sqref="CK52:CO59">
    <cfRule type="cellIs" dxfId="5125" priority="493" stopIfTrue="1" operator="equal">
      <formula>"E"</formula>
    </cfRule>
  </conditionalFormatting>
  <conditionalFormatting sqref="CK52:CO59">
    <cfRule type="cellIs" dxfId="5124" priority="494" stopIfTrue="1" operator="equal">
      <formula>"S"</formula>
    </cfRule>
  </conditionalFormatting>
  <conditionalFormatting sqref="CK52:CO59">
    <cfRule type="cellIs" dxfId="5123" priority="495" stopIfTrue="1" operator="equal">
      <formula>"M"</formula>
    </cfRule>
  </conditionalFormatting>
  <conditionalFormatting sqref="CK52:CO59">
    <cfRule type="cellIs" dxfId="5122" priority="496" stopIfTrue="1" operator="equal">
      <formula>"J"</formula>
    </cfRule>
  </conditionalFormatting>
  <conditionalFormatting sqref="CK52:CO59">
    <cfRule type="cellIs" dxfId="5121" priority="497" stopIfTrue="1" operator="equal">
      <formula>"O"</formula>
    </cfRule>
  </conditionalFormatting>
  <conditionalFormatting sqref="CK52:CO59">
    <cfRule type="expression" dxfId="5120" priority="498" stopIfTrue="1">
      <formula>LEN(TRIM(CK52))=0</formula>
    </cfRule>
  </conditionalFormatting>
  <conditionalFormatting sqref="CQ52:CU59">
    <cfRule type="cellIs" dxfId="5119" priority="499" stopIfTrue="1" operator="equal">
      <formula>"E"</formula>
    </cfRule>
  </conditionalFormatting>
  <conditionalFormatting sqref="CQ52:CU59">
    <cfRule type="cellIs" dxfId="5118" priority="500" stopIfTrue="1" operator="equal">
      <formula>"S"</formula>
    </cfRule>
  </conditionalFormatting>
  <conditionalFormatting sqref="CQ52:CU59">
    <cfRule type="cellIs" dxfId="5117" priority="501" stopIfTrue="1" operator="equal">
      <formula>"M"</formula>
    </cfRule>
  </conditionalFormatting>
  <conditionalFormatting sqref="CQ52:CU59">
    <cfRule type="cellIs" dxfId="5116" priority="502" stopIfTrue="1" operator="equal">
      <formula>"J"</formula>
    </cfRule>
  </conditionalFormatting>
  <conditionalFormatting sqref="CQ52:CU59">
    <cfRule type="cellIs" dxfId="5115" priority="503" stopIfTrue="1" operator="equal">
      <formula>"O"</formula>
    </cfRule>
  </conditionalFormatting>
  <conditionalFormatting sqref="CQ52:CU59">
    <cfRule type="expression" dxfId="5114" priority="504" stopIfTrue="1">
      <formula>LEN(TRIM(CQ52))=0</formula>
    </cfRule>
  </conditionalFormatting>
  <conditionalFormatting sqref="CW52:DA59">
    <cfRule type="cellIs" dxfId="5113" priority="505" stopIfTrue="1" operator="equal">
      <formula>"E"</formula>
    </cfRule>
  </conditionalFormatting>
  <conditionalFormatting sqref="CW52:DA59">
    <cfRule type="cellIs" dxfId="5112" priority="506" stopIfTrue="1" operator="equal">
      <formula>"S"</formula>
    </cfRule>
  </conditionalFormatting>
  <conditionalFormatting sqref="CW52:DA59">
    <cfRule type="cellIs" dxfId="5111" priority="507" stopIfTrue="1" operator="equal">
      <formula>"M"</formula>
    </cfRule>
  </conditionalFormatting>
  <conditionalFormatting sqref="CW52:DA59">
    <cfRule type="cellIs" dxfId="5110" priority="508" stopIfTrue="1" operator="equal">
      <formula>"J"</formula>
    </cfRule>
  </conditionalFormatting>
  <conditionalFormatting sqref="CW52:DA59">
    <cfRule type="cellIs" dxfId="5109" priority="509" stopIfTrue="1" operator="equal">
      <formula>"O"</formula>
    </cfRule>
  </conditionalFormatting>
  <conditionalFormatting sqref="CW52:DA59">
    <cfRule type="expression" dxfId="5108" priority="510" stopIfTrue="1">
      <formula>LEN(TRIM(CW52))=0</formula>
    </cfRule>
  </conditionalFormatting>
  <conditionalFormatting sqref="D61:K78">
    <cfRule type="cellIs" dxfId="5107" priority="511" stopIfTrue="1" operator="equal">
      <formula>"E"</formula>
    </cfRule>
  </conditionalFormatting>
  <conditionalFormatting sqref="D61:K78">
    <cfRule type="cellIs" dxfId="5106" priority="512" stopIfTrue="1" operator="equal">
      <formula>"S"</formula>
    </cfRule>
  </conditionalFormatting>
  <conditionalFormatting sqref="D61:K78">
    <cfRule type="cellIs" dxfId="5105" priority="513" stopIfTrue="1" operator="equal">
      <formula>"M"</formula>
    </cfRule>
  </conditionalFormatting>
  <conditionalFormatting sqref="D61:K78">
    <cfRule type="cellIs" dxfId="5104" priority="514" stopIfTrue="1" operator="equal">
      <formula>"J"</formula>
    </cfRule>
  </conditionalFormatting>
  <conditionalFormatting sqref="D61:K78">
    <cfRule type="cellIs" dxfId="5103" priority="515" stopIfTrue="1" operator="equal">
      <formula>"O"</formula>
    </cfRule>
  </conditionalFormatting>
  <conditionalFormatting sqref="D61:K78">
    <cfRule type="expression" dxfId="5102" priority="516" stopIfTrue="1">
      <formula>LEN(TRIM(D61))=0</formula>
    </cfRule>
  </conditionalFormatting>
  <conditionalFormatting sqref="L61:O78">
    <cfRule type="cellIs" dxfId="5101" priority="517" stopIfTrue="1" operator="equal">
      <formula>"E"</formula>
    </cfRule>
  </conditionalFormatting>
  <conditionalFormatting sqref="L61:O78">
    <cfRule type="cellIs" dxfId="5100" priority="518" stopIfTrue="1" operator="equal">
      <formula>"S"</formula>
    </cfRule>
  </conditionalFormatting>
  <conditionalFormatting sqref="L61:O78">
    <cfRule type="cellIs" dxfId="5099" priority="519" stopIfTrue="1" operator="equal">
      <formula>"M"</formula>
    </cfRule>
  </conditionalFormatting>
  <conditionalFormatting sqref="L61:O78">
    <cfRule type="cellIs" dxfId="5098" priority="520" stopIfTrue="1" operator="equal">
      <formula>"J"</formula>
    </cfRule>
  </conditionalFormatting>
  <conditionalFormatting sqref="L61:O78">
    <cfRule type="cellIs" dxfId="5097" priority="521" stopIfTrue="1" operator="equal">
      <formula>"O"</formula>
    </cfRule>
  </conditionalFormatting>
  <conditionalFormatting sqref="L61:O78">
    <cfRule type="expression" dxfId="5096" priority="522" stopIfTrue="1">
      <formula>LEN(TRIM(L61))=0</formula>
    </cfRule>
  </conditionalFormatting>
  <conditionalFormatting sqref="P61:AI78">
    <cfRule type="cellIs" dxfId="5095" priority="523" stopIfTrue="1" operator="equal">
      <formula>"E"</formula>
    </cfRule>
  </conditionalFormatting>
  <conditionalFormatting sqref="P61:AI78">
    <cfRule type="cellIs" dxfId="5094" priority="524" stopIfTrue="1" operator="equal">
      <formula>"S"</formula>
    </cfRule>
  </conditionalFormatting>
  <conditionalFormatting sqref="P61:AI78">
    <cfRule type="cellIs" dxfId="5093" priority="525" stopIfTrue="1" operator="equal">
      <formula>"M"</formula>
    </cfRule>
  </conditionalFormatting>
  <conditionalFormatting sqref="P61:AI78">
    <cfRule type="cellIs" dxfId="5092" priority="526" stopIfTrue="1" operator="equal">
      <formula>"J"</formula>
    </cfRule>
  </conditionalFormatting>
  <conditionalFormatting sqref="P61:AI78">
    <cfRule type="cellIs" dxfId="5091" priority="527" stopIfTrue="1" operator="equal">
      <formula>"O"</formula>
    </cfRule>
  </conditionalFormatting>
  <conditionalFormatting sqref="P61:AI78">
    <cfRule type="expression" dxfId="5090" priority="528" stopIfTrue="1">
      <formula>LEN(TRIM(P61))=0</formula>
    </cfRule>
  </conditionalFormatting>
  <conditionalFormatting sqref="AJ61:AL78">
    <cfRule type="cellIs" dxfId="5089" priority="529" stopIfTrue="1" operator="equal">
      <formula>"E"</formula>
    </cfRule>
  </conditionalFormatting>
  <conditionalFormatting sqref="AJ61:AL78">
    <cfRule type="cellIs" dxfId="5088" priority="530" stopIfTrue="1" operator="equal">
      <formula>"S"</formula>
    </cfRule>
  </conditionalFormatting>
  <conditionalFormatting sqref="AJ61:AL78">
    <cfRule type="cellIs" dxfId="5087" priority="531" stopIfTrue="1" operator="equal">
      <formula>"M"</formula>
    </cfRule>
  </conditionalFormatting>
  <conditionalFormatting sqref="AJ61:AL78">
    <cfRule type="cellIs" dxfId="5086" priority="532" stopIfTrue="1" operator="equal">
      <formula>"J"</formula>
    </cfRule>
  </conditionalFormatting>
  <conditionalFormatting sqref="AJ61:AL78">
    <cfRule type="cellIs" dxfId="5085" priority="533" stopIfTrue="1" operator="equal">
      <formula>"O"</formula>
    </cfRule>
  </conditionalFormatting>
  <conditionalFormatting sqref="AJ61:AL78">
    <cfRule type="expression" dxfId="5084" priority="534" stopIfTrue="1">
      <formula>LEN(TRIM(AJ61))=0</formula>
    </cfRule>
  </conditionalFormatting>
  <conditionalFormatting sqref="AM61:AO78">
    <cfRule type="cellIs" dxfId="5083" priority="535" stopIfTrue="1" operator="equal">
      <formula>"E"</formula>
    </cfRule>
  </conditionalFormatting>
  <conditionalFormatting sqref="AM61:AO78">
    <cfRule type="cellIs" dxfId="5082" priority="536" stopIfTrue="1" operator="equal">
      <formula>"S"</formula>
    </cfRule>
  </conditionalFormatting>
  <conditionalFormatting sqref="AM61:AO78">
    <cfRule type="cellIs" dxfId="5081" priority="537" stopIfTrue="1" operator="equal">
      <formula>"M"</formula>
    </cfRule>
  </conditionalFormatting>
  <conditionalFormatting sqref="AM61:AO78">
    <cfRule type="cellIs" dxfId="5080" priority="538" stopIfTrue="1" operator="equal">
      <formula>"J"</formula>
    </cfRule>
  </conditionalFormatting>
  <conditionalFormatting sqref="AM61:AO78">
    <cfRule type="cellIs" dxfId="5079" priority="539" stopIfTrue="1" operator="equal">
      <formula>"O"</formula>
    </cfRule>
  </conditionalFormatting>
  <conditionalFormatting sqref="AM61:AO78">
    <cfRule type="expression" dxfId="5078" priority="540" stopIfTrue="1">
      <formula>LEN(TRIM(AM61))=0</formula>
    </cfRule>
  </conditionalFormatting>
  <conditionalFormatting sqref="AP61:AT78">
    <cfRule type="cellIs" dxfId="5077" priority="541" stopIfTrue="1" operator="equal">
      <formula>"E"</formula>
    </cfRule>
  </conditionalFormatting>
  <conditionalFormatting sqref="AP61:AT78">
    <cfRule type="cellIs" dxfId="5076" priority="542" stopIfTrue="1" operator="equal">
      <formula>"S"</formula>
    </cfRule>
  </conditionalFormatting>
  <conditionalFormatting sqref="AP61:AT78">
    <cfRule type="cellIs" dxfId="5075" priority="543" stopIfTrue="1" operator="equal">
      <formula>"M"</formula>
    </cfRule>
  </conditionalFormatting>
  <conditionalFormatting sqref="AP61:AT78">
    <cfRule type="cellIs" dxfId="5074" priority="544" stopIfTrue="1" operator="equal">
      <formula>"J"</formula>
    </cfRule>
  </conditionalFormatting>
  <conditionalFormatting sqref="AP61:AT78">
    <cfRule type="cellIs" dxfId="5073" priority="545" stopIfTrue="1" operator="equal">
      <formula>"O"</formula>
    </cfRule>
  </conditionalFormatting>
  <conditionalFormatting sqref="AP61:AT78">
    <cfRule type="expression" dxfId="5072" priority="546" stopIfTrue="1">
      <formula>LEN(TRIM(AP61))=0</formula>
    </cfRule>
  </conditionalFormatting>
  <conditionalFormatting sqref="AU61:BB78">
    <cfRule type="cellIs" dxfId="5071" priority="547" stopIfTrue="1" operator="equal">
      <formula>"E"</formula>
    </cfRule>
  </conditionalFormatting>
  <conditionalFormatting sqref="AU61:BB78">
    <cfRule type="cellIs" dxfId="5070" priority="548" stopIfTrue="1" operator="equal">
      <formula>"S"</formula>
    </cfRule>
  </conditionalFormatting>
  <conditionalFormatting sqref="AU61:BB78">
    <cfRule type="cellIs" dxfId="5069" priority="549" stopIfTrue="1" operator="equal">
      <formula>"M"</formula>
    </cfRule>
  </conditionalFormatting>
  <conditionalFormatting sqref="AU61:BB78">
    <cfRule type="cellIs" dxfId="5068" priority="550" stopIfTrue="1" operator="equal">
      <formula>"J"</formula>
    </cfRule>
  </conditionalFormatting>
  <conditionalFormatting sqref="AU61:BB78">
    <cfRule type="cellIs" dxfId="5067" priority="551" stopIfTrue="1" operator="equal">
      <formula>"O"</formula>
    </cfRule>
  </conditionalFormatting>
  <conditionalFormatting sqref="AU61:BB78">
    <cfRule type="expression" dxfId="5066" priority="552" stopIfTrue="1">
      <formula>LEN(TRIM(AU61))=0</formula>
    </cfRule>
  </conditionalFormatting>
  <conditionalFormatting sqref="BC61:BG78">
    <cfRule type="cellIs" dxfId="5065" priority="553" stopIfTrue="1" operator="equal">
      <formula>"E"</formula>
    </cfRule>
  </conditionalFormatting>
  <conditionalFormatting sqref="BC61:BG78">
    <cfRule type="cellIs" dxfId="5064" priority="554" stopIfTrue="1" operator="equal">
      <formula>"S"</formula>
    </cfRule>
  </conditionalFormatting>
  <conditionalFormatting sqref="BC61:BG78">
    <cfRule type="cellIs" dxfId="5063" priority="555" stopIfTrue="1" operator="equal">
      <formula>"M"</formula>
    </cfRule>
  </conditionalFormatting>
  <conditionalFormatting sqref="BC61:BG78">
    <cfRule type="cellIs" dxfId="5062" priority="556" stopIfTrue="1" operator="equal">
      <formula>"J"</formula>
    </cfRule>
  </conditionalFormatting>
  <conditionalFormatting sqref="BC61:BG78">
    <cfRule type="cellIs" dxfId="5061" priority="557" stopIfTrue="1" operator="equal">
      <formula>"O"</formula>
    </cfRule>
  </conditionalFormatting>
  <conditionalFormatting sqref="BC61:BG78">
    <cfRule type="expression" dxfId="5060" priority="558" stopIfTrue="1">
      <formula>LEN(TRIM(BC61))=0</formula>
    </cfRule>
  </conditionalFormatting>
  <conditionalFormatting sqref="BH61:BJ78">
    <cfRule type="cellIs" dxfId="5059" priority="559" stopIfTrue="1" operator="equal">
      <formula>"E"</formula>
    </cfRule>
  </conditionalFormatting>
  <conditionalFormatting sqref="BH61:BJ78">
    <cfRule type="cellIs" dxfId="5058" priority="560" stopIfTrue="1" operator="equal">
      <formula>"S"</formula>
    </cfRule>
  </conditionalFormatting>
  <conditionalFormatting sqref="BH61:BJ78">
    <cfRule type="cellIs" dxfId="5057" priority="561" stopIfTrue="1" operator="equal">
      <formula>"M"</formula>
    </cfRule>
  </conditionalFormatting>
  <conditionalFormatting sqref="BH61:BJ78">
    <cfRule type="cellIs" dxfId="5056" priority="562" stopIfTrue="1" operator="equal">
      <formula>"J"</formula>
    </cfRule>
  </conditionalFormatting>
  <conditionalFormatting sqref="BH61:BJ78">
    <cfRule type="cellIs" dxfId="5055" priority="563" stopIfTrue="1" operator="equal">
      <formula>"O"</formula>
    </cfRule>
  </conditionalFormatting>
  <conditionalFormatting sqref="BH61:BJ78">
    <cfRule type="expression" dxfId="5054" priority="564" stopIfTrue="1">
      <formula>LEN(TRIM(BH61))=0</formula>
    </cfRule>
  </conditionalFormatting>
  <conditionalFormatting sqref="BK61:BN78">
    <cfRule type="cellIs" dxfId="5053" priority="565" stopIfTrue="1" operator="equal">
      <formula>"E"</formula>
    </cfRule>
  </conditionalFormatting>
  <conditionalFormatting sqref="BK61:BN78">
    <cfRule type="cellIs" dxfId="5052" priority="566" stopIfTrue="1" operator="equal">
      <formula>"S"</formula>
    </cfRule>
  </conditionalFormatting>
  <conditionalFormatting sqref="BK61:BN78">
    <cfRule type="cellIs" dxfId="5051" priority="567" stopIfTrue="1" operator="equal">
      <formula>"M"</formula>
    </cfRule>
  </conditionalFormatting>
  <conditionalFormatting sqref="BK61:BN78">
    <cfRule type="cellIs" dxfId="5050" priority="568" stopIfTrue="1" operator="equal">
      <formula>"J"</formula>
    </cfRule>
  </conditionalFormatting>
  <conditionalFormatting sqref="BK61:BN78">
    <cfRule type="cellIs" dxfId="5049" priority="569" stopIfTrue="1" operator="equal">
      <formula>"O"</formula>
    </cfRule>
  </conditionalFormatting>
  <conditionalFormatting sqref="BK61:BN78">
    <cfRule type="expression" dxfId="5048" priority="570" stopIfTrue="1">
      <formula>LEN(TRIM(BK61))=0</formula>
    </cfRule>
  </conditionalFormatting>
  <conditionalFormatting sqref="BO61:BV78">
    <cfRule type="cellIs" dxfId="5047" priority="571" stopIfTrue="1" operator="equal">
      <formula>"E"</formula>
    </cfRule>
  </conditionalFormatting>
  <conditionalFormatting sqref="BO61:BV78">
    <cfRule type="cellIs" dxfId="5046" priority="572" stopIfTrue="1" operator="equal">
      <formula>"S"</formula>
    </cfRule>
  </conditionalFormatting>
  <conditionalFormatting sqref="BO61:BV78">
    <cfRule type="cellIs" dxfId="5045" priority="573" stopIfTrue="1" operator="equal">
      <formula>"M"</formula>
    </cfRule>
  </conditionalFormatting>
  <conditionalFormatting sqref="BO61:BV78">
    <cfRule type="cellIs" dxfId="5044" priority="574" stopIfTrue="1" operator="equal">
      <formula>"J"</formula>
    </cfRule>
  </conditionalFormatting>
  <conditionalFormatting sqref="BO61:BV78">
    <cfRule type="cellIs" dxfId="5043" priority="575" stopIfTrue="1" operator="equal">
      <formula>"O"</formula>
    </cfRule>
  </conditionalFormatting>
  <conditionalFormatting sqref="BO61:BV78">
    <cfRule type="expression" dxfId="5042" priority="576" stopIfTrue="1">
      <formula>LEN(TRIM(BO61))=0</formula>
    </cfRule>
  </conditionalFormatting>
  <conditionalFormatting sqref="BW61:CB78">
    <cfRule type="cellIs" dxfId="5041" priority="577" stopIfTrue="1" operator="equal">
      <formula>"E"</formula>
    </cfRule>
  </conditionalFormatting>
  <conditionalFormatting sqref="BW61:CB78">
    <cfRule type="cellIs" dxfId="5040" priority="578" stopIfTrue="1" operator="equal">
      <formula>"S"</formula>
    </cfRule>
  </conditionalFormatting>
  <conditionalFormatting sqref="BW61:CB78">
    <cfRule type="cellIs" dxfId="5039" priority="579" stopIfTrue="1" operator="equal">
      <formula>"M"</formula>
    </cfRule>
  </conditionalFormatting>
  <conditionalFormatting sqref="BW61:CB78">
    <cfRule type="cellIs" dxfId="5038" priority="580" stopIfTrue="1" operator="equal">
      <formula>"J"</formula>
    </cfRule>
  </conditionalFormatting>
  <conditionalFormatting sqref="BW61:CB78">
    <cfRule type="cellIs" dxfId="5037" priority="581" stopIfTrue="1" operator="equal">
      <formula>"O"</formula>
    </cfRule>
  </conditionalFormatting>
  <conditionalFormatting sqref="BW61:CB78">
    <cfRule type="expression" dxfId="5036" priority="582" stopIfTrue="1">
      <formula>LEN(TRIM(BW61))=0</formula>
    </cfRule>
  </conditionalFormatting>
  <conditionalFormatting sqref="CC61:CE78">
    <cfRule type="cellIs" dxfId="5035" priority="583" stopIfTrue="1" operator="equal">
      <formula>"E"</formula>
    </cfRule>
  </conditionalFormatting>
  <conditionalFormatting sqref="CC61:CE78">
    <cfRule type="cellIs" dxfId="5034" priority="584" stopIfTrue="1" operator="equal">
      <formula>"S"</formula>
    </cfRule>
  </conditionalFormatting>
  <conditionalFormatting sqref="CC61:CE78">
    <cfRule type="cellIs" dxfId="5033" priority="585" stopIfTrue="1" operator="equal">
      <formula>"M"</formula>
    </cfRule>
  </conditionalFormatting>
  <conditionalFormatting sqref="CC61:CE78">
    <cfRule type="cellIs" dxfId="5032" priority="586" stopIfTrue="1" operator="equal">
      <formula>"J"</formula>
    </cfRule>
  </conditionalFormatting>
  <conditionalFormatting sqref="CC61:CE78">
    <cfRule type="cellIs" dxfId="5031" priority="587" stopIfTrue="1" operator="equal">
      <formula>"O"</formula>
    </cfRule>
  </conditionalFormatting>
  <conditionalFormatting sqref="CC61:CE78">
    <cfRule type="expression" dxfId="5030" priority="588" stopIfTrue="1">
      <formula>LEN(TRIM(CC61))=0</formula>
    </cfRule>
  </conditionalFormatting>
  <conditionalFormatting sqref="CF61:CI78">
    <cfRule type="cellIs" dxfId="5029" priority="589" stopIfTrue="1" operator="equal">
      <formula>"E"</formula>
    </cfRule>
  </conditionalFormatting>
  <conditionalFormatting sqref="CF61:CI78">
    <cfRule type="cellIs" dxfId="5028" priority="590" stopIfTrue="1" operator="equal">
      <formula>"S"</formula>
    </cfRule>
  </conditionalFormatting>
  <conditionalFormatting sqref="CF61:CI78">
    <cfRule type="cellIs" dxfId="5027" priority="591" stopIfTrue="1" operator="equal">
      <formula>"M"</formula>
    </cfRule>
  </conditionalFormatting>
  <conditionalFormatting sqref="CF61:CI78">
    <cfRule type="cellIs" dxfId="5026" priority="592" stopIfTrue="1" operator="equal">
      <formula>"J"</formula>
    </cfRule>
  </conditionalFormatting>
  <conditionalFormatting sqref="CF61:CI78">
    <cfRule type="cellIs" dxfId="5025" priority="593" stopIfTrue="1" operator="equal">
      <formula>"O"</formula>
    </cfRule>
  </conditionalFormatting>
  <conditionalFormatting sqref="CF61:CI78">
    <cfRule type="expression" dxfId="5024" priority="594" stopIfTrue="1">
      <formula>LEN(TRIM(CF61))=0</formula>
    </cfRule>
  </conditionalFormatting>
  <conditionalFormatting sqref="CK61:CO78">
    <cfRule type="cellIs" dxfId="5023" priority="595" stopIfTrue="1" operator="equal">
      <formula>"E"</formula>
    </cfRule>
  </conditionalFormatting>
  <conditionalFormatting sqref="CK61:CO78">
    <cfRule type="cellIs" dxfId="5022" priority="596" stopIfTrue="1" operator="equal">
      <formula>"S"</formula>
    </cfRule>
  </conditionalFormatting>
  <conditionalFormatting sqref="CK61:CO78">
    <cfRule type="cellIs" dxfId="5021" priority="597" stopIfTrue="1" operator="equal">
      <formula>"M"</formula>
    </cfRule>
  </conditionalFormatting>
  <conditionalFormatting sqref="CK61:CO78">
    <cfRule type="cellIs" dxfId="5020" priority="598" stopIfTrue="1" operator="equal">
      <formula>"J"</formula>
    </cfRule>
  </conditionalFormatting>
  <conditionalFormatting sqref="CK61:CO78">
    <cfRule type="cellIs" dxfId="5019" priority="599" stopIfTrue="1" operator="equal">
      <formula>"O"</formula>
    </cfRule>
  </conditionalFormatting>
  <conditionalFormatting sqref="CK61:CO78">
    <cfRule type="expression" dxfId="5018" priority="600" stopIfTrue="1">
      <formula>LEN(TRIM(CK61))=0</formula>
    </cfRule>
  </conditionalFormatting>
  <conditionalFormatting sqref="CQ61:CU78">
    <cfRule type="cellIs" dxfId="5017" priority="601" stopIfTrue="1" operator="equal">
      <formula>"E"</formula>
    </cfRule>
  </conditionalFormatting>
  <conditionalFormatting sqref="CQ61:CU78">
    <cfRule type="cellIs" dxfId="5016" priority="602" stopIfTrue="1" operator="equal">
      <formula>"S"</formula>
    </cfRule>
  </conditionalFormatting>
  <conditionalFormatting sqref="CQ61:CU78">
    <cfRule type="cellIs" dxfId="5015" priority="603" stopIfTrue="1" operator="equal">
      <formula>"M"</formula>
    </cfRule>
  </conditionalFormatting>
  <conditionalFormatting sqref="CQ61:CU78">
    <cfRule type="cellIs" dxfId="5014" priority="604" stopIfTrue="1" operator="equal">
      <formula>"J"</formula>
    </cfRule>
  </conditionalFormatting>
  <conditionalFormatting sqref="CQ61:CU78">
    <cfRule type="cellIs" dxfId="5013" priority="605" stopIfTrue="1" operator="equal">
      <formula>"O"</formula>
    </cfRule>
  </conditionalFormatting>
  <conditionalFormatting sqref="CQ61:CU78">
    <cfRule type="expression" dxfId="5012" priority="606" stopIfTrue="1">
      <formula>LEN(TRIM(CQ61))=0</formula>
    </cfRule>
  </conditionalFormatting>
  <conditionalFormatting sqref="CW61:DA78">
    <cfRule type="cellIs" dxfId="5011" priority="607" stopIfTrue="1" operator="equal">
      <formula>"E"</formula>
    </cfRule>
  </conditionalFormatting>
  <conditionalFormatting sqref="CW61:DA78">
    <cfRule type="cellIs" dxfId="5010" priority="608" stopIfTrue="1" operator="equal">
      <formula>"S"</formula>
    </cfRule>
  </conditionalFormatting>
  <conditionalFormatting sqref="CW61:DA78">
    <cfRule type="cellIs" dxfId="5009" priority="609" stopIfTrue="1" operator="equal">
      <formula>"M"</formula>
    </cfRule>
  </conditionalFormatting>
  <conditionalFormatting sqref="CW61:DA78">
    <cfRule type="cellIs" dxfId="5008" priority="610" stopIfTrue="1" operator="equal">
      <formula>"J"</formula>
    </cfRule>
  </conditionalFormatting>
  <conditionalFormatting sqref="CW61:DA78">
    <cfRule type="cellIs" dxfId="5007" priority="611" stopIfTrue="1" operator="equal">
      <formula>"O"</formula>
    </cfRule>
  </conditionalFormatting>
  <conditionalFormatting sqref="CW61:DA78">
    <cfRule type="expression" dxfId="5006" priority="612" stopIfTrue="1">
      <formula>LEN(TRIM(CW61))=0</formula>
    </cfRule>
  </conditionalFormatting>
  <conditionalFormatting sqref="D80:K94">
    <cfRule type="cellIs" dxfId="5005" priority="613" stopIfTrue="1" operator="equal">
      <formula>"E"</formula>
    </cfRule>
  </conditionalFormatting>
  <conditionalFormatting sqref="D80:K94">
    <cfRule type="cellIs" dxfId="5004" priority="614" stopIfTrue="1" operator="equal">
      <formula>"S"</formula>
    </cfRule>
  </conditionalFormatting>
  <conditionalFormatting sqref="D80:K94">
    <cfRule type="cellIs" dxfId="5003" priority="615" stopIfTrue="1" operator="equal">
      <formula>"M"</formula>
    </cfRule>
  </conditionalFormatting>
  <conditionalFormatting sqref="D80:K94">
    <cfRule type="cellIs" dxfId="5002" priority="616" stopIfTrue="1" operator="equal">
      <formula>"J"</formula>
    </cfRule>
  </conditionalFormatting>
  <conditionalFormatting sqref="D80:K94">
    <cfRule type="cellIs" dxfId="5001" priority="617" stopIfTrue="1" operator="equal">
      <formula>"O"</formula>
    </cfRule>
  </conditionalFormatting>
  <conditionalFormatting sqref="D80:K94">
    <cfRule type="expression" dxfId="5000" priority="618" stopIfTrue="1">
      <formula>LEN(TRIM(D80))=0</formula>
    </cfRule>
  </conditionalFormatting>
  <conditionalFormatting sqref="L80:O94">
    <cfRule type="cellIs" dxfId="4999" priority="619" stopIfTrue="1" operator="equal">
      <formula>"E"</formula>
    </cfRule>
  </conditionalFormatting>
  <conditionalFormatting sqref="L80:O94">
    <cfRule type="cellIs" dxfId="4998" priority="620" stopIfTrue="1" operator="equal">
      <formula>"S"</formula>
    </cfRule>
  </conditionalFormatting>
  <conditionalFormatting sqref="L80:O94">
    <cfRule type="cellIs" dxfId="4997" priority="621" stopIfTrue="1" operator="equal">
      <formula>"M"</formula>
    </cfRule>
  </conditionalFormatting>
  <conditionalFormatting sqref="L80:O94">
    <cfRule type="cellIs" dxfId="4996" priority="622" stopIfTrue="1" operator="equal">
      <formula>"J"</formula>
    </cfRule>
  </conditionalFormatting>
  <conditionalFormatting sqref="L80:O94">
    <cfRule type="cellIs" dxfId="4995" priority="623" stopIfTrue="1" operator="equal">
      <formula>"O"</formula>
    </cfRule>
  </conditionalFormatting>
  <conditionalFormatting sqref="L80:O94">
    <cfRule type="expression" dxfId="4994" priority="624" stopIfTrue="1">
      <formula>LEN(TRIM(L80))=0</formula>
    </cfRule>
  </conditionalFormatting>
  <conditionalFormatting sqref="P80:AI94">
    <cfRule type="cellIs" dxfId="4993" priority="625" stopIfTrue="1" operator="equal">
      <formula>"E"</formula>
    </cfRule>
  </conditionalFormatting>
  <conditionalFormatting sqref="P80:AI94">
    <cfRule type="cellIs" dxfId="4992" priority="626" stopIfTrue="1" operator="equal">
      <formula>"S"</formula>
    </cfRule>
  </conditionalFormatting>
  <conditionalFormatting sqref="P80:AI94">
    <cfRule type="cellIs" dxfId="4991" priority="627" stopIfTrue="1" operator="equal">
      <formula>"M"</formula>
    </cfRule>
  </conditionalFormatting>
  <conditionalFormatting sqref="P80:AI94">
    <cfRule type="cellIs" dxfId="4990" priority="628" stopIfTrue="1" operator="equal">
      <formula>"J"</formula>
    </cfRule>
  </conditionalFormatting>
  <conditionalFormatting sqref="P80:AI94">
    <cfRule type="cellIs" dxfId="4989" priority="629" stopIfTrue="1" operator="equal">
      <formula>"O"</formula>
    </cfRule>
  </conditionalFormatting>
  <conditionalFormatting sqref="P80:AI94">
    <cfRule type="expression" dxfId="4988" priority="630" stopIfTrue="1">
      <formula>LEN(TRIM(P80))=0</formula>
    </cfRule>
  </conditionalFormatting>
  <conditionalFormatting sqref="AJ80:AL94">
    <cfRule type="cellIs" dxfId="4987" priority="631" stopIfTrue="1" operator="equal">
      <formula>"E"</formula>
    </cfRule>
  </conditionalFormatting>
  <conditionalFormatting sqref="AJ80:AL94">
    <cfRule type="cellIs" dxfId="4986" priority="632" stopIfTrue="1" operator="equal">
      <formula>"S"</formula>
    </cfRule>
  </conditionalFormatting>
  <conditionalFormatting sqref="AJ80:AL94">
    <cfRule type="cellIs" dxfId="4985" priority="633" stopIfTrue="1" operator="equal">
      <formula>"M"</formula>
    </cfRule>
  </conditionalFormatting>
  <conditionalFormatting sqref="AJ80:AL94">
    <cfRule type="cellIs" dxfId="4984" priority="634" stopIfTrue="1" operator="equal">
      <formula>"J"</formula>
    </cfRule>
  </conditionalFormatting>
  <conditionalFormatting sqref="AJ80:AL94">
    <cfRule type="cellIs" dxfId="4983" priority="635" stopIfTrue="1" operator="equal">
      <formula>"O"</formula>
    </cfRule>
  </conditionalFormatting>
  <conditionalFormatting sqref="AJ80:AL94">
    <cfRule type="expression" dxfId="4982" priority="636" stopIfTrue="1">
      <formula>LEN(TRIM(AJ80))=0</formula>
    </cfRule>
  </conditionalFormatting>
  <conditionalFormatting sqref="AM80:AO94">
    <cfRule type="cellIs" dxfId="4981" priority="637" stopIfTrue="1" operator="equal">
      <formula>"E"</formula>
    </cfRule>
  </conditionalFormatting>
  <conditionalFormatting sqref="AM80:AO94">
    <cfRule type="cellIs" dxfId="4980" priority="638" stopIfTrue="1" operator="equal">
      <formula>"S"</formula>
    </cfRule>
  </conditionalFormatting>
  <conditionalFormatting sqref="AM80:AO94">
    <cfRule type="cellIs" dxfId="4979" priority="639" stopIfTrue="1" operator="equal">
      <formula>"M"</formula>
    </cfRule>
  </conditionalFormatting>
  <conditionalFormatting sqref="AM80:AO94">
    <cfRule type="cellIs" dxfId="4978" priority="640" stopIfTrue="1" operator="equal">
      <formula>"J"</formula>
    </cfRule>
  </conditionalFormatting>
  <conditionalFormatting sqref="AM80:AO94">
    <cfRule type="cellIs" dxfId="4977" priority="641" stopIfTrue="1" operator="equal">
      <formula>"O"</formula>
    </cfRule>
  </conditionalFormatting>
  <conditionalFormatting sqref="AM80:AO94">
    <cfRule type="expression" dxfId="4976" priority="642" stopIfTrue="1">
      <formula>LEN(TRIM(AM80))=0</formula>
    </cfRule>
  </conditionalFormatting>
  <conditionalFormatting sqref="AP80:AT94">
    <cfRule type="cellIs" dxfId="4975" priority="643" stopIfTrue="1" operator="equal">
      <formula>"E"</formula>
    </cfRule>
  </conditionalFormatting>
  <conditionalFormatting sqref="AP80:AT94">
    <cfRule type="cellIs" dxfId="4974" priority="644" stopIfTrue="1" operator="equal">
      <formula>"S"</formula>
    </cfRule>
  </conditionalFormatting>
  <conditionalFormatting sqref="AP80:AT94">
    <cfRule type="cellIs" dxfId="4973" priority="645" stopIfTrue="1" operator="equal">
      <formula>"M"</formula>
    </cfRule>
  </conditionalFormatting>
  <conditionalFormatting sqref="AP80:AT94">
    <cfRule type="cellIs" dxfId="4972" priority="646" stopIfTrue="1" operator="equal">
      <formula>"J"</formula>
    </cfRule>
  </conditionalFormatting>
  <conditionalFormatting sqref="AP80:AT94">
    <cfRule type="cellIs" dxfId="4971" priority="647" stopIfTrue="1" operator="equal">
      <formula>"O"</formula>
    </cfRule>
  </conditionalFormatting>
  <conditionalFormatting sqref="AP80:AT94">
    <cfRule type="expression" dxfId="4970" priority="648" stopIfTrue="1">
      <formula>LEN(TRIM(AP80))=0</formula>
    </cfRule>
  </conditionalFormatting>
  <conditionalFormatting sqref="AU80:BB94">
    <cfRule type="cellIs" dxfId="4969" priority="649" stopIfTrue="1" operator="equal">
      <formula>"E"</formula>
    </cfRule>
  </conditionalFormatting>
  <conditionalFormatting sqref="AU80:BB94">
    <cfRule type="cellIs" dxfId="4968" priority="650" stopIfTrue="1" operator="equal">
      <formula>"S"</formula>
    </cfRule>
  </conditionalFormatting>
  <conditionalFormatting sqref="AU80:BB94">
    <cfRule type="cellIs" dxfId="4967" priority="651" stopIfTrue="1" operator="equal">
      <formula>"M"</formula>
    </cfRule>
  </conditionalFormatting>
  <conditionalFormatting sqref="AU80:BB94">
    <cfRule type="cellIs" dxfId="4966" priority="652" stopIfTrue="1" operator="equal">
      <formula>"J"</formula>
    </cfRule>
  </conditionalFormatting>
  <conditionalFormatting sqref="AU80:BB94">
    <cfRule type="cellIs" dxfId="4965" priority="653" stopIfTrue="1" operator="equal">
      <formula>"O"</formula>
    </cfRule>
  </conditionalFormatting>
  <conditionalFormatting sqref="AU80:BB94">
    <cfRule type="expression" dxfId="4964" priority="654" stopIfTrue="1">
      <formula>LEN(TRIM(AU80))=0</formula>
    </cfRule>
  </conditionalFormatting>
  <conditionalFormatting sqref="BC80:BG94">
    <cfRule type="cellIs" dxfId="4963" priority="655" stopIfTrue="1" operator="equal">
      <formula>"E"</formula>
    </cfRule>
  </conditionalFormatting>
  <conditionalFormatting sqref="BC80:BG94">
    <cfRule type="cellIs" dxfId="4962" priority="656" stopIfTrue="1" operator="equal">
      <formula>"S"</formula>
    </cfRule>
  </conditionalFormatting>
  <conditionalFormatting sqref="BC80:BG94">
    <cfRule type="cellIs" dxfId="4961" priority="657" stopIfTrue="1" operator="equal">
      <formula>"M"</formula>
    </cfRule>
  </conditionalFormatting>
  <conditionalFormatting sqref="BC80:BG94">
    <cfRule type="cellIs" dxfId="4960" priority="658" stopIfTrue="1" operator="equal">
      <formula>"J"</formula>
    </cfRule>
  </conditionalFormatting>
  <conditionalFormatting sqref="BC80:BG94">
    <cfRule type="cellIs" dxfId="4959" priority="659" stopIfTrue="1" operator="equal">
      <formula>"O"</formula>
    </cfRule>
  </conditionalFormatting>
  <conditionalFormatting sqref="BC80:BG94">
    <cfRule type="expression" dxfId="4958" priority="660" stopIfTrue="1">
      <formula>LEN(TRIM(BC80))=0</formula>
    </cfRule>
  </conditionalFormatting>
  <conditionalFormatting sqref="BH80:BJ94">
    <cfRule type="cellIs" dxfId="4957" priority="661" stopIfTrue="1" operator="equal">
      <formula>"E"</formula>
    </cfRule>
  </conditionalFormatting>
  <conditionalFormatting sqref="BH80:BJ94">
    <cfRule type="cellIs" dxfId="4956" priority="662" stopIfTrue="1" operator="equal">
      <formula>"S"</formula>
    </cfRule>
  </conditionalFormatting>
  <conditionalFormatting sqref="BH80:BJ94">
    <cfRule type="cellIs" dxfId="4955" priority="663" stopIfTrue="1" operator="equal">
      <formula>"M"</formula>
    </cfRule>
  </conditionalFormatting>
  <conditionalFormatting sqref="BH80:BJ94">
    <cfRule type="cellIs" dxfId="4954" priority="664" stopIfTrue="1" operator="equal">
      <formula>"J"</formula>
    </cfRule>
  </conditionalFormatting>
  <conditionalFormatting sqref="BH80:BJ94">
    <cfRule type="cellIs" dxfId="4953" priority="665" stopIfTrue="1" operator="equal">
      <formula>"O"</formula>
    </cfRule>
  </conditionalFormatting>
  <conditionalFormatting sqref="BH80:BJ94">
    <cfRule type="expression" dxfId="4952" priority="666" stopIfTrue="1">
      <formula>LEN(TRIM(BH80))=0</formula>
    </cfRule>
  </conditionalFormatting>
  <conditionalFormatting sqref="BK80:BN94">
    <cfRule type="cellIs" dxfId="4951" priority="667" stopIfTrue="1" operator="equal">
      <formula>"E"</formula>
    </cfRule>
  </conditionalFormatting>
  <conditionalFormatting sqref="BK80:BN94">
    <cfRule type="cellIs" dxfId="4950" priority="668" stopIfTrue="1" operator="equal">
      <formula>"S"</formula>
    </cfRule>
  </conditionalFormatting>
  <conditionalFormatting sqref="BK80:BN94">
    <cfRule type="cellIs" dxfId="4949" priority="669" stopIfTrue="1" operator="equal">
      <formula>"M"</formula>
    </cfRule>
  </conditionalFormatting>
  <conditionalFormatting sqref="BK80:BN94">
    <cfRule type="cellIs" dxfId="4948" priority="670" stopIfTrue="1" operator="equal">
      <formula>"J"</formula>
    </cfRule>
  </conditionalFormatting>
  <conditionalFormatting sqref="BK80:BN94">
    <cfRule type="cellIs" dxfId="4947" priority="671" stopIfTrue="1" operator="equal">
      <formula>"O"</formula>
    </cfRule>
  </conditionalFormatting>
  <conditionalFormatting sqref="BK80:BN94">
    <cfRule type="expression" dxfId="4946" priority="672" stopIfTrue="1">
      <formula>LEN(TRIM(BK80))=0</formula>
    </cfRule>
  </conditionalFormatting>
  <conditionalFormatting sqref="BO80:BV94">
    <cfRule type="cellIs" dxfId="4945" priority="673" stopIfTrue="1" operator="equal">
      <formula>"E"</formula>
    </cfRule>
  </conditionalFormatting>
  <conditionalFormatting sqref="BO80:BV94">
    <cfRule type="cellIs" dxfId="4944" priority="674" stopIfTrue="1" operator="equal">
      <formula>"S"</formula>
    </cfRule>
  </conditionalFormatting>
  <conditionalFormatting sqref="BO80:BV94">
    <cfRule type="cellIs" dxfId="4943" priority="675" stopIfTrue="1" operator="equal">
      <formula>"M"</formula>
    </cfRule>
  </conditionalFormatting>
  <conditionalFormatting sqref="BO80:BV94">
    <cfRule type="cellIs" dxfId="4942" priority="676" stopIfTrue="1" operator="equal">
      <formula>"J"</formula>
    </cfRule>
  </conditionalFormatting>
  <conditionalFormatting sqref="BO80:BV94">
    <cfRule type="cellIs" dxfId="4941" priority="677" stopIfTrue="1" operator="equal">
      <formula>"O"</formula>
    </cfRule>
  </conditionalFormatting>
  <conditionalFormatting sqref="BO80:BV94">
    <cfRule type="expression" dxfId="4940" priority="678" stopIfTrue="1">
      <formula>LEN(TRIM(BO80))=0</formula>
    </cfRule>
  </conditionalFormatting>
  <conditionalFormatting sqref="BW80:CB94">
    <cfRule type="cellIs" dxfId="4939" priority="679" stopIfTrue="1" operator="equal">
      <formula>"E"</formula>
    </cfRule>
  </conditionalFormatting>
  <conditionalFormatting sqref="BW80:CB94">
    <cfRule type="cellIs" dxfId="4938" priority="680" stopIfTrue="1" operator="equal">
      <formula>"S"</formula>
    </cfRule>
  </conditionalFormatting>
  <conditionalFormatting sqref="BW80:CB94">
    <cfRule type="cellIs" dxfId="4937" priority="681" stopIfTrue="1" operator="equal">
      <formula>"M"</formula>
    </cfRule>
  </conditionalFormatting>
  <conditionalFormatting sqref="BW80:CB94">
    <cfRule type="cellIs" dxfId="4936" priority="682" stopIfTrue="1" operator="equal">
      <formula>"J"</formula>
    </cfRule>
  </conditionalFormatting>
  <conditionalFormatting sqref="BW80:CB94">
    <cfRule type="cellIs" dxfId="4935" priority="683" stopIfTrue="1" operator="equal">
      <formula>"O"</formula>
    </cfRule>
  </conditionalFormatting>
  <conditionalFormatting sqref="BW80:CB94">
    <cfRule type="expression" dxfId="4934" priority="684" stopIfTrue="1">
      <formula>LEN(TRIM(BW80))=0</formula>
    </cfRule>
  </conditionalFormatting>
  <conditionalFormatting sqref="CC80:CE94">
    <cfRule type="cellIs" dxfId="4933" priority="685" stopIfTrue="1" operator="equal">
      <formula>"E"</formula>
    </cfRule>
  </conditionalFormatting>
  <conditionalFormatting sqref="CC80:CE94">
    <cfRule type="cellIs" dxfId="4932" priority="686" stopIfTrue="1" operator="equal">
      <formula>"S"</formula>
    </cfRule>
  </conditionalFormatting>
  <conditionalFormatting sqref="CC80:CE94">
    <cfRule type="cellIs" dxfId="4931" priority="687" stopIfTrue="1" operator="equal">
      <formula>"M"</formula>
    </cfRule>
  </conditionalFormatting>
  <conditionalFormatting sqref="CC80:CE94">
    <cfRule type="cellIs" dxfId="4930" priority="688" stopIfTrue="1" operator="equal">
      <formula>"J"</formula>
    </cfRule>
  </conditionalFormatting>
  <conditionalFormatting sqref="CC80:CE94">
    <cfRule type="cellIs" dxfId="4929" priority="689" stopIfTrue="1" operator="equal">
      <formula>"O"</formula>
    </cfRule>
  </conditionalFormatting>
  <conditionalFormatting sqref="CC80:CE94">
    <cfRule type="expression" dxfId="4928" priority="690" stopIfTrue="1">
      <formula>LEN(TRIM(CC80))=0</formula>
    </cfRule>
  </conditionalFormatting>
  <conditionalFormatting sqref="CF80:CI94">
    <cfRule type="cellIs" dxfId="4927" priority="691" stopIfTrue="1" operator="equal">
      <formula>"E"</formula>
    </cfRule>
  </conditionalFormatting>
  <conditionalFormatting sqref="CF80:CI94">
    <cfRule type="cellIs" dxfId="4926" priority="692" stopIfTrue="1" operator="equal">
      <formula>"S"</formula>
    </cfRule>
  </conditionalFormatting>
  <conditionalFormatting sqref="CF80:CI94">
    <cfRule type="cellIs" dxfId="4925" priority="693" stopIfTrue="1" operator="equal">
      <formula>"M"</formula>
    </cfRule>
  </conditionalFormatting>
  <conditionalFormatting sqref="CF80:CI94">
    <cfRule type="cellIs" dxfId="4924" priority="694" stopIfTrue="1" operator="equal">
      <formula>"J"</formula>
    </cfRule>
  </conditionalFormatting>
  <conditionalFormatting sqref="CF80:CI94">
    <cfRule type="cellIs" dxfId="4923" priority="695" stopIfTrue="1" operator="equal">
      <formula>"O"</formula>
    </cfRule>
  </conditionalFormatting>
  <conditionalFormatting sqref="CF80:CI94">
    <cfRule type="expression" dxfId="4922" priority="696" stopIfTrue="1">
      <formula>LEN(TRIM(CF80))=0</formula>
    </cfRule>
  </conditionalFormatting>
  <conditionalFormatting sqref="CK80:CO94">
    <cfRule type="cellIs" dxfId="4921" priority="697" stopIfTrue="1" operator="equal">
      <formula>"E"</formula>
    </cfRule>
  </conditionalFormatting>
  <conditionalFormatting sqref="CK80:CO94">
    <cfRule type="cellIs" dxfId="4920" priority="698" stopIfTrue="1" operator="equal">
      <formula>"S"</formula>
    </cfRule>
  </conditionalFormatting>
  <conditionalFormatting sqref="CK80:CO94">
    <cfRule type="cellIs" dxfId="4919" priority="699" stopIfTrue="1" operator="equal">
      <formula>"M"</formula>
    </cfRule>
  </conditionalFormatting>
  <conditionalFormatting sqref="CK80:CO94">
    <cfRule type="cellIs" dxfId="4918" priority="700" stopIfTrue="1" operator="equal">
      <formula>"J"</formula>
    </cfRule>
  </conditionalFormatting>
  <conditionalFormatting sqref="CK80:CO94">
    <cfRule type="cellIs" dxfId="4917" priority="701" stopIfTrue="1" operator="equal">
      <formula>"O"</formula>
    </cfRule>
  </conditionalFormatting>
  <conditionalFormatting sqref="CK80:CO94">
    <cfRule type="expression" dxfId="4916" priority="702" stopIfTrue="1">
      <formula>LEN(TRIM(CK80))=0</formula>
    </cfRule>
  </conditionalFormatting>
  <conditionalFormatting sqref="CQ80:CU94">
    <cfRule type="cellIs" dxfId="4915" priority="703" stopIfTrue="1" operator="equal">
      <formula>"E"</formula>
    </cfRule>
  </conditionalFormatting>
  <conditionalFormatting sqref="CQ80:CU94">
    <cfRule type="cellIs" dxfId="4914" priority="704" stopIfTrue="1" operator="equal">
      <formula>"S"</formula>
    </cfRule>
  </conditionalFormatting>
  <conditionalFormatting sqref="CQ80:CU94">
    <cfRule type="cellIs" dxfId="4913" priority="705" stopIfTrue="1" operator="equal">
      <formula>"M"</formula>
    </cfRule>
  </conditionalFormatting>
  <conditionalFormatting sqref="CQ80:CU94">
    <cfRule type="cellIs" dxfId="4912" priority="706" stopIfTrue="1" operator="equal">
      <formula>"J"</formula>
    </cfRule>
  </conditionalFormatting>
  <conditionalFormatting sqref="CQ80:CU94">
    <cfRule type="cellIs" dxfId="4911" priority="707" stopIfTrue="1" operator="equal">
      <formula>"O"</formula>
    </cfRule>
  </conditionalFormatting>
  <conditionalFormatting sqref="CQ80:CU94">
    <cfRule type="expression" dxfId="4910" priority="708" stopIfTrue="1">
      <formula>LEN(TRIM(CQ80))=0</formula>
    </cfRule>
  </conditionalFormatting>
  <conditionalFormatting sqref="CW80:DA94">
    <cfRule type="cellIs" dxfId="4909" priority="709" stopIfTrue="1" operator="equal">
      <formula>"E"</formula>
    </cfRule>
  </conditionalFormatting>
  <conditionalFormatting sqref="CW80:DA94">
    <cfRule type="cellIs" dxfId="4908" priority="710" stopIfTrue="1" operator="equal">
      <formula>"S"</formula>
    </cfRule>
  </conditionalFormatting>
  <conditionalFormatting sqref="CW80:DA94">
    <cfRule type="cellIs" dxfId="4907" priority="711" stopIfTrue="1" operator="equal">
      <formula>"M"</formula>
    </cfRule>
  </conditionalFormatting>
  <conditionalFormatting sqref="CW80:DA94">
    <cfRule type="cellIs" dxfId="4906" priority="712" stopIfTrue="1" operator="equal">
      <formula>"J"</formula>
    </cfRule>
  </conditionalFormatting>
  <conditionalFormatting sqref="CW80:DA94">
    <cfRule type="cellIs" dxfId="4905" priority="713" stopIfTrue="1" operator="equal">
      <formula>"O"</formula>
    </cfRule>
  </conditionalFormatting>
  <conditionalFormatting sqref="CW80:DA94">
    <cfRule type="expression" dxfId="4904" priority="714" stopIfTrue="1">
      <formula>LEN(TRIM(CW80))=0</formula>
    </cfRule>
  </conditionalFormatting>
  <conditionalFormatting sqref="D96:K99">
    <cfRule type="cellIs" dxfId="4903" priority="715" stopIfTrue="1" operator="equal">
      <formula>"E"</formula>
    </cfRule>
  </conditionalFormatting>
  <conditionalFormatting sqref="D96:K99">
    <cfRule type="cellIs" dxfId="4902" priority="716" stopIfTrue="1" operator="equal">
      <formula>"S"</formula>
    </cfRule>
  </conditionalFormatting>
  <conditionalFormatting sqref="D96:K99">
    <cfRule type="cellIs" dxfId="4901" priority="717" stopIfTrue="1" operator="equal">
      <formula>"M"</formula>
    </cfRule>
  </conditionalFormatting>
  <conditionalFormatting sqref="D96:K99">
    <cfRule type="cellIs" dxfId="4900" priority="718" stopIfTrue="1" operator="equal">
      <formula>"J"</formula>
    </cfRule>
  </conditionalFormatting>
  <conditionalFormatting sqref="D96:K99">
    <cfRule type="cellIs" dxfId="4899" priority="719" stopIfTrue="1" operator="equal">
      <formula>"O"</formula>
    </cfRule>
  </conditionalFormatting>
  <conditionalFormatting sqref="D96:K99">
    <cfRule type="expression" dxfId="4898" priority="720" stopIfTrue="1">
      <formula>LEN(TRIM(D96))=0</formula>
    </cfRule>
  </conditionalFormatting>
  <conditionalFormatting sqref="L96:O99">
    <cfRule type="cellIs" dxfId="4897" priority="721" stopIfTrue="1" operator="equal">
      <formula>"E"</formula>
    </cfRule>
  </conditionalFormatting>
  <conditionalFormatting sqref="L96:O99">
    <cfRule type="cellIs" dxfId="4896" priority="722" stopIfTrue="1" operator="equal">
      <formula>"S"</formula>
    </cfRule>
  </conditionalFormatting>
  <conditionalFormatting sqref="L96:O99">
    <cfRule type="cellIs" dxfId="4895" priority="723" stopIfTrue="1" operator="equal">
      <formula>"M"</formula>
    </cfRule>
  </conditionalFormatting>
  <conditionalFormatting sqref="L96:O99">
    <cfRule type="cellIs" dxfId="4894" priority="724" stopIfTrue="1" operator="equal">
      <formula>"J"</formula>
    </cfRule>
  </conditionalFormatting>
  <conditionalFormatting sqref="L96:O99">
    <cfRule type="cellIs" dxfId="4893" priority="725" stopIfTrue="1" operator="equal">
      <formula>"O"</formula>
    </cfRule>
  </conditionalFormatting>
  <conditionalFormatting sqref="L96:O99">
    <cfRule type="expression" dxfId="4892" priority="726" stopIfTrue="1">
      <formula>LEN(TRIM(L96))=0</formula>
    </cfRule>
  </conditionalFormatting>
  <conditionalFormatting sqref="P96:AI99">
    <cfRule type="cellIs" dxfId="4891" priority="727" stopIfTrue="1" operator="equal">
      <formula>"E"</formula>
    </cfRule>
  </conditionalFormatting>
  <conditionalFormatting sqref="P96:AI99">
    <cfRule type="cellIs" dxfId="4890" priority="728" stopIfTrue="1" operator="equal">
      <formula>"S"</formula>
    </cfRule>
  </conditionalFormatting>
  <conditionalFormatting sqref="P96:AI99">
    <cfRule type="cellIs" dxfId="4889" priority="729" stopIfTrue="1" operator="equal">
      <formula>"M"</formula>
    </cfRule>
  </conditionalFormatting>
  <conditionalFormatting sqref="P96:AI99">
    <cfRule type="cellIs" dxfId="4888" priority="730" stopIfTrue="1" operator="equal">
      <formula>"J"</formula>
    </cfRule>
  </conditionalFormatting>
  <conditionalFormatting sqref="P96:AI99">
    <cfRule type="cellIs" dxfId="4887" priority="731" stopIfTrue="1" operator="equal">
      <formula>"O"</formula>
    </cfRule>
  </conditionalFormatting>
  <conditionalFormatting sqref="P96:AI99">
    <cfRule type="expression" dxfId="4886" priority="732" stopIfTrue="1">
      <formula>LEN(TRIM(P96))=0</formula>
    </cfRule>
  </conditionalFormatting>
  <conditionalFormatting sqref="AJ96:AL99">
    <cfRule type="cellIs" dxfId="4885" priority="733" stopIfTrue="1" operator="equal">
      <formula>"E"</formula>
    </cfRule>
  </conditionalFormatting>
  <conditionalFormatting sqref="AJ96:AL99">
    <cfRule type="cellIs" dxfId="4884" priority="734" stopIfTrue="1" operator="equal">
      <formula>"S"</formula>
    </cfRule>
  </conditionalFormatting>
  <conditionalFormatting sqref="AJ96:AL99">
    <cfRule type="cellIs" dxfId="4883" priority="735" stopIfTrue="1" operator="equal">
      <formula>"M"</formula>
    </cfRule>
  </conditionalFormatting>
  <conditionalFormatting sqref="AJ96:AL99">
    <cfRule type="cellIs" dxfId="4882" priority="736" stopIfTrue="1" operator="equal">
      <formula>"J"</formula>
    </cfRule>
  </conditionalFormatting>
  <conditionalFormatting sqref="AJ96:AL99">
    <cfRule type="cellIs" dxfId="4881" priority="737" stopIfTrue="1" operator="equal">
      <formula>"O"</formula>
    </cfRule>
  </conditionalFormatting>
  <conditionalFormatting sqref="AJ96:AL99">
    <cfRule type="expression" dxfId="4880" priority="738" stopIfTrue="1">
      <formula>LEN(TRIM(AJ96))=0</formula>
    </cfRule>
  </conditionalFormatting>
  <conditionalFormatting sqref="AM96:AO99">
    <cfRule type="cellIs" dxfId="4879" priority="739" stopIfTrue="1" operator="equal">
      <formula>"E"</formula>
    </cfRule>
  </conditionalFormatting>
  <conditionalFormatting sqref="AM96:AO99">
    <cfRule type="cellIs" dxfId="4878" priority="740" stopIfTrue="1" operator="equal">
      <formula>"S"</formula>
    </cfRule>
  </conditionalFormatting>
  <conditionalFormatting sqref="AM96:AO99">
    <cfRule type="cellIs" dxfId="4877" priority="741" stopIfTrue="1" operator="equal">
      <formula>"M"</formula>
    </cfRule>
  </conditionalFormatting>
  <conditionalFormatting sqref="AM96:AO99">
    <cfRule type="cellIs" dxfId="4876" priority="742" stopIfTrue="1" operator="equal">
      <formula>"J"</formula>
    </cfRule>
  </conditionalFormatting>
  <conditionalFormatting sqref="AM96:AO99">
    <cfRule type="cellIs" dxfId="4875" priority="743" stopIfTrue="1" operator="equal">
      <formula>"O"</formula>
    </cfRule>
  </conditionalFormatting>
  <conditionalFormatting sqref="AM96:AO99">
    <cfRule type="expression" dxfId="4874" priority="744" stopIfTrue="1">
      <formula>LEN(TRIM(AM96))=0</formula>
    </cfRule>
  </conditionalFormatting>
  <conditionalFormatting sqref="AP96:AT99">
    <cfRule type="cellIs" dxfId="4873" priority="745" stopIfTrue="1" operator="equal">
      <formula>"E"</formula>
    </cfRule>
  </conditionalFormatting>
  <conditionalFormatting sqref="AP96:AT99">
    <cfRule type="cellIs" dxfId="4872" priority="746" stopIfTrue="1" operator="equal">
      <formula>"S"</formula>
    </cfRule>
  </conditionalFormatting>
  <conditionalFormatting sqref="AP96:AT99">
    <cfRule type="cellIs" dxfId="4871" priority="747" stopIfTrue="1" operator="equal">
      <formula>"M"</formula>
    </cfRule>
  </conditionalFormatting>
  <conditionalFormatting sqref="AP96:AT99">
    <cfRule type="cellIs" dxfId="4870" priority="748" stopIfTrue="1" operator="equal">
      <formula>"J"</formula>
    </cfRule>
  </conditionalFormatting>
  <conditionalFormatting sqref="AP96:AT99">
    <cfRule type="cellIs" dxfId="4869" priority="749" stopIfTrue="1" operator="equal">
      <formula>"O"</formula>
    </cfRule>
  </conditionalFormatting>
  <conditionalFormatting sqref="AP96:AT99">
    <cfRule type="expression" dxfId="4868" priority="750" stopIfTrue="1">
      <formula>LEN(TRIM(AP96))=0</formula>
    </cfRule>
  </conditionalFormatting>
  <conditionalFormatting sqref="AU96:BB99">
    <cfRule type="cellIs" dxfId="4867" priority="751" stopIfTrue="1" operator="equal">
      <formula>"E"</formula>
    </cfRule>
  </conditionalFormatting>
  <conditionalFormatting sqref="AU96:BB99">
    <cfRule type="cellIs" dxfId="4866" priority="752" stopIfTrue="1" operator="equal">
      <formula>"S"</formula>
    </cfRule>
  </conditionalFormatting>
  <conditionalFormatting sqref="AU96:BB99">
    <cfRule type="cellIs" dxfId="4865" priority="753" stopIfTrue="1" operator="equal">
      <formula>"M"</formula>
    </cfRule>
  </conditionalFormatting>
  <conditionalFormatting sqref="AU96:BB99">
    <cfRule type="cellIs" dxfId="4864" priority="754" stopIfTrue="1" operator="equal">
      <formula>"J"</formula>
    </cfRule>
  </conditionalFormatting>
  <conditionalFormatting sqref="AU96:BB99">
    <cfRule type="cellIs" dxfId="4863" priority="755" stopIfTrue="1" operator="equal">
      <formula>"O"</formula>
    </cfRule>
  </conditionalFormatting>
  <conditionalFormatting sqref="AU96:BB99">
    <cfRule type="expression" dxfId="4862" priority="756" stopIfTrue="1">
      <formula>LEN(TRIM(AU96))=0</formula>
    </cfRule>
  </conditionalFormatting>
  <conditionalFormatting sqref="BC96:BG99">
    <cfRule type="cellIs" dxfId="4861" priority="757" stopIfTrue="1" operator="equal">
      <formula>"E"</formula>
    </cfRule>
  </conditionalFormatting>
  <conditionalFormatting sqref="BC96:BG99">
    <cfRule type="cellIs" dxfId="4860" priority="758" stopIfTrue="1" operator="equal">
      <formula>"S"</formula>
    </cfRule>
  </conditionalFormatting>
  <conditionalFormatting sqref="BC96:BG99">
    <cfRule type="cellIs" dxfId="4859" priority="759" stopIfTrue="1" operator="equal">
      <formula>"M"</formula>
    </cfRule>
  </conditionalFormatting>
  <conditionalFormatting sqref="BC96:BG99">
    <cfRule type="cellIs" dxfId="4858" priority="760" stopIfTrue="1" operator="equal">
      <formula>"J"</formula>
    </cfRule>
  </conditionalFormatting>
  <conditionalFormatting sqref="BC96:BG99">
    <cfRule type="cellIs" dxfId="4857" priority="761" stopIfTrue="1" operator="equal">
      <formula>"O"</formula>
    </cfRule>
  </conditionalFormatting>
  <conditionalFormatting sqref="BC96:BG99">
    <cfRule type="expression" dxfId="4856" priority="762" stopIfTrue="1">
      <formula>LEN(TRIM(BC96))=0</formula>
    </cfRule>
  </conditionalFormatting>
  <conditionalFormatting sqref="BH96:BJ99">
    <cfRule type="cellIs" dxfId="4855" priority="763" stopIfTrue="1" operator="equal">
      <formula>"E"</formula>
    </cfRule>
  </conditionalFormatting>
  <conditionalFormatting sqref="BH96:BJ99">
    <cfRule type="cellIs" dxfId="4854" priority="764" stopIfTrue="1" operator="equal">
      <formula>"S"</formula>
    </cfRule>
  </conditionalFormatting>
  <conditionalFormatting sqref="BH96:BJ99">
    <cfRule type="cellIs" dxfId="4853" priority="765" stopIfTrue="1" operator="equal">
      <formula>"M"</formula>
    </cfRule>
  </conditionalFormatting>
  <conditionalFormatting sqref="BH96:BJ99">
    <cfRule type="cellIs" dxfId="4852" priority="766" stopIfTrue="1" operator="equal">
      <formula>"J"</formula>
    </cfRule>
  </conditionalFormatting>
  <conditionalFormatting sqref="BH96:BJ99">
    <cfRule type="cellIs" dxfId="4851" priority="767" stopIfTrue="1" operator="equal">
      <formula>"O"</formula>
    </cfRule>
  </conditionalFormatting>
  <conditionalFormatting sqref="BH96:BJ99">
    <cfRule type="expression" dxfId="4850" priority="768" stopIfTrue="1">
      <formula>LEN(TRIM(BH96))=0</formula>
    </cfRule>
  </conditionalFormatting>
  <conditionalFormatting sqref="BK96:BN99">
    <cfRule type="cellIs" dxfId="4849" priority="769" stopIfTrue="1" operator="equal">
      <formula>"E"</formula>
    </cfRule>
  </conditionalFormatting>
  <conditionalFormatting sqref="BK96:BN99">
    <cfRule type="cellIs" dxfId="4848" priority="770" stopIfTrue="1" operator="equal">
      <formula>"S"</formula>
    </cfRule>
  </conditionalFormatting>
  <conditionalFormatting sqref="BK96:BN99">
    <cfRule type="cellIs" dxfId="4847" priority="771" stopIfTrue="1" operator="equal">
      <formula>"M"</formula>
    </cfRule>
  </conditionalFormatting>
  <conditionalFormatting sqref="BK96:BN99">
    <cfRule type="cellIs" dxfId="4846" priority="772" stopIfTrue="1" operator="equal">
      <formula>"J"</formula>
    </cfRule>
  </conditionalFormatting>
  <conditionalFormatting sqref="BK96:BN99">
    <cfRule type="cellIs" dxfId="4845" priority="773" stopIfTrue="1" operator="equal">
      <formula>"O"</formula>
    </cfRule>
  </conditionalFormatting>
  <conditionalFormatting sqref="BK96:BN99">
    <cfRule type="expression" dxfId="4844" priority="774" stopIfTrue="1">
      <formula>LEN(TRIM(BK96))=0</formula>
    </cfRule>
  </conditionalFormatting>
  <conditionalFormatting sqref="BO96:BV99">
    <cfRule type="cellIs" dxfId="4843" priority="775" stopIfTrue="1" operator="equal">
      <formula>"E"</formula>
    </cfRule>
  </conditionalFormatting>
  <conditionalFormatting sqref="BO96:BV99">
    <cfRule type="cellIs" dxfId="4842" priority="776" stopIfTrue="1" operator="equal">
      <formula>"S"</formula>
    </cfRule>
  </conditionalFormatting>
  <conditionalFormatting sqref="BO96:BV99">
    <cfRule type="cellIs" dxfId="4841" priority="777" stopIfTrue="1" operator="equal">
      <formula>"M"</formula>
    </cfRule>
  </conditionalFormatting>
  <conditionalFormatting sqref="BO96:BV99">
    <cfRule type="cellIs" dxfId="4840" priority="778" stopIfTrue="1" operator="equal">
      <formula>"J"</formula>
    </cfRule>
  </conditionalFormatting>
  <conditionalFormatting sqref="BO96:BV99">
    <cfRule type="cellIs" dxfId="4839" priority="779" stopIfTrue="1" operator="equal">
      <formula>"O"</formula>
    </cfRule>
  </conditionalFormatting>
  <conditionalFormatting sqref="BO96:BV99">
    <cfRule type="expression" dxfId="4838" priority="780" stopIfTrue="1">
      <formula>LEN(TRIM(BO96))=0</formula>
    </cfRule>
  </conditionalFormatting>
  <conditionalFormatting sqref="BW96:CB99">
    <cfRule type="cellIs" dxfId="4837" priority="781" stopIfTrue="1" operator="equal">
      <formula>"E"</formula>
    </cfRule>
  </conditionalFormatting>
  <conditionalFormatting sqref="BW96:CB99">
    <cfRule type="cellIs" dxfId="4836" priority="782" stopIfTrue="1" operator="equal">
      <formula>"S"</formula>
    </cfRule>
  </conditionalFormatting>
  <conditionalFormatting sqref="BW96:CB99">
    <cfRule type="cellIs" dxfId="4835" priority="783" stopIfTrue="1" operator="equal">
      <formula>"M"</formula>
    </cfRule>
  </conditionalFormatting>
  <conditionalFormatting sqref="BW96:CB99">
    <cfRule type="cellIs" dxfId="4834" priority="784" stopIfTrue="1" operator="equal">
      <formula>"J"</formula>
    </cfRule>
  </conditionalFormatting>
  <conditionalFormatting sqref="BW96:CB99">
    <cfRule type="cellIs" dxfId="4833" priority="785" stopIfTrue="1" operator="equal">
      <formula>"O"</formula>
    </cfRule>
  </conditionalFormatting>
  <conditionalFormatting sqref="BW96:CB99">
    <cfRule type="expression" dxfId="4832" priority="786" stopIfTrue="1">
      <formula>LEN(TRIM(BW96))=0</formula>
    </cfRule>
  </conditionalFormatting>
  <conditionalFormatting sqref="CC96:CE99">
    <cfRule type="cellIs" dxfId="4831" priority="787" stopIfTrue="1" operator="equal">
      <formula>"E"</formula>
    </cfRule>
  </conditionalFormatting>
  <conditionalFormatting sqref="CC96:CE99">
    <cfRule type="cellIs" dxfId="4830" priority="788" stopIfTrue="1" operator="equal">
      <formula>"S"</formula>
    </cfRule>
  </conditionalFormatting>
  <conditionalFormatting sqref="CC96:CE99">
    <cfRule type="cellIs" dxfId="4829" priority="789" stopIfTrue="1" operator="equal">
      <formula>"M"</formula>
    </cfRule>
  </conditionalFormatting>
  <conditionalFormatting sqref="CC96:CE99">
    <cfRule type="cellIs" dxfId="4828" priority="790" stopIfTrue="1" operator="equal">
      <formula>"J"</formula>
    </cfRule>
  </conditionalFormatting>
  <conditionalFormatting sqref="CC96:CE99">
    <cfRule type="cellIs" dxfId="4827" priority="791" stopIfTrue="1" operator="equal">
      <formula>"O"</formula>
    </cfRule>
  </conditionalFormatting>
  <conditionalFormatting sqref="CC96:CE99">
    <cfRule type="expression" dxfId="4826" priority="792" stopIfTrue="1">
      <formula>LEN(TRIM(CC96))=0</formula>
    </cfRule>
  </conditionalFormatting>
  <conditionalFormatting sqref="CF96:CI99">
    <cfRule type="cellIs" dxfId="4825" priority="793" stopIfTrue="1" operator="equal">
      <formula>"E"</formula>
    </cfRule>
  </conditionalFormatting>
  <conditionalFormatting sqref="CF96:CI99">
    <cfRule type="cellIs" dxfId="4824" priority="794" stopIfTrue="1" operator="equal">
      <formula>"S"</formula>
    </cfRule>
  </conditionalFormatting>
  <conditionalFormatting sqref="CF96:CI99">
    <cfRule type="cellIs" dxfId="4823" priority="795" stopIfTrue="1" operator="equal">
      <formula>"M"</formula>
    </cfRule>
  </conditionalFormatting>
  <conditionalFormatting sqref="CF96:CI99">
    <cfRule type="cellIs" dxfId="4822" priority="796" stopIfTrue="1" operator="equal">
      <formula>"J"</formula>
    </cfRule>
  </conditionalFormatting>
  <conditionalFormatting sqref="CF96:CI99">
    <cfRule type="cellIs" dxfId="4821" priority="797" stopIfTrue="1" operator="equal">
      <formula>"O"</formula>
    </cfRule>
  </conditionalFormatting>
  <conditionalFormatting sqref="CF96:CI99">
    <cfRule type="expression" dxfId="4820" priority="798" stopIfTrue="1">
      <formula>LEN(TRIM(CF96))=0</formula>
    </cfRule>
  </conditionalFormatting>
  <conditionalFormatting sqref="CK96:CO99">
    <cfRule type="cellIs" dxfId="4819" priority="799" stopIfTrue="1" operator="equal">
      <formula>"E"</formula>
    </cfRule>
  </conditionalFormatting>
  <conditionalFormatting sqref="CK96:CO99">
    <cfRule type="cellIs" dxfId="4818" priority="800" stopIfTrue="1" operator="equal">
      <formula>"S"</formula>
    </cfRule>
  </conditionalFormatting>
  <conditionalFormatting sqref="CK96:CO99">
    <cfRule type="cellIs" dxfId="4817" priority="801" stopIfTrue="1" operator="equal">
      <formula>"M"</formula>
    </cfRule>
  </conditionalFormatting>
  <conditionalFormatting sqref="CK96:CO99">
    <cfRule type="cellIs" dxfId="4816" priority="802" stopIfTrue="1" operator="equal">
      <formula>"J"</formula>
    </cfRule>
  </conditionalFormatting>
  <conditionalFormatting sqref="CK96:CO99">
    <cfRule type="cellIs" dxfId="4815" priority="803" stopIfTrue="1" operator="equal">
      <formula>"O"</formula>
    </cfRule>
  </conditionalFormatting>
  <conditionalFormatting sqref="CK96:CO99">
    <cfRule type="expression" dxfId="4814" priority="804" stopIfTrue="1">
      <formula>LEN(TRIM(CK96))=0</formula>
    </cfRule>
  </conditionalFormatting>
  <conditionalFormatting sqref="CQ96:CU99">
    <cfRule type="cellIs" dxfId="4813" priority="805" stopIfTrue="1" operator="equal">
      <formula>"E"</formula>
    </cfRule>
  </conditionalFormatting>
  <conditionalFormatting sqref="CQ96:CU99">
    <cfRule type="cellIs" dxfId="4812" priority="806" stopIfTrue="1" operator="equal">
      <formula>"S"</formula>
    </cfRule>
  </conditionalFormatting>
  <conditionalFormatting sqref="CQ96:CU99">
    <cfRule type="cellIs" dxfId="4811" priority="807" stopIfTrue="1" operator="equal">
      <formula>"M"</formula>
    </cfRule>
  </conditionalFormatting>
  <conditionalFormatting sqref="CQ96:CU99">
    <cfRule type="cellIs" dxfId="4810" priority="808" stopIfTrue="1" operator="equal">
      <formula>"J"</formula>
    </cfRule>
  </conditionalFormatting>
  <conditionalFormatting sqref="CQ96:CU99">
    <cfRule type="cellIs" dxfId="4809" priority="809" stopIfTrue="1" operator="equal">
      <formula>"O"</formula>
    </cfRule>
  </conditionalFormatting>
  <conditionalFormatting sqref="CQ96:CU99">
    <cfRule type="expression" dxfId="4808" priority="810" stopIfTrue="1">
      <formula>LEN(TRIM(CQ96))=0</formula>
    </cfRule>
  </conditionalFormatting>
  <conditionalFormatting sqref="CW96:DA99">
    <cfRule type="cellIs" dxfId="4807" priority="811" stopIfTrue="1" operator="equal">
      <formula>"E"</formula>
    </cfRule>
  </conditionalFormatting>
  <conditionalFormatting sqref="CW96:DA99">
    <cfRule type="cellIs" dxfId="4806" priority="812" stopIfTrue="1" operator="equal">
      <formula>"S"</formula>
    </cfRule>
  </conditionalFormatting>
  <conditionalFormatting sqref="CW96:DA99">
    <cfRule type="cellIs" dxfId="4805" priority="813" stopIfTrue="1" operator="equal">
      <formula>"M"</formula>
    </cfRule>
  </conditionalFormatting>
  <conditionalFormatting sqref="CW96:DA99">
    <cfRule type="cellIs" dxfId="4804" priority="814" stopIfTrue="1" operator="equal">
      <formula>"J"</formula>
    </cfRule>
  </conditionalFormatting>
  <conditionalFormatting sqref="CW96:DA99">
    <cfRule type="cellIs" dxfId="4803" priority="815" stopIfTrue="1" operator="equal">
      <formula>"O"</formula>
    </cfRule>
  </conditionalFormatting>
  <conditionalFormatting sqref="CW96:DA99">
    <cfRule type="expression" dxfId="4802" priority="816" stopIfTrue="1">
      <formula>LEN(TRIM(CW96))=0</formula>
    </cfRule>
  </conditionalFormatting>
  <conditionalFormatting sqref="D102:K106">
    <cfRule type="cellIs" dxfId="4801" priority="817" stopIfTrue="1" operator="equal">
      <formula>"E"</formula>
    </cfRule>
  </conditionalFormatting>
  <conditionalFormatting sqref="D102:K106">
    <cfRule type="cellIs" dxfId="4800" priority="818" stopIfTrue="1" operator="equal">
      <formula>"S"</formula>
    </cfRule>
  </conditionalFormatting>
  <conditionalFormatting sqref="D102:K106">
    <cfRule type="cellIs" dxfId="4799" priority="819" stopIfTrue="1" operator="equal">
      <formula>"M"</formula>
    </cfRule>
  </conditionalFormatting>
  <conditionalFormatting sqref="D102:K106">
    <cfRule type="cellIs" dxfId="4798" priority="820" stopIfTrue="1" operator="equal">
      <formula>"J"</formula>
    </cfRule>
  </conditionalFormatting>
  <conditionalFormatting sqref="D102:K106">
    <cfRule type="cellIs" dxfId="4797" priority="821" stopIfTrue="1" operator="equal">
      <formula>"O"</formula>
    </cfRule>
  </conditionalFormatting>
  <conditionalFormatting sqref="D102:K106">
    <cfRule type="expression" dxfId="4796" priority="822" stopIfTrue="1">
      <formula>LEN(TRIM(D102))=0</formula>
    </cfRule>
  </conditionalFormatting>
  <conditionalFormatting sqref="D109:K109">
    <cfRule type="cellIs" dxfId="4795" priority="823" stopIfTrue="1" operator="equal">
      <formula>"E"</formula>
    </cfRule>
  </conditionalFormatting>
  <conditionalFormatting sqref="D109:K109">
    <cfRule type="cellIs" dxfId="4794" priority="824" stopIfTrue="1" operator="equal">
      <formula>"S"</formula>
    </cfRule>
  </conditionalFormatting>
  <conditionalFormatting sqref="D109:K109">
    <cfRule type="cellIs" dxfId="4793" priority="825" stopIfTrue="1" operator="equal">
      <formula>"M"</formula>
    </cfRule>
  </conditionalFormatting>
  <conditionalFormatting sqref="D109:K109">
    <cfRule type="cellIs" dxfId="4792" priority="826" stopIfTrue="1" operator="equal">
      <formula>"J"</formula>
    </cfRule>
  </conditionalFormatting>
  <conditionalFormatting sqref="D109:K109">
    <cfRule type="cellIs" dxfId="4791" priority="827" stopIfTrue="1" operator="equal">
      <formula>"O"</formula>
    </cfRule>
  </conditionalFormatting>
  <conditionalFormatting sqref="D109:K109">
    <cfRule type="expression" dxfId="4790" priority="828" stopIfTrue="1">
      <formula>LEN(TRIM(D109))=0</formula>
    </cfRule>
  </conditionalFormatting>
  <conditionalFormatting sqref="L102:O106">
    <cfRule type="cellIs" dxfId="4789" priority="829" stopIfTrue="1" operator="equal">
      <formula>"E"</formula>
    </cfRule>
  </conditionalFormatting>
  <conditionalFormatting sqref="L102:O106">
    <cfRule type="cellIs" dxfId="4788" priority="830" stopIfTrue="1" operator="equal">
      <formula>"S"</formula>
    </cfRule>
  </conditionalFormatting>
  <conditionalFormatting sqref="L102:O106">
    <cfRule type="cellIs" dxfId="4787" priority="831" stopIfTrue="1" operator="equal">
      <formula>"M"</formula>
    </cfRule>
  </conditionalFormatting>
  <conditionalFormatting sqref="L102:O106">
    <cfRule type="cellIs" dxfId="4786" priority="832" stopIfTrue="1" operator="equal">
      <formula>"J"</formula>
    </cfRule>
  </conditionalFormatting>
  <conditionalFormatting sqref="L102:O106">
    <cfRule type="cellIs" dxfId="4785" priority="833" stopIfTrue="1" operator="equal">
      <formula>"O"</formula>
    </cfRule>
  </conditionalFormatting>
  <conditionalFormatting sqref="L102:O106">
    <cfRule type="expression" dxfId="4784" priority="834" stopIfTrue="1">
      <formula>LEN(TRIM(L102))=0</formula>
    </cfRule>
  </conditionalFormatting>
  <conditionalFormatting sqref="L109:O109">
    <cfRule type="cellIs" dxfId="4783" priority="835" stopIfTrue="1" operator="equal">
      <formula>"E"</formula>
    </cfRule>
  </conditionalFormatting>
  <conditionalFormatting sqref="L109:O109">
    <cfRule type="cellIs" dxfId="4782" priority="836" stopIfTrue="1" operator="equal">
      <formula>"S"</formula>
    </cfRule>
  </conditionalFormatting>
  <conditionalFormatting sqref="L109:O109">
    <cfRule type="cellIs" dxfId="4781" priority="837" stopIfTrue="1" operator="equal">
      <formula>"M"</formula>
    </cfRule>
  </conditionalFormatting>
  <conditionalFormatting sqref="L109:O109">
    <cfRule type="cellIs" dxfId="4780" priority="838" stopIfTrue="1" operator="equal">
      <formula>"J"</formula>
    </cfRule>
  </conditionalFormatting>
  <conditionalFormatting sqref="L109:O109">
    <cfRule type="cellIs" dxfId="4779" priority="839" stopIfTrue="1" operator="equal">
      <formula>"O"</formula>
    </cfRule>
  </conditionalFormatting>
  <conditionalFormatting sqref="L109:O109">
    <cfRule type="expression" dxfId="4778" priority="840" stopIfTrue="1">
      <formula>LEN(TRIM(L109))=0</formula>
    </cfRule>
  </conditionalFormatting>
  <conditionalFormatting sqref="P102:AI106">
    <cfRule type="cellIs" dxfId="4777" priority="841" stopIfTrue="1" operator="equal">
      <formula>"E"</formula>
    </cfRule>
  </conditionalFormatting>
  <conditionalFormatting sqref="P102:AI106">
    <cfRule type="cellIs" dxfId="4776" priority="842" stopIfTrue="1" operator="equal">
      <formula>"S"</formula>
    </cfRule>
  </conditionalFormatting>
  <conditionalFormatting sqref="P102:AI106">
    <cfRule type="cellIs" dxfId="4775" priority="843" stopIfTrue="1" operator="equal">
      <formula>"M"</formula>
    </cfRule>
  </conditionalFormatting>
  <conditionalFormatting sqref="P102:AI106">
    <cfRule type="cellIs" dxfId="4774" priority="844" stopIfTrue="1" operator="equal">
      <formula>"J"</formula>
    </cfRule>
  </conditionalFormatting>
  <conditionalFormatting sqref="P102:AI106">
    <cfRule type="cellIs" dxfId="4773" priority="845" stopIfTrue="1" operator="equal">
      <formula>"O"</formula>
    </cfRule>
  </conditionalFormatting>
  <conditionalFormatting sqref="P102:AI106">
    <cfRule type="expression" dxfId="4772" priority="846" stopIfTrue="1">
      <formula>LEN(TRIM(P102))=0</formula>
    </cfRule>
  </conditionalFormatting>
  <conditionalFormatting sqref="P109:AI109">
    <cfRule type="cellIs" dxfId="4771" priority="847" stopIfTrue="1" operator="equal">
      <formula>"E"</formula>
    </cfRule>
  </conditionalFormatting>
  <conditionalFormatting sqref="P109:AI109">
    <cfRule type="cellIs" dxfId="4770" priority="848" stopIfTrue="1" operator="equal">
      <formula>"S"</formula>
    </cfRule>
  </conditionalFormatting>
  <conditionalFormatting sqref="P109:AI109">
    <cfRule type="cellIs" dxfId="4769" priority="849" stopIfTrue="1" operator="equal">
      <formula>"M"</formula>
    </cfRule>
  </conditionalFormatting>
  <conditionalFormatting sqref="P109:AI109">
    <cfRule type="cellIs" dxfId="4768" priority="850" stopIfTrue="1" operator="equal">
      <formula>"J"</formula>
    </cfRule>
  </conditionalFormatting>
  <conditionalFormatting sqref="P109:AI109">
    <cfRule type="cellIs" dxfId="4767" priority="851" stopIfTrue="1" operator="equal">
      <formula>"O"</formula>
    </cfRule>
  </conditionalFormatting>
  <conditionalFormatting sqref="P109:AI109">
    <cfRule type="expression" dxfId="4766" priority="852" stopIfTrue="1">
      <formula>LEN(TRIM(P109))=0</formula>
    </cfRule>
  </conditionalFormatting>
  <conditionalFormatting sqref="AJ102:AL106">
    <cfRule type="cellIs" dxfId="4765" priority="853" stopIfTrue="1" operator="equal">
      <formula>"E"</formula>
    </cfRule>
  </conditionalFormatting>
  <conditionalFormatting sqref="AJ102:AL106">
    <cfRule type="cellIs" dxfId="4764" priority="854" stopIfTrue="1" operator="equal">
      <formula>"S"</formula>
    </cfRule>
  </conditionalFormatting>
  <conditionalFormatting sqref="AJ102:AL106">
    <cfRule type="cellIs" dxfId="4763" priority="855" stopIfTrue="1" operator="equal">
      <formula>"M"</formula>
    </cfRule>
  </conditionalFormatting>
  <conditionalFormatting sqref="AJ102:AL106">
    <cfRule type="cellIs" dxfId="4762" priority="856" stopIfTrue="1" operator="equal">
      <formula>"J"</formula>
    </cfRule>
  </conditionalFormatting>
  <conditionalFormatting sqref="AJ102:AL106">
    <cfRule type="cellIs" dxfId="4761" priority="857" stopIfTrue="1" operator="equal">
      <formula>"O"</formula>
    </cfRule>
  </conditionalFormatting>
  <conditionalFormatting sqref="AJ102:AL106">
    <cfRule type="expression" dxfId="4760" priority="858" stopIfTrue="1">
      <formula>LEN(TRIM(AJ102))=0</formula>
    </cfRule>
  </conditionalFormatting>
  <conditionalFormatting sqref="AJ109:AL109">
    <cfRule type="cellIs" dxfId="4759" priority="859" stopIfTrue="1" operator="equal">
      <formula>"E"</formula>
    </cfRule>
  </conditionalFormatting>
  <conditionalFormatting sqref="AJ109:AL109">
    <cfRule type="cellIs" dxfId="4758" priority="860" stopIfTrue="1" operator="equal">
      <formula>"S"</formula>
    </cfRule>
  </conditionalFormatting>
  <conditionalFormatting sqref="AJ109:AL109">
    <cfRule type="cellIs" dxfId="4757" priority="861" stopIfTrue="1" operator="equal">
      <formula>"M"</formula>
    </cfRule>
  </conditionalFormatting>
  <conditionalFormatting sqref="AJ109:AL109">
    <cfRule type="cellIs" dxfId="4756" priority="862" stopIfTrue="1" operator="equal">
      <formula>"J"</formula>
    </cfRule>
  </conditionalFormatting>
  <conditionalFormatting sqref="AJ109:AL109">
    <cfRule type="cellIs" dxfId="4755" priority="863" stopIfTrue="1" operator="equal">
      <formula>"O"</formula>
    </cfRule>
  </conditionalFormatting>
  <conditionalFormatting sqref="AJ109:AL109">
    <cfRule type="expression" dxfId="4754" priority="864" stopIfTrue="1">
      <formula>LEN(TRIM(AJ109))=0</formula>
    </cfRule>
  </conditionalFormatting>
  <conditionalFormatting sqref="AM102:AO106">
    <cfRule type="cellIs" dxfId="4753" priority="865" stopIfTrue="1" operator="equal">
      <formula>"E"</formula>
    </cfRule>
  </conditionalFormatting>
  <conditionalFormatting sqref="AM102:AO106">
    <cfRule type="cellIs" dxfId="4752" priority="866" stopIfTrue="1" operator="equal">
      <formula>"S"</formula>
    </cfRule>
  </conditionalFormatting>
  <conditionalFormatting sqref="AM102:AO106">
    <cfRule type="cellIs" dxfId="4751" priority="867" stopIfTrue="1" operator="equal">
      <formula>"M"</formula>
    </cfRule>
  </conditionalFormatting>
  <conditionalFormatting sqref="AM102:AO106">
    <cfRule type="cellIs" dxfId="4750" priority="868" stopIfTrue="1" operator="equal">
      <formula>"J"</formula>
    </cfRule>
  </conditionalFormatting>
  <conditionalFormatting sqref="AM102:AO106">
    <cfRule type="cellIs" dxfId="4749" priority="869" stopIfTrue="1" operator="equal">
      <formula>"O"</formula>
    </cfRule>
  </conditionalFormatting>
  <conditionalFormatting sqref="AM102:AO106">
    <cfRule type="expression" dxfId="4748" priority="870" stopIfTrue="1">
      <formula>LEN(TRIM(AM102))=0</formula>
    </cfRule>
  </conditionalFormatting>
  <conditionalFormatting sqref="AM109:AO109">
    <cfRule type="cellIs" dxfId="4747" priority="871" stopIfTrue="1" operator="equal">
      <formula>"E"</formula>
    </cfRule>
  </conditionalFormatting>
  <conditionalFormatting sqref="AM109:AO109">
    <cfRule type="cellIs" dxfId="4746" priority="872" stopIfTrue="1" operator="equal">
      <formula>"S"</formula>
    </cfRule>
  </conditionalFormatting>
  <conditionalFormatting sqref="AM109:AO109">
    <cfRule type="cellIs" dxfId="4745" priority="873" stopIfTrue="1" operator="equal">
      <formula>"M"</formula>
    </cfRule>
  </conditionalFormatting>
  <conditionalFormatting sqref="AM109:AO109">
    <cfRule type="cellIs" dxfId="4744" priority="874" stopIfTrue="1" operator="equal">
      <formula>"J"</formula>
    </cfRule>
  </conditionalFormatting>
  <conditionalFormatting sqref="AM109:AO109">
    <cfRule type="cellIs" dxfId="4743" priority="875" stopIfTrue="1" operator="equal">
      <formula>"O"</formula>
    </cfRule>
  </conditionalFormatting>
  <conditionalFormatting sqref="AM109:AO109">
    <cfRule type="expression" dxfId="4742" priority="876" stopIfTrue="1">
      <formula>LEN(TRIM(AM109))=0</formula>
    </cfRule>
  </conditionalFormatting>
  <conditionalFormatting sqref="AP102:AT106">
    <cfRule type="cellIs" dxfId="4741" priority="877" stopIfTrue="1" operator="equal">
      <formula>"E"</formula>
    </cfRule>
  </conditionalFormatting>
  <conditionalFormatting sqref="AP102:AT106">
    <cfRule type="cellIs" dxfId="4740" priority="878" stopIfTrue="1" operator="equal">
      <formula>"S"</formula>
    </cfRule>
  </conditionalFormatting>
  <conditionalFormatting sqref="AP102:AT106">
    <cfRule type="cellIs" dxfId="4739" priority="879" stopIfTrue="1" operator="equal">
      <formula>"M"</formula>
    </cfRule>
  </conditionalFormatting>
  <conditionalFormatting sqref="AP102:AT106">
    <cfRule type="cellIs" dxfId="4738" priority="880" stopIfTrue="1" operator="equal">
      <formula>"J"</formula>
    </cfRule>
  </conditionalFormatting>
  <conditionalFormatting sqref="AP102:AT106">
    <cfRule type="cellIs" dxfId="4737" priority="881" stopIfTrue="1" operator="equal">
      <formula>"O"</formula>
    </cfRule>
  </conditionalFormatting>
  <conditionalFormatting sqref="AP102:AT106">
    <cfRule type="expression" dxfId="4736" priority="882" stopIfTrue="1">
      <formula>LEN(TRIM(AP102))=0</formula>
    </cfRule>
  </conditionalFormatting>
  <conditionalFormatting sqref="AP109:AT109">
    <cfRule type="cellIs" dxfId="4735" priority="883" stopIfTrue="1" operator="equal">
      <formula>"E"</formula>
    </cfRule>
  </conditionalFormatting>
  <conditionalFormatting sqref="AP109:AT109">
    <cfRule type="cellIs" dxfId="4734" priority="884" stopIfTrue="1" operator="equal">
      <formula>"S"</formula>
    </cfRule>
  </conditionalFormatting>
  <conditionalFormatting sqref="AP109:AT109">
    <cfRule type="cellIs" dxfId="4733" priority="885" stopIfTrue="1" operator="equal">
      <formula>"M"</formula>
    </cfRule>
  </conditionalFormatting>
  <conditionalFormatting sqref="AP109:AT109">
    <cfRule type="cellIs" dxfId="4732" priority="886" stopIfTrue="1" operator="equal">
      <formula>"J"</formula>
    </cfRule>
  </conditionalFormatting>
  <conditionalFormatting sqref="AP109:AT109">
    <cfRule type="cellIs" dxfId="4731" priority="887" stopIfTrue="1" operator="equal">
      <formula>"O"</formula>
    </cfRule>
  </conditionalFormatting>
  <conditionalFormatting sqref="AP109:AT109">
    <cfRule type="expression" dxfId="4730" priority="888" stopIfTrue="1">
      <formula>LEN(TRIM(AP109))=0</formula>
    </cfRule>
  </conditionalFormatting>
  <conditionalFormatting sqref="AU102:BB106">
    <cfRule type="cellIs" dxfId="4729" priority="889" stopIfTrue="1" operator="equal">
      <formula>"E"</formula>
    </cfRule>
  </conditionalFormatting>
  <conditionalFormatting sqref="AU102:BB106">
    <cfRule type="cellIs" dxfId="4728" priority="890" stopIfTrue="1" operator="equal">
      <formula>"S"</formula>
    </cfRule>
  </conditionalFormatting>
  <conditionalFormatting sqref="AU102:BB106">
    <cfRule type="cellIs" dxfId="4727" priority="891" stopIfTrue="1" operator="equal">
      <formula>"M"</formula>
    </cfRule>
  </conditionalFormatting>
  <conditionalFormatting sqref="AU102:BB106">
    <cfRule type="cellIs" dxfId="4726" priority="892" stopIfTrue="1" operator="equal">
      <formula>"J"</formula>
    </cfRule>
  </conditionalFormatting>
  <conditionalFormatting sqref="AU102:BB106">
    <cfRule type="cellIs" dxfId="4725" priority="893" stopIfTrue="1" operator="equal">
      <formula>"O"</formula>
    </cfRule>
  </conditionalFormatting>
  <conditionalFormatting sqref="AU102:BB106">
    <cfRule type="expression" dxfId="4724" priority="894" stopIfTrue="1">
      <formula>LEN(TRIM(AU102))=0</formula>
    </cfRule>
  </conditionalFormatting>
  <conditionalFormatting sqref="AU109:BB109">
    <cfRule type="cellIs" dxfId="4723" priority="895" stopIfTrue="1" operator="equal">
      <formula>"E"</formula>
    </cfRule>
  </conditionalFormatting>
  <conditionalFormatting sqref="AU109:BB109">
    <cfRule type="cellIs" dxfId="4722" priority="896" stopIfTrue="1" operator="equal">
      <formula>"S"</formula>
    </cfRule>
  </conditionalFormatting>
  <conditionalFormatting sqref="AU109:BB109">
    <cfRule type="cellIs" dxfId="4721" priority="897" stopIfTrue="1" operator="equal">
      <formula>"M"</formula>
    </cfRule>
  </conditionalFormatting>
  <conditionalFormatting sqref="AU109:BB109">
    <cfRule type="cellIs" dxfId="4720" priority="898" stopIfTrue="1" operator="equal">
      <formula>"J"</formula>
    </cfRule>
  </conditionalFormatting>
  <conditionalFormatting sqref="AU109:BB109">
    <cfRule type="cellIs" dxfId="4719" priority="899" stopIfTrue="1" operator="equal">
      <formula>"O"</formula>
    </cfRule>
  </conditionalFormatting>
  <conditionalFormatting sqref="AU109:BB109">
    <cfRule type="expression" dxfId="4718" priority="900" stopIfTrue="1">
      <formula>LEN(TRIM(AU109))=0</formula>
    </cfRule>
  </conditionalFormatting>
  <conditionalFormatting sqref="BC102:BG106">
    <cfRule type="cellIs" dxfId="4717" priority="901" stopIfTrue="1" operator="equal">
      <formula>"E"</formula>
    </cfRule>
  </conditionalFormatting>
  <conditionalFormatting sqref="BC102:BG106">
    <cfRule type="cellIs" dxfId="4716" priority="902" stopIfTrue="1" operator="equal">
      <formula>"S"</formula>
    </cfRule>
  </conditionalFormatting>
  <conditionalFormatting sqref="BC102:BG106">
    <cfRule type="cellIs" dxfId="4715" priority="903" stopIfTrue="1" operator="equal">
      <formula>"M"</formula>
    </cfRule>
  </conditionalFormatting>
  <conditionalFormatting sqref="BC102:BG106">
    <cfRule type="cellIs" dxfId="4714" priority="904" stopIfTrue="1" operator="equal">
      <formula>"J"</formula>
    </cfRule>
  </conditionalFormatting>
  <conditionalFormatting sqref="BC102:BG106">
    <cfRule type="cellIs" dxfId="4713" priority="905" stopIfTrue="1" operator="equal">
      <formula>"O"</formula>
    </cfRule>
  </conditionalFormatting>
  <conditionalFormatting sqref="BC102:BG106">
    <cfRule type="expression" dxfId="4712" priority="906" stopIfTrue="1">
      <formula>LEN(TRIM(BC102))=0</formula>
    </cfRule>
  </conditionalFormatting>
  <conditionalFormatting sqref="BC109:BG109">
    <cfRule type="cellIs" dxfId="4711" priority="907" stopIfTrue="1" operator="equal">
      <formula>"E"</formula>
    </cfRule>
  </conditionalFormatting>
  <conditionalFormatting sqref="BC109:BG109">
    <cfRule type="cellIs" dxfId="4710" priority="908" stopIfTrue="1" operator="equal">
      <formula>"S"</formula>
    </cfRule>
  </conditionalFormatting>
  <conditionalFormatting sqref="BC109:BG109">
    <cfRule type="cellIs" dxfId="4709" priority="909" stopIfTrue="1" operator="equal">
      <formula>"M"</formula>
    </cfRule>
  </conditionalFormatting>
  <conditionalFormatting sqref="BC109:BG109">
    <cfRule type="cellIs" dxfId="4708" priority="910" stopIfTrue="1" operator="equal">
      <formula>"J"</formula>
    </cfRule>
  </conditionalFormatting>
  <conditionalFormatting sqref="BC109:BG109">
    <cfRule type="cellIs" dxfId="4707" priority="911" stopIfTrue="1" operator="equal">
      <formula>"O"</formula>
    </cfRule>
  </conditionalFormatting>
  <conditionalFormatting sqref="BC109:BG109">
    <cfRule type="expression" dxfId="4706" priority="912" stopIfTrue="1">
      <formula>LEN(TRIM(BC109))=0</formula>
    </cfRule>
  </conditionalFormatting>
  <conditionalFormatting sqref="BH102:BJ106">
    <cfRule type="cellIs" dxfId="4705" priority="913" stopIfTrue="1" operator="equal">
      <formula>"E"</formula>
    </cfRule>
  </conditionalFormatting>
  <conditionalFormatting sqref="BH102:BJ106">
    <cfRule type="cellIs" dxfId="4704" priority="914" stopIfTrue="1" operator="equal">
      <formula>"S"</formula>
    </cfRule>
  </conditionalFormatting>
  <conditionalFormatting sqref="BH102:BJ106">
    <cfRule type="cellIs" dxfId="4703" priority="915" stopIfTrue="1" operator="equal">
      <formula>"M"</formula>
    </cfRule>
  </conditionalFormatting>
  <conditionalFormatting sqref="BH102:BJ106">
    <cfRule type="cellIs" dxfId="4702" priority="916" stopIfTrue="1" operator="equal">
      <formula>"J"</formula>
    </cfRule>
  </conditionalFormatting>
  <conditionalFormatting sqref="BH102:BJ106">
    <cfRule type="cellIs" dxfId="4701" priority="917" stopIfTrue="1" operator="equal">
      <formula>"O"</formula>
    </cfRule>
  </conditionalFormatting>
  <conditionalFormatting sqref="BH102:BJ106">
    <cfRule type="expression" dxfId="4700" priority="918" stopIfTrue="1">
      <formula>LEN(TRIM(BH102))=0</formula>
    </cfRule>
  </conditionalFormatting>
  <conditionalFormatting sqref="BH109:BJ109">
    <cfRule type="cellIs" dxfId="4699" priority="919" stopIfTrue="1" operator="equal">
      <formula>"E"</formula>
    </cfRule>
  </conditionalFormatting>
  <conditionalFormatting sqref="BH109:BJ109">
    <cfRule type="cellIs" dxfId="4698" priority="920" stopIfTrue="1" operator="equal">
      <formula>"S"</formula>
    </cfRule>
  </conditionalFormatting>
  <conditionalFormatting sqref="BH109:BJ109">
    <cfRule type="cellIs" dxfId="4697" priority="921" stopIfTrue="1" operator="equal">
      <formula>"M"</formula>
    </cfRule>
  </conditionalFormatting>
  <conditionalFormatting sqref="BH109:BJ109">
    <cfRule type="cellIs" dxfId="4696" priority="922" stopIfTrue="1" operator="equal">
      <formula>"J"</formula>
    </cfRule>
  </conditionalFormatting>
  <conditionalFormatting sqref="BH109:BJ109">
    <cfRule type="cellIs" dxfId="4695" priority="923" stopIfTrue="1" operator="equal">
      <formula>"O"</formula>
    </cfRule>
  </conditionalFormatting>
  <conditionalFormatting sqref="BH109:BJ109">
    <cfRule type="expression" dxfId="4694" priority="924" stopIfTrue="1">
      <formula>LEN(TRIM(BH109))=0</formula>
    </cfRule>
  </conditionalFormatting>
  <conditionalFormatting sqref="BK102:BN106">
    <cfRule type="cellIs" dxfId="4693" priority="925" stopIfTrue="1" operator="equal">
      <formula>"E"</formula>
    </cfRule>
  </conditionalFormatting>
  <conditionalFormatting sqref="BK102:BN106">
    <cfRule type="cellIs" dxfId="4692" priority="926" stopIfTrue="1" operator="equal">
      <formula>"S"</formula>
    </cfRule>
  </conditionalFormatting>
  <conditionalFormatting sqref="BK102:BN106">
    <cfRule type="cellIs" dxfId="4691" priority="927" stopIfTrue="1" operator="equal">
      <formula>"M"</formula>
    </cfRule>
  </conditionalFormatting>
  <conditionalFormatting sqref="BK102:BN106">
    <cfRule type="cellIs" dxfId="4690" priority="928" stopIfTrue="1" operator="equal">
      <formula>"J"</formula>
    </cfRule>
  </conditionalFormatting>
  <conditionalFormatting sqref="BK102:BN106">
    <cfRule type="cellIs" dxfId="4689" priority="929" stopIfTrue="1" operator="equal">
      <formula>"O"</formula>
    </cfRule>
  </conditionalFormatting>
  <conditionalFormatting sqref="BK102:BN106">
    <cfRule type="expression" dxfId="4688" priority="930" stopIfTrue="1">
      <formula>LEN(TRIM(BK102))=0</formula>
    </cfRule>
  </conditionalFormatting>
  <conditionalFormatting sqref="BK109:BN109">
    <cfRule type="cellIs" dxfId="4687" priority="931" stopIfTrue="1" operator="equal">
      <formula>"E"</formula>
    </cfRule>
  </conditionalFormatting>
  <conditionalFormatting sqref="BK109:BN109">
    <cfRule type="cellIs" dxfId="4686" priority="932" stopIfTrue="1" operator="equal">
      <formula>"S"</formula>
    </cfRule>
  </conditionalFormatting>
  <conditionalFormatting sqref="BK109:BN109">
    <cfRule type="cellIs" dxfId="4685" priority="933" stopIfTrue="1" operator="equal">
      <formula>"M"</formula>
    </cfRule>
  </conditionalFormatting>
  <conditionalFormatting sqref="BK109:BN109">
    <cfRule type="cellIs" dxfId="4684" priority="934" stopIfTrue="1" operator="equal">
      <formula>"J"</formula>
    </cfRule>
  </conditionalFormatting>
  <conditionalFormatting sqref="BK109:BN109">
    <cfRule type="cellIs" dxfId="4683" priority="935" stopIfTrue="1" operator="equal">
      <formula>"O"</formula>
    </cfRule>
  </conditionalFormatting>
  <conditionalFormatting sqref="BK109:BN109">
    <cfRule type="expression" dxfId="4682" priority="936" stopIfTrue="1">
      <formula>LEN(TRIM(BK109))=0</formula>
    </cfRule>
  </conditionalFormatting>
  <conditionalFormatting sqref="BO102:BV106">
    <cfRule type="cellIs" dxfId="4681" priority="937" stopIfTrue="1" operator="equal">
      <formula>"E"</formula>
    </cfRule>
  </conditionalFormatting>
  <conditionalFormatting sqref="BO102:BV106">
    <cfRule type="cellIs" dxfId="4680" priority="938" stopIfTrue="1" operator="equal">
      <formula>"S"</formula>
    </cfRule>
  </conditionalFormatting>
  <conditionalFormatting sqref="BO102:BV106">
    <cfRule type="cellIs" dxfId="4679" priority="939" stopIfTrue="1" operator="equal">
      <formula>"M"</formula>
    </cfRule>
  </conditionalFormatting>
  <conditionalFormatting sqref="BO102:BV106">
    <cfRule type="cellIs" dxfId="4678" priority="940" stopIfTrue="1" operator="equal">
      <formula>"J"</formula>
    </cfRule>
  </conditionalFormatting>
  <conditionalFormatting sqref="BO102:BV106">
    <cfRule type="cellIs" dxfId="4677" priority="941" stopIfTrue="1" operator="equal">
      <formula>"O"</formula>
    </cfRule>
  </conditionalFormatting>
  <conditionalFormatting sqref="BO102:BV106">
    <cfRule type="expression" dxfId="4676" priority="942" stopIfTrue="1">
      <formula>LEN(TRIM(BO102))=0</formula>
    </cfRule>
  </conditionalFormatting>
  <conditionalFormatting sqref="BO109:BV109">
    <cfRule type="cellIs" dxfId="4675" priority="943" stopIfTrue="1" operator="equal">
      <formula>"E"</formula>
    </cfRule>
  </conditionalFormatting>
  <conditionalFormatting sqref="BO109:BV109">
    <cfRule type="cellIs" dxfId="4674" priority="944" stopIfTrue="1" operator="equal">
      <formula>"S"</formula>
    </cfRule>
  </conditionalFormatting>
  <conditionalFormatting sqref="BO109:BV109">
    <cfRule type="cellIs" dxfId="4673" priority="945" stopIfTrue="1" operator="equal">
      <formula>"M"</formula>
    </cfRule>
  </conditionalFormatting>
  <conditionalFormatting sqref="BO109:BV109">
    <cfRule type="cellIs" dxfId="4672" priority="946" stopIfTrue="1" operator="equal">
      <formula>"J"</formula>
    </cfRule>
  </conditionalFormatting>
  <conditionalFormatting sqref="BO109:BV109">
    <cfRule type="cellIs" dxfId="4671" priority="947" stopIfTrue="1" operator="equal">
      <formula>"O"</formula>
    </cfRule>
  </conditionalFormatting>
  <conditionalFormatting sqref="BO109:BV109">
    <cfRule type="expression" dxfId="4670" priority="948" stopIfTrue="1">
      <formula>LEN(TRIM(BO109))=0</formula>
    </cfRule>
  </conditionalFormatting>
  <conditionalFormatting sqref="BW102:CB106">
    <cfRule type="cellIs" dxfId="4669" priority="949" stopIfTrue="1" operator="equal">
      <formula>"E"</formula>
    </cfRule>
  </conditionalFormatting>
  <conditionalFormatting sqref="BW102:CB106">
    <cfRule type="cellIs" dxfId="4668" priority="950" stopIfTrue="1" operator="equal">
      <formula>"S"</formula>
    </cfRule>
  </conditionalFormatting>
  <conditionalFormatting sqref="BW102:CB106">
    <cfRule type="cellIs" dxfId="4667" priority="951" stopIfTrue="1" operator="equal">
      <formula>"M"</formula>
    </cfRule>
  </conditionalFormatting>
  <conditionalFormatting sqref="BW102:CB106">
    <cfRule type="cellIs" dxfId="4666" priority="952" stopIfTrue="1" operator="equal">
      <formula>"J"</formula>
    </cfRule>
  </conditionalFormatting>
  <conditionalFormatting sqref="BW102:CB106">
    <cfRule type="cellIs" dxfId="4665" priority="953" stopIfTrue="1" operator="equal">
      <formula>"O"</formula>
    </cfRule>
  </conditionalFormatting>
  <conditionalFormatting sqref="BW102:CB106">
    <cfRule type="expression" dxfId="4664" priority="954" stopIfTrue="1">
      <formula>LEN(TRIM(BW102))=0</formula>
    </cfRule>
  </conditionalFormatting>
  <conditionalFormatting sqref="BW109:CB109">
    <cfRule type="cellIs" dxfId="4663" priority="955" stopIfTrue="1" operator="equal">
      <formula>"E"</formula>
    </cfRule>
  </conditionalFormatting>
  <conditionalFormatting sqref="BW109:CB109">
    <cfRule type="cellIs" dxfId="4662" priority="956" stopIfTrue="1" operator="equal">
      <formula>"S"</formula>
    </cfRule>
  </conditionalFormatting>
  <conditionalFormatting sqref="BW109:CB109">
    <cfRule type="cellIs" dxfId="4661" priority="957" stopIfTrue="1" operator="equal">
      <formula>"M"</formula>
    </cfRule>
  </conditionalFormatting>
  <conditionalFormatting sqref="BW109:CB109">
    <cfRule type="cellIs" dxfId="4660" priority="958" stopIfTrue="1" operator="equal">
      <formula>"J"</formula>
    </cfRule>
  </conditionalFormatting>
  <conditionalFormatting sqref="BW109:CB109">
    <cfRule type="cellIs" dxfId="4659" priority="959" stopIfTrue="1" operator="equal">
      <formula>"O"</formula>
    </cfRule>
  </conditionalFormatting>
  <conditionalFormatting sqref="BW109:CB109">
    <cfRule type="expression" dxfId="4658" priority="960" stopIfTrue="1">
      <formula>LEN(TRIM(BW109))=0</formula>
    </cfRule>
  </conditionalFormatting>
  <conditionalFormatting sqref="CC102:CE106">
    <cfRule type="cellIs" dxfId="4657" priority="961" stopIfTrue="1" operator="equal">
      <formula>"E"</formula>
    </cfRule>
  </conditionalFormatting>
  <conditionalFormatting sqref="CC102:CE106">
    <cfRule type="cellIs" dxfId="4656" priority="962" stopIfTrue="1" operator="equal">
      <formula>"S"</formula>
    </cfRule>
  </conditionalFormatting>
  <conditionalFormatting sqref="CC102:CE106">
    <cfRule type="cellIs" dxfId="4655" priority="963" stopIfTrue="1" operator="equal">
      <formula>"M"</formula>
    </cfRule>
  </conditionalFormatting>
  <conditionalFormatting sqref="CC102:CE106">
    <cfRule type="cellIs" dxfId="4654" priority="964" stopIfTrue="1" operator="equal">
      <formula>"J"</formula>
    </cfRule>
  </conditionalFormatting>
  <conditionalFormatting sqref="CC102:CE106">
    <cfRule type="cellIs" dxfId="4653" priority="965" stopIfTrue="1" operator="equal">
      <formula>"O"</formula>
    </cfRule>
  </conditionalFormatting>
  <conditionalFormatting sqref="CC102:CE106">
    <cfRule type="expression" dxfId="4652" priority="966" stopIfTrue="1">
      <formula>LEN(TRIM(CC102))=0</formula>
    </cfRule>
  </conditionalFormatting>
  <conditionalFormatting sqref="CC109:CE109">
    <cfRule type="cellIs" dxfId="4651" priority="967" stopIfTrue="1" operator="equal">
      <formula>"E"</formula>
    </cfRule>
  </conditionalFormatting>
  <conditionalFormatting sqref="CC109:CE109">
    <cfRule type="cellIs" dxfId="4650" priority="968" stopIfTrue="1" operator="equal">
      <formula>"S"</formula>
    </cfRule>
  </conditionalFormatting>
  <conditionalFormatting sqref="CC109:CE109">
    <cfRule type="cellIs" dxfId="4649" priority="969" stopIfTrue="1" operator="equal">
      <formula>"M"</formula>
    </cfRule>
  </conditionalFormatting>
  <conditionalFormatting sqref="CC109:CE109">
    <cfRule type="cellIs" dxfId="4648" priority="970" stopIfTrue="1" operator="equal">
      <formula>"J"</formula>
    </cfRule>
  </conditionalFormatting>
  <conditionalFormatting sqref="CC109:CE109">
    <cfRule type="cellIs" dxfId="4647" priority="971" stopIfTrue="1" operator="equal">
      <formula>"O"</formula>
    </cfRule>
  </conditionalFormatting>
  <conditionalFormatting sqref="CC109:CE109">
    <cfRule type="expression" dxfId="4646" priority="972" stopIfTrue="1">
      <formula>LEN(TRIM(CC109))=0</formula>
    </cfRule>
  </conditionalFormatting>
  <conditionalFormatting sqref="CF102:CI106">
    <cfRule type="cellIs" dxfId="4645" priority="973" stopIfTrue="1" operator="equal">
      <formula>"E"</formula>
    </cfRule>
  </conditionalFormatting>
  <conditionalFormatting sqref="CF102:CI106">
    <cfRule type="cellIs" dxfId="4644" priority="974" stopIfTrue="1" operator="equal">
      <formula>"S"</formula>
    </cfRule>
  </conditionalFormatting>
  <conditionalFormatting sqref="CF102:CI106">
    <cfRule type="cellIs" dxfId="4643" priority="975" stopIfTrue="1" operator="equal">
      <formula>"M"</formula>
    </cfRule>
  </conditionalFormatting>
  <conditionalFormatting sqref="CF102:CI106">
    <cfRule type="cellIs" dxfId="4642" priority="976" stopIfTrue="1" operator="equal">
      <formula>"J"</formula>
    </cfRule>
  </conditionalFormatting>
  <conditionalFormatting sqref="CF102:CI106">
    <cfRule type="cellIs" dxfId="4641" priority="977" stopIfTrue="1" operator="equal">
      <formula>"O"</formula>
    </cfRule>
  </conditionalFormatting>
  <conditionalFormatting sqref="CF102:CI106">
    <cfRule type="expression" dxfId="4640" priority="978" stopIfTrue="1">
      <formula>LEN(TRIM(CF102))=0</formula>
    </cfRule>
  </conditionalFormatting>
  <conditionalFormatting sqref="CF109:CI109">
    <cfRule type="cellIs" dxfId="4639" priority="979" stopIfTrue="1" operator="equal">
      <formula>"E"</formula>
    </cfRule>
  </conditionalFormatting>
  <conditionalFormatting sqref="CF109:CI109">
    <cfRule type="cellIs" dxfId="4638" priority="980" stopIfTrue="1" operator="equal">
      <formula>"S"</formula>
    </cfRule>
  </conditionalFormatting>
  <conditionalFormatting sqref="CF109:CI109">
    <cfRule type="cellIs" dxfId="4637" priority="981" stopIfTrue="1" operator="equal">
      <formula>"M"</formula>
    </cfRule>
  </conditionalFormatting>
  <conditionalFormatting sqref="CF109:CI109">
    <cfRule type="cellIs" dxfId="4636" priority="982" stopIfTrue="1" operator="equal">
      <formula>"J"</formula>
    </cfRule>
  </conditionalFormatting>
  <conditionalFormatting sqref="CF109:CI109">
    <cfRule type="cellIs" dxfId="4635" priority="983" stopIfTrue="1" operator="equal">
      <formula>"O"</formula>
    </cfRule>
  </conditionalFormatting>
  <conditionalFormatting sqref="CF109:CI109">
    <cfRule type="expression" dxfId="4634" priority="984" stopIfTrue="1">
      <formula>LEN(TRIM(CF109))=0</formula>
    </cfRule>
  </conditionalFormatting>
  <conditionalFormatting sqref="D3:CI3">
    <cfRule type="cellIs" dxfId="4633" priority="985" stopIfTrue="1" operator="equal">
      <formula>"e"</formula>
    </cfRule>
  </conditionalFormatting>
  <conditionalFormatting sqref="D3:CI3">
    <cfRule type="cellIs" dxfId="4632" priority="986" stopIfTrue="1" operator="equal">
      <formula>"i"</formula>
    </cfRule>
  </conditionalFormatting>
  <pageMargins left="0.7" right="0.7" top="0.75" bottom="0.75" header="0.3" footer="0.3"/>
  <drawing r:id="rId1"/>
  <legacyDrawing r:id="rId2"/>
  <controls>
    <mc:AlternateContent xmlns:mc="http://schemas.openxmlformats.org/markup-compatibility/2006">
      <mc:Choice Requires="x14">
        <control shapeId="41985" r:id="rId3" name="butEdit">
          <controlPr defaultSize="0" autoLine="0" r:id="rId4">
            <anchor moveWithCells="1">
              <from>
                <xdr:col>2</xdr:col>
                <xdr:colOff>66675</xdr:colOff>
                <xdr:row>1</xdr:row>
                <xdr:rowOff>1143000</xdr:rowOff>
              </from>
              <to>
                <xdr:col>2</xdr:col>
                <xdr:colOff>1714500</xdr:colOff>
                <xdr:row>1</xdr:row>
                <xdr:rowOff>1600200</xdr:rowOff>
              </to>
            </anchor>
          </controlPr>
        </control>
      </mc:Choice>
      <mc:Fallback>
        <control shapeId="41985" r:id="rId3" name="butEdit"/>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CA102"/>
  <sheetViews>
    <sheetView showGridLines="0" zoomScale="110" zoomScaleNormal="110" workbookViewId="0">
      <pane xSplit="3" ySplit="2" topLeftCell="D3" activePane="bottomRight" state="frozenSplit"/>
      <selection pane="topRight" activeCell="D1" sqref="D1"/>
      <selection pane="bottomLeft" activeCell="A3" sqref="A3"/>
      <selection pane="bottomRight" activeCell="D3" sqref="D3"/>
    </sheetView>
  </sheetViews>
  <sheetFormatPr defaultRowHeight="15" x14ac:dyDescent="0.25"/>
  <cols>
    <col min="2" max="2" width="6.5703125" customWidth="1"/>
    <col min="3" max="3" width="31.7109375" customWidth="1"/>
    <col min="4" max="73" width="3.85546875" customWidth="1"/>
    <col min="74" max="74" width="2.5703125" customWidth="1"/>
    <col min="75" max="79" width="3.85546875" customWidth="1"/>
  </cols>
  <sheetData>
    <row r="1" spans="1:79" ht="37.5" customHeight="1" thickTop="1" thickBot="1" x14ac:dyDescent="0.3">
      <c r="A1" s="424" t="s">
        <v>224</v>
      </c>
      <c r="B1" s="424"/>
      <c r="C1" s="425"/>
      <c r="D1" s="431" t="s">
        <v>230</v>
      </c>
      <c r="E1" s="432"/>
      <c r="F1" s="432"/>
      <c r="G1" s="432"/>
      <c r="H1" s="432"/>
      <c r="I1" s="431" t="s">
        <v>231</v>
      </c>
      <c r="J1" s="432"/>
      <c r="K1" s="432"/>
      <c r="L1" s="432"/>
      <c r="M1" s="432"/>
      <c r="N1" s="431" t="s">
        <v>232</v>
      </c>
      <c r="O1" s="432"/>
      <c r="P1" s="432"/>
      <c r="Q1" s="432"/>
      <c r="R1" s="432"/>
      <c r="S1" s="431" t="s">
        <v>233</v>
      </c>
      <c r="T1" s="432"/>
      <c r="U1" s="432"/>
      <c r="V1" s="432"/>
      <c r="W1" s="432"/>
      <c r="X1" s="431" t="s">
        <v>234</v>
      </c>
      <c r="Y1" s="432"/>
      <c r="Z1" s="432"/>
      <c r="AA1" s="432"/>
      <c r="AB1" s="432"/>
      <c r="AC1" s="431" t="s">
        <v>235</v>
      </c>
      <c r="AD1" s="432"/>
      <c r="AE1" s="432"/>
      <c r="AF1" s="432"/>
      <c r="AG1" s="432"/>
      <c r="AH1" s="431" t="s">
        <v>1</v>
      </c>
      <c r="AI1" s="432"/>
      <c r="AJ1" s="432"/>
      <c r="AK1" s="432"/>
      <c r="AL1" s="432"/>
      <c r="AM1" s="431" t="s">
        <v>131</v>
      </c>
      <c r="AN1" s="432"/>
      <c r="AO1" s="432"/>
      <c r="AP1" s="432"/>
      <c r="AQ1" s="432"/>
      <c r="AR1" s="431" t="s">
        <v>3</v>
      </c>
      <c r="AS1" s="432"/>
      <c r="AT1" s="432"/>
      <c r="AU1" s="432"/>
      <c r="AV1" s="432"/>
      <c r="AW1" s="431" t="s">
        <v>4</v>
      </c>
      <c r="AX1" s="432"/>
      <c r="AY1" s="432"/>
      <c r="AZ1" s="432"/>
      <c r="BA1" s="432"/>
      <c r="BB1" s="431" t="s">
        <v>5</v>
      </c>
      <c r="BC1" s="432"/>
      <c r="BD1" s="432"/>
      <c r="BE1" s="432"/>
      <c r="BF1" s="432"/>
      <c r="BG1" s="431" t="s">
        <v>6</v>
      </c>
      <c r="BH1" s="432"/>
      <c r="BI1" s="432"/>
      <c r="BJ1" s="432"/>
      <c r="BK1" s="432"/>
      <c r="BL1" s="431" t="s">
        <v>135</v>
      </c>
      <c r="BM1" s="432"/>
      <c r="BN1" s="432"/>
      <c r="BO1" s="432"/>
      <c r="BP1" s="432"/>
      <c r="BQ1" s="431" t="s">
        <v>236</v>
      </c>
      <c r="BR1" s="432"/>
      <c r="BS1" s="432"/>
      <c r="BT1" s="432"/>
      <c r="BU1" s="433"/>
      <c r="BW1" s="431" t="s">
        <v>306</v>
      </c>
      <c r="BX1" s="432"/>
      <c r="BY1" s="432"/>
      <c r="BZ1" s="432"/>
      <c r="CA1" s="433"/>
    </row>
    <row r="2" spans="1:79" ht="128.1" customHeight="1" thickTop="1" thickBot="1" x14ac:dyDescent="0.3">
      <c r="A2" s="124"/>
      <c r="B2" s="5"/>
      <c r="C2" s="231" t="s">
        <v>216</v>
      </c>
      <c r="D2" s="323" t="s">
        <v>217</v>
      </c>
      <c r="E2" s="324" t="s">
        <v>218</v>
      </c>
      <c r="F2" s="325" t="s">
        <v>219</v>
      </c>
      <c r="G2" s="326" t="s">
        <v>220</v>
      </c>
      <c r="H2" s="328" t="s">
        <v>221</v>
      </c>
      <c r="I2" s="323" t="s">
        <v>217</v>
      </c>
      <c r="J2" s="324" t="s">
        <v>218</v>
      </c>
      <c r="K2" s="325" t="s">
        <v>219</v>
      </c>
      <c r="L2" s="326" t="s">
        <v>220</v>
      </c>
      <c r="M2" s="328" t="s">
        <v>221</v>
      </c>
      <c r="N2" s="323" t="s">
        <v>217</v>
      </c>
      <c r="O2" s="324" t="s">
        <v>218</v>
      </c>
      <c r="P2" s="325" t="s">
        <v>219</v>
      </c>
      <c r="Q2" s="326" t="s">
        <v>220</v>
      </c>
      <c r="R2" s="328" t="s">
        <v>221</v>
      </c>
      <c r="S2" s="323" t="s">
        <v>217</v>
      </c>
      <c r="T2" s="324" t="s">
        <v>218</v>
      </c>
      <c r="U2" s="325" t="s">
        <v>219</v>
      </c>
      <c r="V2" s="326" t="s">
        <v>220</v>
      </c>
      <c r="W2" s="328" t="s">
        <v>221</v>
      </c>
      <c r="X2" s="323" t="s">
        <v>217</v>
      </c>
      <c r="Y2" s="324" t="s">
        <v>218</v>
      </c>
      <c r="Z2" s="325" t="s">
        <v>219</v>
      </c>
      <c r="AA2" s="326" t="s">
        <v>220</v>
      </c>
      <c r="AB2" s="328" t="s">
        <v>221</v>
      </c>
      <c r="AC2" s="323" t="s">
        <v>217</v>
      </c>
      <c r="AD2" s="324" t="s">
        <v>218</v>
      </c>
      <c r="AE2" s="325" t="s">
        <v>219</v>
      </c>
      <c r="AF2" s="326" t="s">
        <v>220</v>
      </c>
      <c r="AG2" s="328" t="s">
        <v>221</v>
      </c>
      <c r="AH2" s="323" t="s">
        <v>217</v>
      </c>
      <c r="AI2" s="324" t="s">
        <v>218</v>
      </c>
      <c r="AJ2" s="325" t="s">
        <v>219</v>
      </c>
      <c r="AK2" s="326" t="s">
        <v>220</v>
      </c>
      <c r="AL2" s="328" t="s">
        <v>221</v>
      </c>
      <c r="AM2" s="323" t="s">
        <v>217</v>
      </c>
      <c r="AN2" s="324" t="s">
        <v>218</v>
      </c>
      <c r="AO2" s="325" t="s">
        <v>219</v>
      </c>
      <c r="AP2" s="326" t="s">
        <v>220</v>
      </c>
      <c r="AQ2" s="328" t="s">
        <v>221</v>
      </c>
      <c r="AR2" s="323" t="s">
        <v>217</v>
      </c>
      <c r="AS2" s="324" t="s">
        <v>218</v>
      </c>
      <c r="AT2" s="325" t="s">
        <v>219</v>
      </c>
      <c r="AU2" s="326" t="s">
        <v>220</v>
      </c>
      <c r="AV2" s="328" t="s">
        <v>221</v>
      </c>
      <c r="AW2" s="323" t="s">
        <v>217</v>
      </c>
      <c r="AX2" s="324" t="s">
        <v>218</v>
      </c>
      <c r="AY2" s="325" t="s">
        <v>219</v>
      </c>
      <c r="AZ2" s="326" t="s">
        <v>220</v>
      </c>
      <c r="BA2" s="328" t="s">
        <v>221</v>
      </c>
      <c r="BB2" s="323" t="s">
        <v>217</v>
      </c>
      <c r="BC2" s="324" t="s">
        <v>218</v>
      </c>
      <c r="BD2" s="325" t="s">
        <v>219</v>
      </c>
      <c r="BE2" s="326" t="s">
        <v>220</v>
      </c>
      <c r="BF2" s="328" t="s">
        <v>221</v>
      </c>
      <c r="BG2" s="323" t="s">
        <v>217</v>
      </c>
      <c r="BH2" s="324" t="s">
        <v>218</v>
      </c>
      <c r="BI2" s="325" t="s">
        <v>219</v>
      </c>
      <c r="BJ2" s="326" t="s">
        <v>220</v>
      </c>
      <c r="BK2" s="328" t="s">
        <v>221</v>
      </c>
      <c r="BL2" s="323" t="s">
        <v>217</v>
      </c>
      <c r="BM2" s="324" t="s">
        <v>218</v>
      </c>
      <c r="BN2" s="325" t="s">
        <v>219</v>
      </c>
      <c r="BO2" s="326" t="s">
        <v>220</v>
      </c>
      <c r="BP2" s="328" t="s">
        <v>221</v>
      </c>
      <c r="BQ2" s="323" t="s">
        <v>217</v>
      </c>
      <c r="BR2" s="324" t="s">
        <v>218</v>
      </c>
      <c r="BS2" s="325" t="s">
        <v>219</v>
      </c>
      <c r="BT2" s="326" t="s">
        <v>220</v>
      </c>
      <c r="BU2" s="327" t="s">
        <v>221</v>
      </c>
      <c r="BW2" s="323" t="s">
        <v>217</v>
      </c>
      <c r="BX2" s="324" t="s">
        <v>218</v>
      </c>
      <c r="BY2" s="325" t="s">
        <v>219</v>
      </c>
      <c r="BZ2" s="326" t="s">
        <v>220</v>
      </c>
      <c r="CA2" s="327" t="s">
        <v>221</v>
      </c>
    </row>
    <row r="3" spans="1:79" ht="15.75" thickTop="1" x14ac:dyDescent="0.25">
      <c r="B3" s="434" t="s">
        <v>48</v>
      </c>
      <c r="C3" s="290" t="s">
        <v>49</v>
      </c>
      <c r="D3" s="332"/>
      <c r="E3" s="333"/>
      <c r="F3" s="333"/>
      <c r="G3" s="333"/>
      <c r="H3" s="334"/>
      <c r="I3" s="332"/>
      <c r="J3" s="333"/>
      <c r="K3" s="333"/>
      <c r="L3" s="333"/>
      <c r="M3" s="334"/>
      <c r="N3" s="332"/>
      <c r="O3" s="333"/>
      <c r="P3" s="333"/>
      <c r="Q3" s="333"/>
      <c r="R3" s="334"/>
      <c r="S3" s="332"/>
      <c r="T3" s="333"/>
      <c r="U3" s="333"/>
      <c r="V3" s="333"/>
      <c r="W3" s="334"/>
      <c r="X3" s="332"/>
      <c r="Y3" s="333"/>
      <c r="Z3" s="333"/>
      <c r="AA3" s="333"/>
      <c r="AB3" s="334"/>
      <c r="AC3" s="332"/>
      <c r="AD3" s="333"/>
      <c r="AE3" s="333"/>
      <c r="AF3" s="333"/>
      <c r="AG3" s="334"/>
      <c r="AH3" s="332">
        <v>1</v>
      </c>
      <c r="AI3" s="333"/>
      <c r="AJ3" s="333"/>
      <c r="AK3" s="333"/>
      <c r="AL3" s="334"/>
      <c r="AM3" s="332"/>
      <c r="AN3" s="333"/>
      <c r="AO3" s="333"/>
      <c r="AP3" s="333"/>
      <c r="AQ3" s="334"/>
      <c r="AR3" s="332"/>
      <c r="AS3" s="333"/>
      <c r="AT3" s="333"/>
      <c r="AU3" s="333"/>
      <c r="AV3" s="334"/>
      <c r="AW3" s="332"/>
      <c r="AX3" s="333"/>
      <c r="AY3" s="333"/>
      <c r="AZ3" s="333"/>
      <c r="BA3" s="334"/>
      <c r="BB3" s="332"/>
      <c r="BC3" s="333"/>
      <c r="BD3" s="333"/>
      <c r="BE3" s="333"/>
      <c r="BF3" s="334"/>
      <c r="BG3" s="332"/>
      <c r="BH3" s="333"/>
      <c r="BI3" s="333"/>
      <c r="BJ3" s="333"/>
      <c r="BK3" s="334"/>
      <c r="BL3" s="332"/>
      <c r="BM3" s="333"/>
      <c r="BN3" s="333"/>
      <c r="BO3" s="333"/>
      <c r="BP3" s="334"/>
      <c r="BQ3" s="332"/>
      <c r="BR3" s="333"/>
      <c r="BS3" s="333"/>
      <c r="BT3" s="333"/>
      <c r="BU3" s="335"/>
      <c r="BW3" s="233" t="str">
        <f>sum_level("o",'Needs 171007_1818'!D3:BU3)</f>
        <v>1</v>
      </c>
      <c r="BX3" s="234" t="str">
        <f>sum_level("j",'Needs 171007_1818'!D3:BU3)</f>
        <v/>
      </c>
      <c r="BY3" s="234" t="str">
        <f>sum_level("m",'Needs 171007_1818'!D3:BU3)</f>
        <v/>
      </c>
      <c r="BZ3" s="234" t="str">
        <f>sum_level("s",'Needs 171007_1818'!D3:BU3)</f>
        <v/>
      </c>
      <c r="CA3" s="235" t="str">
        <f>sum_level("e",'Needs 171007_1818'!D3:BU3)</f>
        <v/>
      </c>
    </row>
    <row r="4" spans="1:79" x14ac:dyDescent="0.25">
      <c r="B4" s="435"/>
      <c r="C4" s="291" t="s">
        <v>54</v>
      </c>
      <c r="D4" s="336"/>
      <c r="E4" s="337"/>
      <c r="F4" s="337"/>
      <c r="G4" s="337"/>
      <c r="H4" s="338"/>
      <c r="I4" s="336"/>
      <c r="J4" s="337"/>
      <c r="K4" s="337"/>
      <c r="L4" s="337"/>
      <c r="M4" s="338"/>
      <c r="N4" s="336"/>
      <c r="O4" s="337"/>
      <c r="P4" s="337"/>
      <c r="Q4" s="337"/>
      <c r="R4" s="338"/>
      <c r="S4" s="336"/>
      <c r="T4" s="337"/>
      <c r="U4" s="337"/>
      <c r="V4" s="337"/>
      <c r="W4" s="338"/>
      <c r="X4" s="336"/>
      <c r="Y4" s="337"/>
      <c r="Z4" s="337"/>
      <c r="AA4" s="337"/>
      <c r="AB4" s="338"/>
      <c r="AC4" s="336"/>
      <c r="AD4" s="337"/>
      <c r="AE4" s="337"/>
      <c r="AF4" s="337"/>
      <c r="AG4" s="338"/>
      <c r="AH4" s="336"/>
      <c r="AI4" s="337">
        <v>2</v>
      </c>
      <c r="AJ4" s="337"/>
      <c r="AK4" s="337"/>
      <c r="AL4" s="338"/>
      <c r="AM4" s="336"/>
      <c r="AN4" s="337"/>
      <c r="AO4" s="337"/>
      <c r="AP4" s="337"/>
      <c r="AQ4" s="338"/>
      <c r="AR4" s="336"/>
      <c r="AS4" s="337"/>
      <c r="AT4" s="337"/>
      <c r="AU4" s="337"/>
      <c r="AV4" s="338"/>
      <c r="AW4" s="336"/>
      <c r="AX4" s="337"/>
      <c r="AY4" s="337"/>
      <c r="AZ4" s="337"/>
      <c r="BA4" s="338"/>
      <c r="BB4" s="336"/>
      <c r="BC4" s="337"/>
      <c r="BD4" s="337"/>
      <c r="BE4" s="337"/>
      <c r="BF4" s="338"/>
      <c r="BG4" s="336"/>
      <c r="BH4" s="337"/>
      <c r="BI4" s="337"/>
      <c r="BJ4" s="337"/>
      <c r="BK4" s="338"/>
      <c r="BL4" s="336"/>
      <c r="BM4" s="337"/>
      <c r="BN4" s="337"/>
      <c r="BO4" s="337"/>
      <c r="BP4" s="338"/>
      <c r="BQ4" s="336"/>
      <c r="BR4" s="337"/>
      <c r="BS4" s="337"/>
      <c r="BT4" s="337"/>
      <c r="BU4" s="339"/>
      <c r="BW4" s="236" t="str">
        <f>sum_level("o",'Needs 171007_1818'!D4:BU4)</f>
        <v/>
      </c>
      <c r="BX4" s="237" t="str">
        <f>sum_level("j",'Needs 171007_1818'!D4:BU4)</f>
        <v>2</v>
      </c>
      <c r="BY4" s="237" t="str">
        <f>sum_level("m",'Needs 171007_1818'!D4:BU4)</f>
        <v/>
      </c>
      <c r="BZ4" s="237" t="str">
        <f>sum_level("s",'Needs 171007_1818'!D4:BU4)</f>
        <v/>
      </c>
      <c r="CA4" s="238" t="str">
        <f>sum_level("e",'Needs 171007_1818'!D4:BU4)</f>
        <v/>
      </c>
    </row>
    <row r="5" spans="1:79" x14ac:dyDescent="0.25">
      <c r="B5" s="435"/>
      <c r="C5" s="291" t="s">
        <v>51</v>
      </c>
      <c r="D5" s="336"/>
      <c r="E5" s="337"/>
      <c r="F5" s="337"/>
      <c r="G5" s="337"/>
      <c r="H5" s="338"/>
      <c r="I5" s="336"/>
      <c r="J5" s="337"/>
      <c r="K5" s="337"/>
      <c r="L5" s="337"/>
      <c r="M5" s="338"/>
      <c r="N5" s="336"/>
      <c r="O5" s="337"/>
      <c r="P5" s="337"/>
      <c r="Q5" s="337"/>
      <c r="R5" s="338"/>
      <c r="S5" s="336"/>
      <c r="T5" s="337"/>
      <c r="U5" s="337"/>
      <c r="V5" s="337"/>
      <c r="W5" s="338"/>
      <c r="X5" s="336"/>
      <c r="Y5" s="337"/>
      <c r="Z5" s="337"/>
      <c r="AA5" s="337"/>
      <c r="AB5" s="338"/>
      <c r="AC5" s="336"/>
      <c r="AD5" s="337"/>
      <c r="AE5" s="337"/>
      <c r="AF5" s="337"/>
      <c r="AG5" s="338"/>
      <c r="AH5" s="336"/>
      <c r="AI5" s="337"/>
      <c r="AJ5" s="337">
        <v>3</v>
      </c>
      <c r="AK5" s="337"/>
      <c r="AL5" s="338"/>
      <c r="AM5" s="336"/>
      <c r="AN5" s="337"/>
      <c r="AO5" s="337"/>
      <c r="AP5" s="337"/>
      <c r="AQ5" s="338"/>
      <c r="AR5" s="336"/>
      <c r="AS5" s="337"/>
      <c r="AT5" s="337"/>
      <c r="AU5" s="337"/>
      <c r="AV5" s="338"/>
      <c r="AW5" s="336"/>
      <c r="AX5" s="337"/>
      <c r="AY5" s="337"/>
      <c r="AZ5" s="337"/>
      <c r="BA5" s="338"/>
      <c r="BB5" s="336"/>
      <c r="BC5" s="337"/>
      <c r="BD5" s="337"/>
      <c r="BE5" s="337"/>
      <c r="BF5" s="338"/>
      <c r="BG5" s="336"/>
      <c r="BH5" s="337"/>
      <c r="BI5" s="337"/>
      <c r="BJ5" s="337"/>
      <c r="BK5" s="338"/>
      <c r="BL5" s="336"/>
      <c r="BM5" s="337"/>
      <c r="BN5" s="337"/>
      <c r="BO5" s="337"/>
      <c r="BP5" s="338"/>
      <c r="BQ5" s="336"/>
      <c r="BR5" s="337"/>
      <c r="BS5" s="337"/>
      <c r="BT5" s="337"/>
      <c r="BU5" s="339"/>
      <c r="BW5" s="236" t="str">
        <f>sum_level("o",'Needs 171007_1818'!D5:BU5)</f>
        <v/>
      </c>
      <c r="BX5" s="237" t="str">
        <f>sum_level("j",'Needs 171007_1818'!D5:BU5)</f>
        <v/>
      </c>
      <c r="BY5" s="237" t="str">
        <f>sum_level("m",'Needs 171007_1818'!D5:BU5)</f>
        <v>3</v>
      </c>
      <c r="BZ5" s="237" t="str">
        <f>sum_level("s",'Needs 171007_1818'!D5:BU5)</f>
        <v/>
      </c>
      <c r="CA5" s="238" t="str">
        <f>sum_level("e",'Needs 171007_1818'!D5:BU5)</f>
        <v/>
      </c>
    </row>
    <row r="6" spans="1:79" x14ac:dyDescent="0.25">
      <c r="B6" s="435"/>
      <c r="C6" s="291" t="s">
        <v>52</v>
      </c>
      <c r="D6" s="336"/>
      <c r="E6" s="337"/>
      <c r="F6" s="337"/>
      <c r="G6" s="337"/>
      <c r="H6" s="338"/>
      <c r="I6" s="336"/>
      <c r="J6" s="337"/>
      <c r="K6" s="337"/>
      <c r="L6" s="337"/>
      <c r="M6" s="338"/>
      <c r="N6" s="336"/>
      <c r="O6" s="337"/>
      <c r="P6" s="337"/>
      <c r="Q6" s="337"/>
      <c r="R6" s="338"/>
      <c r="S6" s="336"/>
      <c r="T6" s="337"/>
      <c r="U6" s="337"/>
      <c r="V6" s="337"/>
      <c r="W6" s="338"/>
      <c r="X6" s="336"/>
      <c r="Y6" s="337"/>
      <c r="Z6" s="337"/>
      <c r="AA6" s="337"/>
      <c r="AB6" s="338"/>
      <c r="AC6" s="336"/>
      <c r="AD6" s="337"/>
      <c r="AE6" s="337"/>
      <c r="AF6" s="337"/>
      <c r="AG6" s="338"/>
      <c r="AH6" s="336"/>
      <c r="AI6" s="337"/>
      <c r="AJ6" s="337"/>
      <c r="AK6" s="337">
        <v>4</v>
      </c>
      <c r="AL6" s="338"/>
      <c r="AM6" s="336"/>
      <c r="AN6" s="337"/>
      <c r="AO6" s="337"/>
      <c r="AP6" s="337"/>
      <c r="AQ6" s="338"/>
      <c r="AR6" s="336"/>
      <c r="AS6" s="337"/>
      <c r="AT6" s="337"/>
      <c r="AU6" s="337"/>
      <c r="AV6" s="338"/>
      <c r="AW6" s="336"/>
      <c r="AX6" s="337"/>
      <c r="AY6" s="337"/>
      <c r="AZ6" s="337"/>
      <c r="BA6" s="338"/>
      <c r="BB6" s="336"/>
      <c r="BC6" s="337"/>
      <c r="BD6" s="337"/>
      <c r="BE6" s="337"/>
      <c r="BF6" s="338"/>
      <c r="BG6" s="336"/>
      <c r="BH6" s="337"/>
      <c r="BI6" s="337"/>
      <c r="BJ6" s="337"/>
      <c r="BK6" s="338"/>
      <c r="BL6" s="336"/>
      <c r="BM6" s="337"/>
      <c r="BN6" s="337"/>
      <c r="BO6" s="337"/>
      <c r="BP6" s="338"/>
      <c r="BQ6" s="336"/>
      <c r="BR6" s="337"/>
      <c r="BS6" s="337"/>
      <c r="BT6" s="337"/>
      <c r="BU6" s="339"/>
      <c r="BW6" s="236" t="str">
        <f>sum_level("o",'Needs 171007_1818'!D6:BU6)</f>
        <v/>
      </c>
      <c r="BX6" s="237" t="str">
        <f>sum_level("j",'Needs 171007_1818'!D6:BU6)</f>
        <v/>
      </c>
      <c r="BY6" s="237" t="str">
        <f>sum_level("m",'Needs 171007_1818'!D6:BU6)</f>
        <v/>
      </c>
      <c r="BZ6" s="237" t="str">
        <f>sum_level("s",'Needs 171007_1818'!D6:BU6)</f>
        <v>4</v>
      </c>
      <c r="CA6" s="238" t="str">
        <f>sum_level("e",'Needs 171007_1818'!D6:BU6)</f>
        <v/>
      </c>
    </row>
    <row r="7" spans="1:79" x14ac:dyDescent="0.25">
      <c r="B7" s="435"/>
      <c r="C7" s="291" t="s">
        <v>53</v>
      </c>
      <c r="D7" s="336"/>
      <c r="E7" s="337"/>
      <c r="F7" s="337"/>
      <c r="G7" s="337"/>
      <c r="H7" s="338"/>
      <c r="I7" s="336"/>
      <c r="J7" s="337"/>
      <c r="K7" s="337"/>
      <c r="L7" s="337"/>
      <c r="M7" s="338"/>
      <c r="N7" s="336"/>
      <c r="O7" s="337"/>
      <c r="P7" s="337"/>
      <c r="Q7" s="337"/>
      <c r="R7" s="338"/>
      <c r="S7" s="336"/>
      <c r="T7" s="337"/>
      <c r="U7" s="337"/>
      <c r="V7" s="337"/>
      <c r="W7" s="338"/>
      <c r="X7" s="336"/>
      <c r="Y7" s="337"/>
      <c r="Z7" s="337"/>
      <c r="AA7" s="337"/>
      <c r="AB7" s="338"/>
      <c r="AC7" s="336"/>
      <c r="AD7" s="337"/>
      <c r="AE7" s="337"/>
      <c r="AF7" s="337"/>
      <c r="AG7" s="338"/>
      <c r="AH7" s="336"/>
      <c r="AI7" s="337"/>
      <c r="AJ7" s="337"/>
      <c r="AK7" s="337"/>
      <c r="AL7" s="338">
        <v>5</v>
      </c>
      <c r="AM7" s="336"/>
      <c r="AN7" s="337"/>
      <c r="AO7" s="337"/>
      <c r="AP7" s="337"/>
      <c r="AQ7" s="338"/>
      <c r="AR7" s="336"/>
      <c r="AS7" s="337"/>
      <c r="AT7" s="337"/>
      <c r="AU7" s="337"/>
      <c r="AV7" s="338"/>
      <c r="AW7" s="336"/>
      <c r="AX7" s="337"/>
      <c r="AY7" s="337"/>
      <c r="AZ7" s="337"/>
      <c r="BA7" s="338"/>
      <c r="BB7" s="336"/>
      <c r="BC7" s="337"/>
      <c r="BD7" s="337"/>
      <c r="BE7" s="337"/>
      <c r="BF7" s="338"/>
      <c r="BG7" s="336"/>
      <c r="BH7" s="337"/>
      <c r="BI7" s="337"/>
      <c r="BJ7" s="337"/>
      <c r="BK7" s="338"/>
      <c r="BL7" s="336"/>
      <c r="BM7" s="337"/>
      <c r="BN7" s="337"/>
      <c r="BO7" s="337"/>
      <c r="BP7" s="338"/>
      <c r="BQ7" s="336"/>
      <c r="BR7" s="337"/>
      <c r="BS7" s="337"/>
      <c r="BT7" s="337"/>
      <c r="BU7" s="339"/>
      <c r="BW7" s="236" t="str">
        <f>sum_level("o",'Needs 171007_1818'!D7:BU7)</f>
        <v/>
      </c>
      <c r="BX7" s="237" t="str">
        <f>sum_level("j",'Needs 171007_1818'!D7:BU7)</f>
        <v/>
      </c>
      <c r="BY7" s="237" t="str">
        <f>sum_level("m",'Needs 171007_1818'!D7:BU7)</f>
        <v/>
      </c>
      <c r="BZ7" s="237" t="str">
        <f>sum_level("s",'Needs 171007_1818'!D7:BU7)</f>
        <v/>
      </c>
      <c r="CA7" s="238" t="str">
        <f>sum_level("e",'Needs 171007_1818'!D7:BU7)</f>
        <v>5</v>
      </c>
    </row>
    <row r="8" spans="1:79" x14ac:dyDescent="0.25">
      <c r="B8" s="435"/>
      <c r="C8" s="291" t="s">
        <v>50</v>
      </c>
      <c r="D8" s="336"/>
      <c r="E8" s="337"/>
      <c r="F8" s="337"/>
      <c r="G8" s="337"/>
      <c r="H8" s="338"/>
      <c r="I8" s="336"/>
      <c r="J8" s="337"/>
      <c r="K8" s="337"/>
      <c r="L8" s="337"/>
      <c r="M8" s="338"/>
      <c r="N8" s="336"/>
      <c r="O8" s="337"/>
      <c r="P8" s="337"/>
      <c r="Q8" s="337"/>
      <c r="R8" s="338"/>
      <c r="S8" s="336"/>
      <c r="T8" s="337"/>
      <c r="U8" s="337"/>
      <c r="V8" s="337"/>
      <c r="W8" s="338"/>
      <c r="X8" s="336"/>
      <c r="Y8" s="337"/>
      <c r="Z8" s="337"/>
      <c r="AA8" s="337"/>
      <c r="AB8" s="338"/>
      <c r="AC8" s="336"/>
      <c r="AD8" s="337"/>
      <c r="AE8" s="337"/>
      <c r="AF8" s="337"/>
      <c r="AG8" s="338"/>
      <c r="AH8" s="336"/>
      <c r="AI8" s="337"/>
      <c r="AJ8" s="337"/>
      <c r="AK8" s="337"/>
      <c r="AL8" s="338"/>
      <c r="AM8" s="336"/>
      <c r="AN8" s="337"/>
      <c r="AO8" s="337"/>
      <c r="AP8" s="337"/>
      <c r="AQ8" s="338"/>
      <c r="AR8" s="336"/>
      <c r="AS8" s="337"/>
      <c r="AT8" s="337"/>
      <c r="AU8" s="337"/>
      <c r="AV8" s="338"/>
      <c r="AW8" s="336"/>
      <c r="AX8" s="337"/>
      <c r="AY8" s="337"/>
      <c r="AZ8" s="337"/>
      <c r="BA8" s="338"/>
      <c r="BB8" s="336"/>
      <c r="BC8" s="337"/>
      <c r="BD8" s="337"/>
      <c r="BE8" s="337"/>
      <c r="BF8" s="338"/>
      <c r="BG8" s="336"/>
      <c r="BH8" s="337"/>
      <c r="BI8" s="337"/>
      <c r="BJ8" s="337"/>
      <c r="BK8" s="338"/>
      <c r="BL8" s="336"/>
      <c r="BM8" s="337"/>
      <c r="BN8" s="337"/>
      <c r="BO8" s="337"/>
      <c r="BP8" s="338"/>
      <c r="BQ8" s="336"/>
      <c r="BR8" s="337"/>
      <c r="BS8" s="337"/>
      <c r="BT8" s="337"/>
      <c r="BU8" s="339"/>
      <c r="BW8" s="236" t="str">
        <f>sum_level("o",'Needs 171007_1818'!D8:BU8)</f>
        <v/>
      </c>
      <c r="BX8" s="237" t="str">
        <f>sum_level("j",'Needs 171007_1818'!D8:BU8)</f>
        <v/>
      </c>
      <c r="BY8" s="237" t="str">
        <f>sum_level("m",'Needs 171007_1818'!D8:BU8)</f>
        <v/>
      </c>
      <c r="BZ8" s="237" t="str">
        <f>sum_level("s",'Needs 171007_1818'!D8:BU8)</f>
        <v/>
      </c>
      <c r="CA8" s="238" t="str">
        <f>sum_level("e",'Needs 171007_1818'!D8:BU8)</f>
        <v/>
      </c>
    </row>
    <row r="9" spans="1:79" x14ac:dyDescent="0.25">
      <c r="B9" s="435"/>
      <c r="C9" s="291" t="s">
        <v>55</v>
      </c>
      <c r="D9" s="336"/>
      <c r="E9" s="337"/>
      <c r="F9" s="337"/>
      <c r="G9" s="337"/>
      <c r="H9" s="338"/>
      <c r="I9" s="336"/>
      <c r="J9" s="337"/>
      <c r="K9" s="337"/>
      <c r="L9" s="337"/>
      <c r="M9" s="338"/>
      <c r="N9" s="336"/>
      <c r="O9" s="337"/>
      <c r="P9" s="337"/>
      <c r="Q9" s="337"/>
      <c r="R9" s="338"/>
      <c r="S9" s="336"/>
      <c r="T9" s="337"/>
      <c r="U9" s="337"/>
      <c r="V9" s="337"/>
      <c r="W9" s="338"/>
      <c r="X9" s="336"/>
      <c r="Y9" s="337"/>
      <c r="Z9" s="337"/>
      <c r="AA9" s="337"/>
      <c r="AB9" s="338"/>
      <c r="AC9" s="336"/>
      <c r="AD9" s="337"/>
      <c r="AE9" s="337"/>
      <c r="AF9" s="337"/>
      <c r="AG9" s="338"/>
      <c r="AH9" s="336"/>
      <c r="AI9" s="337"/>
      <c r="AJ9" s="337"/>
      <c r="AK9" s="337"/>
      <c r="AL9" s="338"/>
      <c r="AM9" s="336">
        <v>6</v>
      </c>
      <c r="AN9" s="337"/>
      <c r="AO9" s="337"/>
      <c r="AP9" s="337"/>
      <c r="AQ9" s="338"/>
      <c r="AR9" s="336"/>
      <c r="AS9" s="337"/>
      <c r="AT9" s="337"/>
      <c r="AU9" s="337"/>
      <c r="AV9" s="338"/>
      <c r="AW9" s="336"/>
      <c r="AX9" s="337"/>
      <c r="AY9" s="337"/>
      <c r="AZ9" s="337"/>
      <c r="BA9" s="338"/>
      <c r="BB9" s="336"/>
      <c r="BC9" s="337"/>
      <c r="BD9" s="337"/>
      <c r="BE9" s="337"/>
      <c r="BF9" s="338"/>
      <c r="BG9" s="336"/>
      <c r="BH9" s="337"/>
      <c r="BI9" s="337"/>
      <c r="BJ9" s="337"/>
      <c r="BK9" s="338"/>
      <c r="BL9" s="336"/>
      <c r="BM9" s="337"/>
      <c r="BN9" s="337"/>
      <c r="BO9" s="337"/>
      <c r="BP9" s="338"/>
      <c r="BQ9" s="336"/>
      <c r="BR9" s="337"/>
      <c r="BS9" s="337"/>
      <c r="BT9" s="337"/>
      <c r="BU9" s="339"/>
      <c r="BW9" s="236" t="str">
        <f>sum_level("o",'Needs 171007_1818'!D9:BU9)</f>
        <v>6</v>
      </c>
      <c r="BX9" s="237" t="str">
        <f>sum_level("j",'Needs 171007_1818'!D9:BU9)</f>
        <v/>
      </c>
      <c r="BY9" s="237" t="str">
        <f>sum_level("m",'Needs 171007_1818'!D9:BU9)</f>
        <v/>
      </c>
      <c r="BZ9" s="237" t="str">
        <f>sum_level("s",'Needs 171007_1818'!D9:BU9)</f>
        <v/>
      </c>
      <c r="CA9" s="238" t="str">
        <f>sum_level("e",'Needs 171007_1818'!D9:BU9)</f>
        <v/>
      </c>
    </row>
    <row r="10" spans="1:79" x14ac:dyDescent="0.25">
      <c r="B10" s="435"/>
      <c r="C10" s="291" t="s">
        <v>56</v>
      </c>
      <c r="D10" s="336"/>
      <c r="E10" s="337"/>
      <c r="F10" s="337"/>
      <c r="G10" s="337"/>
      <c r="H10" s="338"/>
      <c r="I10" s="336"/>
      <c r="J10" s="337"/>
      <c r="K10" s="337"/>
      <c r="L10" s="337"/>
      <c r="M10" s="338"/>
      <c r="N10" s="336"/>
      <c r="O10" s="337"/>
      <c r="P10" s="337"/>
      <c r="Q10" s="337"/>
      <c r="R10" s="338"/>
      <c r="S10" s="336"/>
      <c r="T10" s="337"/>
      <c r="U10" s="337"/>
      <c r="V10" s="337"/>
      <c r="W10" s="338"/>
      <c r="X10" s="336"/>
      <c r="Y10" s="337"/>
      <c r="Z10" s="337"/>
      <c r="AA10" s="337"/>
      <c r="AB10" s="338"/>
      <c r="AC10" s="336"/>
      <c r="AD10" s="337"/>
      <c r="AE10" s="337"/>
      <c r="AF10" s="337"/>
      <c r="AG10" s="338"/>
      <c r="AH10" s="336"/>
      <c r="AI10" s="337"/>
      <c r="AJ10" s="337"/>
      <c r="AK10" s="337"/>
      <c r="AL10" s="338"/>
      <c r="AM10" s="336"/>
      <c r="AN10" s="337">
        <v>7</v>
      </c>
      <c r="AO10" s="337"/>
      <c r="AP10" s="337"/>
      <c r="AQ10" s="338"/>
      <c r="AR10" s="336"/>
      <c r="AS10" s="337"/>
      <c r="AT10" s="337"/>
      <c r="AU10" s="337"/>
      <c r="AV10" s="338"/>
      <c r="AW10" s="336"/>
      <c r="AX10" s="337"/>
      <c r="AY10" s="337"/>
      <c r="AZ10" s="337"/>
      <c r="BA10" s="338"/>
      <c r="BB10" s="336"/>
      <c r="BC10" s="337"/>
      <c r="BD10" s="337"/>
      <c r="BE10" s="337"/>
      <c r="BF10" s="338"/>
      <c r="BG10" s="336"/>
      <c r="BH10" s="337"/>
      <c r="BI10" s="337"/>
      <c r="BJ10" s="337"/>
      <c r="BK10" s="338"/>
      <c r="BL10" s="336"/>
      <c r="BM10" s="337"/>
      <c r="BN10" s="337"/>
      <c r="BO10" s="337"/>
      <c r="BP10" s="338"/>
      <c r="BQ10" s="336"/>
      <c r="BR10" s="337"/>
      <c r="BS10" s="337"/>
      <c r="BT10" s="337"/>
      <c r="BU10" s="339"/>
      <c r="BW10" s="236" t="str">
        <f>sum_level("o",'Needs 171007_1818'!D10:BU10)</f>
        <v/>
      </c>
      <c r="BX10" s="237" t="str">
        <f>sum_level("j",'Needs 171007_1818'!D10:BU10)</f>
        <v>7</v>
      </c>
      <c r="BY10" s="237" t="str">
        <f>sum_level("m",'Needs 171007_1818'!D10:BU10)</f>
        <v/>
      </c>
      <c r="BZ10" s="237" t="str">
        <f>sum_level("s",'Needs 171007_1818'!D10:BU10)</f>
        <v/>
      </c>
      <c r="CA10" s="238" t="str">
        <f>sum_level("e",'Needs 171007_1818'!D10:BU10)</f>
        <v/>
      </c>
    </row>
    <row r="11" spans="1:79" x14ac:dyDescent="0.25">
      <c r="B11" s="435"/>
      <c r="C11" s="291" t="s">
        <v>57</v>
      </c>
      <c r="D11" s="336"/>
      <c r="E11" s="337"/>
      <c r="F11" s="337"/>
      <c r="G11" s="337"/>
      <c r="H11" s="338"/>
      <c r="I11" s="336"/>
      <c r="J11" s="337"/>
      <c r="K11" s="337"/>
      <c r="L11" s="337"/>
      <c r="M11" s="338"/>
      <c r="N11" s="336"/>
      <c r="O11" s="337"/>
      <c r="P11" s="337"/>
      <c r="Q11" s="337"/>
      <c r="R11" s="338"/>
      <c r="S11" s="336"/>
      <c r="T11" s="337"/>
      <c r="U11" s="337"/>
      <c r="V11" s="337"/>
      <c r="W11" s="338"/>
      <c r="X11" s="336"/>
      <c r="Y11" s="337"/>
      <c r="Z11" s="337"/>
      <c r="AA11" s="337"/>
      <c r="AB11" s="338"/>
      <c r="AC11" s="336"/>
      <c r="AD11" s="337"/>
      <c r="AE11" s="337"/>
      <c r="AF11" s="337"/>
      <c r="AG11" s="338"/>
      <c r="AH11" s="336"/>
      <c r="AI11" s="337"/>
      <c r="AJ11" s="337"/>
      <c r="AK11" s="337"/>
      <c r="AL11" s="338"/>
      <c r="AM11" s="336"/>
      <c r="AN11" s="337"/>
      <c r="AO11" s="337">
        <v>8</v>
      </c>
      <c r="AP11" s="337"/>
      <c r="AQ11" s="338"/>
      <c r="AR11" s="336"/>
      <c r="AS11" s="337"/>
      <c r="AT11" s="337"/>
      <c r="AU11" s="337"/>
      <c r="AV11" s="338"/>
      <c r="AW11" s="336"/>
      <c r="AX11" s="337"/>
      <c r="AY11" s="337"/>
      <c r="AZ11" s="337"/>
      <c r="BA11" s="338"/>
      <c r="BB11" s="336"/>
      <c r="BC11" s="337"/>
      <c r="BD11" s="337"/>
      <c r="BE11" s="337"/>
      <c r="BF11" s="338"/>
      <c r="BG11" s="336"/>
      <c r="BH11" s="337"/>
      <c r="BI11" s="337"/>
      <c r="BJ11" s="337"/>
      <c r="BK11" s="338"/>
      <c r="BL11" s="336"/>
      <c r="BM11" s="337"/>
      <c r="BN11" s="337"/>
      <c r="BO11" s="337"/>
      <c r="BP11" s="338"/>
      <c r="BQ11" s="336"/>
      <c r="BR11" s="337"/>
      <c r="BS11" s="337"/>
      <c r="BT11" s="337"/>
      <c r="BU11" s="339"/>
      <c r="BW11" s="236" t="str">
        <f>sum_level("o",'Needs 171007_1818'!D11:BU11)</f>
        <v/>
      </c>
      <c r="BX11" s="237" t="str">
        <f>sum_level("j",'Needs 171007_1818'!D11:BU11)</f>
        <v/>
      </c>
      <c r="BY11" s="237" t="str">
        <f>sum_level("m",'Needs 171007_1818'!D11:BU11)</f>
        <v>8</v>
      </c>
      <c r="BZ11" s="237" t="str">
        <f>sum_level("s",'Needs 171007_1818'!D11:BU11)</f>
        <v/>
      </c>
      <c r="CA11" s="238" t="str">
        <f>sum_level("e",'Needs 171007_1818'!D11:BU11)</f>
        <v/>
      </c>
    </row>
    <row r="12" spans="1:79" x14ac:dyDescent="0.25">
      <c r="B12" s="435"/>
      <c r="C12" s="291" t="s">
        <v>58</v>
      </c>
      <c r="D12" s="336"/>
      <c r="E12" s="337"/>
      <c r="F12" s="337"/>
      <c r="G12" s="337"/>
      <c r="H12" s="338"/>
      <c r="I12" s="336"/>
      <c r="J12" s="337"/>
      <c r="K12" s="337"/>
      <c r="L12" s="337"/>
      <c r="M12" s="338"/>
      <c r="N12" s="336"/>
      <c r="O12" s="337"/>
      <c r="P12" s="337"/>
      <c r="Q12" s="337"/>
      <c r="R12" s="338"/>
      <c r="S12" s="336"/>
      <c r="T12" s="337"/>
      <c r="U12" s="337"/>
      <c r="V12" s="337"/>
      <c r="W12" s="338"/>
      <c r="X12" s="336"/>
      <c r="Y12" s="337"/>
      <c r="Z12" s="337"/>
      <c r="AA12" s="337"/>
      <c r="AB12" s="338"/>
      <c r="AC12" s="336"/>
      <c r="AD12" s="337"/>
      <c r="AE12" s="337"/>
      <c r="AF12" s="337"/>
      <c r="AG12" s="338"/>
      <c r="AH12" s="336"/>
      <c r="AI12" s="337"/>
      <c r="AJ12" s="337"/>
      <c r="AK12" s="337"/>
      <c r="AL12" s="338"/>
      <c r="AM12" s="336"/>
      <c r="AN12" s="337"/>
      <c r="AO12" s="337"/>
      <c r="AP12" s="337">
        <v>9</v>
      </c>
      <c r="AQ12" s="338"/>
      <c r="AR12" s="336"/>
      <c r="AS12" s="337"/>
      <c r="AT12" s="337"/>
      <c r="AU12" s="337"/>
      <c r="AV12" s="338"/>
      <c r="AW12" s="336"/>
      <c r="AX12" s="337"/>
      <c r="AY12" s="337"/>
      <c r="AZ12" s="337"/>
      <c r="BA12" s="338"/>
      <c r="BB12" s="336"/>
      <c r="BC12" s="337"/>
      <c r="BD12" s="337"/>
      <c r="BE12" s="337"/>
      <c r="BF12" s="338"/>
      <c r="BG12" s="336"/>
      <c r="BH12" s="337"/>
      <c r="BI12" s="337"/>
      <c r="BJ12" s="337"/>
      <c r="BK12" s="338"/>
      <c r="BL12" s="336"/>
      <c r="BM12" s="337"/>
      <c r="BN12" s="337"/>
      <c r="BO12" s="337"/>
      <c r="BP12" s="338"/>
      <c r="BQ12" s="336"/>
      <c r="BR12" s="337"/>
      <c r="BS12" s="337"/>
      <c r="BT12" s="337"/>
      <c r="BU12" s="339"/>
      <c r="BW12" s="236" t="str">
        <f>sum_level("o",'Needs 171007_1818'!D12:BU12)</f>
        <v/>
      </c>
      <c r="BX12" s="237" t="str">
        <f>sum_level("j",'Needs 171007_1818'!D12:BU12)</f>
        <v/>
      </c>
      <c r="BY12" s="237" t="str">
        <f>sum_level("m",'Needs 171007_1818'!D12:BU12)</f>
        <v/>
      </c>
      <c r="BZ12" s="237" t="str">
        <f>sum_level("s",'Needs 171007_1818'!D12:BU12)</f>
        <v>9</v>
      </c>
      <c r="CA12" s="238" t="str">
        <f>sum_level("e",'Needs 171007_1818'!D12:BU12)</f>
        <v/>
      </c>
    </row>
    <row r="13" spans="1:79" x14ac:dyDescent="0.25">
      <c r="B13" s="435"/>
      <c r="C13" s="291" t="s">
        <v>59</v>
      </c>
      <c r="D13" s="336"/>
      <c r="E13" s="337"/>
      <c r="F13" s="337"/>
      <c r="G13" s="337"/>
      <c r="H13" s="338"/>
      <c r="I13" s="336"/>
      <c r="J13" s="337"/>
      <c r="K13" s="337"/>
      <c r="L13" s="337"/>
      <c r="M13" s="338"/>
      <c r="N13" s="336"/>
      <c r="O13" s="337"/>
      <c r="P13" s="337"/>
      <c r="Q13" s="337"/>
      <c r="R13" s="338"/>
      <c r="S13" s="336"/>
      <c r="T13" s="337"/>
      <c r="U13" s="337"/>
      <c r="V13" s="337"/>
      <c r="W13" s="338"/>
      <c r="X13" s="336"/>
      <c r="Y13" s="337"/>
      <c r="Z13" s="337"/>
      <c r="AA13" s="337"/>
      <c r="AB13" s="338"/>
      <c r="AC13" s="336"/>
      <c r="AD13" s="337"/>
      <c r="AE13" s="337"/>
      <c r="AF13" s="337"/>
      <c r="AG13" s="338"/>
      <c r="AH13" s="336"/>
      <c r="AI13" s="337"/>
      <c r="AJ13" s="337"/>
      <c r="AK13" s="337"/>
      <c r="AL13" s="338"/>
      <c r="AM13" s="336"/>
      <c r="AN13" s="337"/>
      <c r="AO13" s="337"/>
      <c r="AP13" s="337"/>
      <c r="AQ13" s="338">
        <v>10</v>
      </c>
      <c r="AR13" s="336"/>
      <c r="AS13" s="337"/>
      <c r="AT13" s="337"/>
      <c r="AU13" s="337"/>
      <c r="AV13" s="338"/>
      <c r="AW13" s="336"/>
      <c r="AX13" s="337"/>
      <c r="AY13" s="337"/>
      <c r="AZ13" s="337"/>
      <c r="BA13" s="338"/>
      <c r="BB13" s="336"/>
      <c r="BC13" s="337"/>
      <c r="BD13" s="337"/>
      <c r="BE13" s="337"/>
      <c r="BF13" s="338"/>
      <c r="BG13" s="336"/>
      <c r="BH13" s="337"/>
      <c r="BI13" s="337"/>
      <c r="BJ13" s="337"/>
      <c r="BK13" s="338"/>
      <c r="BL13" s="336"/>
      <c r="BM13" s="337"/>
      <c r="BN13" s="337"/>
      <c r="BO13" s="337"/>
      <c r="BP13" s="338"/>
      <c r="BQ13" s="336"/>
      <c r="BR13" s="337"/>
      <c r="BS13" s="337"/>
      <c r="BT13" s="337"/>
      <c r="BU13" s="339"/>
      <c r="BW13" s="236" t="str">
        <f>sum_level("o",'Needs 171007_1818'!D13:BU13)</f>
        <v/>
      </c>
      <c r="BX13" s="237" t="str">
        <f>sum_level("j",'Needs 171007_1818'!D13:BU13)</f>
        <v/>
      </c>
      <c r="BY13" s="237" t="str">
        <f>sum_level("m",'Needs 171007_1818'!D13:BU13)</f>
        <v/>
      </c>
      <c r="BZ13" s="237" t="str">
        <f>sum_level("s",'Needs 171007_1818'!D13:BU13)</f>
        <v/>
      </c>
      <c r="CA13" s="238" t="str">
        <f>sum_level("e",'Needs 171007_1818'!D13:BU13)</f>
        <v>10</v>
      </c>
    </row>
    <row r="14" spans="1:79" x14ac:dyDescent="0.25">
      <c r="B14" s="435"/>
      <c r="C14" s="291" t="s">
        <v>60</v>
      </c>
      <c r="D14" s="336"/>
      <c r="E14" s="337"/>
      <c r="F14" s="337"/>
      <c r="G14" s="337"/>
      <c r="H14" s="338"/>
      <c r="I14" s="336"/>
      <c r="J14" s="337"/>
      <c r="K14" s="337"/>
      <c r="L14" s="337"/>
      <c r="M14" s="338"/>
      <c r="N14" s="336"/>
      <c r="O14" s="337"/>
      <c r="P14" s="337"/>
      <c r="Q14" s="337"/>
      <c r="R14" s="338"/>
      <c r="S14" s="336"/>
      <c r="T14" s="337"/>
      <c r="U14" s="337"/>
      <c r="V14" s="337"/>
      <c r="W14" s="338"/>
      <c r="X14" s="336"/>
      <c r="Y14" s="337"/>
      <c r="Z14" s="337"/>
      <c r="AA14" s="337"/>
      <c r="AB14" s="338"/>
      <c r="AC14" s="336"/>
      <c r="AD14" s="337"/>
      <c r="AE14" s="337"/>
      <c r="AF14" s="337"/>
      <c r="AG14" s="338"/>
      <c r="AH14" s="336"/>
      <c r="AI14" s="337"/>
      <c r="AJ14" s="337"/>
      <c r="AK14" s="337"/>
      <c r="AL14" s="338"/>
      <c r="AM14" s="336"/>
      <c r="AN14" s="337"/>
      <c r="AO14" s="337"/>
      <c r="AP14" s="337"/>
      <c r="AQ14" s="338"/>
      <c r="AR14" s="336"/>
      <c r="AS14" s="337"/>
      <c r="AT14" s="337"/>
      <c r="AU14" s="337"/>
      <c r="AV14" s="338"/>
      <c r="AW14" s="336"/>
      <c r="AX14" s="337"/>
      <c r="AY14" s="337"/>
      <c r="AZ14" s="337"/>
      <c r="BA14" s="338"/>
      <c r="BB14" s="336"/>
      <c r="BC14" s="337"/>
      <c r="BD14" s="337"/>
      <c r="BE14" s="337"/>
      <c r="BF14" s="338"/>
      <c r="BG14" s="336"/>
      <c r="BH14" s="337"/>
      <c r="BI14" s="337"/>
      <c r="BJ14" s="337"/>
      <c r="BK14" s="338"/>
      <c r="BL14" s="336"/>
      <c r="BM14" s="337"/>
      <c r="BN14" s="337"/>
      <c r="BO14" s="337"/>
      <c r="BP14" s="338"/>
      <c r="BQ14" s="336"/>
      <c r="BR14" s="337"/>
      <c r="BS14" s="337"/>
      <c r="BT14" s="337"/>
      <c r="BU14" s="339"/>
      <c r="BW14" s="236" t="str">
        <f>sum_level("o",'Needs 171007_1818'!D14:BU14)</f>
        <v/>
      </c>
      <c r="BX14" s="237" t="str">
        <f>sum_level("j",'Needs 171007_1818'!D14:BU14)</f>
        <v/>
      </c>
      <c r="BY14" s="237" t="str">
        <f>sum_level("m",'Needs 171007_1818'!D14:BU14)</f>
        <v/>
      </c>
      <c r="BZ14" s="237" t="str">
        <f>sum_level("s",'Needs 171007_1818'!D14:BU14)</f>
        <v/>
      </c>
      <c r="CA14" s="238" t="str">
        <f>sum_level("e",'Needs 171007_1818'!D14:BU14)</f>
        <v/>
      </c>
    </row>
    <row r="15" spans="1:79" ht="15.75" thickBot="1" x14ac:dyDescent="0.3">
      <c r="B15" s="435"/>
      <c r="C15" s="292" t="s">
        <v>61</v>
      </c>
      <c r="D15" s="340"/>
      <c r="E15" s="341"/>
      <c r="F15" s="341"/>
      <c r="G15" s="341"/>
      <c r="H15" s="342"/>
      <c r="I15" s="340"/>
      <c r="J15" s="341"/>
      <c r="K15" s="341"/>
      <c r="L15" s="341"/>
      <c r="M15" s="342"/>
      <c r="N15" s="340"/>
      <c r="O15" s="341"/>
      <c r="P15" s="341"/>
      <c r="Q15" s="341"/>
      <c r="R15" s="342"/>
      <c r="S15" s="340"/>
      <c r="T15" s="341"/>
      <c r="U15" s="341"/>
      <c r="V15" s="341"/>
      <c r="W15" s="342"/>
      <c r="X15" s="340"/>
      <c r="Y15" s="341"/>
      <c r="Z15" s="341"/>
      <c r="AA15" s="341"/>
      <c r="AB15" s="342"/>
      <c r="AC15" s="340"/>
      <c r="AD15" s="341"/>
      <c r="AE15" s="341"/>
      <c r="AF15" s="341"/>
      <c r="AG15" s="342"/>
      <c r="AH15" s="340"/>
      <c r="AI15" s="341"/>
      <c r="AJ15" s="341"/>
      <c r="AK15" s="341"/>
      <c r="AL15" s="342"/>
      <c r="AM15" s="340"/>
      <c r="AN15" s="341"/>
      <c r="AO15" s="341"/>
      <c r="AP15" s="341"/>
      <c r="AQ15" s="342"/>
      <c r="AR15" s="340"/>
      <c r="AS15" s="341"/>
      <c r="AT15" s="341"/>
      <c r="AU15" s="341"/>
      <c r="AV15" s="342"/>
      <c r="AW15" s="340"/>
      <c r="AX15" s="341"/>
      <c r="AY15" s="341"/>
      <c r="AZ15" s="341"/>
      <c r="BA15" s="342"/>
      <c r="BB15" s="340"/>
      <c r="BC15" s="341"/>
      <c r="BD15" s="341"/>
      <c r="BE15" s="341"/>
      <c r="BF15" s="342"/>
      <c r="BG15" s="340"/>
      <c r="BH15" s="341"/>
      <c r="BI15" s="341"/>
      <c r="BJ15" s="341"/>
      <c r="BK15" s="342"/>
      <c r="BL15" s="340"/>
      <c r="BM15" s="341"/>
      <c r="BN15" s="341"/>
      <c r="BO15" s="341"/>
      <c r="BP15" s="342"/>
      <c r="BQ15" s="340"/>
      <c r="BR15" s="341"/>
      <c r="BS15" s="341"/>
      <c r="BT15" s="341"/>
      <c r="BU15" s="343"/>
      <c r="BW15" s="239" t="str">
        <f>sum_level("o",'Needs 171007_1818'!D15:BU15)</f>
        <v/>
      </c>
      <c r="BX15" s="240" t="str">
        <f>sum_level("j",'Needs 171007_1818'!D15:BU15)</f>
        <v/>
      </c>
      <c r="BY15" s="240" t="str">
        <f>sum_level("m",'Needs 171007_1818'!D15:BU15)</f>
        <v/>
      </c>
      <c r="BZ15" s="240" t="str">
        <f>sum_level("s",'Needs 171007_1818'!D15:BU15)</f>
        <v/>
      </c>
      <c r="CA15" s="241" t="str">
        <f>sum_level("e",'Needs 171007_1818'!D15:BU15)</f>
        <v/>
      </c>
    </row>
    <row r="16" spans="1:79" ht="12.75" customHeight="1" thickTop="1" thickBot="1" x14ac:dyDescent="0.3">
      <c r="B16" s="436"/>
      <c r="C16" s="248"/>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W16" s="249"/>
      <c r="BX16" s="249"/>
      <c r="BY16" s="249"/>
      <c r="BZ16" s="249"/>
      <c r="CA16" s="249"/>
    </row>
    <row r="17" spans="2:79" ht="15.75" thickTop="1" x14ac:dyDescent="0.25">
      <c r="B17" s="434" t="s">
        <v>62</v>
      </c>
      <c r="C17" s="290" t="s">
        <v>63</v>
      </c>
      <c r="D17" s="332"/>
      <c r="E17" s="333"/>
      <c r="F17" s="333"/>
      <c r="G17" s="333"/>
      <c r="H17" s="334"/>
      <c r="I17" s="332"/>
      <c r="J17" s="333"/>
      <c r="K17" s="333"/>
      <c r="L17" s="333"/>
      <c r="M17" s="334"/>
      <c r="N17" s="332"/>
      <c r="O17" s="333"/>
      <c r="P17" s="333"/>
      <c r="Q17" s="333"/>
      <c r="R17" s="334"/>
      <c r="S17" s="332"/>
      <c r="T17" s="333"/>
      <c r="U17" s="333"/>
      <c r="V17" s="333"/>
      <c r="W17" s="334"/>
      <c r="X17" s="332"/>
      <c r="Y17" s="333"/>
      <c r="Z17" s="333"/>
      <c r="AA17" s="333"/>
      <c r="AB17" s="334"/>
      <c r="AC17" s="332"/>
      <c r="AD17" s="333"/>
      <c r="AE17" s="333"/>
      <c r="AF17" s="333"/>
      <c r="AG17" s="334"/>
      <c r="AH17" s="332"/>
      <c r="AI17" s="333"/>
      <c r="AJ17" s="333"/>
      <c r="AK17" s="333"/>
      <c r="AL17" s="334"/>
      <c r="AM17" s="332"/>
      <c r="AN17" s="333"/>
      <c r="AO17" s="333"/>
      <c r="AP17" s="333"/>
      <c r="AQ17" s="334"/>
      <c r="AR17" s="332">
        <v>11</v>
      </c>
      <c r="AS17" s="333"/>
      <c r="AT17" s="333"/>
      <c r="AU17" s="333"/>
      <c r="AV17" s="334"/>
      <c r="AW17" s="332"/>
      <c r="AX17" s="333"/>
      <c r="AY17" s="333"/>
      <c r="AZ17" s="333"/>
      <c r="BA17" s="334"/>
      <c r="BB17" s="332"/>
      <c r="BC17" s="333"/>
      <c r="BD17" s="333"/>
      <c r="BE17" s="333"/>
      <c r="BF17" s="334"/>
      <c r="BG17" s="332"/>
      <c r="BH17" s="333"/>
      <c r="BI17" s="333"/>
      <c r="BJ17" s="333"/>
      <c r="BK17" s="334"/>
      <c r="BL17" s="332"/>
      <c r="BM17" s="333"/>
      <c r="BN17" s="333"/>
      <c r="BO17" s="333"/>
      <c r="BP17" s="334"/>
      <c r="BQ17" s="332"/>
      <c r="BR17" s="333"/>
      <c r="BS17" s="333"/>
      <c r="BT17" s="333"/>
      <c r="BU17" s="335"/>
      <c r="BW17" s="233" t="str">
        <f>sum_level("o",'Needs 171007_1818'!D17:BU17)</f>
        <v>11</v>
      </c>
      <c r="BX17" s="234" t="str">
        <f>sum_level("j",'Needs 171007_1818'!D17:BU17)</f>
        <v/>
      </c>
      <c r="BY17" s="234" t="str">
        <f>sum_level("m",'Needs 171007_1818'!D17:BU17)</f>
        <v/>
      </c>
      <c r="BZ17" s="234" t="str">
        <f>sum_level("s",'Needs 171007_1818'!D17:BU17)</f>
        <v/>
      </c>
      <c r="CA17" s="235" t="str">
        <f>sum_level("e",'Needs 171007_1818'!D17:BU17)</f>
        <v/>
      </c>
    </row>
    <row r="18" spans="2:79" x14ac:dyDescent="0.25">
      <c r="B18" s="435"/>
      <c r="C18" s="291" t="s">
        <v>118</v>
      </c>
      <c r="D18" s="336"/>
      <c r="E18" s="337"/>
      <c r="F18" s="337"/>
      <c r="G18" s="337"/>
      <c r="H18" s="338"/>
      <c r="I18" s="336"/>
      <c r="J18" s="337"/>
      <c r="K18" s="337"/>
      <c r="L18" s="337"/>
      <c r="M18" s="338"/>
      <c r="N18" s="336"/>
      <c r="O18" s="337"/>
      <c r="P18" s="337"/>
      <c r="Q18" s="337"/>
      <c r="R18" s="338"/>
      <c r="S18" s="336"/>
      <c r="T18" s="337"/>
      <c r="U18" s="337"/>
      <c r="V18" s="337"/>
      <c r="W18" s="338"/>
      <c r="X18" s="336"/>
      <c r="Y18" s="337"/>
      <c r="Z18" s="337"/>
      <c r="AA18" s="337"/>
      <c r="AB18" s="338"/>
      <c r="AC18" s="336"/>
      <c r="AD18" s="337"/>
      <c r="AE18" s="337"/>
      <c r="AF18" s="337"/>
      <c r="AG18" s="338"/>
      <c r="AH18" s="336"/>
      <c r="AI18" s="337"/>
      <c r="AJ18" s="337"/>
      <c r="AK18" s="337"/>
      <c r="AL18" s="338"/>
      <c r="AM18" s="336"/>
      <c r="AN18" s="337"/>
      <c r="AO18" s="337"/>
      <c r="AP18" s="337"/>
      <c r="AQ18" s="338"/>
      <c r="AR18" s="336"/>
      <c r="AS18" s="337">
        <v>12</v>
      </c>
      <c r="AT18" s="337"/>
      <c r="AU18" s="337"/>
      <c r="AV18" s="338"/>
      <c r="AW18" s="336"/>
      <c r="AX18" s="337"/>
      <c r="AY18" s="337"/>
      <c r="AZ18" s="337"/>
      <c r="BA18" s="338"/>
      <c r="BB18" s="336"/>
      <c r="BC18" s="337"/>
      <c r="BD18" s="337"/>
      <c r="BE18" s="337"/>
      <c r="BF18" s="338"/>
      <c r="BG18" s="336"/>
      <c r="BH18" s="337"/>
      <c r="BI18" s="337"/>
      <c r="BJ18" s="337"/>
      <c r="BK18" s="338"/>
      <c r="BL18" s="336"/>
      <c r="BM18" s="337"/>
      <c r="BN18" s="337"/>
      <c r="BO18" s="337"/>
      <c r="BP18" s="338"/>
      <c r="BQ18" s="336"/>
      <c r="BR18" s="337"/>
      <c r="BS18" s="337"/>
      <c r="BT18" s="337"/>
      <c r="BU18" s="339"/>
      <c r="BW18" s="236" t="str">
        <f>sum_level("o",'Needs 171007_1818'!D18:BU18)</f>
        <v/>
      </c>
      <c r="BX18" s="237" t="str">
        <f>sum_level("j",'Needs 171007_1818'!D18:BU18)</f>
        <v>12</v>
      </c>
      <c r="BY18" s="237" t="str">
        <f>sum_level("m",'Needs 171007_1818'!D18:BU18)</f>
        <v/>
      </c>
      <c r="BZ18" s="237" t="str">
        <f>sum_level("s",'Needs 171007_1818'!D18:BU18)</f>
        <v/>
      </c>
      <c r="CA18" s="238" t="str">
        <f>sum_level("e",'Needs 171007_1818'!D18:BU18)</f>
        <v/>
      </c>
    </row>
    <row r="19" spans="2:79" x14ac:dyDescent="0.25">
      <c r="B19" s="435"/>
      <c r="C19" s="291" t="s">
        <v>64</v>
      </c>
      <c r="D19" s="336"/>
      <c r="E19" s="337"/>
      <c r="F19" s="337"/>
      <c r="G19" s="337"/>
      <c r="H19" s="338"/>
      <c r="I19" s="336"/>
      <c r="J19" s="337"/>
      <c r="K19" s="337"/>
      <c r="L19" s="337"/>
      <c r="M19" s="338"/>
      <c r="N19" s="336"/>
      <c r="O19" s="337"/>
      <c r="P19" s="337"/>
      <c r="Q19" s="337"/>
      <c r="R19" s="338"/>
      <c r="S19" s="336"/>
      <c r="T19" s="337"/>
      <c r="U19" s="337"/>
      <c r="V19" s="337"/>
      <c r="W19" s="338"/>
      <c r="X19" s="336"/>
      <c r="Y19" s="337"/>
      <c r="Z19" s="337"/>
      <c r="AA19" s="337"/>
      <c r="AB19" s="338"/>
      <c r="AC19" s="336"/>
      <c r="AD19" s="337"/>
      <c r="AE19" s="337"/>
      <c r="AF19" s="337"/>
      <c r="AG19" s="338"/>
      <c r="AH19" s="336"/>
      <c r="AI19" s="337"/>
      <c r="AJ19" s="337"/>
      <c r="AK19" s="337"/>
      <c r="AL19" s="338"/>
      <c r="AM19" s="336"/>
      <c r="AN19" s="337"/>
      <c r="AO19" s="337"/>
      <c r="AP19" s="337"/>
      <c r="AQ19" s="338"/>
      <c r="AR19" s="336"/>
      <c r="AS19" s="337"/>
      <c r="AT19" s="337">
        <v>13</v>
      </c>
      <c r="AU19" s="337"/>
      <c r="AV19" s="338"/>
      <c r="AW19" s="336"/>
      <c r="AX19" s="337"/>
      <c r="AY19" s="337"/>
      <c r="AZ19" s="337"/>
      <c r="BA19" s="338"/>
      <c r="BB19" s="336"/>
      <c r="BC19" s="337"/>
      <c r="BD19" s="337"/>
      <c r="BE19" s="337"/>
      <c r="BF19" s="338"/>
      <c r="BG19" s="336"/>
      <c r="BH19" s="337"/>
      <c r="BI19" s="337"/>
      <c r="BJ19" s="337"/>
      <c r="BK19" s="338"/>
      <c r="BL19" s="336"/>
      <c r="BM19" s="337"/>
      <c r="BN19" s="337"/>
      <c r="BO19" s="337"/>
      <c r="BP19" s="338"/>
      <c r="BQ19" s="336"/>
      <c r="BR19" s="337"/>
      <c r="BS19" s="337"/>
      <c r="BT19" s="337"/>
      <c r="BU19" s="339"/>
      <c r="BW19" s="236" t="str">
        <f>sum_level("o",'Needs 171007_1818'!D19:BU19)</f>
        <v/>
      </c>
      <c r="BX19" s="237" t="str">
        <f>sum_level("j",'Needs 171007_1818'!D19:BU19)</f>
        <v/>
      </c>
      <c r="BY19" s="237" t="str">
        <f>sum_level("m",'Needs 171007_1818'!D19:BU19)</f>
        <v>13</v>
      </c>
      <c r="BZ19" s="237" t="str">
        <f>sum_level("s",'Needs 171007_1818'!D19:BU19)</f>
        <v/>
      </c>
      <c r="CA19" s="238" t="str">
        <f>sum_level("e",'Needs 171007_1818'!D19:BU19)</f>
        <v/>
      </c>
    </row>
    <row r="20" spans="2:79" x14ac:dyDescent="0.25">
      <c r="B20" s="435"/>
      <c r="C20" s="291" t="s">
        <v>65</v>
      </c>
      <c r="D20" s="336"/>
      <c r="E20" s="337"/>
      <c r="F20" s="337"/>
      <c r="G20" s="337"/>
      <c r="H20" s="338"/>
      <c r="I20" s="336"/>
      <c r="J20" s="337"/>
      <c r="K20" s="337"/>
      <c r="L20" s="337"/>
      <c r="M20" s="338"/>
      <c r="N20" s="336"/>
      <c r="O20" s="337"/>
      <c r="P20" s="337"/>
      <c r="Q20" s="337"/>
      <c r="R20" s="338"/>
      <c r="S20" s="336"/>
      <c r="T20" s="337"/>
      <c r="U20" s="337"/>
      <c r="V20" s="337"/>
      <c r="W20" s="338"/>
      <c r="X20" s="336"/>
      <c r="Y20" s="337"/>
      <c r="Z20" s="337"/>
      <c r="AA20" s="337"/>
      <c r="AB20" s="338"/>
      <c r="AC20" s="336"/>
      <c r="AD20" s="337"/>
      <c r="AE20" s="337"/>
      <c r="AF20" s="337"/>
      <c r="AG20" s="338"/>
      <c r="AH20" s="336"/>
      <c r="AI20" s="337"/>
      <c r="AJ20" s="337"/>
      <c r="AK20" s="337"/>
      <c r="AL20" s="338"/>
      <c r="AM20" s="336"/>
      <c r="AN20" s="337"/>
      <c r="AO20" s="337"/>
      <c r="AP20" s="337"/>
      <c r="AQ20" s="338"/>
      <c r="AR20" s="336"/>
      <c r="AS20" s="337"/>
      <c r="AT20" s="337"/>
      <c r="AU20" s="337">
        <v>14</v>
      </c>
      <c r="AV20" s="338"/>
      <c r="AW20" s="336"/>
      <c r="AX20" s="337"/>
      <c r="AY20" s="337"/>
      <c r="AZ20" s="337"/>
      <c r="BA20" s="338"/>
      <c r="BB20" s="336"/>
      <c r="BC20" s="337"/>
      <c r="BD20" s="337"/>
      <c r="BE20" s="337"/>
      <c r="BF20" s="338"/>
      <c r="BG20" s="336"/>
      <c r="BH20" s="337"/>
      <c r="BI20" s="337"/>
      <c r="BJ20" s="337"/>
      <c r="BK20" s="338"/>
      <c r="BL20" s="336"/>
      <c r="BM20" s="337"/>
      <c r="BN20" s="337"/>
      <c r="BO20" s="337"/>
      <c r="BP20" s="338"/>
      <c r="BQ20" s="336"/>
      <c r="BR20" s="337"/>
      <c r="BS20" s="337"/>
      <c r="BT20" s="337"/>
      <c r="BU20" s="339"/>
      <c r="BW20" s="236" t="str">
        <f>sum_level("o",'Needs 171007_1818'!D20:BU20)</f>
        <v/>
      </c>
      <c r="BX20" s="237" t="str">
        <f>sum_level("j",'Needs 171007_1818'!D20:BU20)</f>
        <v/>
      </c>
      <c r="BY20" s="237" t="str">
        <f>sum_level("m",'Needs 171007_1818'!D20:BU20)</f>
        <v/>
      </c>
      <c r="BZ20" s="237" t="str">
        <f>sum_level("s",'Needs 171007_1818'!D20:BU20)</f>
        <v>14</v>
      </c>
      <c r="CA20" s="238" t="str">
        <f>sum_level("e",'Needs 171007_1818'!D20:BU20)</f>
        <v/>
      </c>
    </row>
    <row r="21" spans="2:79" x14ac:dyDescent="0.25">
      <c r="B21" s="435"/>
      <c r="C21" s="291" t="s">
        <v>66</v>
      </c>
      <c r="D21" s="336"/>
      <c r="E21" s="337"/>
      <c r="F21" s="337"/>
      <c r="G21" s="337"/>
      <c r="H21" s="338"/>
      <c r="I21" s="336"/>
      <c r="J21" s="337"/>
      <c r="K21" s="337"/>
      <c r="L21" s="337"/>
      <c r="M21" s="338"/>
      <c r="N21" s="336"/>
      <c r="O21" s="337"/>
      <c r="P21" s="337"/>
      <c r="Q21" s="337"/>
      <c r="R21" s="338"/>
      <c r="S21" s="336"/>
      <c r="T21" s="337"/>
      <c r="U21" s="337"/>
      <c r="V21" s="337"/>
      <c r="W21" s="338"/>
      <c r="X21" s="336"/>
      <c r="Y21" s="337"/>
      <c r="Z21" s="337"/>
      <c r="AA21" s="337"/>
      <c r="AB21" s="338"/>
      <c r="AC21" s="336"/>
      <c r="AD21" s="337"/>
      <c r="AE21" s="337"/>
      <c r="AF21" s="337"/>
      <c r="AG21" s="338"/>
      <c r="AH21" s="336"/>
      <c r="AI21" s="337"/>
      <c r="AJ21" s="337"/>
      <c r="AK21" s="337"/>
      <c r="AL21" s="338"/>
      <c r="AM21" s="336"/>
      <c r="AN21" s="337"/>
      <c r="AO21" s="337"/>
      <c r="AP21" s="337"/>
      <c r="AQ21" s="338"/>
      <c r="AR21" s="336"/>
      <c r="AS21" s="337"/>
      <c r="AT21" s="337"/>
      <c r="AU21" s="337"/>
      <c r="AV21" s="338">
        <v>15</v>
      </c>
      <c r="AW21" s="336"/>
      <c r="AX21" s="337"/>
      <c r="AY21" s="337"/>
      <c r="AZ21" s="337"/>
      <c r="BA21" s="338"/>
      <c r="BB21" s="336"/>
      <c r="BC21" s="337"/>
      <c r="BD21" s="337"/>
      <c r="BE21" s="337"/>
      <c r="BF21" s="338"/>
      <c r="BG21" s="336"/>
      <c r="BH21" s="337"/>
      <c r="BI21" s="337"/>
      <c r="BJ21" s="337"/>
      <c r="BK21" s="338"/>
      <c r="BL21" s="336"/>
      <c r="BM21" s="337"/>
      <c r="BN21" s="337"/>
      <c r="BO21" s="337"/>
      <c r="BP21" s="338"/>
      <c r="BQ21" s="336"/>
      <c r="BR21" s="337"/>
      <c r="BS21" s="337"/>
      <c r="BT21" s="337"/>
      <c r="BU21" s="339"/>
      <c r="BW21" s="236" t="str">
        <f>sum_level("o",'Needs 171007_1818'!D21:BU21)</f>
        <v/>
      </c>
      <c r="BX21" s="237" t="str">
        <f>sum_level("j",'Needs 171007_1818'!D21:BU21)</f>
        <v/>
      </c>
      <c r="BY21" s="237" t="str">
        <f>sum_level("m",'Needs 171007_1818'!D21:BU21)</f>
        <v/>
      </c>
      <c r="BZ21" s="237" t="str">
        <f>sum_level("s",'Needs 171007_1818'!D21:BU21)</f>
        <v/>
      </c>
      <c r="CA21" s="238" t="str">
        <f>sum_level("e",'Needs 171007_1818'!D21:BU21)</f>
        <v>15</v>
      </c>
    </row>
    <row r="22" spans="2:79" x14ac:dyDescent="0.25">
      <c r="B22" s="435"/>
      <c r="C22" s="291" t="s">
        <v>67</v>
      </c>
      <c r="D22" s="336"/>
      <c r="E22" s="337"/>
      <c r="F22" s="337"/>
      <c r="G22" s="337"/>
      <c r="H22" s="338"/>
      <c r="I22" s="336"/>
      <c r="J22" s="337"/>
      <c r="K22" s="337"/>
      <c r="L22" s="337"/>
      <c r="M22" s="338"/>
      <c r="N22" s="336"/>
      <c r="O22" s="337"/>
      <c r="P22" s="337"/>
      <c r="Q22" s="337"/>
      <c r="R22" s="338"/>
      <c r="S22" s="336"/>
      <c r="T22" s="337"/>
      <c r="U22" s="337"/>
      <c r="V22" s="337"/>
      <c r="W22" s="338"/>
      <c r="X22" s="336"/>
      <c r="Y22" s="337"/>
      <c r="Z22" s="337"/>
      <c r="AA22" s="337"/>
      <c r="AB22" s="338"/>
      <c r="AC22" s="336"/>
      <c r="AD22" s="337"/>
      <c r="AE22" s="337"/>
      <c r="AF22" s="337"/>
      <c r="AG22" s="338"/>
      <c r="AH22" s="336"/>
      <c r="AI22" s="337"/>
      <c r="AJ22" s="337"/>
      <c r="AK22" s="337"/>
      <c r="AL22" s="338"/>
      <c r="AM22" s="336"/>
      <c r="AN22" s="337"/>
      <c r="AO22" s="337"/>
      <c r="AP22" s="337"/>
      <c r="AQ22" s="338"/>
      <c r="AR22" s="336"/>
      <c r="AS22" s="337"/>
      <c r="AT22" s="337"/>
      <c r="AU22" s="337"/>
      <c r="AV22" s="338"/>
      <c r="AW22" s="336"/>
      <c r="AX22" s="337"/>
      <c r="AY22" s="337"/>
      <c r="AZ22" s="337"/>
      <c r="BA22" s="338"/>
      <c r="BB22" s="336"/>
      <c r="BC22" s="337"/>
      <c r="BD22" s="337"/>
      <c r="BE22" s="337"/>
      <c r="BF22" s="338"/>
      <c r="BG22" s="336"/>
      <c r="BH22" s="337"/>
      <c r="BI22" s="337"/>
      <c r="BJ22" s="337"/>
      <c r="BK22" s="338"/>
      <c r="BL22" s="336"/>
      <c r="BM22" s="337"/>
      <c r="BN22" s="337"/>
      <c r="BO22" s="337"/>
      <c r="BP22" s="338"/>
      <c r="BQ22" s="336"/>
      <c r="BR22" s="337"/>
      <c r="BS22" s="337"/>
      <c r="BT22" s="337"/>
      <c r="BU22" s="339"/>
      <c r="BW22" s="236" t="str">
        <f>sum_level("o",'Needs 171007_1818'!D22:BU22)</f>
        <v/>
      </c>
      <c r="BX22" s="237" t="str">
        <f>sum_level("j",'Needs 171007_1818'!D22:BU22)</f>
        <v/>
      </c>
      <c r="BY22" s="237" t="str">
        <f>sum_level("m",'Needs 171007_1818'!D22:BU22)</f>
        <v/>
      </c>
      <c r="BZ22" s="237" t="str">
        <f>sum_level("s",'Needs 171007_1818'!D22:BU22)</f>
        <v/>
      </c>
      <c r="CA22" s="238" t="str">
        <f>sum_level("e",'Needs 171007_1818'!D22:BU22)</f>
        <v/>
      </c>
    </row>
    <row r="23" spans="2:79" x14ac:dyDescent="0.25">
      <c r="B23" s="435"/>
      <c r="C23" s="291" t="s">
        <v>68</v>
      </c>
      <c r="D23" s="336"/>
      <c r="E23" s="337"/>
      <c r="F23" s="337"/>
      <c r="G23" s="337"/>
      <c r="H23" s="338"/>
      <c r="I23" s="336"/>
      <c r="J23" s="337"/>
      <c r="K23" s="337"/>
      <c r="L23" s="337"/>
      <c r="M23" s="338"/>
      <c r="N23" s="336"/>
      <c r="O23" s="337"/>
      <c r="P23" s="337"/>
      <c r="Q23" s="337"/>
      <c r="R23" s="338"/>
      <c r="S23" s="336"/>
      <c r="T23" s="337"/>
      <c r="U23" s="337"/>
      <c r="V23" s="337"/>
      <c r="W23" s="338"/>
      <c r="X23" s="336"/>
      <c r="Y23" s="337"/>
      <c r="Z23" s="337"/>
      <c r="AA23" s="337"/>
      <c r="AB23" s="338"/>
      <c r="AC23" s="336"/>
      <c r="AD23" s="337"/>
      <c r="AE23" s="337"/>
      <c r="AF23" s="337"/>
      <c r="AG23" s="338"/>
      <c r="AH23" s="336"/>
      <c r="AI23" s="337"/>
      <c r="AJ23" s="337"/>
      <c r="AK23" s="337"/>
      <c r="AL23" s="338"/>
      <c r="AM23" s="336"/>
      <c r="AN23" s="337"/>
      <c r="AO23" s="337"/>
      <c r="AP23" s="337"/>
      <c r="AQ23" s="338"/>
      <c r="AR23" s="336"/>
      <c r="AS23" s="337"/>
      <c r="AT23" s="337"/>
      <c r="AU23" s="337"/>
      <c r="AV23" s="338"/>
      <c r="AW23" s="336"/>
      <c r="AX23" s="337"/>
      <c r="AY23" s="337"/>
      <c r="AZ23" s="337"/>
      <c r="BA23" s="338"/>
      <c r="BB23" s="336"/>
      <c r="BC23" s="337"/>
      <c r="BD23" s="337"/>
      <c r="BE23" s="337"/>
      <c r="BF23" s="338"/>
      <c r="BG23" s="336"/>
      <c r="BH23" s="337"/>
      <c r="BI23" s="337"/>
      <c r="BJ23" s="337"/>
      <c r="BK23" s="338"/>
      <c r="BL23" s="336"/>
      <c r="BM23" s="337"/>
      <c r="BN23" s="337"/>
      <c r="BO23" s="337"/>
      <c r="BP23" s="338"/>
      <c r="BQ23" s="336"/>
      <c r="BR23" s="337"/>
      <c r="BS23" s="337"/>
      <c r="BT23" s="337"/>
      <c r="BU23" s="339"/>
      <c r="BW23" s="236" t="str">
        <f>sum_level("o",'Needs 171007_1818'!D23:BU23)</f>
        <v/>
      </c>
      <c r="BX23" s="237" t="str">
        <f>sum_level("j",'Needs 171007_1818'!D23:BU23)</f>
        <v/>
      </c>
      <c r="BY23" s="237" t="str">
        <f>sum_level("m",'Needs 171007_1818'!D23:BU23)</f>
        <v/>
      </c>
      <c r="BZ23" s="237" t="str">
        <f>sum_level("s",'Needs 171007_1818'!D23:BU23)</f>
        <v/>
      </c>
      <c r="CA23" s="238" t="str">
        <f>sum_level("e",'Needs 171007_1818'!D23:BU23)</f>
        <v/>
      </c>
    </row>
    <row r="24" spans="2:79" x14ac:dyDescent="0.25">
      <c r="B24" s="435"/>
      <c r="C24" s="291" t="s">
        <v>69</v>
      </c>
      <c r="D24" s="336"/>
      <c r="E24" s="337"/>
      <c r="F24" s="337"/>
      <c r="G24" s="337"/>
      <c r="H24" s="338"/>
      <c r="I24" s="336"/>
      <c r="J24" s="337"/>
      <c r="K24" s="337"/>
      <c r="L24" s="337"/>
      <c r="M24" s="338"/>
      <c r="N24" s="336"/>
      <c r="O24" s="337"/>
      <c r="P24" s="337"/>
      <c r="Q24" s="337"/>
      <c r="R24" s="338"/>
      <c r="S24" s="336"/>
      <c r="T24" s="337"/>
      <c r="U24" s="337"/>
      <c r="V24" s="337"/>
      <c r="W24" s="338"/>
      <c r="X24" s="336"/>
      <c r="Y24" s="337"/>
      <c r="Z24" s="337"/>
      <c r="AA24" s="337"/>
      <c r="AB24" s="338"/>
      <c r="AC24" s="336"/>
      <c r="AD24" s="337"/>
      <c r="AE24" s="337"/>
      <c r="AF24" s="337"/>
      <c r="AG24" s="338"/>
      <c r="AH24" s="336"/>
      <c r="AI24" s="337"/>
      <c r="AJ24" s="337"/>
      <c r="AK24" s="337"/>
      <c r="AL24" s="338"/>
      <c r="AM24" s="336"/>
      <c r="AN24" s="337"/>
      <c r="AO24" s="337"/>
      <c r="AP24" s="337"/>
      <c r="AQ24" s="338"/>
      <c r="AR24" s="336"/>
      <c r="AS24" s="337"/>
      <c r="AT24" s="337"/>
      <c r="AU24" s="337"/>
      <c r="AV24" s="338"/>
      <c r="AW24" s="336"/>
      <c r="AX24" s="337"/>
      <c r="AY24" s="337"/>
      <c r="AZ24" s="337"/>
      <c r="BA24" s="338"/>
      <c r="BB24" s="336"/>
      <c r="BC24" s="337"/>
      <c r="BD24" s="337"/>
      <c r="BE24" s="337"/>
      <c r="BF24" s="338"/>
      <c r="BG24" s="336"/>
      <c r="BH24" s="337"/>
      <c r="BI24" s="337"/>
      <c r="BJ24" s="337"/>
      <c r="BK24" s="338"/>
      <c r="BL24" s="336"/>
      <c r="BM24" s="337"/>
      <c r="BN24" s="337"/>
      <c r="BO24" s="337"/>
      <c r="BP24" s="338"/>
      <c r="BQ24" s="336"/>
      <c r="BR24" s="337"/>
      <c r="BS24" s="337"/>
      <c r="BT24" s="337"/>
      <c r="BU24" s="339"/>
      <c r="BW24" s="236" t="str">
        <f>sum_level("o",'Needs 171007_1818'!D24:BU24)</f>
        <v/>
      </c>
      <c r="BX24" s="237" t="str">
        <f>sum_level("j",'Needs 171007_1818'!D24:BU24)</f>
        <v/>
      </c>
      <c r="BY24" s="237" t="str">
        <f>sum_level("m",'Needs 171007_1818'!D24:BU24)</f>
        <v/>
      </c>
      <c r="BZ24" s="237" t="str">
        <f>sum_level("s",'Needs 171007_1818'!D24:BU24)</f>
        <v/>
      </c>
      <c r="CA24" s="238" t="str">
        <f>sum_level("e",'Needs 171007_1818'!D24:BU24)</f>
        <v/>
      </c>
    </row>
    <row r="25" spans="2:79" ht="15.75" thickBot="1" x14ac:dyDescent="0.3">
      <c r="B25" s="435"/>
      <c r="C25" s="292" t="s">
        <v>75</v>
      </c>
      <c r="D25" s="340"/>
      <c r="E25" s="341"/>
      <c r="F25" s="341"/>
      <c r="G25" s="341"/>
      <c r="H25" s="342"/>
      <c r="I25" s="340"/>
      <c r="J25" s="341"/>
      <c r="K25" s="341"/>
      <c r="L25" s="341"/>
      <c r="M25" s="342"/>
      <c r="N25" s="340"/>
      <c r="O25" s="341"/>
      <c r="P25" s="341"/>
      <c r="Q25" s="341"/>
      <c r="R25" s="342"/>
      <c r="S25" s="340"/>
      <c r="T25" s="341"/>
      <c r="U25" s="341"/>
      <c r="V25" s="341"/>
      <c r="W25" s="342"/>
      <c r="X25" s="340"/>
      <c r="Y25" s="341"/>
      <c r="Z25" s="341"/>
      <c r="AA25" s="341"/>
      <c r="AB25" s="342"/>
      <c r="AC25" s="340"/>
      <c r="AD25" s="341"/>
      <c r="AE25" s="341"/>
      <c r="AF25" s="341"/>
      <c r="AG25" s="342"/>
      <c r="AH25" s="340"/>
      <c r="AI25" s="341"/>
      <c r="AJ25" s="341"/>
      <c r="AK25" s="341"/>
      <c r="AL25" s="342"/>
      <c r="AM25" s="340"/>
      <c r="AN25" s="341"/>
      <c r="AO25" s="341"/>
      <c r="AP25" s="341"/>
      <c r="AQ25" s="342"/>
      <c r="AR25" s="340"/>
      <c r="AS25" s="341"/>
      <c r="AT25" s="341"/>
      <c r="AU25" s="341"/>
      <c r="AV25" s="342"/>
      <c r="AW25" s="340"/>
      <c r="AX25" s="341"/>
      <c r="AY25" s="341"/>
      <c r="AZ25" s="341"/>
      <c r="BA25" s="342"/>
      <c r="BB25" s="340"/>
      <c r="BC25" s="341"/>
      <c r="BD25" s="341"/>
      <c r="BE25" s="341"/>
      <c r="BF25" s="342"/>
      <c r="BG25" s="340"/>
      <c r="BH25" s="341"/>
      <c r="BI25" s="341"/>
      <c r="BJ25" s="341"/>
      <c r="BK25" s="342"/>
      <c r="BL25" s="340"/>
      <c r="BM25" s="341"/>
      <c r="BN25" s="341"/>
      <c r="BO25" s="341"/>
      <c r="BP25" s="342"/>
      <c r="BQ25" s="340"/>
      <c r="BR25" s="341"/>
      <c r="BS25" s="341"/>
      <c r="BT25" s="341"/>
      <c r="BU25" s="343"/>
      <c r="BW25" s="239" t="str">
        <f>sum_level("o",'Needs 171007_1818'!D25:BU25)</f>
        <v/>
      </c>
      <c r="BX25" s="240" t="str">
        <f>sum_level("j",'Needs 171007_1818'!D25:BU25)</f>
        <v/>
      </c>
      <c r="BY25" s="240" t="str">
        <f>sum_level("m",'Needs 171007_1818'!D25:BU25)</f>
        <v/>
      </c>
      <c r="BZ25" s="240" t="str">
        <f>sum_level("s",'Needs 171007_1818'!D25:BU25)</f>
        <v/>
      </c>
      <c r="CA25" s="241" t="str">
        <f>sum_level("e",'Needs 171007_1818'!D25:BU25)</f>
        <v/>
      </c>
    </row>
    <row r="26" spans="2:79" ht="12.75" customHeight="1" thickTop="1" thickBot="1" x14ac:dyDescent="0.3">
      <c r="B26" s="436"/>
      <c r="C26" s="248"/>
      <c r="D26" s="344"/>
      <c r="E26" s="344"/>
      <c r="F26" s="344"/>
      <c r="G26" s="344"/>
      <c r="H26" s="344"/>
      <c r="I26" s="344"/>
      <c r="J26" s="344"/>
      <c r="K26" s="344"/>
      <c r="L26" s="344"/>
      <c r="M26" s="344"/>
      <c r="N26" s="344"/>
      <c r="O26" s="344"/>
      <c r="P26" s="344"/>
      <c r="Q26" s="344"/>
      <c r="R26" s="344"/>
      <c r="S26" s="344"/>
      <c r="T26" s="344"/>
      <c r="U26" s="344"/>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344"/>
      <c r="AW26" s="344"/>
      <c r="AX26" s="344"/>
      <c r="AY26" s="344"/>
      <c r="AZ26" s="344"/>
      <c r="BA26" s="344"/>
      <c r="BB26" s="344"/>
      <c r="BC26" s="344"/>
      <c r="BD26" s="344"/>
      <c r="BE26" s="344"/>
      <c r="BF26" s="344"/>
      <c r="BG26" s="344"/>
      <c r="BH26" s="344"/>
      <c r="BI26" s="344"/>
      <c r="BJ26" s="344"/>
      <c r="BK26" s="344"/>
      <c r="BL26" s="344"/>
      <c r="BM26" s="344"/>
      <c r="BN26" s="344"/>
      <c r="BO26" s="344"/>
      <c r="BP26" s="344"/>
      <c r="BQ26" s="344"/>
      <c r="BR26" s="344"/>
      <c r="BS26" s="344"/>
      <c r="BT26" s="344"/>
      <c r="BU26" s="344"/>
      <c r="BW26" s="249"/>
      <c r="BX26" s="249"/>
      <c r="BY26" s="249"/>
      <c r="BZ26" s="249"/>
      <c r="CA26" s="249"/>
    </row>
    <row r="27" spans="2:79" ht="15.75" thickTop="1" x14ac:dyDescent="0.25">
      <c r="B27" s="434" t="s">
        <v>70</v>
      </c>
      <c r="C27" s="290" t="s">
        <v>71</v>
      </c>
      <c r="D27" s="332"/>
      <c r="E27" s="333"/>
      <c r="F27" s="333"/>
      <c r="G27" s="333"/>
      <c r="H27" s="334"/>
      <c r="I27" s="332"/>
      <c r="J27" s="333"/>
      <c r="K27" s="333"/>
      <c r="L27" s="333"/>
      <c r="M27" s="334"/>
      <c r="N27" s="332"/>
      <c r="O27" s="333"/>
      <c r="P27" s="333"/>
      <c r="Q27" s="333"/>
      <c r="R27" s="334"/>
      <c r="S27" s="332"/>
      <c r="T27" s="333"/>
      <c r="U27" s="333"/>
      <c r="V27" s="333"/>
      <c r="W27" s="334"/>
      <c r="X27" s="332"/>
      <c r="Y27" s="333"/>
      <c r="Z27" s="333"/>
      <c r="AA27" s="333"/>
      <c r="AB27" s="334"/>
      <c r="AC27" s="332"/>
      <c r="AD27" s="333"/>
      <c r="AE27" s="333"/>
      <c r="AF27" s="333"/>
      <c r="AG27" s="334"/>
      <c r="AH27" s="332"/>
      <c r="AI27" s="333"/>
      <c r="AJ27" s="333"/>
      <c r="AK27" s="333"/>
      <c r="AL27" s="334"/>
      <c r="AM27" s="332"/>
      <c r="AN27" s="333"/>
      <c r="AO27" s="333"/>
      <c r="AP27" s="333"/>
      <c r="AQ27" s="334"/>
      <c r="AR27" s="332"/>
      <c r="AS27" s="333"/>
      <c r="AT27" s="333"/>
      <c r="AU27" s="333"/>
      <c r="AV27" s="334"/>
      <c r="AW27" s="332">
        <v>16</v>
      </c>
      <c r="AX27" s="333"/>
      <c r="AY27" s="333"/>
      <c r="AZ27" s="333"/>
      <c r="BA27" s="334"/>
      <c r="BB27" s="332"/>
      <c r="BC27" s="333"/>
      <c r="BD27" s="333"/>
      <c r="BE27" s="333"/>
      <c r="BF27" s="334"/>
      <c r="BG27" s="332"/>
      <c r="BH27" s="333"/>
      <c r="BI27" s="333"/>
      <c r="BJ27" s="333"/>
      <c r="BK27" s="334"/>
      <c r="BL27" s="332"/>
      <c r="BM27" s="333"/>
      <c r="BN27" s="333"/>
      <c r="BO27" s="333"/>
      <c r="BP27" s="334"/>
      <c r="BQ27" s="332"/>
      <c r="BR27" s="333"/>
      <c r="BS27" s="333"/>
      <c r="BT27" s="333"/>
      <c r="BU27" s="335"/>
      <c r="BW27" s="233" t="str">
        <f>sum_level("o",'Needs 171007_1818'!D27:BU27)</f>
        <v>16</v>
      </c>
      <c r="BX27" s="234" t="str">
        <f>sum_level("j",'Needs 171007_1818'!D27:BU27)</f>
        <v/>
      </c>
      <c r="BY27" s="234" t="str">
        <f>sum_level("m",'Needs 171007_1818'!D27:BU27)</f>
        <v/>
      </c>
      <c r="BZ27" s="234" t="str">
        <f>sum_level("s",'Needs 171007_1818'!D27:BU27)</f>
        <v/>
      </c>
      <c r="CA27" s="235" t="str">
        <f>sum_level("e",'Needs 171007_1818'!D27:BU27)</f>
        <v/>
      </c>
    </row>
    <row r="28" spans="2:79" x14ac:dyDescent="0.25">
      <c r="B28" s="435"/>
      <c r="C28" s="291" t="s">
        <v>72</v>
      </c>
      <c r="D28" s="336"/>
      <c r="E28" s="337"/>
      <c r="F28" s="337"/>
      <c r="G28" s="337"/>
      <c r="H28" s="338"/>
      <c r="I28" s="336"/>
      <c r="J28" s="337"/>
      <c r="K28" s="337"/>
      <c r="L28" s="337"/>
      <c r="M28" s="338"/>
      <c r="N28" s="336"/>
      <c r="O28" s="337"/>
      <c r="P28" s="337"/>
      <c r="Q28" s="337"/>
      <c r="R28" s="338"/>
      <c r="S28" s="336"/>
      <c r="T28" s="337"/>
      <c r="U28" s="337"/>
      <c r="V28" s="337"/>
      <c r="W28" s="338"/>
      <c r="X28" s="336"/>
      <c r="Y28" s="337"/>
      <c r="Z28" s="337"/>
      <c r="AA28" s="337"/>
      <c r="AB28" s="338"/>
      <c r="AC28" s="336"/>
      <c r="AD28" s="337"/>
      <c r="AE28" s="337"/>
      <c r="AF28" s="337"/>
      <c r="AG28" s="338"/>
      <c r="AH28" s="336"/>
      <c r="AI28" s="337"/>
      <c r="AJ28" s="337"/>
      <c r="AK28" s="337"/>
      <c r="AL28" s="338"/>
      <c r="AM28" s="336"/>
      <c r="AN28" s="337"/>
      <c r="AO28" s="337"/>
      <c r="AP28" s="337"/>
      <c r="AQ28" s="338"/>
      <c r="AR28" s="336"/>
      <c r="AS28" s="337"/>
      <c r="AT28" s="337"/>
      <c r="AU28" s="337"/>
      <c r="AV28" s="338"/>
      <c r="AW28" s="336"/>
      <c r="AX28" s="337">
        <v>17</v>
      </c>
      <c r="AY28" s="337"/>
      <c r="AZ28" s="337"/>
      <c r="BA28" s="338"/>
      <c r="BB28" s="336"/>
      <c r="BC28" s="337"/>
      <c r="BD28" s="337"/>
      <c r="BE28" s="337"/>
      <c r="BF28" s="338"/>
      <c r="BG28" s="336"/>
      <c r="BH28" s="337"/>
      <c r="BI28" s="337"/>
      <c r="BJ28" s="337"/>
      <c r="BK28" s="338"/>
      <c r="BL28" s="336"/>
      <c r="BM28" s="337"/>
      <c r="BN28" s="337"/>
      <c r="BO28" s="337"/>
      <c r="BP28" s="338"/>
      <c r="BQ28" s="336"/>
      <c r="BR28" s="337"/>
      <c r="BS28" s="337"/>
      <c r="BT28" s="337"/>
      <c r="BU28" s="339"/>
      <c r="BW28" s="236" t="str">
        <f>sum_level("o",'Needs 171007_1818'!D28:BU28)</f>
        <v/>
      </c>
      <c r="BX28" s="237" t="str">
        <f>sum_level("j",'Needs 171007_1818'!D28:BU28)</f>
        <v>17</v>
      </c>
      <c r="BY28" s="237" t="str">
        <f>sum_level("m",'Needs 171007_1818'!D28:BU28)</f>
        <v/>
      </c>
      <c r="BZ28" s="237" t="str">
        <f>sum_level("s",'Needs 171007_1818'!D28:BU28)</f>
        <v/>
      </c>
      <c r="CA28" s="238" t="str">
        <f>sum_level("e",'Needs 171007_1818'!D28:BU28)</f>
        <v/>
      </c>
    </row>
    <row r="29" spans="2:79" x14ac:dyDescent="0.25">
      <c r="B29" s="435"/>
      <c r="C29" s="291" t="s">
        <v>73</v>
      </c>
      <c r="D29" s="336"/>
      <c r="E29" s="337"/>
      <c r="F29" s="337"/>
      <c r="G29" s="337"/>
      <c r="H29" s="338"/>
      <c r="I29" s="336"/>
      <c r="J29" s="337"/>
      <c r="K29" s="337"/>
      <c r="L29" s="337"/>
      <c r="M29" s="338"/>
      <c r="N29" s="336"/>
      <c r="O29" s="337"/>
      <c r="P29" s="337"/>
      <c r="Q29" s="337"/>
      <c r="R29" s="338"/>
      <c r="S29" s="336"/>
      <c r="T29" s="337"/>
      <c r="U29" s="337"/>
      <c r="V29" s="337"/>
      <c r="W29" s="338"/>
      <c r="X29" s="336"/>
      <c r="Y29" s="337"/>
      <c r="Z29" s="337"/>
      <c r="AA29" s="337"/>
      <c r="AB29" s="338"/>
      <c r="AC29" s="336"/>
      <c r="AD29" s="337"/>
      <c r="AE29" s="337"/>
      <c r="AF29" s="337"/>
      <c r="AG29" s="338"/>
      <c r="AH29" s="336"/>
      <c r="AI29" s="337"/>
      <c r="AJ29" s="337"/>
      <c r="AK29" s="337"/>
      <c r="AL29" s="338"/>
      <c r="AM29" s="336"/>
      <c r="AN29" s="337"/>
      <c r="AO29" s="337"/>
      <c r="AP29" s="337"/>
      <c r="AQ29" s="338"/>
      <c r="AR29" s="336"/>
      <c r="AS29" s="337"/>
      <c r="AT29" s="337"/>
      <c r="AU29" s="337"/>
      <c r="AV29" s="338"/>
      <c r="AW29" s="336"/>
      <c r="AX29" s="337"/>
      <c r="AY29" s="337">
        <v>18</v>
      </c>
      <c r="AZ29" s="337"/>
      <c r="BA29" s="338"/>
      <c r="BB29" s="336"/>
      <c r="BC29" s="337"/>
      <c r="BD29" s="337"/>
      <c r="BE29" s="337"/>
      <c r="BF29" s="338"/>
      <c r="BG29" s="336"/>
      <c r="BH29" s="337"/>
      <c r="BI29" s="337"/>
      <c r="BJ29" s="337"/>
      <c r="BK29" s="338"/>
      <c r="BL29" s="336"/>
      <c r="BM29" s="337"/>
      <c r="BN29" s="337"/>
      <c r="BO29" s="337"/>
      <c r="BP29" s="338"/>
      <c r="BQ29" s="336"/>
      <c r="BR29" s="337"/>
      <c r="BS29" s="337"/>
      <c r="BT29" s="337"/>
      <c r="BU29" s="339"/>
      <c r="BW29" s="236" t="str">
        <f>sum_level("o",'Needs 171007_1818'!D29:BU29)</f>
        <v/>
      </c>
      <c r="BX29" s="237" t="str">
        <f>sum_level("j",'Needs 171007_1818'!D29:BU29)</f>
        <v/>
      </c>
      <c r="BY29" s="237" t="str">
        <f>sum_level("m",'Needs 171007_1818'!D29:BU29)</f>
        <v>18</v>
      </c>
      <c r="BZ29" s="237" t="str">
        <f>sum_level("s",'Needs 171007_1818'!D29:BU29)</f>
        <v/>
      </c>
      <c r="CA29" s="238" t="str">
        <f>sum_level("e",'Needs 171007_1818'!D29:BU29)</f>
        <v/>
      </c>
    </row>
    <row r="30" spans="2:79" x14ac:dyDescent="0.25">
      <c r="B30" s="435"/>
      <c r="C30" s="291" t="s">
        <v>74</v>
      </c>
      <c r="D30" s="336"/>
      <c r="E30" s="337"/>
      <c r="F30" s="337"/>
      <c r="G30" s="337"/>
      <c r="H30" s="338"/>
      <c r="I30" s="336"/>
      <c r="J30" s="337"/>
      <c r="K30" s="337"/>
      <c r="L30" s="337"/>
      <c r="M30" s="338"/>
      <c r="N30" s="336"/>
      <c r="O30" s="337"/>
      <c r="P30" s="337"/>
      <c r="Q30" s="337"/>
      <c r="R30" s="338"/>
      <c r="S30" s="336"/>
      <c r="T30" s="337"/>
      <c r="U30" s="337"/>
      <c r="V30" s="337"/>
      <c r="W30" s="338"/>
      <c r="X30" s="336"/>
      <c r="Y30" s="337"/>
      <c r="Z30" s="337"/>
      <c r="AA30" s="337"/>
      <c r="AB30" s="338"/>
      <c r="AC30" s="336"/>
      <c r="AD30" s="337"/>
      <c r="AE30" s="337"/>
      <c r="AF30" s="337"/>
      <c r="AG30" s="338"/>
      <c r="AH30" s="336"/>
      <c r="AI30" s="337"/>
      <c r="AJ30" s="337"/>
      <c r="AK30" s="337"/>
      <c r="AL30" s="338"/>
      <c r="AM30" s="336"/>
      <c r="AN30" s="337"/>
      <c r="AO30" s="337"/>
      <c r="AP30" s="337"/>
      <c r="AQ30" s="338"/>
      <c r="AR30" s="336"/>
      <c r="AS30" s="337"/>
      <c r="AT30" s="337"/>
      <c r="AU30" s="337"/>
      <c r="AV30" s="338"/>
      <c r="AW30" s="336"/>
      <c r="AX30" s="337"/>
      <c r="AY30" s="337"/>
      <c r="AZ30" s="337">
        <v>19</v>
      </c>
      <c r="BA30" s="338"/>
      <c r="BB30" s="336"/>
      <c r="BC30" s="337"/>
      <c r="BD30" s="337"/>
      <c r="BE30" s="337"/>
      <c r="BF30" s="338"/>
      <c r="BG30" s="336"/>
      <c r="BH30" s="337"/>
      <c r="BI30" s="337"/>
      <c r="BJ30" s="337"/>
      <c r="BK30" s="338"/>
      <c r="BL30" s="336"/>
      <c r="BM30" s="337"/>
      <c r="BN30" s="337"/>
      <c r="BO30" s="337"/>
      <c r="BP30" s="338"/>
      <c r="BQ30" s="336"/>
      <c r="BR30" s="337"/>
      <c r="BS30" s="337"/>
      <c r="BT30" s="337"/>
      <c r="BU30" s="339"/>
      <c r="BW30" s="236" t="str">
        <f>sum_level("o",'Needs 171007_1818'!D30:BU30)</f>
        <v/>
      </c>
      <c r="BX30" s="237" t="str">
        <f>sum_level("j",'Needs 171007_1818'!D30:BU30)</f>
        <v/>
      </c>
      <c r="BY30" s="237" t="str">
        <f>sum_level("m",'Needs 171007_1818'!D30:BU30)</f>
        <v/>
      </c>
      <c r="BZ30" s="237" t="str">
        <f>sum_level("s",'Needs 171007_1818'!D30:BU30)</f>
        <v>19</v>
      </c>
      <c r="CA30" s="238" t="str">
        <f>sum_level("e",'Needs 171007_1818'!D30:BU30)</f>
        <v/>
      </c>
    </row>
    <row r="31" spans="2:79" x14ac:dyDescent="0.25">
      <c r="B31" s="435"/>
      <c r="C31" s="291" t="s">
        <v>76</v>
      </c>
      <c r="D31" s="336"/>
      <c r="E31" s="337"/>
      <c r="F31" s="337"/>
      <c r="G31" s="337"/>
      <c r="H31" s="338"/>
      <c r="I31" s="336"/>
      <c r="J31" s="337"/>
      <c r="K31" s="337"/>
      <c r="L31" s="337"/>
      <c r="M31" s="338"/>
      <c r="N31" s="336"/>
      <c r="O31" s="337"/>
      <c r="P31" s="337"/>
      <c r="Q31" s="337"/>
      <c r="R31" s="338"/>
      <c r="S31" s="336"/>
      <c r="T31" s="337"/>
      <c r="U31" s="337"/>
      <c r="V31" s="337"/>
      <c r="W31" s="338"/>
      <c r="X31" s="336"/>
      <c r="Y31" s="337"/>
      <c r="Z31" s="337"/>
      <c r="AA31" s="337"/>
      <c r="AB31" s="338"/>
      <c r="AC31" s="336"/>
      <c r="AD31" s="337"/>
      <c r="AE31" s="337"/>
      <c r="AF31" s="337"/>
      <c r="AG31" s="338"/>
      <c r="AH31" s="336"/>
      <c r="AI31" s="337"/>
      <c r="AJ31" s="337"/>
      <c r="AK31" s="337"/>
      <c r="AL31" s="338"/>
      <c r="AM31" s="336"/>
      <c r="AN31" s="337"/>
      <c r="AO31" s="337"/>
      <c r="AP31" s="337"/>
      <c r="AQ31" s="338"/>
      <c r="AR31" s="336"/>
      <c r="AS31" s="337"/>
      <c r="AT31" s="337"/>
      <c r="AU31" s="337"/>
      <c r="AV31" s="338"/>
      <c r="AW31" s="336"/>
      <c r="AX31" s="337"/>
      <c r="AY31" s="337"/>
      <c r="AZ31" s="337"/>
      <c r="BA31" s="338">
        <v>20</v>
      </c>
      <c r="BB31" s="336"/>
      <c r="BC31" s="337"/>
      <c r="BD31" s="337"/>
      <c r="BE31" s="337"/>
      <c r="BF31" s="338"/>
      <c r="BG31" s="336"/>
      <c r="BH31" s="337"/>
      <c r="BI31" s="337"/>
      <c r="BJ31" s="337"/>
      <c r="BK31" s="338"/>
      <c r="BL31" s="336"/>
      <c r="BM31" s="337"/>
      <c r="BN31" s="337"/>
      <c r="BO31" s="337"/>
      <c r="BP31" s="338"/>
      <c r="BQ31" s="336"/>
      <c r="BR31" s="337"/>
      <c r="BS31" s="337"/>
      <c r="BT31" s="337"/>
      <c r="BU31" s="339"/>
      <c r="BW31" s="236" t="str">
        <f>sum_level("o",'Needs 171007_1818'!D31:BU31)</f>
        <v/>
      </c>
      <c r="BX31" s="237" t="str">
        <f>sum_level("j",'Needs 171007_1818'!D31:BU31)</f>
        <v/>
      </c>
      <c r="BY31" s="237" t="str">
        <f>sum_level("m",'Needs 171007_1818'!D31:BU31)</f>
        <v/>
      </c>
      <c r="BZ31" s="237" t="str">
        <f>sum_level("s",'Needs 171007_1818'!D31:BU31)</f>
        <v/>
      </c>
      <c r="CA31" s="238" t="str">
        <f>sum_level("e",'Needs 171007_1818'!D31:BU31)</f>
        <v>20</v>
      </c>
    </row>
    <row r="32" spans="2:79" x14ac:dyDescent="0.25">
      <c r="B32" s="435"/>
      <c r="C32" s="291" t="s">
        <v>77</v>
      </c>
      <c r="D32" s="336"/>
      <c r="E32" s="337"/>
      <c r="F32" s="337"/>
      <c r="G32" s="337"/>
      <c r="H32" s="338"/>
      <c r="I32" s="336"/>
      <c r="J32" s="337"/>
      <c r="K32" s="337"/>
      <c r="L32" s="337"/>
      <c r="M32" s="338"/>
      <c r="N32" s="336"/>
      <c r="O32" s="337"/>
      <c r="P32" s="337"/>
      <c r="Q32" s="337"/>
      <c r="R32" s="338"/>
      <c r="S32" s="336"/>
      <c r="T32" s="337"/>
      <c r="U32" s="337"/>
      <c r="V32" s="337"/>
      <c r="W32" s="338"/>
      <c r="X32" s="336"/>
      <c r="Y32" s="337"/>
      <c r="Z32" s="337"/>
      <c r="AA32" s="337"/>
      <c r="AB32" s="338"/>
      <c r="AC32" s="336"/>
      <c r="AD32" s="337"/>
      <c r="AE32" s="337"/>
      <c r="AF32" s="337"/>
      <c r="AG32" s="338"/>
      <c r="AH32" s="336"/>
      <c r="AI32" s="337"/>
      <c r="AJ32" s="337"/>
      <c r="AK32" s="337"/>
      <c r="AL32" s="338"/>
      <c r="AM32" s="336"/>
      <c r="AN32" s="337"/>
      <c r="AO32" s="337"/>
      <c r="AP32" s="337"/>
      <c r="AQ32" s="338"/>
      <c r="AR32" s="336"/>
      <c r="AS32" s="337"/>
      <c r="AT32" s="337"/>
      <c r="AU32" s="337"/>
      <c r="AV32" s="338"/>
      <c r="AW32" s="336"/>
      <c r="AX32" s="337"/>
      <c r="AY32" s="337"/>
      <c r="AZ32" s="337"/>
      <c r="BA32" s="338"/>
      <c r="BB32" s="336"/>
      <c r="BC32" s="337"/>
      <c r="BD32" s="337"/>
      <c r="BE32" s="337"/>
      <c r="BF32" s="338"/>
      <c r="BG32" s="336"/>
      <c r="BH32" s="337"/>
      <c r="BI32" s="337"/>
      <c r="BJ32" s="337"/>
      <c r="BK32" s="338"/>
      <c r="BL32" s="336"/>
      <c r="BM32" s="337"/>
      <c r="BN32" s="337"/>
      <c r="BO32" s="337"/>
      <c r="BP32" s="338"/>
      <c r="BQ32" s="336"/>
      <c r="BR32" s="337"/>
      <c r="BS32" s="337"/>
      <c r="BT32" s="337"/>
      <c r="BU32" s="339"/>
      <c r="BW32" s="236" t="str">
        <f>sum_level("o",'Needs 171007_1818'!D32:BU32)</f>
        <v/>
      </c>
      <c r="BX32" s="237" t="str">
        <f>sum_level("j",'Needs 171007_1818'!D32:BU32)</f>
        <v/>
      </c>
      <c r="BY32" s="237" t="str">
        <f>sum_level("m",'Needs 171007_1818'!D32:BU32)</f>
        <v/>
      </c>
      <c r="BZ32" s="237" t="str">
        <f>sum_level("s",'Needs 171007_1818'!D32:BU32)</f>
        <v/>
      </c>
      <c r="CA32" s="238" t="str">
        <f>sum_level("e",'Needs 171007_1818'!D32:BU32)</f>
        <v/>
      </c>
    </row>
    <row r="33" spans="2:79" x14ac:dyDescent="0.25">
      <c r="B33" s="435"/>
      <c r="C33" s="291" t="s">
        <v>78</v>
      </c>
      <c r="D33" s="336"/>
      <c r="E33" s="337"/>
      <c r="F33" s="337"/>
      <c r="G33" s="337"/>
      <c r="H33" s="338"/>
      <c r="I33" s="336"/>
      <c r="J33" s="337"/>
      <c r="K33" s="337"/>
      <c r="L33" s="337"/>
      <c r="M33" s="338"/>
      <c r="N33" s="336"/>
      <c r="O33" s="337"/>
      <c r="P33" s="337"/>
      <c r="Q33" s="337"/>
      <c r="R33" s="338"/>
      <c r="S33" s="336"/>
      <c r="T33" s="337"/>
      <c r="U33" s="337"/>
      <c r="V33" s="337"/>
      <c r="W33" s="338"/>
      <c r="X33" s="336"/>
      <c r="Y33" s="337"/>
      <c r="Z33" s="337"/>
      <c r="AA33" s="337"/>
      <c r="AB33" s="338"/>
      <c r="AC33" s="336"/>
      <c r="AD33" s="337"/>
      <c r="AE33" s="337"/>
      <c r="AF33" s="337"/>
      <c r="AG33" s="338"/>
      <c r="AH33" s="336"/>
      <c r="AI33" s="337"/>
      <c r="AJ33" s="337"/>
      <c r="AK33" s="337"/>
      <c r="AL33" s="338"/>
      <c r="AM33" s="336"/>
      <c r="AN33" s="337"/>
      <c r="AO33" s="337"/>
      <c r="AP33" s="337"/>
      <c r="AQ33" s="338"/>
      <c r="AR33" s="336"/>
      <c r="AS33" s="337"/>
      <c r="AT33" s="337"/>
      <c r="AU33" s="337"/>
      <c r="AV33" s="338"/>
      <c r="AW33" s="336"/>
      <c r="AX33" s="337"/>
      <c r="AY33" s="337"/>
      <c r="AZ33" s="337"/>
      <c r="BA33" s="338"/>
      <c r="BB33" s="336"/>
      <c r="BC33" s="337"/>
      <c r="BD33" s="337"/>
      <c r="BE33" s="337"/>
      <c r="BF33" s="338"/>
      <c r="BG33" s="336"/>
      <c r="BH33" s="337"/>
      <c r="BI33" s="337"/>
      <c r="BJ33" s="337"/>
      <c r="BK33" s="338"/>
      <c r="BL33" s="336"/>
      <c r="BM33" s="337"/>
      <c r="BN33" s="337"/>
      <c r="BO33" s="337"/>
      <c r="BP33" s="338"/>
      <c r="BQ33" s="336"/>
      <c r="BR33" s="337"/>
      <c r="BS33" s="337"/>
      <c r="BT33" s="337"/>
      <c r="BU33" s="339"/>
      <c r="BW33" s="236" t="str">
        <f>sum_level("o",'Needs 171007_1818'!D33:BU33)</f>
        <v/>
      </c>
      <c r="BX33" s="237" t="str">
        <f>sum_level("j",'Needs 171007_1818'!D33:BU33)</f>
        <v/>
      </c>
      <c r="BY33" s="237" t="str">
        <f>sum_level("m",'Needs 171007_1818'!D33:BU33)</f>
        <v/>
      </c>
      <c r="BZ33" s="237" t="str">
        <f>sum_level("s",'Needs 171007_1818'!D33:BU33)</f>
        <v/>
      </c>
      <c r="CA33" s="238" t="str">
        <f>sum_level("e",'Needs 171007_1818'!D33:BU33)</f>
        <v/>
      </c>
    </row>
    <row r="34" spans="2:79" x14ac:dyDescent="0.25">
      <c r="B34" s="435"/>
      <c r="C34" s="291" t="s">
        <v>79</v>
      </c>
      <c r="D34" s="336"/>
      <c r="E34" s="337"/>
      <c r="F34" s="337"/>
      <c r="G34" s="337"/>
      <c r="H34" s="338"/>
      <c r="I34" s="336"/>
      <c r="J34" s="337"/>
      <c r="K34" s="337"/>
      <c r="L34" s="337"/>
      <c r="M34" s="338"/>
      <c r="N34" s="336"/>
      <c r="O34" s="337"/>
      <c r="P34" s="337"/>
      <c r="Q34" s="337"/>
      <c r="R34" s="338"/>
      <c r="S34" s="336"/>
      <c r="T34" s="337"/>
      <c r="U34" s="337"/>
      <c r="V34" s="337"/>
      <c r="W34" s="338"/>
      <c r="X34" s="336"/>
      <c r="Y34" s="337"/>
      <c r="Z34" s="337"/>
      <c r="AA34" s="337"/>
      <c r="AB34" s="338"/>
      <c r="AC34" s="336"/>
      <c r="AD34" s="337"/>
      <c r="AE34" s="337"/>
      <c r="AF34" s="337"/>
      <c r="AG34" s="338"/>
      <c r="AH34" s="336"/>
      <c r="AI34" s="337"/>
      <c r="AJ34" s="337"/>
      <c r="AK34" s="337"/>
      <c r="AL34" s="338"/>
      <c r="AM34" s="336"/>
      <c r="AN34" s="337"/>
      <c r="AO34" s="337"/>
      <c r="AP34" s="337"/>
      <c r="AQ34" s="338"/>
      <c r="AR34" s="336"/>
      <c r="AS34" s="337"/>
      <c r="AT34" s="337"/>
      <c r="AU34" s="337"/>
      <c r="AV34" s="338"/>
      <c r="AW34" s="336"/>
      <c r="AX34" s="337"/>
      <c r="AY34" s="337"/>
      <c r="AZ34" s="337"/>
      <c r="BA34" s="338"/>
      <c r="BB34" s="336"/>
      <c r="BC34" s="337"/>
      <c r="BD34" s="337"/>
      <c r="BE34" s="337"/>
      <c r="BF34" s="338"/>
      <c r="BG34" s="336"/>
      <c r="BH34" s="337"/>
      <c r="BI34" s="337"/>
      <c r="BJ34" s="337"/>
      <c r="BK34" s="338"/>
      <c r="BL34" s="336"/>
      <c r="BM34" s="337"/>
      <c r="BN34" s="337"/>
      <c r="BO34" s="337"/>
      <c r="BP34" s="338"/>
      <c r="BQ34" s="336"/>
      <c r="BR34" s="337"/>
      <c r="BS34" s="337"/>
      <c r="BT34" s="337"/>
      <c r="BU34" s="339"/>
      <c r="BW34" s="236" t="str">
        <f>sum_level("o",'Needs 171007_1818'!D34:BU34)</f>
        <v/>
      </c>
      <c r="BX34" s="237" t="str">
        <f>sum_level("j",'Needs 171007_1818'!D34:BU34)</f>
        <v/>
      </c>
      <c r="BY34" s="237" t="str">
        <f>sum_level("m",'Needs 171007_1818'!D34:BU34)</f>
        <v/>
      </c>
      <c r="BZ34" s="237" t="str">
        <f>sum_level("s",'Needs 171007_1818'!D34:BU34)</f>
        <v/>
      </c>
      <c r="CA34" s="238" t="str">
        <f>sum_level("e",'Needs 171007_1818'!D34:BU34)</f>
        <v/>
      </c>
    </row>
    <row r="35" spans="2:79" x14ac:dyDescent="0.25">
      <c r="B35" s="435"/>
      <c r="C35" s="291" t="s">
        <v>80</v>
      </c>
      <c r="D35" s="336"/>
      <c r="E35" s="337"/>
      <c r="F35" s="337"/>
      <c r="G35" s="337"/>
      <c r="H35" s="338"/>
      <c r="I35" s="336"/>
      <c r="J35" s="337"/>
      <c r="K35" s="337"/>
      <c r="L35" s="337"/>
      <c r="M35" s="338"/>
      <c r="N35" s="336"/>
      <c r="O35" s="337"/>
      <c r="P35" s="337"/>
      <c r="Q35" s="337"/>
      <c r="R35" s="338"/>
      <c r="S35" s="336"/>
      <c r="T35" s="337"/>
      <c r="U35" s="337"/>
      <c r="V35" s="337"/>
      <c r="W35" s="338"/>
      <c r="X35" s="336"/>
      <c r="Y35" s="337"/>
      <c r="Z35" s="337"/>
      <c r="AA35" s="337"/>
      <c r="AB35" s="338"/>
      <c r="AC35" s="336"/>
      <c r="AD35" s="337"/>
      <c r="AE35" s="337"/>
      <c r="AF35" s="337"/>
      <c r="AG35" s="338"/>
      <c r="AH35" s="336"/>
      <c r="AI35" s="337"/>
      <c r="AJ35" s="337"/>
      <c r="AK35" s="337"/>
      <c r="AL35" s="338"/>
      <c r="AM35" s="336"/>
      <c r="AN35" s="337"/>
      <c r="AO35" s="337"/>
      <c r="AP35" s="337"/>
      <c r="AQ35" s="338"/>
      <c r="AR35" s="336"/>
      <c r="AS35" s="337"/>
      <c r="AT35" s="337"/>
      <c r="AU35" s="337"/>
      <c r="AV35" s="338"/>
      <c r="AW35" s="336"/>
      <c r="AX35" s="337"/>
      <c r="AY35" s="337"/>
      <c r="AZ35" s="337"/>
      <c r="BA35" s="338"/>
      <c r="BB35" s="336"/>
      <c r="BC35" s="337"/>
      <c r="BD35" s="337"/>
      <c r="BE35" s="337"/>
      <c r="BF35" s="338"/>
      <c r="BG35" s="336"/>
      <c r="BH35" s="337"/>
      <c r="BI35" s="337"/>
      <c r="BJ35" s="337"/>
      <c r="BK35" s="338"/>
      <c r="BL35" s="336"/>
      <c r="BM35" s="337"/>
      <c r="BN35" s="337"/>
      <c r="BO35" s="337"/>
      <c r="BP35" s="338"/>
      <c r="BQ35" s="336"/>
      <c r="BR35" s="337"/>
      <c r="BS35" s="337"/>
      <c r="BT35" s="337"/>
      <c r="BU35" s="339"/>
      <c r="BW35" s="236" t="str">
        <f>sum_level("o",'Needs 171007_1818'!D35:BU35)</f>
        <v/>
      </c>
      <c r="BX35" s="237" t="str">
        <f>sum_level("j",'Needs 171007_1818'!D35:BU35)</f>
        <v/>
      </c>
      <c r="BY35" s="237" t="str">
        <f>sum_level("m",'Needs 171007_1818'!D35:BU35)</f>
        <v/>
      </c>
      <c r="BZ35" s="237" t="str">
        <f>sum_level("s",'Needs 171007_1818'!D35:BU35)</f>
        <v/>
      </c>
      <c r="CA35" s="238" t="str">
        <f>sum_level("e",'Needs 171007_1818'!D35:BU35)</f>
        <v/>
      </c>
    </row>
    <row r="36" spans="2:79" ht="15.75" thickBot="1" x14ac:dyDescent="0.3">
      <c r="B36" s="435"/>
      <c r="C36" s="292" t="s">
        <v>225</v>
      </c>
      <c r="D36" s="340"/>
      <c r="E36" s="341"/>
      <c r="F36" s="341"/>
      <c r="G36" s="341"/>
      <c r="H36" s="342"/>
      <c r="I36" s="340"/>
      <c r="J36" s="341"/>
      <c r="K36" s="341"/>
      <c r="L36" s="341"/>
      <c r="M36" s="342"/>
      <c r="N36" s="340"/>
      <c r="O36" s="341"/>
      <c r="P36" s="341"/>
      <c r="Q36" s="341"/>
      <c r="R36" s="342"/>
      <c r="S36" s="340"/>
      <c r="T36" s="341"/>
      <c r="U36" s="341"/>
      <c r="V36" s="341"/>
      <c r="W36" s="342"/>
      <c r="X36" s="340"/>
      <c r="Y36" s="341"/>
      <c r="Z36" s="341"/>
      <c r="AA36" s="341"/>
      <c r="AB36" s="342"/>
      <c r="AC36" s="340"/>
      <c r="AD36" s="341"/>
      <c r="AE36" s="341"/>
      <c r="AF36" s="341"/>
      <c r="AG36" s="342"/>
      <c r="AH36" s="340"/>
      <c r="AI36" s="341"/>
      <c r="AJ36" s="341"/>
      <c r="AK36" s="341"/>
      <c r="AL36" s="342"/>
      <c r="AM36" s="340"/>
      <c r="AN36" s="341"/>
      <c r="AO36" s="341"/>
      <c r="AP36" s="341"/>
      <c r="AQ36" s="342"/>
      <c r="AR36" s="340"/>
      <c r="AS36" s="341"/>
      <c r="AT36" s="341"/>
      <c r="AU36" s="341"/>
      <c r="AV36" s="342"/>
      <c r="AW36" s="340"/>
      <c r="AX36" s="341"/>
      <c r="AY36" s="341"/>
      <c r="AZ36" s="341"/>
      <c r="BA36" s="342"/>
      <c r="BB36" s="340"/>
      <c r="BC36" s="341"/>
      <c r="BD36" s="341"/>
      <c r="BE36" s="341"/>
      <c r="BF36" s="342"/>
      <c r="BG36" s="340"/>
      <c r="BH36" s="341"/>
      <c r="BI36" s="341"/>
      <c r="BJ36" s="341"/>
      <c r="BK36" s="342"/>
      <c r="BL36" s="340"/>
      <c r="BM36" s="341"/>
      <c r="BN36" s="341"/>
      <c r="BO36" s="341"/>
      <c r="BP36" s="342"/>
      <c r="BQ36" s="340"/>
      <c r="BR36" s="341"/>
      <c r="BS36" s="341"/>
      <c r="BT36" s="341"/>
      <c r="BU36" s="343"/>
      <c r="BW36" s="239" t="str">
        <f>sum_level("o",'Needs 171007_1818'!D36:BU36)</f>
        <v/>
      </c>
      <c r="BX36" s="240" t="str">
        <f>sum_level("j",'Needs 171007_1818'!D36:BU36)</f>
        <v/>
      </c>
      <c r="BY36" s="240" t="str">
        <f>sum_level("m",'Needs 171007_1818'!D36:BU36)</f>
        <v/>
      </c>
      <c r="BZ36" s="240" t="str">
        <f>sum_level("s",'Needs 171007_1818'!D36:BU36)</f>
        <v/>
      </c>
      <c r="CA36" s="241" t="str">
        <f>sum_level("e",'Needs 171007_1818'!D36:BU36)</f>
        <v/>
      </c>
    </row>
    <row r="37" spans="2:79" ht="12.75" customHeight="1" thickTop="1" thickBot="1" x14ac:dyDescent="0.3">
      <c r="B37" s="436"/>
      <c r="C37" s="248"/>
      <c r="D37" s="344"/>
      <c r="E37" s="344"/>
      <c r="F37" s="344"/>
      <c r="G37" s="344"/>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W37" s="249"/>
      <c r="BX37" s="249"/>
      <c r="BY37" s="249"/>
      <c r="BZ37" s="249"/>
      <c r="CA37" s="249"/>
    </row>
    <row r="38" spans="2:79" ht="15.75" thickTop="1" x14ac:dyDescent="0.25">
      <c r="B38" s="434" t="s">
        <v>81</v>
      </c>
      <c r="C38" s="290" t="s">
        <v>82</v>
      </c>
      <c r="D38" s="332"/>
      <c r="E38" s="333"/>
      <c r="F38" s="333"/>
      <c r="G38" s="333"/>
      <c r="H38" s="334"/>
      <c r="I38" s="332"/>
      <c r="J38" s="333"/>
      <c r="K38" s="333"/>
      <c r="L38" s="333"/>
      <c r="M38" s="334"/>
      <c r="N38" s="332"/>
      <c r="O38" s="333"/>
      <c r="P38" s="333"/>
      <c r="Q38" s="333"/>
      <c r="R38" s="334"/>
      <c r="S38" s="332"/>
      <c r="T38" s="333"/>
      <c r="U38" s="333"/>
      <c r="V38" s="333"/>
      <c r="W38" s="334"/>
      <c r="X38" s="332"/>
      <c r="Y38" s="333"/>
      <c r="Z38" s="333"/>
      <c r="AA38" s="333"/>
      <c r="AB38" s="334"/>
      <c r="AC38" s="332"/>
      <c r="AD38" s="333"/>
      <c r="AE38" s="333"/>
      <c r="AF38" s="333"/>
      <c r="AG38" s="334"/>
      <c r="AH38" s="332"/>
      <c r="AI38" s="333"/>
      <c r="AJ38" s="333"/>
      <c r="AK38" s="333"/>
      <c r="AL38" s="334"/>
      <c r="AM38" s="332"/>
      <c r="AN38" s="333"/>
      <c r="AO38" s="333"/>
      <c r="AP38" s="333"/>
      <c r="AQ38" s="334"/>
      <c r="AR38" s="332"/>
      <c r="AS38" s="333"/>
      <c r="AT38" s="333"/>
      <c r="AU38" s="333"/>
      <c r="AV38" s="334"/>
      <c r="AW38" s="332"/>
      <c r="AX38" s="333"/>
      <c r="AY38" s="333"/>
      <c r="AZ38" s="333"/>
      <c r="BA38" s="334"/>
      <c r="BB38" s="332">
        <v>21</v>
      </c>
      <c r="BC38" s="333"/>
      <c r="BD38" s="333"/>
      <c r="BE38" s="333"/>
      <c r="BF38" s="334"/>
      <c r="BG38" s="332"/>
      <c r="BH38" s="333"/>
      <c r="BI38" s="333"/>
      <c r="BJ38" s="333"/>
      <c r="BK38" s="334"/>
      <c r="BL38" s="332"/>
      <c r="BM38" s="333"/>
      <c r="BN38" s="333"/>
      <c r="BO38" s="333"/>
      <c r="BP38" s="334"/>
      <c r="BQ38" s="332"/>
      <c r="BR38" s="333"/>
      <c r="BS38" s="333"/>
      <c r="BT38" s="333"/>
      <c r="BU38" s="335"/>
      <c r="BW38" s="233" t="str">
        <f>sum_level("o",'Needs 171007_1818'!D38:BU38)</f>
        <v>21</v>
      </c>
      <c r="BX38" s="234" t="str">
        <f>sum_level("j",'Needs 171007_1818'!D38:BU38)</f>
        <v/>
      </c>
      <c r="BY38" s="234" t="str">
        <f>sum_level("m",'Needs 171007_1818'!D38:BU38)</f>
        <v/>
      </c>
      <c r="BZ38" s="234" t="str">
        <f>sum_level("s",'Needs 171007_1818'!D38:BU38)</f>
        <v/>
      </c>
      <c r="CA38" s="235" t="str">
        <f>sum_level("e",'Needs 171007_1818'!D38:BU38)</f>
        <v/>
      </c>
    </row>
    <row r="39" spans="2:79" x14ac:dyDescent="0.25">
      <c r="B39" s="435"/>
      <c r="C39" s="291" t="s">
        <v>83</v>
      </c>
      <c r="D39" s="336"/>
      <c r="E39" s="337"/>
      <c r="F39" s="337"/>
      <c r="G39" s="337"/>
      <c r="H39" s="338"/>
      <c r="I39" s="336"/>
      <c r="J39" s="337"/>
      <c r="K39" s="337"/>
      <c r="L39" s="337"/>
      <c r="M39" s="338"/>
      <c r="N39" s="336"/>
      <c r="O39" s="337"/>
      <c r="P39" s="337"/>
      <c r="Q39" s="337"/>
      <c r="R39" s="338"/>
      <c r="S39" s="336"/>
      <c r="T39" s="337"/>
      <c r="U39" s="337"/>
      <c r="V39" s="337"/>
      <c r="W39" s="338"/>
      <c r="X39" s="336"/>
      <c r="Y39" s="337"/>
      <c r="Z39" s="337"/>
      <c r="AA39" s="337"/>
      <c r="AB39" s="338"/>
      <c r="AC39" s="336"/>
      <c r="AD39" s="337"/>
      <c r="AE39" s="337"/>
      <c r="AF39" s="337"/>
      <c r="AG39" s="338"/>
      <c r="AH39" s="336"/>
      <c r="AI39" s="337"/>
      <c r="AJ39" s="337"/>
      <c r="AK39" s="337"/>
      <c r="AL39" s="338"/>
      <c r="AM39" s="336"/>
      <c r="AN39" s="337"/>
      <c r="AO39" s="337"/>
      <c r="AP39" s="337"/>
      <c r="AQ39" s="338"/>
      <c r="AR39" s="336"/>
      <c r="AS39" s="337"/>
      <c r="AT39" s="337"/>
      <c r="AU39" s="337"/>
      <c r="AV39" s="338"/>
      <c r="AW39" s="336"/>
      <c r="AX39" s="337"/>
      <c r="AY39" s="337"/>
      <c r="AZ39" s="337"/>
      <c r="BA39" s="338"/>
      <c r="BB39" s="336"/>
      <c r="BC39" s="337">
        <v>22</v>
      </c>
      <c r="BD39" s="337"/>
      <c r="BE39" s="337"/>
      <c r="BF39" s="338"/>
      <c r="BG39" s="336"/>
      <c r="BH39" s="337"/>
      <c r="BI39" s="337"/>
      <c r="BJ39" s="337"/>
      <c r="BK39" s="338"/>
      <c r="BL39" s="336"/>
      <c r="BM39" s="337"/>
      <c r="BN39" s="337"/>
      <c r="BO39" s="337"/>
      <c r="BP39" s="338"/>
      <c r="BQ39" s="336"/>
      <c r="BR39" s="337"/>
      <c r="BS39" s="337"/>
      <c r="BT39" s="337"/>
      <c r="BU39" s="339"/>
      <c r="BW39" s="236" t="str">
        <f>sum_level("o",'Needs 171007_1818'!D39:BU39)</f>
        <v/>
      </c>
      <c r="BX39" s="237" t="str">
        <f>sum_level("j",'Needs 171007_1818'!D39:BU39)</f>
        <v>22</v>
      </c>
      <c r="BY39" s="237" t="str">
        <f>sum_level("m",'Needs 171007_1818'!D39:BU39)</f>
        <v/>
      </c>
      <c r="BZ39" s="237" t="str">
        <f>sum_level("s",'Needs 171007_1818'!D39:BU39)</f>
        <v/>
      </c>
      <c r="CA39" s="238" t="str">
        <f>sum_level("e",'Needs 171007_1818'!D39:BU39)</f>
        <v/>
      </c>
    </row>
    <row r="40" spans="2:79" x14ac:dyDescent="0.25">
      <c r="B40" s="435"/>
      <c r="C40" s="291" t="s">
        <v>84</v>
      </c>
      <c r="D40" s="336"/>
      <c r="E40" s="337"/>
      <c r="F40" s="337"/>
      <c r="G40" s="337"/>
      <c r="H40" s="338"/>
      <c r="I40" s="336"/>
      <c r="J40" s="337"/>
      <c r="K40" s="337"/>
      <c r="L40" s="337"/>
      <c r="M40" s="338"/>
      <c r="N40" s="336"/>
      <c r="O40" s="337"/>
      <c r="P40" s="337"/>
      <c r="Q40" s="337"/>
      <c r="R40" s="338"/>
      <c r="S40" s="336"/>
      <c r="T40" s="337"/>
      <c r="U40" s="337"/>
      <c r="V40" s="337"/>
      <c r="W40" s="338"/>
      <c r="X40" s="336"/>
      <c r="Y40" s="337"/>
      <c r="Z40" s="337"/>
      <c r="AA40" s="337"/>
      <c r="AB40" s="338"/>
      <c r="AC40" s="336"/>
      <c r="AD40" s="337"/>
      <c r="AE40" s="337"/>
      <c r="AF40" s="337"/>
      <c r="AG40" s="338"/>
      <c r="AH40" s="336"/>
      <c r="AI40" s="337"/>
      <c r="AJ40" s="337"/>
      <c r="AK40" s="337"/>
      <c r="AL40" s="338"/>
      <c r="AM40" s="336"/>
      <c r="AN40" s="337"/>
      <c r="AO40" s="337"/>
      <c r="AP40" s="337"/>
      <c r="AQ40" s="338"/>
      <c r="AR40" s="336"/>
      <c r="AS40" s="337"/>
      <c r="AT40" s="337"/>
      <c r="AU40" s="337"/>
      <c r="AV40" s="338"/>
      <c r="AW40" s="336"/>
      <c r="AX40" s="337"/>
      <c r="AY40" s="337"/>
      <c r="AZ40" s="337"/>
      <c r="BA40" s="338"/>
      <c r="BB40" s="336"/>
      <c r="BC40" s="337"/>
      <c r="BD40" s="337">
        <v>23</v>
      </c>
      <c r="BE40" s="337"/>
      <c r="BF40" s="338"/>
      <c r="BG40" s="336"/>
      <c r="BH40" s="337"/>
      <c r="BI40" s="337"/>
      <c r="BJ40" s="337"/>
      <c r="BK40" s="338"/>
      <c r="BL40" s="336"/>
      <c r="BM40" s="337"/>
      <c r="BN40" s="337"/>
      <c r="BO40" s="337"/>
      <c r="BP40" s="338"/>
      <c r="BQ40" s="336"/>
      <c r="BR40" s="337"/>
      <c r="BS40" s="337"/>
      <c r="BT40" s="337"/>
      <c r="BU40" s="339"/>
      <c r="BW40" s="236" t="str">
        <f>sum_level("o",'Needs 171007_1818'!D40:BU40)</f>
        <v/>
      </c>
      <c r="BX40" s="237" t="str">
        <f>sum_level("j",'Needs 171007_1818'!D40:BU40)</f>
        <v/>
      </c>
      <c r="BY40" s="237" t="str">
        <f>sum_level("m",'Needs 171007_1818'!D40:BU40)</f>
        <v>23</v>
      </c>
      <c r="BZ40" s="237" t="str">
        <f>sum_level("s",'Needs 171007_1818'!D40:BU40)</f>
        <v/>
      </c>
      <c r="CA40" s="238" t="str">
        <f>sum_level("e",'Needs 171007_1818'!D40:BU40)</f>
        <v/>
      </c>
    </row>
    <row r="41" spans="2:79" x14ac:dyDescent="0.25">
      <c r="B41" s="435"/>
      <c r="C41" s="291" t="s">
        <v>85</v>
      </c>
      <c r="D41" s="336"/>
      <c r="E41" s="337"/>
      <c r="F41" s="337"/>
      <c r="G41" s="337"/>
      <c r="H41" s="338"/>
      <c r="I41" s="336"/>
      <c r="J41" s="337"/>
      <c r="K41" s="337"/>
      <c r="L41" s="337"/>
      <c r="M41" s="338"/>
      <c r="N41" s="336"/>
      <c r="O41" s="337"/>
      <c r="P41" s="337"/>
      <c r="Q41" s="337"/>
      <c r="R41" s="338"/>
      <c r="S41" s="336"/>
      <c r="T41" s="337"/>
      <c r="U41" s="337"/>
      <c r="V41" s="337"/>
      <c r="W41" s="338"/>
      <c r="X41" s="336"/>
      <c r="Y41" s="337"/>
      <c r="Z41" s="337"/>
      <c r="AA41" s="337"/>
      <c r="AB41" s="338"/>
      <c r="AC41" s="336"/>
      <c r="AD41" s="337"/>
      <c r="AE41" s="337"/>
      <c r="AF41" s="337"/>
      <c r="AG41" s="338"/>
      <c r="AH41" s="336"/>
      <c r="AI41" s="337"/>
      <c r="AJ41" s="337"/>
      <c r="AK41" s="337"/>
      <c r="AL41" s="338"/>
      <c r="AM41" s="336"/>
      <c r="AN41" s="337"/>
      <c r="AO41" s="337"/>
      <c r="AP41" s="337"/>
      <c r="AQ41" s="338"/>
      <c r="AR41" s="336"/>
      <c r="AS41" s="337"/>
      <c r="AT41" s="337"/>
      <c r="AU41" s="337"/>
      <c r="AV41" s="338"/>
      <c r="AW41" s="336"/>
      <c r="AX41" s="337"/>
      <c r="AY41" s="337"/>
      <c r="AZ41" s="337"/>
      <c r="BA41" s="338"/>
      <c r="BB41" s="336"/>
      <c r="BC41" s="337"/>
      <c r="BD41" s="337"/>
      <c r="BE41" s="337">
        <v>24</v>
      </c>
      <c r="BF41" s="338"/>
      <c r="BG41" s="336"/>
      <c r="BH41" s="337"/>
      <c r="BI41" s="337"/>
      <c r="BJ41" s="337"/>
      <c r="BK41" s="338"/>
      <c r="BL41" s="336"/>
      <c r="BM41" s="337"/>
      <c r="BN41" s="337"/>
      <c r="BO41" s="337"/>
      <c r="BP41" s="338"/>
      <c r="BQ41" s="336"/>
      <c r="BR41" s="337"/>
      <c r="BS41" s="337"/>
      <c r="BT41" s="337"/>
      <c r="BU41" s="339"/>
      <c r="BW41" s="236" t="str">
        <f>sum_level("o",'Needs 171007_1818'!D41:BU41)</f>
        <v/>
      </c>
      <c r="BX41" s="237" t="str">
        <f>sum_level("j",'Needs 171007_1818'!D41:BU41)</f>
        <v/>
      </c>
      <c r="BY41" s="237" t="str">
        <f>sum_level("m",'Needs 171007_1818'!D41:BU41)</f>
        <v/>
      </c>
      <c r="BZ41" s="237" t="str">
        <f>sum_level("s",'Needs 171007_1818'!D41:BU41)</f>
        <v>24</v>
      </c>
      <c r="CA41" s="238" t="str">
        <f>sum_level("e",'Needs 171007_1818'!D41:BU41)</f>
        <v/>
      </c>
    </row>
    <row r="42" spans="2:79" x14ac:dyDescent="0.25">
      <c r="B42" s="435"/>
      <c r="C42" s="291" t="s">
        <v>86</v>
      </c>
      <c r="D42" s="336"/>
      <c r="E42" s="337"/>
      <c r="F42" s="337"/>
      <c r="G42" s="337"/>
      <c r="H42" s="338"/>
      <c r="I42" s="336"/>
      <c r="J42" s="337"/>
      <c r="K42" s="337"/>
      <c r="L42" s="337"/>
      <c r="M42" s="338"/>
      <c r="N42" s="336"/>
      <c r="O42" s="337"/>
      <c r="P42" s="337"/>
      <c r="Q42" s="337"/>
      <c r="R42" s="338"/>
      <c r="S42" s="336"/>
      <c r="T42" s="337"/>
      <c r="U42" s="337"/>
      <c r="V42" s="337"/>
      <c r="W42" s="338"/>
      <c r="X42" s="336"/>
      <c r="Y42" s="337"/>
      <c r="Z42" s="337"/>
      <c r="AA42" s="337"/>
      <c r="AB42" s="338"/>
      <c r="AC42" s="336"/>
      <c r="AD42" s="337"/>
      <c r="AE42" s="337"/>
      <c r="AF42" s="337"/>
      <c r="AG42" s="338"/>
      <c r="AH42" s="336"/>
      <c r="AI42" s="337"/>
      <c r="AJ42" s="337"/>
      <c r="AK42" s="337"/>
      <c r="AL42" s="338"/>
      <c r="AM42" s="336"/>
      <c r="AN42" s="337"/>
      <c r="AO42" s="337"/>
      <c r="AP42" s="337"/>
      <c r="AQ42" s="338"/>
      <c r="AR42" s="336"/>
      <c r="AS42" s="337"/>
      <c r="AT42" s="337"/>
      <c r="AU42" s="337"/>
      <c r="AV42" s="338"/>
      <c r="AW42" s="336"/>
      <c r="AX42" s="337"/>
      <c r="AY42" s="337"/>
      <c r="AZ42" s="337"/>
      <c r="BA42" s="338"/>
      <c r="BB42" s="336"/>
      <c r="BC42" s="337"/>
      <c r="BD42" s="337"/>
      <c r="BE42" s="337"/>
      <c r="BF42" s="338">
        <v>25</v>
      </c>
      <c r="BG42" s="336"/>
      <c r="BH42" s="337"/>
      <c r="BI42" s="337"/>
      <c r="BJ42" s="337"/>
      <c r="BK42" s="338"/>
      <c r="BL42" s="336"/>
      <c r="BM42" s="337"/>
      <c r="BN42" s="337"/>
      <c r="BO42" s="337"/>
      <c r="BP42" s="338"/>
      <c r="BQ42" s="336"/>
      <c r="BR42" s="337"/>
      <c r="BS42" s="337"/>
      <c r="BT42" s="337"/>
      <c r="BU42" s="339"/>
      <c r="BW42" s="236" t="str">
        <f>sum_level("o",'Needs 171007_1818'!D42:BU42)</f>
        <v/>
      </c>
      <c r="BX42" s="237" t="str">
        <f>sum_level("j",'Needs 171007_1818'!D42:BU42)</f>
        <v/>
      </c>
      <c r="BY42" s="237" t="str">
        <f>sum_level("m",'Needs 171007_1818'!D42:BU42)</f>
        <v/>
      </c>
      <c r="BZ42" s="237" t="str">
        <f>sum_level("s",'Needs 171007_1818'!D42:BU42)</f>
        <v/>
      </c>
      <c r="CA42" s="238" t="str">
        <f>sum_level("e",'Needs 171007_1818'!D42:BU42)</f>
        <v>25</v>
      </c>
    </row>
    <row r="43" spans="2:79" x14ac:dyDescent="0.25">
      <c r="B43" s="435"/>
      <c r="C43" s="291" t="s">
        <v>87</v>
      </c>
      <c r="D43" s="336"/>
      <c r="E43" s="337"/>
      <c r="F43" s="337"/>
      <c r="G43" s="337"/>
      <c r="H43" s="338"/>
      <c r="I43" s="336"/>
      <c r="J43" s="337"/>
      <c r="K43" s="337"/>
      <c r="L43" s="337"/>
      <c r="M43" s="338"/>
      <c r="N43" s="336"/>
      <c r="O43" s="337"/>
      <c r="P43" s="337"/>
      <c r="Q43" s="337"/>
      <c r="R43" s="338"/>
      <c r="S43" s="336"/>
      <c r="T43" s="337"/>
      <c r="U43" s="337"/>
      <c r="V43" s="337"/>
      <c r="W43" s="338"/>
      <c r="X43" s="336"/>
      <c r="Y43" s="337"/>
      <c r="Z43" s="337"/>
      <c r="AA43" s="337"/>
      <c r="AB43" s="338"/>
      <c r="AC43" s="336"/>
      <c r="AD43" s="337"/>
      <c r="AE43" s="337"/>
      <c r="AF43" s="337"/>
      <c r="AG43" s="338"/>
      <c r="AH43" s="336"/>
      <c r="AI43" s="337"/>
      <c r="AJ43" s="337"/>
      <c r="AK43" s="337"/>
      <c r="AL43" s="338"/>
      <c r="AM43" s="336"/>
      <c r="AN43" s="337"/>
      <c r="AO43" s="337"/>
      <c r="AP43" s="337"/>
      <c r="AQ43" s="338"/>
      <c r="AR43" s="336"/>
      <c r="AS43" s="337"/>
      <c r="AT43" s="337"/>
      <c r="AU43" s="337"/>
      <c r="AV43" s="338"/>
      <c r="AW43" s="336"/>
      <c r="AX43" s="337"/>
      <c r="AY43" s="337"/>
      <c r="AZ43" s="337"/>
      <c r="BA43" s="338"/>
      <c r="BB43" s="336"/>
      <c r="BC43" s="337"/>
      <c r="BD43" s="337"/>
      <c r="BE43" s="337"/>
      <c r="BF43" s="338"/>
      <c r="BG43" s="336"/>
      <c r="BH43" s="337"/>
      <c r="BI43" s="337"/>
      <c r="BJ43" s="337"/>
      <c r="BK43" s="338"/>
      <c r="BL43" s="336"/>
      <c r="BM43" s="337"/>
      <c r="BN43" s="337"/>
      <c r="BO43" s="337"/>
      <c r="BP43" s="338"/>
      <c r="BQ43" s="336"/>
      <c r="BR43" s="337"/>
      <c r="BS43" s="337"/>
      <c r="BT43" s="337"/>
      <c r="BU43" s="339"/>
      <c r="BW43" s="236" t="str">
        <f>sum_level("o",'Needs 171007_1818'!D43:BU43)</f>
        <v/>
      </c>
      <c r="BX43" s="237" t="str">
        <f>sum_level("j",'Needs 171007_1818'!D43:BU43)</f>
        <v/>
      </c>
      <c r="BY43" s="237" t="str">
        <f>sum_level("m",'Needs 171007_1818'!D43:BU43)</f>
        <v/>
      </c>
      <c r="BZ43" s="237" t="str">
        <f>sum_level("s",'Needs 171007_1818'!D43:BU43)</f>
        <v/>
      </c>
      <c r="CA43" s="238" t="str">
        <f>sum_level("e",'Needs 171007_1818'!D43:BU43)</f>
        <v/>
      </c>
    </row>
    <row r="44" spans="2:79" x14ac:dyDescent="0.25">
      <c r="B44" s="435"/>
      <c r="C44" s="291" t="s">
        <v>88</v>
      </c>
      <c r="D44" s="336"/>
      <c r="E44" s="337"/>
      <c r="F44" s="337"/>
      <c r="G44" s="337"/>
      <c r="H44" s="338"/>
      <c r="I44" s="336"/>
      <c r="J44" s="337"/>
      <c r="K44" s="337"/>
      <c r="L44" s="337"/>
      <c r="M44" s="338"/>
      <c r="N44" s="336"/>
      <c r="O44" s="337"/>
      <c r="P44" s="337"/>
      <c r="Q44" s="337"/>
      <c r="R44" s="338"/>
      <c r="S44" s="336"/>
      <c r="T44" s="337"/>
      <c r="U44" s="337"/>
      <c r="V44" s="337"/>
      <c r="W44" s="338"/>
      <c r="X44" s="336"/>
      <c r="Y44" s="337"/>
      <c r="Z44" s="337"/>
      <c r="AA44" s="337"/>
      <c r="AB44" s="338"/>
      <c r="AC44" s="336"/>
      <c r="AD44" s="337"/>
      <c r="AE44" s="337"/>
      <c r="AF44" s="337"/>
      <c r="AG44" s="338"/>
      <c r="AH44" s="336"/>
      <c r="AI44" s="337"/>
      <c r="AJ44" s="337"/>
      <c r="AK44" s="337"/>
      <c r="AL44" s="338"/>
      <c r="AM44" s="336"/>
      <c r="AN44" s="337"/>
      <c r="AO44" s="337"/>
      <c r="AP44" s="337"/>
      <c r="AQ44" s="338"/>
      <c r="AR44" s="336"/>
      <c r="AS44" s="337"/>
      <c r="AT44" s="337"/>
      <c r="AU44" s="337"/>
      <c r="AV44" s="338"/>
      <c r="AW44" s="336"/>
      <c r="AX44" s="337"/>
      <c r="AY44" s="337"/>
      <c r="AZ44" s="337"/>
      <c r="BA44" s="338"/>
      <c r="BB44" s="336"/>
      <c r="BC44" s="337"/>
      <c r="BD44" s="337"/>
      <c r="BE44" s="337"/>
      <c r="BF44" s="338"/>
      <c r="BG44" s="336"/>
      <c r="BH44" s="337"/>
      <c r="BI44" s="337"/>
      <c r="BJ44" s="337"/>
      <c r="BK44" s="338"/>
      <c r="BL44" s="336"/>
      <c r="BM44" s="337"/>
      <c r="BN44" s="337"/>
      <c r="BO44" s="337"/>
      <c r="BP44" s="338"/>
      <c r="BQ44" s="336"/>
      <c r="BR44" s="337"/>
      <c r="BS44" s="337"/>
      <c r="BT44" s="337"/>
      <c r="BU44" s="339"/>
      <c r="BW44" s="236" t="str">
        <f>sum_level("o",'Needs 171007_1818'!D44:BU44)</f>
        <v/>
      </c>
      <c r="BX44" s="237" t="str">
        <f>sum_level("j",'Needs 171007_1818'!D44:BU44)</f>
        <v/>
      </c>
      <c r="BY44" s="237" t="str">
        <f>sum_level("m",'Needs 171007_1818'!D44:BU44)</f>
        <v/>
      </c>
      <c r="BZ44" s="237" t="str">
        <f>sum_level("s",'Needs 171007_1818'!D44:BU44)</f>
        <v/>
      </c>
      <c r="CA44" s="238" t="str">
        <f>sum_level("e",'Needs 171007_1818'!D44:BU44)</f>
        <v/>
      </c>
    </row>
    <row r="45" spans="2:79" x14ac:dyDescent="0.25">
      <c r="B45" s="435"/>
      <c r="C45" s="291" t="s">
        <v>89</v>
      </c>
      <c r="D45" s="336"/>
      <c r="E45" s="337"/>
      <c r="F45" s="337"/>
      <c r="G45" s="337"/>
      <c r="H45" s="338"/>
      <c r="I45" s="336"/>
      <c r="J45" s="337"/>
      <c r="K45" s="337"/>
      <c r="L45" s="337"/>
      <c r="M45" s="338"/>
      <c r="N45" s="336"/>
      <c r="O45" s="337"/>
      <c r="P45" s="337"/>
      <c r="Q45" s="337"/>
      <c r="R45" s="338"/>
      <c r="S45" s="336"/>
      <c r="T45" s="337"/>
      <c r="U45" s="337"/>
      <c r="V45" s="337"/>
      <c r="W45" s="338"/>
      <c r="X45" s="336"/>
      <c r="Y45" s="337"/>
      <c r="Z45" s="337"/>
      <c r="AA45" s="337"/>
      <c r="AB45" s="338"/>
      <c r="AC45" s="336"/>
      <c r="AD45" s="337"/>
      <c r="AE45" s="337"/>
      <c r="AF45" s="337"/>
      <c r="AG45" s="338"/>
      <c r="AH45" s="336"/>
      <c r="AI45" s="337"/>
      <c r="AJ45" s="337"/>
      <c r="AK45" s="337"/>
      <c r="AL45" s="338"/>
      <c r="AM45" s="336"/>
      <c r="AN45" s="337"/>
      <c r="AO45" s="337"/>
      <c r="AP45" s="337"/>
      <c r="AQ45" s="338"/>
      <c r="AR45" s="336"/>
      <c r="AS45" s="337"/>
      <c r="AT45" s="337"/>
      <c r="AU45" s="337"/>
      <c r="AV45" s="338"/>
      <c r="AW45" s="336"/>
      <c r="AX45" s="337"/>
      <c r="AY45" s="337"/>
      <c r="AZ45" s="337"/>
      <c r="BA45" s="338"/>
      <c r="BB45" s="336"/>
      <c r="BC45" s="337"/>
      <c r="BD45" s="337"/>
      <c r="BE45" s="337"/>
      <c r="BF45" s="338"/>
      <c r="BG45" s="336"/>
      <c r="BH45" s="337"/>
      <c r="BI45" s="337"/>
      <c r="BJ45" s="337"/>
      <c r="BK45" s="338"/>
      <c r="BL45" s="336"/>
      <c r="BM45" s="337"/>
      <c r="BN45" s="337"/>
      <c r="BO45" s="337"/>
      <c r="BP45" s="338"/>
      <c r="BQ45" s="336"/>
      <c r="BR45" s="337"/>
      <c r="BS45" s="337"/>
      <c r="BT45" s="337"/>
      <c r="BU45" s="339"/>
      <c r="BW45" s="236" t="str">
        <f>sum_level("o",'Needs 171007_1818'!D45:BU45)</f>
        <v/>
      </c>
      <c r="BX45" s="237" t="str">
        <f>sum_level("j",'Needs 171007_1818'!D45:BU45)</f>
        <v/>
      </c>
      <c r="BY45" s="237" t="str">
        <f>sum_level("m",'Needs 171007_1818'!D45:BU45)</f>
        <v/>
      </c>
      <c r="BZ45" s="237" t="str">
        <f>sum_level("s",'Needs 171007_1818'!D45:BU45)</f>
        <v/>
      </c>
      <c r="CA45" s="238" t="str">
        <f>sum_level("e",'Needs 171007_1818'!D45:BU45)</f>
        <v/>
      </c>
    </row>
    <row r="46" spans="2:79" x14ac:dyDescent="0.25">
      <c r="B46" s="435"/>
      <c r="C46" s="291" t="s">
        <v>90</v>
      </c>
      <c r="D46" s="336"/>
      <c r="E46" s="337"/>
      <c r="F46" s="337"/>
      <c r="G46" s="337"/>
      <c r="H46" s="338"/>
      <c r="I46" s="336"/>
      <c r="J46" s="337"/>
      <c r="K46" s="337"/>
      <c r="L46" s="337"/>
      <c r="M46" s="338"/>
      <c r="N46" s="336"/>
      <c r="O46" s="337"/>
      <c r="P46" s="337"/>
      <c r="Q46" s="337"/>
      <c r="R46" s="338"/>
      <c r="S46" s="336"/>
      <c r="T46" s="337"/>
      <c r="U46" s="337"/>
      <c r="V46" s="337"/>
      <c r="W46" s="338"/>
      <c r="X46" s="336"/>
      <c r="Y46" s="337"/>
      <c r="Z46" s="337"/>
      <c r="AA46" s="337"/>
      <c r="AB46" s="338"/>
      <c r="AC46" s="336"/>
      <c r="AD46" s="337"/>
      <c r="AE46" s="337"/>
      <c r="AF46" s="337"/>
      <c r="AG46" s="338"/>
      <c r="AH46" s="336"/>
      <c r="AI46" s="337"/>
      <c r="AJ46" s="337"/>
      <c r="AK46" s="337"/>
      <c r="AL46" s="338"/>
      <c r="AM46" s="336"/>
      <c r="AN46" s="337"/>
      <c r="AO46" s="337"/>
      <c r="AP46" s="337"/>
      <c r="AQ46" s="338"/>
      <c r="AR46" s="336"/>
      <c r="AS46" s="337"/>
      <c r="AT46" s="337"/>
      <c r="AU46" s="337"/>
      <c r="AV46" s="338"/>
      <c r="AW46" s="336"/>
      <c r="AX46" s="337"/>
      <c r="AY46" s="337"/>
      <c r="AZ46" s="337"/>
      <c r="BA46" s="338"/>
      <c r="BB46" s="336"/>
      <c r="BC46" s="337"/>
      <c r="BD46" s="337"/>
      <c r="BE46" s="337"/>
      <c r="BF46" s="338"/>
      <c r="BG46" s="336"/>
      <c r="BH46" s="337"/>
      <c r="BI46" s="337"/>
      <c r="BJ46" s="337"/>
      <c r="BK46" s="338"/>
      <c r="BL46" s="336"/>
      <c r="BM46" s="337"/>
      <c r="BN46" s="337"/>
      <c r="BO46" s="337"/>
      <c r="BP46" s="338"/>
      <c r="BQ46" s="336"/>
      <c r="BR46" s="337"/>
      <c r="BS46" s="337"/>
      <c r="BT46" s="337"/>
      <c r="BU46" s="339"/>
      <c r="BW46" s="236" t="str">
        <f>sum_level("o",'Needs 171007_1818'!D46:BU46)</f>
        <v/>
      </c>
      <c r="BX46" s="237" t="str">
        <f>sum_level("j",'Needs 171007_1818'!D46:BU46)</f>
        <v/>
      </c>
      <c r="BY46" s="237" t="str">
        <f>sum_level("m",'Needs 171007_1818'!D46:BU46)</f>
        <v/>
      </c>
      <c r="BZ46" s="237" t="str">
        <f>sum_level("s",'Needs 171007_1818'!D46:BU46)</f>
        <v/>
      </c>
      <c r="CA46" s="238" t="str">
        <f>sum_level("e",'Needs 171007_1818'!D46:BU46)</f>
        <v/>
      </c>
    </row>
    <row r="47" spans="2:79" x14ac:dyDescent="0.25">
      <c r="B47" s="435"/>
      <c r="C47" s="291" t="s">
        <v>91</v>
      </c>
      <c r="D47" s="336"/>
      <c r="E47" s="337"/>
      <c r="F47" s="337"/>
      <c r="G47" s="337"/>
      <c r="H47" s="338"/>
      <c r="I47" s="336"/>
      <c r="J47" s="337"/>
      <c r="K47" s="337"/>
      <c r="L47" s="337"/>
      <c r="M47" s="338"/>
      <c r="N47" s="336"/>
      <c r="O47" s="337"/>
      <c r="P47" s="337"/>
      <c r="Q47" s="337"/>
      <c r="R47" s="338"/>
      <c r="S47" s="336"/>
      <c r="T47" s="337"/>
      <c r="U47" s="337"/>
      <c r="V47" s="337"/>
      <c r="W47" s="338"/>
      <c r="X47" s="336"/>
      <c r="Y47" s="337"/>
      <c r="Z47" s="337"/>
      <c r="AA47" s="337"/>
      <c r="AB47" s="338"/>
      <c r="AC47" s="336"/>
      <c r="AD47" s="337"/>
      <c r="AE47" s="337"/>
      <c r="AF47" s="337"/>
      <c r="AG47" s="338"/>
      <c r="AH47" s="336"/>
      <c r="AI47" s="337"/>
      <c r="AJ47" s="337"/>
      <c r="AK47" s="337"/>
      <c r="AL47" s="338"/>
      <c r="AM47" s="336"/>
      <c r="AN47" s="337"/>
      <c r="AO47" s="337"/>
      <c r="AP47" s="337"/>
      <c r="AQ47" s="338"/>
      <c r="AR47" s="336"/>
      <c r="AS47" s="337"/>
      <c r="AT47" s="337"/>
      <c r="AU47" s="337"/>
      <c r="AV47" s="338"/>
      <c r="AW47" s="336"/>
      <c r="AX47" s="337"/>
      <c r="AY47" s="337"/>
      <c r="AZ47" s="337"/>
      <c r="BA47" s="338"/>
      <c r="BB47" s="336"/>
      <c r="BC47" s="337"/>
      <c r="BD47" s="337"/>
      <c r="BE47" s="337"/>
      <c r="BF47" s="338"/>
      <c r="BG47" s="336"/>
      <c r="BH47" s="337"/>
      <c r="BI47" s="337"/>
      <c r="BJ47" s="337"/>
      <c r="BK47" s="338"/>
      <c r="BL47" s="336"/>
      <c r="BM47" s="337"/>
      <c r="BN47" s="337"/>
      <c r="BO47" s="337"/>
      <c r="BP47" s="338"/>
      <c r="BQ47" s="336"/>
      <c r="BR47" s="337"/>
      <c r="BS47" s="337"/>
      <c r="BT47" s="337"/>
      <c r="BU47" s="339"/>
      <c r="BW47" s="236" t="str">
        <f>sum_level("o",'Needs 171007_1818'!D47:BU47)</f>
        <v/>
      </c>
      <c r="BX47" s="237" t="str">
        <f>sum_level("j",'Needs 171007_1818'!D47:BU47)</f>
        <v/>
      </c>
      <c r="BY47" s="237" t="str">
        <f>sum_level("m",'Needs 171007_1818'!D47:BU47)</f>
        <v/>
      </c>
      <c r="BZ47" s="237" t="str">
        <f>sum_level("s",'Needs 171007_1818'!D47:BU47)</f>
        <v/>
      </c>
      <c r="CA47" s="238" t="str">
        <f>sum_level("e",'Needs 171007_1818'!D47:BU47)</f>
        <v/>
      </c>
    </row>
    <row r="48" spans="2:79" x14ac:dyDescent="0.25">
      <c r="B48" s="435"/>
      <c r="C48" s="291" t="s">
        <v>226</v>
      </c>
      <c r="D48" s="336"/>
      <c r="E48" s="337"/>
      <c r="F48" s="337"/>
      <c r="G48" s="337"/>
      <c r="H48" s="338"/>
      <c r="I48" s="336"/>
      <c r="J48" s="337"/>
      <c r="K48" s="337"/>
      <c r="L48" s="337"/>
      <c r="M48" s="338"/>
      <c r="N48" s="336"/>
      <c r="O48" s="337"/>
      <c r="P48" s="337"/>
      <c r="Q48" s="337"/>
      <c r="R48" s="338"/>
      <c r="S48" s="336"/>
      <c r="T48" s="337"/>
      <c r="U48" s="337"/>
      <c r="V48" s="337"/>
      <c r="W48" s="338"/>
      <c r="X48" s="336"/>
      <c r="Y48" s="337"/>
      <c r="Z48" s="337"/>
      <c r="AA48" s="337"/>
      <c r="AB48" s="338"/>
      <c r="AC48" s="336"/>
      <c r="AD48" s="337"/>
      <c r="AE48" s="337"/>
      <c r="AF48" s="337"/>
      <c r="AG48" s="338"/>
      <c r="AH48" s="336"/>
      <c r="AI48" s="337"/>
      <c r="AJ48" s="337"/>
      <c r="AK48" s="337"/>
      <c r="AL48" s="338"/>
      <c r="AM48" s="336"/>
      <c r="AN48" s="337"/>
      <c r="AO48" s="337"/>
      <c r="AP48" s="337"/>
      <c r="AQ48" s="338"/>
      <c r="AR48" s="336"/>
      <c r="AS48" s="337"/>
      <c r="AT48" s="337"/>
      <c r="AU48" s="337"/>
      <c r="AV48" s="338"/>
      <c r="AW48" s="336"/>
      <c r="AX48" s="337"/>
      <c r="AY48" s="337"/>
      <c r="AZ48" s="337"/>
      <c r="BA48" s="338"/>
      <c r="BB48" s="336"/>
      <c r="BC48" s="337"/>
      <c r="BD48" s="337"/>
      <c r="BE48" s="337"/>
      <c r="BF48" s="338"/>
      <c r="BG48" s="336"/>
      <c r="BH48" s="337"/>
      <c r="BI48" s="337"/>
      <c r="BJ48" s="337"/>
      <c r="BK48" s="338"/>
      <c r="BL48" s="336"/>
      <c r="BM48" s="337"/>
      <c r="BN48" s="337"/>
      <c r="BO48" s="337"/>
      <c r="BP48" s="338"/>
      <c r="BQ48" s="336"/>
      <c r="BR48" s="337"/>
      <c r="BS48" s="337"/>
      <c r="BT48" s="337"/>
      <c r="BU48" s="339"/>
      <c r="BW48" s="236" t="str">
        <f>sum_level("o",'Needs 171007_1818'!D48:BU48)</f>
        <v/>
      </c>
      <c r="BX48" s="237" t="str">
        <f>sum_level("j",'Needs 171007_1818'!D48:BU48)</f>
        <v/>
      </c>
      <c r="BY48" s="237" t="str">
        <f>sum_level("m",'Needs 171007_1818'!D48:BU48)</f>
        <v/>
      </c>
      <c r="BZ48" s="237" t="str">
        <f>sum_level("s",'Needs 171007_1818'!D48:BU48)</f>
        <v/>
      </c>
      <c r="CA48" s="238" t="str">
        <f>sum_level("e",'Needs 171007_1818'!D48:BU48)</f>
        <v/>
      </c>
    </row>
    <row r="49" spans="2:79" ht="15.75" thickBot="1" x14ac:dyDescent="0.3">
      <c r="B49" s="435"/>
      <c r="C49" s="292" t="s">
        <v>227</v>
      </c>
      <c r="D49" s="340"/>
      <c r="E49" s="341"/>
      <c r="F49" s="341"/>
      <c r="G49" s="341"/>
      <c r="H49" s="342"/>
      <c r="I49" s="340"/>
      <c r="J49" s="341"/>
      <c r="K49" s="341"/>
      <c r="L49" s="341"/>
      <c r="M49" s="342"/>
      <c r="N49" s="340"/>
      <c r="O49" s="341"/>
      <c r="P49" s="341"/>
      <c r="Q49" s="341"/>
      <c r="R49" s="342"/>
      <c r="S49" s="340"/>
      <c r="T49" s="341"/>
      <c r="U49" s="341"/>
      <c r="V49" s="341"/>
      <c r="W49" s="342"/>
      <c r="X49" s="340"/>
      <c r="Y49" s="341"/>
      <c r="Z49" s="341"/>
      <c r="AA49" s="341"/>
      <c r="AB49" s="342"/>
      <c r="AC49" s="340"/>
      <c r="AD49" s="341"/>
      <c r="AE49" s="341"/>
      <c r="AF49" s="341"/>
      <c r="AG49" s="342"/>
      <c r="AH49" s="340"/>
      <c r="AI49" s="341"/>
      <c r="AJ49" s="341"/>
      <c r="AK49" s="341"/>
      <c r="AL49" s="342"/>
      <c r="AM49" s="340"/>
      <c r="AN49" s="341"/>
      <c r="AO49" s="341"/>
      <c r="AP49" s="341"/>
      <c r="AQ49" s="342"/>
      <c r="AR49" s="340"/>
      <c r="AS49" s="341"/>
      <c r="AT49" s="341"/>
      <c r="AU49" s="341"/>
      <c r="AV49" s="342"/>
      <c r="AW49" s="340"/>
      <c r="AX49" s="341"/>
      <c r="AY49" s="341"/>
      <c r="AZ49" s="341"/>
      <c r="BA49" s="342"/>
      <c r="BB49" s="340"/>
      <c r="BC49" s="341"/>
      <c r="BD49" s="341"/>
      <c r="BE49" s="341"/>
      <c r="BF49" s="342"/>
      <c r="BG49" s="340"/>
      <c r="BH49" s="341"/>
      <c r="BI49" s="341"/>
      <c r="BJ49" s="341"/>
      <c r="BK49" s="342"/>
      <c r="BL49" s="340"/>
      <c r="BM49" s="341"/>
      <c r="BN49" s="341"/>
      <c r="BO49" s="341"/>
      <c r="BP49" s="342"/>
      <c r="BQ49" s="340"/>
      <c r="BR49" s="341"/>
      <c r="BS49" s="341"/>
      <c r="BT49" s="341"/>
      <c r="BU49" s="343"/>
      <c r="BW49" s="239" t="str">
        <f>sum_level("o",'Needs 171007_1818'!D49:BU49)</f>
        <v/>
      </c>
      <c r="BX49" s="240" t="str">
        <f>sum_level("j",'Needs 171007_1818'!D49:BU49)</f>
        <v/>
      </c>
      <c r="BY49" s="240" t="str">
        <f>sum_level("m",'Needs 171007_1818'!D49:BU49)</f>
        <v/>
      </c>
      <c r="BZ49" s="240" t="str">
        <f>sum_level("s",'Needs 171007_1818'!D49:BU49)</f>
        <v/>
      </c>
      <c r="CA49" s="241" t="str">
        <f>sum_level("e",'Needs 171007_1818'!D49:BU49)</f>
        <v/>
      </c>
    </row>
    <row r="50" spans="2:79" ht="12.75" customHeight="1" thickTop="1" thickBot="1" x14ac:dyDescent="0.3">
      <c r="B50" s="436"/>
      <c r="C50" s="248"/>
      <c r="D50" s="344"/>
      <c r="E50" s="344"/>
      <c r="F50" s="344"/>
      <c r="G50" s="344"/>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c r="BH50" s="344"/>
      <c r="BI50" s="344"/>
      <c r="BJ50" s="344"/>
      <c r="BK50" s="344"/>
      <c r="BL50" s="344"/>
      <c r="BM50" s="344"/>
      <c r="BN50" s="344"/>
      <c r="BO50" s="344"/>
      <c r="BP50" s="344"/>
      <c r="BQ50" s="344"/>
      <c r="BR50" s="344"/>
      <c r="BS50" s="344"/>
      <c r="BT50" s="344"/>
      <c r="BU50" s="344"/>
      <c r="BW50" s="249"/>
      <c r="BX50" s="249"/>
      <c r="BY50" s="249"/>
      <c r="BZ50" s="249"/>
      <c r="CA50" s="249"/>
    </row>
    <row r="51" spans="2:79" ht="15.75" thickTop="1" x14ac:dyDescent="0.25">
      <c r="B51" s="434" t="s">
        <v>122</v>
      </c>
      <c r="C51" s="290" t="s">
        <v>92</v>
      </c>
      <c r="D51" s="332"/>
      <c r="E51" s="333"/>
      <c r="F51" s="333"/>
      <c r="G51" s="333"/>
      <c r="H51" s="334"/>
      <c r="I51" s="332"/>
      <c r="J51" s="333"/>
      <c r="K51" s="333"/>
      <c r="L51" s="333"/>
      <c r="M51" s="334"/>
      <c r="N51" s="332"/>
      <c r="O51" s="333"/>
      <c r="P51" s="333"/>
      <c r="Q51" s="333"/>
      <c r="R51" s="334"/>
      <c r="S51" s="332"/>
      <c r="T51" s="333"/>
      <c r="U51" s="333"/>
      <c r="V51" s="333"/>
      <c r="W51" s="334"/>
      <c r="X51" s="332"/>
      <c r="Y51" s="333"/>
      <c r="Z51" s="333"/>
      <c r="AA51" s="333"/>
      <c r="AB51" s="334"/>
      <c r="AC51" s="332"/>
      <c r="AD51" s="333"/>
      <c r="AE51" s="333"/>
      <c r="AF51" s="333"/>
      <c r="AG51" s="334"/>
      <c r="AH51" s="332"/>
      <c r="AI51" s="333"/>
      <c r="AJ51" s="333"/>
      <c r="AK51" s="333"/>
      <c r="AL51" s="334"/>
      <c r="AM51" s="332"/>
      <c r="AN51" s="333"/>
      <c r="AO51" s="333"/>
      <c r="AP51" s="333"/>
      <c r="AQ51" s="334"/>
      <c r="AR51" s="332"/>
      <c r="AS51" s="333"/>
      <c r="AT51" s="333"/>
      <c r="AU51" s="333"/>
      <c r="AV51" s="334"/>
      <c r="AW51" s="332"/>
      <c r="AX51" s="333"/>
      <c r="AY51" s="333"/>
      <c r="AZ51" s="333"/>
      <c r="BA51" s="334"/>
      <c r="BB51" s="332"/>
      <c r="BC51" s="333"/>
      <c r="BD51" s="333"/>
      <c r="BE51" s="333"/>
      <c r="BF51" s="334"/>
      <c r="BG51" s="332">
        <v>26</v>
      </c>
      <c r="BH51" s="333"/>
      <c r="BI51" s="333"/>
      <c r="BJ51" s="333"/>
      <c r="BK51" s="334"/>
      <c r="BL51" s="332"/>
      <c r="BM51" s="333"/>
      <c r="BN51" s="333"/>
      <c r="BO51" s="333"/>
      <c r="BP51" s="334"/>
      <c r="BQ51" s="332"/>
      <c r="BR51" s="333"/>
      <c r="BS51" s="333"/>
      <c r="BT51" s="333"/>
      <c r="BU51" s="335"/>
      <c r="BW51" s="233" t="str">
        <f>sum_level("o",'Needs 171007_1818'!D51:BU51)</f>
        <v>26</v>
      </c>
      <c r="BX51" s="234" t="str">
        <f>sum_level("j",'Needs 171007_1818'!D51:BU51)</f>
        <v/>
      </c>
      <c r="BY51" s="234" t="str">
        <f>sum_level("m",'Needs 171007_1818'!D51:BU51)</f>
        <v/>
      </c>
      <c r="BZ51" s="234" t="str">
        <f>sum_level("s",'Needs 171007_1818'!D51:BU51)</f>
        <v/>
      </c>
      <c r="CA51" s="235" t="str">
        <f>sum_level("e",'Needs 171007_1818'!D51:BU51)</f>
        <v/>
      </c>
    </row>
    <row r="52" spans="2:79" x14ac:dyDescent="0.25">
      <c r="B52" s="435"/>
      <c r="C52" s="291" t="s">
        <v>93</v>
      </c>
      <c r="D52" s="336"/>
      <c r="E52" s="337"/>
      <c r="F52" s="337"/>
      <c r="G52" s="337"/>
      <c r="H52" s="338"/>
      <c r="I52" s="336"/>
      <c r="J52" s="337"/>
      <c r="K52" s="337"/>
      <c r="L52" s="337"/>
      <c r="M52" s="338"/>
      <c r="N52" s="336"/>
      <c r="O52" s="337"/>
      <c r="P52" s="337"/>
      <c r="Q52" s="337"/>
      <c r="R52" s="338"/>
      <c r="S52" s="336"/>
      <c r="T52" s="337"/>
      <c r="U52" s="337"/>
      <c r="V52" s="337"/>
      <c r="W52" s="338"/>
      <c r="X52" s="336"/>
      <c r="Y52" s="337"/>
      <c r="Z52" s="337"/>
      <c r="AA52" s="337"/>
      <c r="AB52" s="338"/>
      <c r="AC52" s="336"/>
      <c r="AD52" s="337"/>
      <c r="AE52" s="337"/>
      <c r="AF52" s="337"/>
      <c r="AG52" s="338"/>
      <c r="AH52" s="336"/>
      <c r="AI52" s="337"/>
      <c r="AJ52" s="337"/>
      <c r="AK52" s="337"/>
      <c r="AL52" s="338"/>
      <c r="AM52" s="336"/>
      <c r="AN52" s="337"/>
      <c r="AO52" s="337"/>
      <c r="AP52" s="337"/>
      <c r="AQ52" s="338"/>
      <c r="AR52" s="336"/>
      <c r="AS52" s="337"/>
      <c r="AT52" s="337"/>
      <c r="AU52" s="337"/>
      <c r="AV52" s="338"/>
      <c r="AW52" s="336"/>
      <c r="AX52" s="337"/>
      <c r="AY52" s="337"/>
      <c r="AZ52" s="337"/>
      <c r="BA52" s="338"/>
      <c r="BB52" s="336"/>
      <c r="BC52" s="337"/>
      <c r="BD52" s="337"/>
      <c r="BE52" s="337"/>
      <c r="BF52" s="338"/>
      <c r="BG52" s="336"/>
      <c r="BH52" s="337">
        <v>27</v>
      </c>
      <c r="BI52" s="337"/>
      <c r="BJ52" s="337"/>
      <c r="BK52" s="338"/>
      <c r="BL52" s="336"/>
      <c r="BM52" s="337"/>
      <c r="BN52" s="337"/>
      <c r="BO52" s="337"/>
      <c r="BP52" s="338"/>
      <c r="BQ52" s="336"/>
      <c r="BR52" s="337"/>
      <c r="BS52" s="337"/>
      <c r="BT52" s="337"/>
      <c r="BU52" s="339"/>
      <c r="BW52" s="236" t="str">
        <f>sum_level("o",'Needs 171007_1818'!D52:BU52)</f>
        <v/>
      </c>
      <c r="BX52" s="237" t="str">
        <f>sum_level("j",'Needs 171007_1818'!D52:BU52)</f>
        <v>27</v>
      </c>
      <c r="BY52" s="237" t="str">
        <f>sum_level("m",'Needs 171007_1818'!D52:BU52)</f>
        <v/>
      </c>
      <c r="BZ52" s="237" t="str">
        <f>sum_level("s",'Needs 171007_1818'!D52:BU52)</f>
        <v/>
      </c>
      <c r="CA52" s="238" t="str">
        <f>sum_level("e",'Needs 171007_1818'!D52:BU52)</f>
        <v/>
      </c>
    </row>
    <row r="53" spans="2:79" x14ac:dyDescent="0.25">
      <c r="B53" s="435"/>
      <c r="C53" s="291" t="s">
        <v>94</v>
      </c>
      <c r="D53" s="336"/>
      <c r="E53" s="337"/>
      <c r="F53" s="337"/>
      <c r="G53" s="337"/>
      <c r="H53" s="338"/>
      <c r="I53" s="336"/>
      <c r="J53" s="337"/>
      <c r="K53" s="337"/>
      <c r="L53" s="337"/>
      <c r="M53" s="338"/>
      <c r="N53" s="336"/>
      <c r="O53" s="337"/>
      <c r="P53" s="337"/>
      <c r="Q53" s="337"/>
      <c r="R53" s="338"/>
      <c r="S53" s="336"/>
      <c r="T53" s="337"/>
      <c r="U53" s="337"/>
      <c r="V53" s="337"/>
      <c r="W53" s="338"/>
      <c r="X53" s="336"/>
      <c r="Y53" s="337"/>
      <c r="Z53" s="337"/>
      <c r="AA53" s="337"/>
      <c r="AB53" s="338"/>
      <c r="AC53" s="336"/>
      <c r="AD53" s="337"/>
      <c r="AE53" s="337"/>
      <c r="AF53" s="337"/>
      <c r="AG53" s="338"/>
      <c r="AH53" s="336"/>
      <c r="AI53" s="337"/>
      <c r="AJ53" s="337"/>
      <c r="AK53" s="337"/>
      <c r="AL53" s="338"/>
      <c r="AM53" s="336"/>
      <c r="AN53" s="337"/>
      <c r="AO53" s="337"/>
      <c r="AP53" s="337"/>
      <c r="AQ53" s="338"/>
      <c r="AR53" s="336"/>
      <c r="AS53" s="337"/>
      <c r="AT53" s="337"/>
      <c r="AU53" s="337"/>
      <c r="AV53" s="338"/>
      <c r="AW53" s="336"/>
      <c r="AX53" s="337"/>
      <c r="AY53" s="337"/>
      <c r="AZ53" s="337"/>
      <c r="BA53" s="338"/>
      <c r="BB53" s="336"/>
      <c r="BC53" s="337"/>
      <c r="BD53" s="337"/>
      <c r="BE53" s="337"/>
      <c r="BF53" s="338"/>
      <c r="BG53" s="336"/>
      <c r="BH53" s="337"/>
      <c r="BI53" s="337">
        <v>28</v>
      </c>
      <c r="BJ53" s="337"/>
      <c r="BK53" s="338"/>
      <c r="BL53" s="336"/>
      <c r="BM53" s="337"/>
      <c r="BN53" s="337"/>
      <c r="BO53" s="337"/>
      <c r="BP53" s="338"/>
      <c r="BQ53" s="336"/>
      <c r="BR53" s="337"/>
      <c r="BS53" s="337"/>
      <c r="BT53" s="337"/>
      <c r="BU53" s="339"/>
      <c r="BW53" s="236" t="str">
        <f>sum_level("o",'Needs 171007_1818'!D53:BU53)</f>
        <v/>
      </c>
      <c r="BX53" s="237" t="str">
        <f>sum_level("j",'Needs 171007_1818'!D53:BU53)</f>
        <v/>
      </c>
      <c r="BY53" s="237" t="str">
        <f>sum_level("m",'Needs 171007_1818'!D53:BU53)</f>
        <v>28</v>
      </c>
      <c r="BZ53" s="237" t="str">
        <f>sum_level("s",'Needs 171007_1818'!D53:BU53)</f>
        <v/>
      </c>
      <c r="CA53" s="238" t="str">
        <f>sum_level("e",'Needs 171007_1818'!D53:BU53)</f>
        <v/>
      </c>
    </row>
    <row r="54" spans="2:79" x14ac:dyDescent="0.25">
      <c r="B54" s="435"/>
      <c r="C54" s="291" t="s">
        <v>95</v>
      </c>
      <c r="D54" s="336"/>
      <c r="E54" s="337"/>
      <c r="F54" s="337"/>
      <c r="G54" s="337"/>
      <c r="H54" s="338"/>
      <c r="I54" s="336"/>
      <c r="J54" s="337"/>
      <c r="K54" s="337"/>
      <c r="L54" s="337"/>
      <c r="M54" s="338"/>
      <c r="N54" s="336"/>
      <c r="O54" s="337"/>
      <c r="P54" s="337"/>
      <c r="Q54" s="337"/>
      <c r="R54" s="338"/>
      <c r="S54" s="336"/>
      <c r="T54" s="337"/>
      <c r="U54" s="337"/>
      <c r="V54" s="337"/>
      <c r="W54" s="338"/>
      <c r="X54" s="336"/>
      <c r="Y54" s="337"/>
      <c r="Z54" s="337"/>
      <c r="AA54" s="337"/>
      <c r="AB54" s="338"/>
      <c r="AC54" s="336"/>
      <c r="AD54" s="337"/>
      <c r="AE54" s="337"/>
      <c r="AF54" s="337"/>
      <c r="AG54" s="338"/>
      <c r="AH54" s="336"/>
      <c r="AI54" s="337"/>
      <c r="AJ54" s="337"/>
      <c r="AK54" s="337"/>
      <c r="AL54" s="338"/>
      <c r="AM54" s="336"/>
      <c r="AN54" s="337"/>
      <c r="AO54" s="337"/>
      <c r="AP54" s="337"/>
      <c r="AQ54" s="338"/>
      <c r="AR54" s="336"/>
      <c r="AS54" s="337"/>
      <c r="AT54" s="337"/>
      <c r="AU54" s="337"/>
      <c r="AV54" s="338"/>
      <c r="AW54" s="336"/>
      <c r="AX54" s="337"/>
      <c r="AY54" s="337"/>
      <c r="AZ54" s="337"/>
      <c r="BA54" s="338"/>
      <c r="BB54" s="336"/>
      <c r="BC54" s="337"/>
      <c r="BD54" s="337"/>
      <c r="BE54" s="337"/>
      <c r="BF54" s="338"/>
      <c r="BG54" s="336"/>
      <c r="BH54" s="337"/>
      <c r="BI54" s="337"/>
      <c r="BJ54" s="337">
        <v>29</v>
      </c>
      <c r="BK54" s="338"/>
      <c r="BL54" s="336"/>
      <c r="BM54" s="337"/>
      <c r="BN54" s="337"/>
      <c r="BO54" s="337"/>
      <c r="BP54" s="338"/>
      <c r="BQ54" s="336"/>
      <c r="BR54" s="337"/>
      <c r="BS54" s="337"/>
      <c r="BT54" s="337"/>
      <c r="BU54" s="339"/>
      <c r="BW54" s="236" t="str">
        <f>sum_level("o",'Needs 171007_1818'!D54:BU54)</f>
        <v/>
      </c>
      <c r="BX54" s="237" t="str">
        <f>sum_level("j",'Needs 171007_1818'!D54:BU54)</f>
        <v/>
      </c>
      <c r="BY54" s="237" t="str">
        <f>sum_level("m",'Needs 171007_1818'!D54:BU54)</f>
        <v/>
      </c>
      <c r="BZ54" s="237" t="str">
        <f>sum_level("s",'Needs 171007_1818'!D54:BU54)</f>
        <v>29</v>
      </c>
      <c r="CA54" s="238" t="str">
        <f>sum_level("e",'Needs 171007_1818'!D54:BU54)</f>
        <v/>
      </c>
    </row>
    <row r="55" spans="2:79" x14ac:dyDescent="0.25">
      <c r="B55" s="435"/>
      <c r="C55" s="291" t="s">
        <v>96</v>
      </c>
      <c r="D55" s="336"/>
      <c r="E55" s="337"/>
      <c r="F55" s="337"/>
      <c r="G55" s="337"/>
      <c r="H55" s="338"/>
      <c r="I55" s="336"/>
      <c r="J55" s="337"/>
      <c r="K55" s="337"/>
      <c r="L55" s="337"/>
      <c r="M55" s="338"/>
      <c r="N55" s="336"/>
      <c r="O55" s="337"/>
      <c r="P55" s="337"/>
      <c r="Q55" s="337"/>
      <c r="R55" s="338"/>
      <c r="S55" s="336"/>
      <c r="T55" s="337"/>
      <c r="U55" s="337"/>
      <c r="V55" s="337"/>
      <c r="W55" s="338"/>
      <c r="X55" s="336"/>
      <c r="Y55" s="337"/>
      <c r="Z55" s="337"/>
      <c r="AA55" s="337"/>
      <c r="AB55" s="338"/>
      <c r="AC55" s="336"/>
      <c r="AD55" s="337"/>
      <c r="AE55" s="337"/>
      <c r="AF55" s="337"/>
      <c r="AG55" s="338"/>
      <c r="AH55" s="336"/>
      <c r="AI55" s="337"/>
      <c r="AJ55" s="337"/>
      <c r="AK55" s="337"/>
      <c r="AL55" s="338"/>
      <c r="AM55" s="336"/>
      <c r="AN55" s="337"/>
      <c r="AO55" s="337"/>
      <c r="AP55" s="337"/>
      <c r="AQ55" s="338"/>
      <c r="AR55" s="336"/>
      <c r="AS55" s="337"/>
      <c r="AT55" s="337"/>
      <c r="AU55" s="337"/>
      <c r="AV55" s="338"/>
      <c r="AW55" s="336"/>
      <c r="AX55" s="337"/>
      <c r="AY55" s="337"/>
      <c r="AZ55" s="337"/>
      <c r="BA55" s="338"/>
      <c r="BB55" s="336"/>
      <c r="BC55" s="337"/>
      <c r="BD55" s="337"/>
      <c r="BE55" s="337"/>
      <c r="BF55" s="338"/>
      <c r="BG55" s="336"/>
      <c r="BH55" s="337"/>
      <c r="BI55" s="337"/>
      <c r="BJ55" s="337"/>
      <c r="BK55" s="338">
        <v>30</v>
      </c>
      <c r="BL55" s="336"/>
      <c r="BM55" s="337"/>
      <c r="BN55" s="337"/>
      <c r="BO55" s="337"/>
      <c r="BP55" s="338"/>
      <c r="BQ55" s="336"/>
      <c r="BR55" s="337"/>
      <c r="BS55" s="337"/>
      <c r="BT55" s="337"/>
      <c r="BU55" s="339"/>
      <c r="BW55" s="236" t="str">
        <f>sum_level("o",'Needs 171007_1818'!D55:BU55)</f>
        <v/>
      </c>
      <c r="BX55" s="237" t="str">
        <f>sum_level("j",'Needs 171007_1818'!D55:BU55)</f>
        <v/>
      </c>
      <c r="BY55" s="237" t="str">
        <f>sum_level("m",'Needs 171007_1818'!D55:BU55)</f>
        <v/>
      </c>
      <c r="BZ55" s="237" t="str">
        <f>sum_level("s",'Needs 171007_1818'!D55:BU55)</f>
        <v/>
      </c>
      <c r="CA55" s="238" t="str">
        <f>sum_level("e",'Needs 171007_1818'!D55:BU55)</f>
        <v>30</v>
      </c>
    </row>
    <row r="56" spans="2:79" x14ac:dyDescent="0.25">
      <c r="B56" s="435"/>
      <c r="C56" s="291" t="s">
        <v>97</v>
      </c>
      <c r="D56" s="336"/>
      <c r="E56" s="337"/>
      <c r="F56" s="337"/>
      <c r="G56" s="337"/>
      <c r="H56" s="338"/>
      <c r="I56" s="336"/>
      <c r="J56" s="337"/>
      <c r="K56" s="337"/>
      <c r="L56" s="337"/>
      <c r="M56" s="338"/>
      <c r="N56" s="336"/>
      <c r="O56" s="337"/>
      <c r="P56" s="337"/>
      <c r="Q56" s="337"/>
      <c r="R56" s="338"/>
      <c r="S56" s="336"/>
      <c r="T56" s="337"/>
      <c r="U56" s="337"/>
      <c r="V56" s="337"/>
      <c r="W56" s="338"/>
      <c r="X56" s="336"/>
      <c r="Y56" s="337"/>
      <c r="Z56" s="337"/>
      <c r="AA56" s="337"/>
      <c r="AB56" s="338"/>
      <c r="AC56" s="336"/>
      <c r="AD56" s="337"/>
      <c r="AE56" s="337"/>
      <c r="AF56" s="337"/>
      <c r="AG56" s="338"/>
      <c r="AH56" s="336"/>
      <c r="AI56" s="337"/>
      <c r="AJ56" s="337"/>
      <c r="AK56" s="337"/>
      <c r="AL56" s="338"/>
      <c r="AM56" s="336"/>
      <c r="AN56" s="337"/>
      <c r="AO56" s="337"/>
      <c r="AP56" s="337"/>
      <c r="AQ56" s="338"/>
      <c r="AR56" s="336"/>
      <c r="AS56" s="337"/>
      <c r="AT56" s="337"/>
      <c r="AU56" s="337"/>
      <c r="AV56" s="338"/>
      <c r="AW56" s="336"/>
      <c r="AX56" s="337"/>
      <c r="AY56" s="337"/>
      <c r="AZ56" s="337"/>
      <c r="BA56" s="338"/>
      <c r="BB56" s="336"/>
      <c r="BC56" s="337"/>
      <c r="BD56" s="337"/>
      <c r="BE56" s="337"/>
      <c r="BF56" s="338"/>
      <c r="BG56" s="336"/>
      <c r="BH56" s="337"/>
      <c r="BI56" s="337"/>
      <c r="BJ56" s="337"/>
      <c r="BK56" s="338"/>
      <c r="BL56" s="336"/>
      <c r="BM56" s="337"/>
      <c r="BN56" s="337"/>
      <c r="BO56" s="337"/>
      <c r="BP56" s="338"/>
      <c r="BQ56" s="336"/>
      <c r="BR56" s="337"/>
      <c r="BS56" s="337"/>
      <c r="BT56" s="337"/>
      <c r="BU56" s="339"/>
      <c r="BW56" s="236" t="str">
        <f>sum_level("o",'Needs 171007_1818'!D56:BU56)</f>
        <v/>
      </c>
      <c r="BX56" s="237" t="str">
        <f>sum_level("j",'Needs 171007_1818'!D56:BU56)</f>
        <v/>
      </c>
      <c r="BY56" s="237" t="str">
        <f>sum_level("m",'Needs 171007_1818'!D56:BU56)</f>
        <v/>
      </c>
      <c r="BZ56" s="237" t="str">
        <f>sum_level("s",'Needs 171007_1818'!D56:BU56)</f>
        <v/>
      </c>
      <c r="CA56" s="238" t="str">
        <f>sum_level("e",'Needs 171007_1818'!D56:BU56)</f>
        <v/>
      </c>
    </row>
    <row r="57" spans="2:79" x14ac:dyDescent="0.25">
      <c r="B57" s="435"/>
      <c r="C57" s="291" t="s">
        <v>228</v>
      </c>
      <c r="D57" s="336"/>
      <c r="E57" s="337"/>
      <c r="F57" s="337"/>
      <c r="G57" s="337"/>
      <c r="H57" s="338"/>
      <c r="I57" s="336"/>
      <c r="J57" s="337"/>
      <c r="K57" s="337"/>
      <c r="L57" s="337"/>
      <c r="M57" s="338"/>
      <c r="N57" s="336"/>
      <c r="O57" s="337"/>
      <c r="P57" s="337"/>
      <c r="Q57" s="337"/>
      <c r="R57" s="338"/>
      <c r="S57" s="336"/>
      <c r="T57" s="337"/>
      <c r="U57" s="337"/>
      <c r="V57" s="337"/>
      <c r="W57" s="338"/>
      <c r="X57" s="336"/>
      <c r="Y57" s="337"/>
      <c r="Z57" s="337"/>
      <c r="AA57" s="337"/>
      <c r="AB57" s="338"/>
      <c r="AC57" s="336"/>
      <c r="AD57" s="337"/>
      <c r="AE57" s="337"/>
      <c r="AF57" s="337"/>
      <c r="AG57" s="338"/>
      <c r="AH57" s="336"/>
      <c r="AI57" s="337"/>
      <c r="AJ57" s="337"/>
      <c r="AK57" s="337"/>
      <c r="AL57" s="338"/>
      <c r="AM57" s="336"/>
      <c r="AN57" s="337"/>
      <c r="AO57" s="337"/>
      <c r="AP57" s="337"/>
      <c r="AQ57" s="338"/>
      <c r="AR57" s="336"/>
      <c r="AS57" s="337"/>
      <c r="AT57" s="337"/>
      <c r="AU57" s="337"/>
      <c r="AV57" s="338"/>
      <c r="AW57" s="336"/>
      <c r="AX57" s="337"/>
      <c r="AY57" s="337"/>
      <c r="AZ57" s="337"/>
      <c r="BA57" s="338"/>
      <c r="BB57" s="336"/>
      <c r="BC57" s="337"/>
      <c r="BD57" s="337"/>
      <c r="BE57" s="337"/>
      <c r="BF57" s="338"/>
      <c r="BG57" s="336"/>
      <c r="BH57" s="337"/>
      <c r="BI57" s="337"/>
      <c r="BJ57" s="337"/>
      <c r="BK57" s="338"/>
      <c r="BL57" s="336"/>
      <c r="BM57" s="337"/>
      <c r="BN57" s="337"/>
      <c r="BO57" s="337"/>
      <c r="BP57" s="338"/>
      <c r="BQ57" s="336"/>
      <c r="BR57" s="337"/>
      <c r="BS57" s="337"/>
      <c r="BT57" s="337"/>
      <c r="BU57" s="339"/>
      <c r="BW57" s="236" t="str">
        <f>sum_level("o",'Needs 171007_1818'!D57:BU57)</f>
        <v/>
      </c>
      <c r="BX57" s="237" t="str">
        <f>sum_level("j",'Needs 171007_1818'!D57:BU57)</f>
        <v/>
      </c>
      <c r="BY57" s="237" t="str">
        <f>sum_level("m",'Needs 171007_1818'!D57:BU57)</f>
        <v/>
      </c>
      <c r="BZ57" s="237" t="str">
        <f>sum_level("s",'Needs 171007_1818'!D57:BU57)</f>
        <v/>
      </c>
      <c r="CA57" s="238" t="str">
        <f>sum_level("e",'Needs 171007_1818'!D57:BU57)</f>
        <v/>
      </c>
    </row>
    <row r="58" spans="2:79" ht="15.75" thickBot="1" x14ac:dyDescent="0.3">
      <c r="B58" s="435"/>
      <c r="C58" s="292" t="s">
        <v>229</v>
      </c>
      <c r="D58" s="340"/>
      <c r="E58" s="341"/>
      <c r="F58" s="341"/>
      <c r="G58" s="341"/>
      <c r="H58" s="342"/>
      <c r="I58" s="340"/>
      <c r="J58" s="341"/>
      <c r="K58" s="341"/>
      <c r="L58" s="341"/>
      <c r="M58" s="342"/>
      <c r="N58" s="340"/>
      <c r="O58" s="341"/>
      <c r="P58" s="341"/>
      <c r="Q58" s="341"/>
      <c r="R58" s="342"/>
      <c r="S58" s="340"/>
      <c r="T58" s="341"/>
      <c r="U58" s="341"/>
      <c r="V58" s="341"/>
      <c r="W58" s="342"/>
      <c r="X58" s="340"/>
      <c r="Y58" s="341"/>
      <c r="Z58" s="341"/>
      <c r="AA58" s="341"/>
      <c r="AB58" s="342"/>
      <c r="AC58" s="340"/>
      <c r="AD58" s="341"/>
      <c r="AE58" s="341"/>
      <c r="AF58" s="341"/>
      <c r="AG58" s="342"/>
      <c r="AH58" s="340"/>
      <c r="AI58" s="341"/>
      <c r="AJ58" s="341"/>
      <c r="AK58" s="341"/>
      <c r="AL58" s="342"/>
      <c r="AM58" s="340"/>
      <c r="AN58" s="341"/>
      <c r="AO58" s="341"/>
      <c r="AP58" s="341"/>
      <c r="AQ58" s="342"/>
      <c r="AR58" s="340"/>
      <c r="AS58" s="341"/>
      <c r="AT58" s="341"/>
      <c r="AU58" s="341"/>
      <c r="AV58" s="342"/>
      <c r="AW58" s="340"/>
      <c r="AX58" s="341"/>
      <c r="AY58" s="341"/>
      <c r="AZ58" s="341"/>
      <c r="BA58" s="342"/>
      <c r="BB58" s="340"/>
      <c r="BC58" s="341"/>
      <c r="BD58" s="341"/>
      <c r="BE58" s="341"/>
      <c r="BF58" s="342"/>
      <c r="BG58" s="340"/>
      <c r="BH58" s="341"/>
      <c r="BI58" s="341"/>
      <c r="BJ58" s="341"/>
      <c r="BK58" s="342"/>
      <c r="BL58" s="340"/>
      <c r="BM58" s="341"/>
      <c r="BN58" s="341"/>
      <c r="BO58" s="341"/>
      <c r="BP58" s="342"/>
      <c r="BQ58" s="340"/>
      <c r="BR58" s="341"/>
      <c r="BS58" s="341"/>
      <c r="BT58" s="341"/>
      <c r="BU58" s="343"/>
      <c r="BW58" s="239" t="str">
        <f>sum_level("o",'Needs 171007_1818'!D58:BU58)</f>
        <v/>
      </c>
      <c r="BX58" s="240" t="str">
        <f>sum_level("j",'Needs 171007_1818'!D58:BU58)</f>
        <v/>
      </c>
      <c r="BY58" s="240" t="str">
        <f>sum_level("m",'Needs 171007_1818'!D58:BU58)</f>
        <v/>
      </c>
      <c r="BZ58" s="240" t="str">
        <f>sum_level("s",'Needs 171007_1818'!D58:BU58)</f>
        <v/>
      </c>
      <c r="CA58" s="241" t="str">
        <f>sum_level("e",'Needs 171007_1818'!D58:BU58)</f>
        <v/>
      </c>
    </row>
    <row r="59" spans="2:79" ht="12.75" customHeight="1" thickTop="1" thickBot="1" x14ac:dyDescent="0.3">
      <c r="B59" s="436"/>
      <c r="C59" s="248"/>
      <c r="D59" s="344"/>
      <c r="E59" s="344"/>
      <c r="F59" s="344"/>
      <c r="G59" s="344"/>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s="344"/>
      <c r="BN59" s="344"/>
      <c r="BO59" s="344"/>
      <c r="BP59" s="344"/>
      <c r="BQ59" s="344"/>
      <c r="BR59" s="344"/>
      <c r="BS59" s="344"/>
      <c r="BT59" s="344"/>
      <c r="BU59" s="344"/>
      <c r="BW59" s="249"/>
      <c r="BX59" s="249"/>
      <c r="BY59" s="249"/>
      <c r="BZ59" s="249"/>
      <c r="CA59" s="249"/>
    </row>
    <row r="60" spans="2:79" ht="15.75" thickTop="1" x14ac:dyDescent="0.25">
      <c r="B60" s="434" t="s">
        <v>98</v>
      </c>
      <c r="C60" s="290" t="s">
        <v>99</v>
      </c>
      <c r="D60" s="332"/>
      <c r="E60" s="333"/>
      <c r="F60" s="333"/>
      <c r="G60" s="333"/>
      <c r="H60" s="334"/>
      <c r="I60" s="332"/>
      <c r="J60" s="333"/>
      <c r="K60" s="333"/>
      <c r="L60" s="333"/>
      <c r="M60" s="334"/>
      <c r="N60" s="332"/>
      <c r="O60" s="333"/>
      <c r="P60" s="333"/>
      <c r="Q60" s="333"/>
      <c r="R60" s="334"/>
      <c r="S60" s="332"/>
      <c r="T60" s="333"/>
      <c r="U60" s="333"/>
      <c r="V60" s="333"/>
      <c r="W60" s="334"/>
      <c r="X60" s="332"/>
      <c r="Y60" s="333"/>
      <c r="Z60" s="333"/>
      <c r="AA60" s="333"/>
      <c r="AB60" s="334"/>
      <c r="AC60" s="332"/>
      <c r="AD60" s="333"/>
      <c r="AE60" s="333"/>
      <c r="AF60" s="333"/>
      <c r="AG60" s="334"/>
      <c r="AH60" s="332"/>
      <c r="AI60" s="333"/>
      <c r="AJ60" s="333"/>
      <c r="AK60" s="333"/>
      <c r="AL60" s="334"/>
      <c r="AM60" s="332"/>
      <c r="AN60" s="333"/>
      <c r="AO60" s="333"/>
      <c r="AP60" s="333"/>
      <c r="AQ60" s="334"/>
      <c r="AR60" s="332"/>
      <c r="AS60" s="333"/>
      <c r="AT60" s="333"/>
      <c r="AU60" s="333"/>
      <c r="AV60" s="334"/>
      <c r="AW60" s="332"/>
      <c r="AX60" s="333"/>
      <c r="AY60" s="333"/>
      <c r="AZ60" s="333"/>
      <c r="BA60" s="334"/>
      <c r="BB60" s="332"/>
      <c r="BC60" s="333"/>
      <c r="BD60" s="333"/>
      <c r="BE60" s="333"/>
      <c r="BF60" s="334"/>
      <c r="BG60" s="332"/>
      <c r="BH60" s="333"/>
      <c r="BI60" s="333"/>
      <c r="BJ60" s="333"/>
      <c r="BK60" s="334"/>
      <c r="BL60" s="332">
        <v>31</v>
      </c>
      <c r="BM60" s="333"/>
      <c r="BN60" s="333"/>
      <c r="BO60" s="333"/>
      <c r="BP60" s="334"/>
      <c r="BQ60" s="332"/>
      <c r="BR60" s="333"/>
      <c r="BS60" s="333"/>
      <c r="BT60" s="333"/>
      <c r="BU60" s="335"/>
      <c r="BW60" s="233" t="str">
        <f>sum_level("o",'Needs 171007_1818'!D60:BU60)</f>
        <v>31</v>
      </c>
      <c r="BX60" s="234" t="str">
        <f>sum_level("j",'Needs 171007_1818'!D60:BU60)</f>
        <v/>
      </c>
      <c r="BY60" s="234" t="str">
        <f>sum_level("m",'Needs 171007_1818'!D60:BU60)</f>
        <v/>
      </c>
      <c r="BZ60" s="234" t="str">
        <f>sum_level("s",'Needs 171007_1818'!D60:BU60)</f>
        <v/>
      </c>
      <c r="CA60" s="235" t="str">
        <f>sum_level("e",'Needs 171007_1818'!D60:BU60)</f>
        <v/>
      </c>
    </row>
    <row r="61" spans="2:79" x14ac:dyDescent="0.25">
      <c r="B61" s="435"/>
      <c r="C61" s="291" t="s">
        <v>100</v>
      </c>
      <c r="D61" s="336"/>
      <c r="E61" s="337"/>
      <c r="F61" s="337"/>
      <c r="G61" s="337"/>
      <c r="H61" s="338"/>
      <c r="I61" s="336"/>
      <c r="J61" s="337"/>
      <c r="K61" s="337"/>
      <c r="L61" s="337"/>
      <c r="M61" s="338"/>
      <c r="N61" s="336"/>
      <c r="O61" s="337"/>
      <c r="P61" s="337"/>
      <c r="Q61" s="337"/>
      <c r="R61" s="338"/>
      <c r="S61" s="336"/>
      <c r="T61" s="337"/>
      <c r="U61" s="337"/>
      <c r="V61" s="337"/>
      <c r="W61" s="338"/>
      <c r="X61" s="336"/>
      <c r="Y61" s="337"/>
      <c r="Z61" s="337"/>
      <c r="AA61" s="337"/>
      <c r="AB61" s="338"/>
      <c r="AC61" s="336"/>
      <c r="AD61" s="337"/>
      <c r="AE61" s="337"/>
      <c r="AF61" s="337"/>
      <c r="AG61" s="338"/>
      <c r="AH61" s="336"/>
      <c r="AI61" s="337"/>
      <c r="AJ61" s="337"/>
      <c r="AK61" s="337"/>
      <c r="AL61" s="338"/>
      <c r="AM61" s="336"/>
      <c r="AN61" s="337"/>
      <c r="AO61" s="337"/>
      <c r="AP61" s="337"/>
      <c r="AQ61" s="338"/>
      <c r="AR61" s="336"/>
      <c r="AS61" s="337"/>
      <c r="AT61" s="337"/>
      <c r="AU61" s="337"/>
      <c r="AV61" s="338"/>
      <c r="AW61" s="336"/>
      <c r="AX61" s="337"/>
      <c r="AY61" s="337"/>
      <c r="AZ61" s="337"/>
      <c r="BA61" s="338"/>
      <c r="BB61" s="336"/>
      <c r="BC61" s="337"/>
      <c r="BD61" s="337"/>
      <c r="BE61" s="337"/>
      <c r="BF61" s="338"/>
      <c r="BG61" s="336"/>
      <c r="BH61" s="337"/>
      <c r="BI61" s="337"/>
      <c r="BJ61" s="337"/>
      <c r="BK61" s="338"/>
      <c r="BL61" s="336"/>
      <c r="BM61" s="337">
        <v>32</v>
      </c>
      <c r="BN61" s="337"/>
      <c r="BO61" s="337"/>
      <c r="BP61" s="338"/>
      <c r="BQ61" s="336"/>
      <c r="BR61" s="337"/>
      <c r="BS61" s="337"/>
      <c r="BT61" s="337"/>
      <c r="BU61" s="339"/>
      <c r="BW61" s="236" t="str">
        <f>sum_level("o",'Needs 171007_1818'!D61:BU61)</f>
        <v/>
      </c>
      <c r="BX61" s="237" t="str">
        <f>sum_level("j",'Needs 171007_1818'!D61:BU61)</f>
        <v>32</v>
      </c>
      <c r="BY61" s="237" t="str">
        <f>sum_level("m",'Needs 171007_1818'!D61:BU61)</f>
        <v/>
      </c>
      <c r="BZ61" s="237" t="str">
        <f>sum_level("s",'Needs 171007_1818'!D61:BU61)</f>
        <v/>
      </c>
      <c r="CA61" s="238" t="str">
        <f>sum_level("e",'Needs 171007_1818'!D61:BU61)</f>
        <v/>
      </c>
    </row>
    <row r="62" spans="2:79" x14ac:dyDescent="0.25">
      <c r="B62" s="435"/>
      <c r="C62" s="291" t="s">
        <v>101</v>
      </c>
      <c r="D62" s="336"/>
      <c r="E62" s="337"/>
      <c r="F62" s="337"/>
      <c r="G62" s="337"/>
      <c r="H62" s="338"/>
      <c r="I62" s="336"/>
      <c r="J62" s="337"/>
      <c r="K62" s="337"/>
      <c r="L62" s="337"/>
      <c r="M62" s="338"/>
      <c r="N62" s="336"/>
      <c r="O62" s="337"/>
      <c r="P62" s="337"/>
      <c r="Q62" s="337"/>
      <c r="R62" s="338"/>
      <c r="S62" s="336"/>
      <c r="T62" s="337"/>
      <c r="U62" s="337"/>
      <c r="V62" s="337"/>
      <c r="W62" s="338"/>
      <c r="X62" s="336"/>
      <c r="Y62" s="337"/>
      <c r="Z62" s="337"/>
      <c r="AA62" s="337"/>
      <c r="AB62" s="338"/>
      <c r="AC62" s="336"/>
      <c r="AD62" s="337"/>
      <c r="AE62" s="337"/>
      <c r="AF62" s="337"/>
      <c r="AG62" s="338"/>
      <c r="AH62" s="336"/>
      <c r="AI62" s="337"/>
      <c r="AJ62" s="337"/>
      <c r="AK62" s="337"/>
      <c r="AL62" s="338"/>
      <c r="AM62" s="336"/>
      <c r="AN62" s="337"/>
      <c r="AO62" s="337"/>
      <c r="AP62" s="337"/>
      <c r="AQ62" s="338"/>
      <c r="AR62" s="336"/>
      <c r="AS62" s="337"/>
      <c r="AT62" s="337"/>
      <c r="AU62" s="337"/>
      <c r="AV62" s="338"/>
      <c r="AW62" s="336"/>
      <c r="AX62" s="337"/>
      <c r="AY62" s="337"/>
      <c r="AZ62" s="337"/>
      <c r="BA62" s="338"/>
      <c r="BB62" s="336"/>
      <c r="BC62" s="337"/>
      <c r="BD62" s="337"/>
      <c r="BE62" s="337"/>
      <c r="BF62" s="338"/>
      <c r="BG62" s="336"/>
      <c r="BH62" s="337"/>
      <c r="BI62" s="337"/>
      <c r="BJ62" s="337"/>
      <c r="BK62" s="338"/>
      <c r="BL62" s="336"/>
      <c r="BM62" s="337"/>
      <c r="BN62" s="337">
        <v>33</v>
      </c>
      <c r="BO62" s="337"/>
      <c r="BP62" s="338"/>
      <c r="BQ62" s="336"/>
      <c r="BR62" s="337"/>
      <c r="BS62" s="337"/>
      <c r="BT62" s="337"/>
      <c r="BU62" s="339"/>
      <c r="BW62" s="236" t="str">
        <f>sum_level("o",'Needs 171007_1818'!D62:BU62)</f>
        <v/>
      </c>
      <c r="BX62" s="237" t="str">
        <f>sum_level("j",'Needs 171007_1818'!D62:BU62)</f>
        <v/>
      </c>
      <c r="BY62" s="237" t="str">
        <f>sum_level("m",'Needs 171007_1818'!D62:BU62)</f>
        <v>33</v>
      </c>
      <c r="BZ62" s="237" t="str">
        <f>sum_level("s",'Needs 171007_1818'!D62:BU62)</f>
        <v/>
      </c>
      <c r="CA62" s="238" t="str">
        <f>sum_level("e",'Needs 171007_1818'!D62:BU62)</f>
        <v/>
      </c>
    </row>
    <row r="63" spans="2:79" x14ac:dyDescent="0.25">
      <c r="B63" s="435"/>
      <c r="C63" s="291" t="s">
        <v>102</v>
      </c>
      <c r="D63" s="336"/>
      <c r="E63" s="337"/>
      <c r="F63" s="337"/>
      <c r="G63" s="337"/>
      <c r="H63" s="338"/>
      <c r="I63" s="336"/>
      <c r="J63" s="337"/>
      <c r="K63" s="337"/>
      <c r="L63" s="337"/>
      <c r="M63" s="338"/>
      <c r="N63" s="336"/>
      <c r="O63" s="337"/>
      <c r="P63" s="337"/>
      <c r="Q63" s="337"/>
      <c r="R63" s="338"/>
      <c r="S63" s="336"/>
      <c r="T63" s="337"/>
      <c r="U63" s="337"/>
      <c r="V63" s="337"/>
      <c r="W63" s="338"/>
      <c r="X63" s="336"/>
      <c r="Y63" s="337"/>
      <c r="Z63" s="337"/>
      <c r="AA63" s="337"/>
      <c r="AB63" s="338"/>
      <c r="AC63" s="336"/>
      <c r="AD63" s="337"/>
      <c r="AE63" s="337"/>
      <c r="AF63" s="337"/>
      <c r="AG63" s="338"/>
      <c r="AH63" s="336"/>
      <c r="AI63" s="337"/>
      <c r="AJ63" s="337"/>
      <c r="AK63" s="337"/>
      <c r="AL63" s="338"/>
      <c r="AM63" s="336"/>
      <c r="AN63" s="337"/>
      <c r="AO63" s="337"/>
      <c r="AP63" s="337"/>
      <c r="AQ63" s="338"/>
      <c r="AR63" s="336"/>
      <c r="AS63" s="337"/>
      <c r="AT63" s="337"/>
      <c r="AU63" s="337"/>
      <c r="AV63" s="338"/>
      <c r="AW63" s="336"/>
      <c r="AX63" s="337"/>
      <c r="AY63" s="337"/>
      <c r="AZ63" s="337"/>
      <c r="BA63" s="338"/>
      <c r="BB63" s="336"/>
      <c r="BC63" s="337"/>
      <c r="BD63" s="337"/>
      <c r="BE63" s="337"/>
      <c r="BF63" s="338"/>
      <c r="BG63" s="336"/>
      <c r="BH63" s="337"/>
      <c r="BI63" s="337"/>
      <c r="BJ63" s="337"/>
      <c r="BK63" s="338"/>
      <c r="BL63" s="336"/>
      <c r="BM63" s="337"/>
      <c r="BN63" s="337"/>
      <c r="BO63" s="337">
        <v>34</v>
      </c>
      <c r="BP63" s="338"/>
      <c r="BQ63" s="336"/>
      <c r="BR63" s="337"/>
      <c r="BS63" s="337"/>
      <c r="BT63" s="337"/>
      <c r="BU63" s="339"/>
      <c r="BW63" s="236" t="str">
        <f>sum_level("o",'Needs 171007_1818'!D63:BU63)</f>
        <v/>
      </c>
      <c r="BX63" s="237" t="str">
        <f>sum_level("j",'Needs 171007_1818'!D63:BU63)</f>
        <v/>
      </c>
      <c r="BY63" s="237" t="str">
        <f>sum_level("m",'Needs 171007_1818'!D63:BU63)</f>
        <v/>
      </c>
      <c r="BZ63" s="237" t="str">
        <f>sum_level("s",'Needs 171007_1818'!D63:BU63)</f>
        <v>34</v>
      </c>
      <c r="CA63" s="238" t="str">
        <f>sum_level("e",'Needs 171007_1818'!D63:BU63)</f>
        <v/>
      </c>
    </row>
    <row r="64" spans="2:79" x14ac:dyDescent="0.25">
      <c r="B64" s="435"/>
      <c r="C64" s="291" t="s">
        <v>103</v>
      </c>
      <c r="D64" s="336"/>
      <c r="E64" s="337"/>
      <c r="F64" s="337"/>
      <c r="G64" s="337"/>
      <c r="H64" s="338"/>
      <c r="I64" s="336"/>
      <c r="J64" s="337"/>
      <c r="K64" s="337"/>
      <c r="L64" s="337"/>
      <c r="M64" s="338"/>
      <c r="N64" s="336"/>
      <c r="O64" s="337"/>
      <c r="P64" s="337"/>
      <c r="Q64" s="337"/>
      <c r="R64" s="338"/>
      <c r="S64" s="336"/>
      <c r="T64" s="337"/>
      <c r="U64" s="337"/>
      <c r="V64" s="337"/>
      <c r="W64" s="338"/>
      <c r="X64" s="336"/>
      <c r="Y64" s="337"/>
      <c r="Z64" s="337"/>
      <c r="AA64" s="337"/>
      <c r="AB64" s="338"/>
      <c r="AC64" s="336"/>
      <c r="AD64" s="337"/>
      <c r="AE64" s="337"/>
      <c r="AF64" s="337"/>
      <c r="AG64" s="338"/>
      <c r="AH64" s="336"/>
      <c r="AI64" s="337"/>
      <c r="AJ64" s="337"/>
      <c r="AK64" s="337"/>
      <c r="AL64" s="338"/>
      <c r="AM64" s="336"/>
      <c r="AN64" s="337"/>
      <c r="AO64" s="337"/>
      <c r="AP64" s="337"/>
      <c r="AQ64" s="338"/>
      <c r="AR64" s="336"/>
      <c r="AS64" s="337"/>
      <c r="AT64" s="337"/>
      <c r="AU64" s="337"/>
      <c r="AV64" s="338"/>
      <c r="AW64" s="336"/>
      <c r="AX64" s="337"/>
      <c r="AY64" s="337"/>
      <c r="AZ64" s="337"/>
      <c r="BA64" s="338"/>
      <c r="BB64" s="336"/>
      <c r="BC64" s="337"/>
      <c r="BD64" s="337"/>
      <c r="BE64" s="337"/>
      <c r="BF64" s="338"/>
      <c r="BG64" s="336"/>
      <c r="BH64" s="337"/>
      <c r="BI64" s="337"/>
      <c r="BJ64" s="337"/>
      <c r="BK64" s="338"/>
      <c r="BL64" s="336"/>
      <c r="BM64" s="337"/>
      <c r="BN64" s="337"/>
      <c r="BO64" s="337"/>
      <c r="BP64" s="338">
        <v>35</v>
      </c>
      <c r="BQ64" s="336"/>
      <c r="BR64" s="337"/>
      <c r="BS64" s="337"/>
      <c r="BT64" s="337"/>
      <c r="BU64" s="339"/>
      <c r="BW64" s="236" t="str">
        <f>sum_level("o",'Needs 171007_1818'!D64:BU64)</f>
        <v/>
      </c>
      <c r="BX64" s="237" t="str">
        <f>sum_level("j",'Needs 171007_1818'!D64:BU64)</f>
        <v/>
      </c>
      <c r="BY64" s="237" t="str">
        <f>sum_level("m",'Needs 171007_1818'!D64:BU64)</f>
        <v/>
      </c>
      <c r="BZ64" s="237" t="str">
        <f>sum_level("s",'Needs 171007_1818'!D64:BU64)</f>
        <v/>
      </c>
      <c r="CA64" s="238" t="str">
        <f>sum_level("e",'Needs 171007_1818'!D64:BU64)</f>
        <v>35</v>
      </c>
    </row>
    <row r="65" spans="2:79" x14ac:dyDescent="0.25">
      <c r="B65" s="435"/>
      <c r="C65" s="291" t="s">
        <v>104</v>
      </c>
      <c r="D65" s="336"/>
      <c r="E65" s="337"/>
      <c r="F65" s="337"/>
      <c r="G65" s="337"/>
      <c r="H65" s="338"/>
      <c r="I65" s="336"/>
      <c r="J65" s="337"/>
      <c r="K65" s="337"/>
      <c r="L65" s="337"/>
      <c r="M65" s="338"/>
      <c r="N65" s="336"/>
      <c r="O65" s="337"/>
      <c r="P65" s="337"/>
      <c r="Q65" s="337"/>
      <c r="R65" s="338"/>
      <c r="S65" s="336"/>
      <c r="T65" s="337"/>
      <c r="U65" s="337"/>
      <c r="V65" s="337"/>
      <c r="W65" s="338"/>
      <c r="X65" s="336"/>
      <c r="Y65" s="337"/>
      <c r="Z65" s="337"/>
      <c r="AA65" s="337"/>
      <c r="AB65" s="338"/>
      <c r="AC65" s="336"/>
      <c r="AD65" s="337"/>
      <c r="AE65" s="337"/>
      <c r="AF65" s="337"/>
      <c r="AG65" s="338"/>
      <c r="AH65" s="336"/>
      <c r="AI65" s="337"/>
      <c r="AJ65" s="337"/>
      <c r="AK65" s="337"/>
      <c r="AL65" s="338"/>
      <c r="AM65" s="336"/>
      <c r="AN65" s="337"/>
      <c r="AO65" s="337"/>
      <c r="AP65" s="337"/>
      <c r="AQ65" s="338"/>
      <c r="AR65" s="336"/>
      <c r="AS65" s="337"/>
      <c r="AT65" s="337"/>
      <c r="AU65" s="337"/>
      <c r="AV65" s="338"/>
      <c r="AW65" s="336"/>
      <c r="AX65" s="337"/>
      <c r="AY65" s="337"/>
      <c r="AZ65" s="337"/>
      <c r="BA65" s="338"/>
      <c r="BB65" s="336"/>
      <c r="BC65" s="337"/>
      <c r="BD65" s="337"/>
      <c r="BE65" s="337"/>
      <c r="BF65" s="338"/>
      <c r="BG65" s="336"/>
      <c r="BH65" s="337"/>
      <c r="BI65" s="337"/>
      <c r="BJ65" s="337"/>
      <c r="BK65" s="338"/>
      <c r="BL65" s="336"/>
      <c r="BM65" s="337"/>
      <c r="BN65" s="337"/>
      <c r="BO65" s="337"/>
      <c r="BP65" s="338"/>
      <c r="BQ65" s="336"/>
      <c r="BR65" s="337"/>
      <c r="BS65" s="337"/>
      <c r="BT65" s="337"/>
      <c r="BU65" s="339"/>
      <c r="BW65" s="236" t="str">
        <f>sum_level("o",'Needs 171007_1818'!D65:BU65)</f>
        <v/>
      </c>
      <c r="BX65" s="237" t="str">
        <f>sum_level("j",'Needs 171007_1818'!D65:BU65)</f>
        <v/>
      </c>
      <c r="BY65" s="237" t="str">
        <f>sum_level("m",'Needs 171007_1818'!D65:BU65)</f>
        <v/>
      </c>
      <c r="BZ65" s="237" t="str">
        <f>sum_level("s",'Needs 171007_1818'!D65:BU65)</f>
        <v/>
      </c>
      <c r="CA65" s="238" t="str">
        <f>sum_level("e",'Needs 171007_1818'!D65:BU65)</f>
        <v/>
      </c>
    </row>
    <row r="66" spans="2:79" x14ac:dyDescent="0.25">
      <c r="B66" s="435"/>
      <c r="C66" s="291" t="s">
        <v>105</v>
      </c>
      <c r="D66" s="336"/>
      <c r="E66" s="337"/>
      <c r="F66" s="337"/>
      <c r="G66" s="337"/>
      <c r="H66" s="338"/>
      <c r="I66" s="336"/>
      <c r="J66" s="337"/>
      <c r="K66" s="337"/>
      <c r="L66" s="337"/>
      <c r="M66" s="338"/>
      <c r="N66" s="336"/>
      <c r="O66" s="337"/>
      <c r="P66" s="337"/>
      <c r="Q66" s="337"/>
      <c r="R66" s="338"/>
      <c r="S66" s="336"/>
      <c r="T66" s="337"/>
      <c r="U66" s="337"/>
      <c r="V66" s="337"/>
      <c r="W66" s="338"/>
      <c r="X66" s="336"/>
      <c r="Y66" s="337"/>
      <c r="Z66" s="337"/>
      <c r="AA66" s="337"/>
      <c r="AB66" s="338"/>
      <c r="AC66" s="336"/>
      <c r="AD66" s="337"/>
      <c r="AE66" s="337"/>
      <c r="AF66" s="337"/>
      <c r="AG66" s="338"/>
      <c r="AH66" s="336"/>
      <c r="AI66" s="337"/>
      <c r="AJ66" s="337"/>
      <c r="AK66" s="337"/>
      <c r="AL66" s="338"/>
      <c r="AM66" s="336"/>
      <c r="AN66" s="337"/>
      <c r="AO66" s="337"/>
      <c r="AP66" s="337"/>
      <c r="AQ66" s="338"/>
      <c r="AR66" s="336"/>
      <c r="AS66" s="337"/>
      <c r="AT66" s="337"/>
      <c r="AU66" s="337"/>
      <c r="AV66" s="338"/>
      <c r="AW66" s="336"/>
      <c r="AX66" s="337"/>
      <c r="AY66" s="337"/>
      <c r="AZ66" s="337"/>
      <c r="BA66" s="338"/>
      <c r="BB66" s="336"/>
      <c r="BC66" s="337"/>
      <c r="BD66" s="337"/>
      <c r="BE66" s="337"/>
      <c r="BF66" s="338"/>
      <c r="BG66" s="336"/>
      <c r="BH66" s="337"/>
      <c r="BI66" s="337"/>
      <c r="BJ66" s="337"/>
      <c r="BK66" s="338"/>
      <c r="BL66" s="336"/>
      <c r="BM66" s="337"/>
      <c r="BN66" s="337"/>
      <c r="BO66" s="337"/>
      <c r="BP66" s="338"/>
      <c r="BQ66" s="336"/>
      <c r="BR66" s="337"/>
      <c r="BS66" s="337"/>
      <c r="BT66" s="337"/>
      <c r="BU66" s="339"/>
      <c r="BW66" s="236" t="str">
        <f>sum_level("o",'Needs 171007_1818'!D66:BU66)</f>
        <v/>
      </c>
      <c r="BX66" s="237" t="str">
        <f>sum_level("j",'Needs 171007_1818'!D66:BU66)</f>
        <v/>
      </c>
      <c r="BY66" s="237" t="str">
        <f>sum_level("m",'Needs 171007_1818'!D66:BU66)</f>
        <v/>
      </c>
      <c r="BZ66" s="237" t="str">
        <f>sum_level("s",'Needs 171007_1818'!D66:BU66)</f>
        <v/>
      </c>
      <c r="CA66" s="238" t="str">
        <f>sum_level("e",'Needs 171007_1818'!D66:BU66)</f>
        <v/>
      </c>
    </row>
    <row r="67" spans="2:79" x14ac:dyDescent="0.25">
      <c r="B67" s="435"/>
      <c r="C67" s="291" t="s">
        <v>106</v>
      </c>
      <c r="D67" s="336"/>
      <c r="E67" s="337"/>
      <c r="F67" s="337"/>
      <c r="G67" s="337"/>
      <c r="H67" s="338"/>
      <c r="I67" s="336"/>
      <c r="J67" s="337"/>
      <c r="K67" s="337"/>
      <c r="L67" s="337"/>
      <c r="M67" s="338"/>
      <c r="N67" s="336"/>
      <c r="O67" s="337"/>
      <c r="P67" s="337"/>
      <c r="Q67" s="337"/>
      <c r="R67" s="338"/>
      <c r="S67" s="336"/>
      <c r="T67" s="337"/>
      <c r="U67" s="337"/>
      <c r="V67" s="337"/>
      <c r="W67" s="338"/>
      <c r="X67" s="336"/>
      <c r="Y67" s="337"/>
      <c r="Z67" s="337"/>
      <c r="AA67" s="337"/>
      <c r="AB67" s="338"/>
      <c r="AC67" s="336"/>
      <c r="AD67" s="337"/>
      <c r="AE67" s="337"/>
      <c r="AF67" s="337"/>
      <c r="AG67" s="338"/>
      <c r="AH67" s="336"/>
      <c r="AI67" s="337"/>
      <c r="AJ67" s="337"/>
      <c r="AK67" s="337"/>
      <c r="AL67" s="338"/>
      <c r="AM67" s="336"/>
      <c r="AN67" s="337"/>
      <c r="AO67" s="337"/>
      <c r="AP67" s="337"/>
      <c r="AQ67" s="338"/>
      <c r="AR67" s="336"/>
      <c r="AS67" s="337"/>
      <c r="AT67" s="337"/>
      <c r="AU67" s="337"/>
      <c r="AV67" s="338"/>
      <c r="AW67" s="336"/>
      <c r="AX67" s="337"/>
      <c r="AY67" s="337"/>
      <c r="AZ67" s="337"/>
      <c r="BA67" s="338"/>
      <c r="BB67" s="336"/>
      <c r="BC67" s="337"/>
      <c r="BD67" s="337"/>
      <c r="BE67" s="337"/>
      <c r="BF67" s="338"/>
      <c r="BG67" s="336"/>
      <c r="BH67" s="337"/>
      <c r="BI67" s="337"/>
      <c r="BJ67" s="337"/>
      <c r="BK67" s="338"/>
      <c r="BL67" s="336"/>
      <c r="BM67" s="337"/>
      <c r="BN67" s="337"/>
      <c r="BO67" s="337"/>
      <c r="BP67" s="338"/>
      <c r="BQ67" s="336"/>
      <c r="BR67" s="337"/>
      <c r="BS67" s="337"/>
      <c r="BT67" s="337"/>
      <c r="BU67" s="339"/>
      <c r="BW67" s="236" t="str">
        <f>sum_level("o",'Needs 171007_1818'!D67:BU67)</f>
        <v/>
      </c>
      <c r="BX67" s="237" t="str">
        <f>sum_level("j",'Needs 171007_1818'!D67:BU67)</f>
        <v/>
      </c>
      <c r="BY67" s="237" t="str">
        <f>sum_level("m",'Needs 171007_1818'!D67:BU67)</f>
        <v/>
      </c>
      <c r="BZ67" s="237" t="str">
        <f>sum_level("s",'Needs 171007_1818'!D67:BU67)</f>
        <v/>
      </c>
      <c r="CA67" s="238" t="str">
        <f>sum_level("e",'Needs 171007_1818'!D67:BU67)</f>
        <v/>
      </c>
    </row>
    <row r="68" spans="2:79" x14ac:dyDescent="0.25">
      <c r="B68" s="435"/>
      <c r="C68" s="291" t="s">
        <v>107</v>
      </c>
      <c r="D68" s="336"/>
      <c r="E68" s="337"/>
      <c r="F68" s="337"/>
      <c r="G68" s="337"/>
      <c r="H68" s="338"/>
      <c r="I68" s="336"/>
      <c r="J68" s="337"/>
      <c r="K68" s="337"/>
      <c r="L68" s="337"/>
      <c r="M68" s="338"/>
      <c r="N68" s="336"/>
      <c r="O68" s="337"/>
      <c r="P68" s="337"/>
      <c r="Q68" s="337"/>
      <c r="R68" s="338"/>
      <c r="S68" s="336"/>
      <c r="T68" s="337"/>
      <c r="U68" s="337"/>
      <c r="V68" s="337"/>
      <c r="W68" s="338"/>
      <c r="X68" s="336"/>
      <c r="Y68" s="337"/>
      <c r="Z68" s="337"/>
      <c r="AA68" s="337"/>
      <c r="AB68" s="338"/>
      <c r="AC68" s="336"/>
      <c r="AD68" s="337"/>
      <c r="AE68" s="337"/>
      <c r="AF68" s="337"/>
      <c r="AG68" s="338"/>
      <c r="AH68" s="336"/>
      <c r="AI68" s="337"/>
      <c r="AJ68" s="337"/>
      <c r="AK68" s="337"/>
      <c r="AL68" s="338"/>
      <c r="AM68" s="336"/>
      <c r="AN68" s="337"/>
      <c r="AO68" s="337"/>
      <c r="AP68" s="337"/>
      <c r="AQ68" s="338"/>
      <c r="AR68" s="336"/>
      <c r="AS68" s="337"/>
      <c r="AT68" s="337"/>
      <c r="AU68" s="337"/>
      <c r="AV68" s="338"/>
      <c r="AW68" s="336"/>
      <c r="AX68" s="337"/>
      <c r="AY68" s="337"/>
      <c r="AZ68" s="337"/>
      <c r="BA68" s="338"/>
      <c r="BB68" s="336"/>
      <c r="BC68" s="337"/>
      <c r="BD68" s="337"/>
      <c r="BE68" s="337"/>
      <c r="BF68" s="338"/>
      <c r="BG68" s="336"/>
      <c r="BH68" s="337"/>
      <c r="BI68" s="337"/>
      <c r="BJ68" s="337"/>
      <c r="BK68" s="338"/>
      <c r="BL68" s="336"/>
      <c r="BM68" s="337"/>
      <c r="BN68" s="337"/>
      <c r="BO68" s="337"/>
      <c r="BP68" s="338"/>
      <c r="BQ68" s="336"/>
      <c r="BR68" s="337"/>
      <c r="BS68" s="337"/>
      <c r="BT68" s="337"/>
      <c r="BU68" s="339"/>
      <c r="BW68" s="236" t="str">
        <f>sum_level("o",'Needs 171007_1818'!D68:BU68)</f>
        <v/>
      </c>
      <c r="BX68" s="237" t="str">
        <f>sum_level("j",'Needs 171007_1818'!D68:BU68)</f>
        <v/>
      </c>
      <c r="BY68" s="237" t="str">
        <f>sum_level("m",'Needs 171007_1818'!D68:BU68)</f>
        <v/>
      </c>
      <c r="BZ68" s="237" t="str">
        <f>sum_level("s",'Needs 171007_1818'!D68:BU68)</f>
        <v/>
      </c>
      <c r="CA68" s="238" t="str">
        <f>sum_level("e",'Needs 171007_1818'!D68:BU68)</f>
        <v/>
      </c>
    </row>
    <row r="69" spans="2:79" x14ac:dyDescent="0.25">
      <c r="B69" s="435"/>
      <c r="C69" s="291" t="s">
        <v>108</v>
      </c>
      <c r="D69" s="336"/>
      <c r="E69" s="337"/>
      <c r="F69" s="337"/>
      <c r="G69" s="337"/>
      <c r="H69" s="338"/>
      <c r="I69" s="336"/>
      <c r="J69" s="337"/>
      <c r="K69" s="337"/>
      <c r="L69" s="337"/>
      <c r="M69" s="338"/>
      <c r="N69" s="336"/>
      <c r="O69" s="337"/>
      <c r="P69" s="337"/>
      <c r="Q69" s="337"/>
      <c r="R69" s="338"/>
      <c r="S69" s="336"/>
      <c r="T69" s="337"/>
      <c r="U69" s="337"/>
      <c r="V69" s="337"/>
      <c r="W69" s="338"/>
      <c r="X69" s="336"/>
      <c r="Y69" s="337"/>
      <c r="Z69" s="337"/>
      <c r="AA69" s="337"/>
      <c r="AB69" s="338"/>
      <c r="AC69" s="336"/>
      <c r="AD69" s="337"/>
      <c r="AE69" s="337"/>
      <c r="AF69" s="337"/>
      <c r="AG69" s="338"/>
      <c r="AH69" s="336"/>
      <c r="AI69" s="337"/>
      <c r="AJ69" s="337"/>
      <c r="AK69" s="337"/>
      <c r="AL69" s="338"/>
      <c r="AM69" s="336"/>
      <c r="AN69" s="337"/>
      <c r="AO69" s="337"/>
      <c r="AP69" s="337"/>
      <c r="AQ69" s="338"/>
      <c r="AR69" s="336"/>
      <c r="AS69" s="337"/>
      <c r="AT69" s="337"/>
      <c r="AU69" s="337"/>
      <c r="AV69" s="338"/>
      <c r="AW69" s="336"/>
      <c r="AX69" s="337"/>
      <c r="AY69" s="337"/>
      <c r="AZ69" s="337"/>
      <c r="BA69" s="338"/>
      <c r="BB69" s="336"/>
      <c r="BC69" s="337"/>
      <c r="BD69" s="337"/>
      <c r="BE69" s="337"/>
      <c r="BF69" s="338"/>
      <c r="BG69" s="336"/>
      <c r="BH69" s="337"/>
      <c r="BI69" s="337"/>
      <c r="BJ69" s="337"/>
      <c r="BK69" s="338"/>
      <c r="BL69" s="336"/>
      <c r="BM69" s="337"/>
      <c r="BN69" s="337"/>
      <c r="BO69" s="337"/>
      <c r="BP69" s="338"/>
      <c r="BQ69" s="336"/>
      <c r="BR69" s="337"/>
      <c r="BS69" s="337"/>
      <c r="BT69" s="337"/>
      <c r="BU69" s="339"/>
      <c r="BW69" s="236" t="str">
        <f>sum_level("o",'Needs 171007_1818'!D69:BU69)</f>
        <v/>
      </c>
      <c r="BX69" s="237" t="str">
        <f>sum_level("j",'Needs 171007_1818'!D69:BU69)</f>
        <v/>
      </c>
      <c r="BY69" s="237" t="str">
        <f>sum_level("m",'Needs 171007_1818'!D69:BU69)</f>
        <v/>
      </c>
      <c r="BZ69" s="237" t="str">
        <f>sum_level("s",'Needs 171007_1818'!D69:BU69)</f>
        <v/>
      </c>
      <c r="CA69" s="238" t="str">
        <f>sum_level("e",'Needs 171007_1818'!D69:BU69)</f>
        <v/>
      </c>
    </row>
    <row r="70" spans="2:79" x14ac:dyDescent="0.25">
      <c r="B70" s="435"/>
      <c r="C70" s="291" t="s">
        <v>109</v>
      </c>
      <c r="D70" s="336"/>
      <c r="E70" s="337"/>
      <c r="F70" s="337"/>
      <c r="G70" s="337"/>
      <c r="H70" s="338"/>
      <c r="I70" s="336"/>
      <c r="J70" s="337"/>
      <c r="K70" s="337"/>
      <c r="L70" s="337"/>
      <c r="M70" s="338"/>
      <c r="N70" s="336"/>
      <c r="O70" s="337"/>
      <c r="P70" s="337"/>
      <c r="Q70" s="337"/>
      <c r="R70" s="338"/>
      <c r="S70" s="336"/>
      <c r="T70" s="337"/>
      <c r="U70" s="337"/>
      <c r="V70" s="337"/>
      <c r="W70" s="338"/>
      <c r="X70" s="336"/>
      <c r="Y70" s="337"/>
      <c r="Z70" s="337"/>
      <c r="AA70" s="337"/>
      <c r="AB70" s="338"/>
      <c r="AC70" s="336"/>
      <c r="AD70" s="337"/>
      <c r="AE70" s="337"/>
      <c r="AF70" s="337"/>
      <c r="AG70" s="338"/>
      <c r="AH70" s="336"/>
      <c r="AI70" s="337"/>
      <c r="AJ70" s="337"/>
      <c r="AK70" s="337"/>
      <c r="AL70" s="338"/>
      <c r="AM70" s="336"/>
      <c r="AN70" s="337"/>
      <c r="AO70" s="337"/>
      <c r="AP70" s="337"/>
      <c r="AQ70" s="338"/>
      <c r="AR70" s="336"/>
      <c r="AS70" s="337"/>
      <c r="AT70" s="337"/>
      <c r="AU70" s="337"/>
      <c r="AV70" s="338"/>
      <c r="AW70" s="336"/>
      <c r="AX70" s="337"/>
      <c r="AY70" s="337"/>
      <c r="AZ70" s="337"/>
      <c r="BA70" s="338"/>
      <c r="BB70" s="336"/>
      <c r="BC70" s="337"/>
      <c r="BD70" s="337"/>
      <c r="BE70" s="337"/>
      <c r="BF70" s="338"/>
      <c r="BG70" s="336"/>
      <c r="BH70" s="337"/>
      <c r="BI70" s="337"/>
      <c r="BJ70" s="337"/>
      <c r="BK70" s="338"/>
      <c r="BL70" s="336"/>
      <c r="BM70" s="337"/>
      <c r="BN70" s="337"/>
      <c r="BO70" s="337"/>
      <c r="BP70" s="338"/>
      <c r="BQ70" s="336"/>
      <c r="BR70" s="337"/>
      <c r="BS70" s="337"/>
      <c r="BT70" s="337"/>
      <c r="BU70" s="339"/>
      <c r="BW70" s="236" t="str">
        <f>sum_level("o",'Needs 171007_1818'!D70:BU70)</f>
        <v/>
      </c>
      <c r="BX70" s="237" t="str">
        <f>sum_level("j",'Needs 171007_1818'!D70:BU70)</f>
        <v/>
      </c>
      <c r="BY70" s="237" t="str">
        <f>sum_level("m",'Needs 171007_1818'!D70:BU70)</f>
        <v/>
      </c>
      <c r="BZ70" s="237" t="str">
        <f>sum_level("s",'Needs 171007_1818'!D70:BU70)</f>
        <v/>
      </c>
      <c r="CA70" s="238" t="str">
        <f>sum_level("e",'Needs 171007_1818'!D70:BU70)</f>
        <v/>
      </c>
    </row>
    <row r="71" spans="2:79" x14ac:dyDescent="0.25">
      <c r="B71" s="435"/>
      <c r="C71" s="291" t="s">
        <v>110</v>
      </c>
      <c r="D71" s="336"/>
      <c r="E71" s="337"/>
      <c r="F71" s="337"/>
      <c r="G71" s="337"/>
      <c r="H71" s="338"/>
      <c r="I71" s="336"/>
      <c r="J71" s="337"/>
      <c r="K71" s="337"/>
      <c r="L71" s="337"/>
      <c r="M71" s="338"/>
      <c r="N71" s="336"/>
      <c r="O71" s="337"/>
      <c r="P71" s="337"/>
      <c r="Q71" s="337"/>
      <c r="R71" s="338"/>
      <c r="S71" s="336"/>
      <c r="T71" s="337"/>
      <c r="U71" s="337"/>
      <c r="V71" s="337"/>
      <c r="W71" s="338"/>
      <c r="X71" s="336"/>
      <c r="Y71" s="337"/>
      <c r="Z71" s="337"/>
      <c r="AA71" s="337"/>
      <c r="AB71" s="338"/>
      <c r="AC71" s="336"/>
      <c r="AD71" s="337"/>
      <c r="AE71" s="337"/>
      <c r="AF71" s="337"/>
      <c r="AG71" s="338"/>
      <c r="AH71" s="336"/>
      <c r="AI71" s="337"/>
      <c r="AJ71" s="337"/>
      <c r="AK71" s="337"/>
      <c r="AL71" s="338"/>
      <c r="AM71" s="336"/>
      <c r="AN71" s="337"/>
      <c r="AO71" s="337"/>
      <c r="AP71" s="337"/>
      <c r="AQ71" s="338"/>
      <c r="AR71" s="336"/>
      <c r="AS71" s="337"/>
      <c r="AT71" s="337"/>
      <c r="AU71" s="337"/>
      <c r="AV71" s="338"/>
      <c r="AW71" s="336"/>
      <c r="AX71" s="337"/>
      <c r="AY71" s="337"/>
      <c r="AZ71" s="337"/>
      <c r="BA71" s="338"/>
      <c r="BB71" s="336"/>
      <c r="BC71" s="337"/>
      <c r="BD71" s="337"/>
      <c r="BE71" s="337"/>
      <c r="BF71" s="338"/>
      <c r="BG71" s="336"/>
      <c r="BH71" s="337"/>
      <c r="BI71" s="337"/>
      <c r="BJ71" s="337"/>
      <c r="BK71" s="338"/>
      <c r="BL71" s="336"/>
      <c r="BM71" s="337"/>
      <c r="BN71" s="337"/>
      <c r="BO71" s="337"/>
      <c r="BP71" s="338"/>
      <c r="BQ71" s="336"/>
      <c r="BR71" s="337"/>
      <c r="BS71" s="337"/>
      <c r="BT71" s="337"/>
      <c r="BU71" s="339"/>
      <c r="BW71" s="236" t="str">
        <f>sum_level("o",'Needs 171007_1818'!D71:BU71)</f>
        <v/>
      </c>
      <c r="BX71" s="237" t="str">
        <f>sum_level("j",'Needs 171007_1818'!D71:BU71)</f>
        <v/>
      </c>
      <c r="BY71" s="237" t="str">
        <f>sum_level("m",'Needs 171007_1818'!D71:BU71)</f>
        <v/>
      </c>
      <c r="BZ71" s="237" t="str">
        <f>sum_level("s",'Needs 171007_1818'!D71:BU71)</f>
        <v/>
      </c>
      <c r="CA71" s="238" t="str">
        <f>sum_level("e",'Needs 171007_1818'!D71:BU71)</f>
        <v/>
      </c>
    </row>
    <row r="72" spans="2:79" x14ac:dyDescent="0.25">
      <c r="B72" s="435"/>
      <c r="C72" s="291" t="s">
        <v>111</v>
      </c>
      <c r="D72" s="336"/>
      <c r="E72" s="337"/>
      <c r="F72" s="337"/>
      <c r="G72" s="337"/>
      <c r="H72" s="338"/>
      <c r="I72" s="336"/>
      <c r="J72" s="337"/>
      <c r="K72" s="337"/>
      <c r="L72" s="337"/>
      <c r="M72" s="338"/>
      <c r="N72" s="336"/>
      <c r="O72" s="337"/>
      <c r="P72" s="337"/>
      <c r="Q72" s="337"/>
      <c r="R72" s="338"/>
      <c r="S72" s="336"/>
      <c r="T72" s="337"/>
      <c r="U72" s="337"/>
      <c r="V72" s="337"/>
      <c r="W72" s="338"/>
      <c r="X72" s="336"/>
      <c r="Y72" s="337"/>
      <c r="Z72" s="337"/>
      <c r="AA72" s="337"/>
      <c r="AB72" s="338"/>
      <c r="AC72" s="336"/>
      <c r="AD72" s="337"/>
      <c r="AE72" s="337"/>
      <c r="AF72" s="337"/>
      <c r="AG72" s="338"/>
      <c r="AH72" s="336"/>
      <c r="AI72" s="337"/>
      <c r="AJ72" s="337"/>
      <c r="AK72" s="337"/>
      <c r="AL72" s="338"/>
      <c r="AM72" s="336"/>
      <c r="AN72" s="337"/>
      <c r="AO72" s="337"/>
      <c r="AP72" s="337"/>
      <c r="AQ72" s="338"/>
      <c r="AR72" s="336"/>
      <c r="AS72" s="337"/>
      <c r="AT72" s="337"/>
      <c r="AU72" s="337"/>
      <c r="AV72" s="338"/>
      <c r="AW72" s="336"/>
      <c r="AX72" s="337"/>
      <c r="AY72" s="337"/>
      <c r="AZ72" s="337"/>
      <c r="BA72" s="338"/>
      <c r="BB72" s="336"/>
      <c r="BC72" s="337"/>
      <c r="BD72" s="337"/>
      <c r="BE72" s="337"/>
      <c r="BF72" s="338"/>
      <c r="BG72" s="336"/>
      <c r="BH72" s="337"/>
      <c r="BI72" s="337"/>
      <c r="BJ72" s="337"/>
      <c r="BK72" s="338"/>
      <c r="BL72" s="336"/>
      <c r="BM72" s="337"/>
      <c r="BN72" s="337"/>
      <c r="BO72" s="337"/>
      <c r="BP72" s="338"/>
      <c r="BQ72" s="336"/>
      <c r="BR72" s="337"/>
      <c r="BS72" s="337"/>
      <c r="BT72" s="337"/>
      <c r="BU72" s="339"/>
      <c r="BW72" s="236" t="str">
        <f>sum_level("o",'Needs 171007_1818'!D72:BU72)</f>
        <v/>
      </c>
      <c r="BX72" s="237" t="str">
        <f>sum_level("j",'Needs 171007_1818'!D72:BU72)</f>
        <v/>
      </c>
      <c r="BY72" s="237" t="str">
        <f>sum_level("m",'Needs 171007_1818'!D72:BU72)</f>
        <v/>
      </c>
      <c r="BZ72" s="237" t="str">
        <f>sum_level("s",'Needs 171007_1818'!D72:BU72)</f>
        <v/>
      </c>
      <c r="CA72" s="238" t="str">
        <f>sum_level("e",'Needs 171007_1818'!D72:BU72)</f>
        <v/>
      </c>
    </row>
    <row r="73" spans="2:79" x14ac:dyDescent="0.25">
      <c r="B73" s="435"/>
      <c r="C73" s="291" t="s">
        <v>112</v>
      </c>
      <c r="D73" s="336"/>
      <c r="E73" s="337"/>
      <c r="F73" s="337"/>
      <c r="G73" s="337"/>
      <c r="H73" s="338"/>
      <c r="I73" s="336"/>
      <c r="J73" s="337"/>
      <c r="K73" s="337"/>
      <c r="L73" s="337"/>
      <c r="M73" s="338"/>
      <c r="N73" s="336"/>
      <c r="O73" s="337"/>
      <c r="P73" s="337"/>
      <c r="Q73" s="337"/>
      <c r="R73" s="338"/>
      <c r="S73" s="336"/>
      <c r="T73" s="337"/>
      <c r="U73" s="337"/>
      <c r="V73" s="337"/>
      <c r="W73" s="338"/>
      <c r="X73" s="336"/>
      <c r="Y73" s="337"/>
      <c r="Z73" s="337"/>
      <c r="AA73" s="337"/>
      <c r="AB73" s="338"/>
      <c r="AC73" s="336"/>
      <c r="AD73" s="337"/>
      <c r="AE73" s="337"/>
      <c r="AF73" s="337"/>
      <c r="AG73" s="338"/>
      <c r="AH73" s="336"/>
      <c r="AI73" s="337"/>
      <c r="AJ73" s="337"/>
      <c r="AK73" s="337"/>
      <c r="AL73" s="338"/>
      <c r="AM73" s="336"/>
      <c r="AN73" s="337"/>
      <c r="AO73" s="337"/>
      <c r="AP73" s="337"/>
      <c r="AQ73" s="338"/>
      <c r="AR73" s="336"/>
      <c r="AS73" s="337"/>
      <c r="AT73" s="337"/>
      <c r="AU73" s="337"/>
      <c r="AV73" s="338"/>
      <c r="AW73" s="336"/>
      <c r="AX73" s="337"/>
      <c r="AY73" s="337"/>
      <c r="AZ73" s="337"/>
      <c r="BA73" s="338"/>
      <c r="BB73" s="336"/>
      <c r="BC73" s="337"/>
      <c r="BD73" s="337"/>
      <c r="BE73" s="337"/>
      <c r="BF73" s="338"/>
      <c r="BG73" s="336"/>
      <c r="BH73" s="337"/>
      <c r="BI73" s="337"/>
      <c r="BJ73" s="337"/>
      <c r="BK73" s="338"/>
      <c r="BL73" s="336"/>
      <c r="BM73" s="337"/>
      <c r="BN73" s="337"/>
      <c r="BO73" s="337"/>
      <c r="BP73" s="338"/>
      <c r="BQ73" s="336"/>
      <c r="BR73" s="337"/>
      <c r="BS73" s="337"/>
      <c r="BT73" s="337"/>
      <c r="BU73" s="339"/>
      <c r="BW73" s="236" t="str">
        <f>sum_level("o",'Needs 171007_1818'!D73:BU73)</f>
        <v/>
      </c>
      <c r="BX73" s="237" t="str">
        <f>sum_level("j",'Needs 171007_1818'!D73:BU73)</f>
        <v/>
      </c>
      <c r="BY73" s="237" t="str">
        <f>sum_level("m",'Needs 171007_1818'!D73:BU73)</f>
        <v/>
      </c>
      <c r="BZ73" s="237" t="str">
        <f>sum_level("s",'Needs 171007_1818'!D73:BU73)</f>
        <v/>
      </c>
      <c r="CA73" s="238" t="str">
        <f>sum_level("e",'Needs 171007_1818'!D73:BU73)</f>
        <v/>
      </c>
    </row>
    <row r="74" spans="2:79" x14ac:dyDescent="0.25">
      <c r="B74" s="435"/>
      <c r="C74" s="291" t="s">
        <v>113</v>
      </c>
      <c r="D74" s="336"/>
      <c r="E74" s="337"/>
      <c r="F74" s="337"/>
      <c r="G74" s="337"/>
      <c r="H74" s="338"/>
      <c r="I74" s="336"/>
      <c r="J74" s="337"/>
      <c r="K74" s="337"/>
      <c r="L74" s="337"/>
      <c r="M74" s="338"/>
      <c r="N74" s="336"/>
      <c r="O74" s="337"/>
      <c r="P74" s="337"/>
      <c r="Q74" s="337"/>
      <c r="R74" s="338"/>
      <c r="S74" s="336"/>
      <c r="T74" s="337"/>
      <c r="U74" s="337"/>
      <c r="V74" s="337"/>
      <c r="W74" s="338"/>
      <c r="X74" s="336"/>
      <c r="Y74" s="337"/>
      <c r="Z74" s="337"/>
      <c r="AA74" s="337"/>
      <c r="AB74" s="338"/>
      <c r="AC74" s="336"/>
      <c r="AD74" s="337"/>
      <c r="AE74" s="337"/>
      <c r="AF74" s="337"/>
      <c r="AG74" s="338"/>
      <c r="AH74" s="336"/>
      <c r="AI74" s="337"/>
      <c r="AJ74" s="337"/>
      <c r="AK74" s="337"/>
      <c r="AL74" s="338"/>
      <c r="AM74" s="336"/>
      <c r="AN74" s="337"/>
      <c r="AO74" s="337"/>
      <c r="AP74" s="337"/>
      <c r="AQ74" s="338"/>
      <c r="AR74" s="336"/>
      <c r="AS74" s="337"/>
      <c r="AT74" s="337"/>
      <c r="AU74" s="337"/>
      <c r="AV74" s="338"/>
      <c r="AW74" s="336"/>
      <c r="AX74" s="337"/>
      <c r="AY74" s="337"/>
      <c r="AZ74" s="337"/>
      <c r="BA74" s="338"/>
      <c r="BB74" s="336"/>
      <c r="BC74" s="337"/>
      <c r="BD74" s="337"/>
      <c r="BE74" s="337"/>
      <c r="BF74" s="338"/>
      <c r="BG74" s="336"/>
      <c r="BH74" s="337"/>
      <c r="BI74" s="337"/>
      <c r="BJ74" s="337"/>
      <c r="BK74" s="338"/>
      <c r="BL74" s="336"/>
      <c r="BM74" s="337"/>
      <c r="BN74" s="337"/>
      <c r="BO74" s="337"/>
      <c r="BP74" s="338"/>
      <c r="BQ74" s="336"/>
      <c r="BR74" s="337"/>
      <c r="BS74" s="337"/>
      <c r="BT74" s="337"/>
      <c r="BU74" s="339"/>
      <c r="BW74" s="236" t="str">
        <f>sum_level("o",'Needs 171007_1818'!D74:BU74)</f>
        <v/>
      </c>
      <c r="BX74" s="237" t="str">
        <f>sum_level("j",'Needs 171007_1818'!D74:BU74)</f>
        <v/>
      </c>
      <c r="BY74" s="237" t="str">
        <f>sum_level("m",'Needs 171007_1818'!D74:BU74)</f>
        <v/>
      </c>
      <c r="BZ74" s="237" t="str">
        <f>sum_level("s",'Needs 171007_1818'!D74:BU74)</f>
        <v/>
      </c>
      <c r="CA74" s="238" t="str">
        <f>sum_level("e",'Needs 171007_1818'!D74:BU74)</f>
        <v/>
      </c>
    </row>
    <row r="75" spans="2:79" x14ac:dyDescent="0.25">
      <c r="B75" s="435"/>
      <c r="C75" s="291" t="s">
        <v>114</v>
      </c>
      <c r="D75" s="336"/>
      <c r="E75" s="337"/>
      <c r="F75" s="337"/>
      <c r="G75" s="337"/>
      <c r="H75" s="338"/>
      <c r="I75" s="336"/>
      <c r="J75" s="337"/>
      <c r="K75" s="337"/>
      <c r="L75" s="337"/>
      <c r="M75" s="338"/>
      <c r="N75" s="336"/>
      <c r="O75" s="337"/>
      <c r="P75" s="337"/>
      <c r="Q75" s="337"/>
      <c r="R75" s="338"/>
      <c r="S75" s="336"/>
      <c r="T75" s="337"/>
      <c r="U75" s="337"/>
      <c r="V75" s="337"/>
      <c r="W75" s="338"/>
      <c r="X75" s="336"/>
      <c r="Y75" s="337"/>
      <c r="Z75" s="337"/>
      <c r="AA75" s="337"/>
      <c r="AB75" s="338"/>
      <c r="AC75" s="336"/>
      <c r="AD75" s="337"/>
      <c r="AE75" s="337"/>
      <c r="AF75" s="337"/>
      <c r="AG75" s="338"/>
      <c r="AH75" s="336"/>
      <c r="AI75" s="337"/>
      <c r="AJ75" s="337"/>
      <c r="AK75" s="337"/>
      <c r="AL75" s="338"/>
      <c r="AM75" s="336"/>
      <c r="AN75" s="337"/>
      <c r="AO75" s="337"/>
      <c r="AP75" s="337"/>
      <c r="AQ75" s="338"/>
      <c r="AR75" s="336"/>
      <c r="AS75" s="337"/>
      <c r="AT75" s="337"/>
      <c r="AU75" s="337"/>
      <c r="AV75" s="338"/>
      <c r="AW75" s="336"/>
      <c r="AX75" s="337"/>
      <c r="AY75" s="337"/>
      <c r="AZ75" s="337"/>
      <c r="BA75" s="338"/>
      <c r="BB75" s="336"/>
      <c r="BC75" s="337"/>
      <c r="BD75" s="337"/>
      <c r="BE75" s="337"/>
      <c r="BF75" s="338"/>
      <c r="BG75" s="336"/>
      <c r="BH75" s="337"/>
      <c r="BI75" s="337"/>
      <c r="BJ75" s="337"/>
      <c r="BK75" s="338"/>
      <c r="BL75" s="336"/>
      <c r="BM75" s="337"/>
      <c r="BN75" s="337"/>
      <c r="BO75" s="337"/>
      <c r="BP75" s="338"/>
      <c r="BQ75" s="336"/>
      <c r="BR75" s="337"/>
      <c r="BS75" s="337"/>
      <c r="BT75" s="337"/>
      <c r="BU75" s="339"/>
      <c r="BW75" s="236" t="str">
        <f>sum_level("o",'Needs 171007_1818'!D75:BU75)</f>
        <v/>
      </c>
      <c r="BX75" s="237" t="str">
        <f>sum_level("j",'Needs 171007_1818'!D75:BU75)</f>
        <v/>
      </c>
      <c r="BY75" s="237" t="str">
        <f>sum_level("m",'Needs 171007_1818'!D75:BU75)</f>
        <v/>
      </c>
      <c r="BZ75" s="237" t="str">
        <f>sum_level("s",'Needs 171007_1818'!D75:BU75)</f>
        <v/>
      </c>
      <c r="CA75" s="238" t="str">
        <f>sum_level("e",'Needs 171007_1818'!D75:BU75)</f>
        <v/>
      </c>
    </row>
    <row r="76" spans="2:79" x14ac:dyDescent="0.25">
      <c r="B76" s="435"/>
      <c r="C76" s="291" t="s">
        <v>115</v>
      </c>
      <c r="D76" s="336"/>
      <c r="E76" s="337"/>
      <c r="F76" s="337"/>
      <c r="G76" s="337"/>
      <c r="H76" s="338"/>
      <c r="I76" s="336"/>
      <c r="J76" s="337"/>
      <c r="K76" s="337"/>
      <c r="L76" s="337"/>
      <c r="M76" s="338"/>
      <c r="N76" s="336"/>
      <c r="O76" s="337"/>
      <c r="P76" s="337"/>
      <c r="Q76" s="337"/>
      <c r="R76" s="338"/>
      <c r="S76" s="336"/>
      <c r="T76" s="337"/>
      <c r="U76" s="337"/>
      <c r="V76" s="337"/>
      <c r="W76" s="338"/>
      <c r="X76" s="336"/>
      <c r="Y76" s="337"/>
      <c r="Z76" s="337"/>
      <c r="AA76" s="337"/>
      <c r="AB76" s="338"/>
      <c r="AC76" s="336"/>
      <c r="AD76" s="337"/>
      <c r="AE76" s="337"/>
      <c r="AF76" s="337"/>
      <c r="AG76" s="338"/>
      <c r="AH76" s="336"/>
      <c r="AI76" s="337"/>
      <c r="AJ76" s="337"/>
      <c r="AK76" s="337"/>
      <c r="AL76" s="338"/>
      <c r="AM76" s="336"/>
      <c r="AN76" s="337"/>
      <c r="AO76" s="337"/>
      <c r="AP76" s="337"/>
      <c r="AQ76" s="338"/>
      <c r="AR76" s="336"/>
      <c r="AS76" s="337"/>
      <c r="AT76" s="337"/>
      <c r="AU76" s="337"/>
      <c r="AV76" s="338"/>
      <c r="AW76" s="336"/>
      <c r="AX76" s="337"/>
      <c r="AY76" s="337"/>
      <c r="AZ76" s="337"/>
      <c r="BA76" s="338"/>
      <c r="BB76" s="336"/>
      <c r="BC76" s="337"/>
      <c r="BD76" s="337"/>
      <c r="BE76" s="337"/>
      <c r="BF76" s="338"/>
      <c r="BG76" s="336"/>
      <c r="BH76" s="337"/>
      <c r="BI76" s="337"/>
      <c r="BJ76" s="337"/>
      <c r="BK76" s="338"/>
      <c r="BL76" s="336"/>
      <c r="BM76" s="337"/>
      <c r="BN76" s="337"/>
      <c r="BO76" s="337"/>
      <c r="BP76" s="338"/>
      <c r="BQ76" s="336"/>
      <c r="BR76" s="337"/>
      <c r="BS76" s="337"/>
      <c r="BT76" s="337"/>
      <c r="BU76" s="339"/>
      <c r="BW76" s="236" t="str">
        <f>sum_level("o",'Needs 171007_1818'!D76:BU76)</f>
        <v/>
      </c>
      <c r="BX76" s="237" t="str">
        <f>sum_level("j",'Needs 171007_1818'!D76:BU76)</f>
        <v/>
      </c>
      <c r="BY76" s="237" t="str">
        <f>sum_level("m",'Needs 171007_1818'!D76:BU76)</f>
        <v/>
      </c>
      <c r="BZ76" s="237" t="str">
        <f>sum_level("s",'Needs 171007_1818'!D76:BU76)</f>
        <v/>
      </c>
      <c r="CA76" s="238" t="str">
        <f>sum_level("e",'Needs 171007_1818'!D76:BU76)</f>
        <v/>
      </c>
    </row>
    <row r="77" spans="2:79" ht="15.75" thickBot="1" x14ac:dyDescent="0.3">
      <c r="B77" s="435"/>
      <c r="C77" s="292" t="s">
        <v>116</v>
      </c>
      <c r="D77" s="340"/>
      <c r="E77" s="341"/>
      <c r="F77" s="341"/>
      <c r="G77" s="341"/>
      <c r="H77" s="342"/>
      <c r="I77" s="340"/>
      <c r="J77" s="341"/>
      <c r="K77" s="341"/>
      <c r="L77" s="341"/>
      <c r="M77" s="342"/>
      <c r="N77" s="340"/>
      <c r="O77" s="341"/>
      <c r="P77" s="341"/>
      <c r="Q77" s="341"/>
      <c r="R77" s="342"/>
      <c r="S77" s="340"/>
      <c r="T77" s="341"/>
      <c r="U77" s="341"/>
      <c r="V77" s="341"/>
      <c r="W77" s="342"/>
      <c r="X77" s="340"/>
      <c r="Y77" s="341"/>
      <c r="Z77" s="341"/>
      <c r="AA77" s="341"/>
      <c r="AB77" s="342"/>
      <c r="AC77" s="340"/>
      <c r="AD77" s="341"/>
      <c r="AE77" s="341"/>
      <c r="AF77" s="341"/>
      <c r="AG77" s="342"/>
      <c r="AH77" s="340"/>
      <c r="AI77" s="341"/>
      <c r="AJ77" s="341"/>
      <c r="AK77" s="341"/>
      <c r="AL77" s="342"/>
      <c r="AM77" s="340"/>
      <c r="AN77" s="341"/>
      <c r="AO77" s="341"/>
      <c r="AP77" s="341"/>
      <c r="AQ77" s="342"/>
      <c r="AR77" s="340"/>
      <c r="AS77" s="341"/>
      <c r="AT77" s="341"/>
      <c r="AU77" s="341"/>
      <c r="AV77" s="342"/>
      <c r="AW77" s="340"/>
      <c r="AX77" s="341"/>
      <c r="AY77" s="341"/>
      <c r="AZ77" s="341"/>
      <c r="BA77" s="342"/>
      <c r="BB77" s="340"/>
      <c r="BC77" s="341"/>
      <c r="BD77" s="341"/>
      <c r="BE77" s="341"/>
      <c r="BF77" s="342"/>
      <c r="BG77" s="340"/>
      <c r="BH77" s="341"/>
      <c r="BI77" s="341"/>
      <c r="BJ77" s="341"/>
      <c r="BK77" s="342"/>
      <c r="BL77" s="340"/>
      <c r="BM77" s="341"/>
      <c r="BN77" s="341"/>
      <c r="BO77" s="341"/>
      <c r="BP77" s="342"/>
      <c r="BQ77" s="340"/>
      <c r="BR77" s="341"/>
      <c r="BS77" s="341"/>
      <c r="BT77" s="341"/>
      <c r="BU77" s="343"/>
      <c r="BW77" s="239" t="str">
        <f>sum_level("o",'Needs 171007_1818'!D77:BU77)</f>
        <v/>
      </c>
      <c r="BX77" s="240" t="str">
        <f>sum_level("j",'Needs 171007_1818'!D77:BU77)</f>
        <v/>
      </c>
      <c r="BY77" s="240" t="str">
        <f>sum_level("m",'Needs 171007_1818'!D77:BU77)</f>
        <v/>
      </c>
      <c r="BZ77" s="240" t="str">
        <f>sum_level("s",'Needs 171007_1818'!D77:BU77)</f>
        <v/>
      </c>
      <c r="CA77" s="241" t="str">
        <f>sum_level("e",'Needs 171007_1818'!D77:BU77)</f>
        <v/>
      </c>
    </row>
    <row r="78" spans="2:79" ht="12.75" customHeight="1" thickTop="1" thickBot="1" x14ac:dyDescent="0.3">
      <c r="B78" s="436"/>
      <c r="C78" s="248"/>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s="344"/>
      <c r="BN78" s="344"/>
      <c r="BO78" s="344"/>
      <c r="BP78" s="344"/>
      <c r="BQ78" s="344"/>
      <c r="BR78" s="344"/>
      <c r="BS78" s="344"/>
      <c r="BT78" s="344"/>
      <c r="BU78" s="344"/>
      <c r="BW78" s="249"/>
      <c r="BX78" s="249"/>
      <c r="BY78" s="249"/>
      <c r="BZ78" s="249"/>
      <c r="CA78" s="249"/>
    </row>
    <row r="79" spans="2:79" ht="15.75" thickTop="1" x14ac:dyDescent="0.25">
      <c r="B79" s="434" t="s">
        <v>267</v>
      </c>
      <c r="C79" s="290" t="s">
        <v>269</v>
      </c>
      <c r="D79" s="332"/>
      <c r="E79" s="333"/>
      <c r="F79" s="333"/>
      <c r="G79" s="333"/>
      <c r="H79" s="334"/>
      <c r="I79" s="332"/>
      <c r="J79" s="333"/>
      <c r="K79" s="333"/>
      <c r="L79" s="333"/>
      <c r="M79" s="334"/>
      <c r="N79" s="332"/>
      <c r="O79" s="333"/>
      <c r="P79" s="333"/>
      <c r="Q79" s="333"/>
      <c r="R79" s="334"/>
      <c r="S79" s="332"/>
      <c r="T79" s="333"/>
      <c r="U79" s="333"/>
      <c r="V79" s="333"/>
      <c r="W79" s="334"/>
      <c r="X79" s="332"/>
      <c r="Y79" s="333"/>
      <c r="Z79" s="333"/>
      <c r="AA79" s="333"/>
      <c r="AB79" s="334"/>
      <c r="AC79" s="332"/>
      <c r="AD79" s="333"/>
      <c r="AE79" s="333"/>
      <c r="AF79" s="333"/>
      <c r="AG79" s="334"/>
      <c r="AH79" s="332"/>
      <c r="AI79" s="333"/>
      <c r="AJ79" s="333"/>
      <c r="AK79" s="333"/>
      <c r="AL79" s="334"/>
      <c r="AM79" s="332"/>
      <c r="AN79" s="333"/>
      <c r="AO79" s="333"/>
      <c r="AP79" s="333"/>
      <c r="AQ79" s="334"/>
      <c r="AR79" s="332"/>
      <c r="AS79" s="333"/>
      <c r="AT79" s="333"/>
      <c r="AU79" s="333"/>
      <c r="AV79" s="334"/>
      <c r="AW79" s="332"/>
      <c r="AX79" s="333"/>
      <c r="AY79" s="333"/>
      <c r="AZ79" s="333"/>
      <c r="BA79" s="334"/>
      <c r="BB79" s="332"/>
      <c r="BC79" s="333"/>
      <c r="BD79" s="333"/>
      <c r="BE79" s="333"/>
      <c r="BF79" s="334"/>
      <c r="BG79" s="332"/>
      <c r="BH79" s="333"/>
      <c r="BI79" s="333"/>
      <c r="BJ79" s="333"/>
      <c r="BK79" s="334"/>
      <c r="BL79" s="332"/>
      <c r="BM79" s="333"/>
      <c r="BN79" s="333"/>
      <c r="BO79" s="333"/>
      <c r="BP79" s="334"/>
      <c r="BQ79" s="332"/>
      <c r="BR79" s="333"/>
      <c r="BS79" s="333"/>
      <c r="BT79" s="333"/>
      <c r="BU79" s="335"/>
      <c r="BW79" s="233" t="str">
        <f>sum_level("o",'Needs 171007_1818'!D79:BU79)</f>
        <v/>
      </c>
      <c r="BX79" s="234" t="str">
        <f>sum_level("j",'Needs 171007_1818'!D79:BU79)</f>
        <v/>
      </c>
      <c r="BY79" s="234" t="str">
        <f>sum_level("m",'Needs 171007_1818'!D79:BU79)</f>
        <v/>
      </c>
      <c r="BZ79" s="234" t="str">
        <f>sum_level("s",'Needs 171007_1818'!D79:BU79)</f>
        <v/>
      </c>
      <c r="CA79" s="235" t="str">
        <f>sum_level("e",'Needs 171007_1818'!D79:BU79)</f>
        <v/>
      </c>
    </row>
    <row r="80" spans="2:79" x14ac:dyDescent="0.25">
      <c r="B80" s="435"/>
      <c r="C80" s="291" t="s">
        <v>270</v>
      </c>
      <c r="D80" s="336"/>
      <c r="E80" s="337"/>
      <c r="F80" s="337"/>
      <c r="G80" s="337"/>
      <c r="H80" s="338"/>
      <c r="I80" s="336"/>
      <c r="J80" s="337"/>
      <c r="K80" s="337"/>
      <c r="L80" s="337"/>
      <c r="M80" s="338"/>
      <c r="N80" s="336"/>
      <c r="O80" s="337"/>
      <c r="P80" s="337"/>
      <c r="Q80" s="337"/>
      <c r="R80" s="338"/>
      <c r="S80" s="336"/>
      <c r="T80" s="337"/>
      <c r="U80" s="337"/>
      <c r="V80" s="337"/>
      <c r="W80" s="338"/>
      <c r="X80" s="336"/>
      <c r="Y80" s="337"/>
      <c r="Z80" s="337"/>
      <c r="AA80" s="337"/>
      <c r="AB80" s="338"/>
      <c r="AC80" s="336"/>
      <c r="AD80" s="337"/>
      <c r="AE80" s="337"/>
      <c r="AF80" s="337"/>
      <c r="AG80" s="338"/>
      <c r="AH80" s="336"/>
      <c r="AI80" s="337"/>
      <c r="AJ80" s="337"/>
      <c r="AK80" s="337"/>
      <c r="AL80" s="338"/>
      <c r="AM80" s="336"/>
      <c r="AN80" s="337"/>
      <c r="AO80" s="337"/>
      <c r="AP80" s="337"/>
      <c r="AQ80" s="338"/>
      <c r="AR80" s="336"/>
      <c r="AS80" s="337"/>
      <c r="AT80" s="337"/>
      <c r="AU80" s="337"/>
      <c r="AV80" s="338"/>
      <c r="AW80" s="336"/>
      <c r="AX80" s="337"/>
      <c r="AY80" s="337"/>
      <c r="AZ80" s="337"/>
      <c r="BA80" s="338"/>
      <c r="BB80" s="336"/>
      <c r="BC80" s="337"/>
      <c r="BD80" s="337"/>
      <c r="BE80" s="337"/>
      <c r="BF80" s="338"/>
      <c r="BG80" s="336"/>
      <c r="BH80" s="337"/>
      <c r="BI80" s="337"/>
      <c r="BJ80" s="337"/>
      <c r="BK80" s="338"/>
      <c r="BL80" s="336"/>
      <c r="BM80" s="337"/>
      <c r="BN80" s="337"/>
      <c r="BO80" s="337"/>
      <c r="BP80" s="338"/>
      <c r="BQ80" s="336"/>
      <c r="BR80" s="337"/>
      <c r="BS80" s="337"/>
      <c r="BT80" s="337"/>
      <c r="BU80" s="339"/>
      <c r="BW80" s="236" t="str">
        <f>sum_level("o",'Needs 171007_1818'!D80:BU80)</f>
        <v/>
      </c>
      <c r="BX80" s="237" t="str">
        <f>sum_level("j",'Needs 171007_1818'!D80:BU80)</f>
        <v/>
      </c>
      <c r="BY80" s="237" t="str">
        <f>sum_level("m",'Needs 171007_1818'!D80:BU80)</f>
        <v/>
      </c>
      <c r="BZ80" s="237" t="str">
        <f>sum_level("s",'Needs 171007_1818'!D80:BU80)</f>
        <v/>
      </c>
      <c r="CA80" s="238" t="str">
        <f>sum_level("e",'Needs 171007_1818'!D80:BU80)</f>
        <v/>
      </c>
    </row>
    <row r="81" spans="2:79" x14ac:dyDescent="0.25">
      <c r="B81" s="435"/>
      <c r="C81" s="291" t="s">
        <v>271</v>
      </c>
      <c r="D81" s="336"/>
      <c r="E81" s="337"/>
      <c r="F81" s="337"/>
      <c r="G81" s="337"/>
      <c r="H81" s="338"/>
      <c r="I81" s="336"/>
      <c r="J81" s="337"/>
      <c r="K81" s="337"/>
      <c r="L81" s="337"/>
      <c r="M81" s="338"/>
      <c r="N81" s="336"/>
      <c r="O81" s="337"/>
      <c r="P81" s="337"/>
      <c r="Q81" s="337"/>
      <c r="R81" s="338"/>
      <c r="S81" s="336"/>
      <c r="T81" s="337"/>
      <c r="U81" s="337"/>
      <c r="V81" s="337"/>
      <c r="W81" s="338"/>
      <c r="X81" s="336"/>
      <c r="Y81" s="337"/>
      <c r="Z81" s="337"/>
      <c r="AA81" s="337"/>
      <c r="AB81" s="338"/>
      <c r="AC81" s="336"/>
      <c r="AD81" s="337"/>
      <c r="AE81" s="337"/>
      <c r="AF81" s="337"/>
      <c r="AG81" s="338"/>
      <c r="AH81" s="336"/>
      <c r="AI81" s="337"/>
      <c r="AJ81" s="337"/>
      <c r="AK81" s="337"/>
      <c r="AL81" s="338"/>
      <c r="AM81" s="336"/>
      <c r="AN81" s="337"/>
      <c r="AO81" s="337"/>
      <c r="AP81" s="337"/>
      <c r="AQ81" s="338"/>
      <c r="AR81" s="336"/>
      <c r="AS81" s="337"/>
      <c r="AT81" s="337"/>
      <c r="AU81" s="337"/>
      <c r="AV81" s="338"/>
      <c r="AW81" s="336"/>
      <c r="AX81" s="337"/>
      <c r="AY81" s="337"/>
      <c r="AZ81" s="337"/>
      <c r="BA81" s="338"/>
      <c r="BB81" s="336"/>
      <c r="BC81" s="337"/>
      <c r="BD81" s="337"/>
      <c r="BE81" s="337"/>
      <c r="BF81" s="338"/>
      <c r="BG81" s="336"/>
      <c r="BH81" s="337"/>
      <c r="BI81" s="337"/>
      <c r="BJ81" s="337"/>
      <c r="BK81" s="338"/>
      <c r="BL81" s="336"/>
      <c r="BM81" s="337"/>
      <c r="BN81" s="337"/>
      <c r="BO81" s="337"/>
      <c r="BP81" s="338"/>
      <c r="BQ81" s="336"/>
      <c r="BR81" s="337"/>
      <c r="BS81" s="337"/>
      <c r="BT81" s="337"/>
      <c r="BU81" s="339"/>
      <c r="BW81" s="236" t="str">
        <f>sum_level("o",'Needs 171007_1818'!D81:BU81)</f>
        <v/>
      </c>
      <c r="BX81" s="237" t="str">
        <f>sum_level("j",'Needs 171007_1818'!D81:BU81)</f>
        <v/>
      </c>
      <c r="BY81" s="237" t="str">
        <f>sum_level("m",'Needs 171007_1818'!D81:BU81)</f>
        <v/>
      </c>
      <c r="BZ81" s="237" t="str">
        <f>sum_level("s",'Needs 171007_1818'!D81:BU81)</f>
        <v/>
      </c>
      <c r="CA81" s="238" t="str">
        <f>sum_level("e",'Needs 171007_1818'!D81:BU81)</f>
        <v/>
      </c>
    </row>
    <row r="82" spans="2:79" x14ac:dyDescent="0.25">
      <c r="B82" s="435"/>
      <c r="C82" s="291" t="s">
        <v>272</v>
      </c>
      <c r="D82" s="336"/>
      <c r="E82" s="337"/>
      <c r="F82" s="337"/>
      <c r="G82" s="337"/>
      <c r="H82" s="338"/>
      <c r="I82" s="336"/>
      <c r="J82" s="337"/>
      <c r="K82" s="337"/>
      <c r="L82" s="337"/>
      <c r="M82" s="338"/>
      <c r="N82" s="336"/>
      <c r="O82" s="337"/>
      <c r="P82" s="337"/>
      <c r="Q82" s="337"/>
      <c r="R82" s="338"/>
      <c r="S82" s="336"/>
      <c r="T82" s="337"/>
      <c r="U82" s="337"/>
      <c r="V82" s="337"/>
      <c r="W82" s="338"/>
      <c r="X82" s="336"/>
      <c r="Y82" s="337"/>
      <c r="Z82" s="337"/>
      <c r="AA82" s="337"/>
      <c r="AB82" s="338"/>
      <c r="AC82" s="336"/>
      <c r="AD82" s="337"/>
      <c r="AE82" s="337"/>
      <c r="AF82" s="337"/>
      <c r="AG82" s="338"/>
      <c r="AH82" s="336"/>
      <c r="AI82" s="337"/>
      <c r="AJ82" s="337"/>
      <c r="AK82" s="337"/>
      <c r="AL82" s="338"/>
      <c r="AM82" s="336"/>
      <c r="AN82" s="337"/>
      <c r="AO82" s="337"/>
      <c r="AP82" s="337"/>
      <c r="AQ82" s="338"/>
      <c r="AR82" s="336"/>
      <c r="AS82" s="337"/>
      <c r="AT82" s="337"/>
      <c r="AU82" s="337"/>
      <c r="AV82" s="338"/>
      <c r="AW82" s="336"/>
      <c r="AX82" s="337"/>
      <c r="AY82" s="337"/>
      <c r="AZ82" s="337"/>
      <c r="BA82" s="338"/>
      <c r="BB82" s="336"/>
      <c r="BC82" s="337"/>
      <c r="BD82" s="337"/>
      <c r="BE82" s="337"/>
      <c r="BF82" s="338"/>
      <c r="BG82" s="336"/>
      <c r="BH82" s="337"/>
      <c r="BI82" s="337"/>
      <c r="BJ82" s="337"/>
      <c r="BK82" s="338"/>
      <c r="BL82" s="336"/>
      <c r="BM82" s="337"/>
      <c r="BN82" s="337"/>
      <c r="BO82" s="337"/>
      <c r="BP82" s="338"/>
      <c r="BQ82" s="336"/>
      <c r="BR82" s="337"/>
      <c r="BS82" s="337"/>
      <c r="BT82" s="337"/>
      <c r="BU82" s="339"/>
      <c r="BW82" s="236" t="str">
        <f>sum_level("o",'Needs 171007_1818'!D82:BU82)</f>
        <v/>
      </c>
      <c r="BX82" s="237" t="str">
        <f>sum_level("j",'Needs 171007_1818'!D82:BU82)</f>
        <v/>
      </c>
      <c r="BY82" s="237" t="str">
        <f>sum_level("m",'Needs 171007_1818'!D82:BU82)</f>
        <v/>
      </c>
      <c r="BZ82" s="237" t="str">
        <f>sum_level("s",'Needs 171007_1818'!D82:BU82)</f>
        <v/>
      </c>
      <c r="CA82" s="238" t="str">
        <f>sum_level("e",'Needs 171007_1818'!D82:BU82)</f>
        <v/>
      </c>
    </row>
    <row r="83" spans="2:79" x14ac:dyDescent="0.25">
      <c r="B83" s="435"/>
      <c r="C83" s="291" t="s">
        <v>273</v>
      </c>
      <c r="D83" s="336"/>
      <c r="E83" s="337"/>
      <c r="F83" s="337"/>
      <c r="G83" s="337"/>
      <c r="H83" s="338"/>
      <c r="I83" s="336"/>
      <c r="J83" s="337"/>
      <c r="K83" s="337"/>
      <c r="L83" s="337"/>
      <c r="M83" s="338"/>
      <c r="N83" s="336"/>
      <c r="O83" s="337"/>
      <c r="P83" s="337"/>
      <c r="Q83" s="337"/>
      <c r="R83" s="338"/>
      <c r="S83" s="336"/>
      <c r="T83" s="337"/>
      <c r="U83" s="337"/>
      <c r="V83" s="337"/>
      <c r="W83" s="338"/>
      <c r="X83" s="336"/>
      <c r="Y83" s="337"/>
      <c r="Z83" s="337"/>
      <c r="AA83" s="337"/>
      <c r="AB83" s="338"/>
      <c r="AC83" s="336"/>
      <c r="AD83" s="337"/>
      <c r="AE83" s="337"/>
      <c r="AF83" s="337"/>
      <c r="AG83" s="338"/>
      <c r="AH83" s="336"/>
      <c r="AI83" s="337"/>
      <c r="AJ83" s="337"/>
      <c r="AK83" s="337"/>
      <c r="AL83" s="338"/>
      <c r="AM83" s="336"/>
      <c r="AN83" s="337"/>
      <c r="AO83" s="337"/>
      <c r="AP83" s="337"/>
      <c r="AQ83" s="338"/>
      <c r="AR83" s="336"/>
      <c r="AS83" s="337"/>
      <c r="AT83" s="337"/>
      <c r="AU83" s="337"/>
      <c r="AV83" s="338"/>
      <c r="AW83" s="336"/>
      <c r="AX83" s="337"/>
      <c r="AY83" s="337"/>
      <c r="AZ83" s="337"/>
      <c r="BA83" s="338"/>
      <c r="BB83" s="336"/>
      <c r="BC83" s="337"/>
      <c r="BD83" s="337"/>
      <c r="BE83" s="337"/>
      <c r="BF83" s="338"/>
      <c r="BG83" s="336"/>
      <c r="BH83" s="337"/>
      <c r="BI83" s="337"/>
      <c r="BJ83" s="337"/>
      <c r="BK83" s="338"/>
      <c r="BL83" s="336"/>
      <c r="BM83" s="337"/>
      <c r="BN83" s="337"/>
      <c r="BO83" s="337"/>
      <c r="BP83" s="338"/>
      <c r="BQ83" s="336"/>
      <c r="BR83" s="337"/>
      <c r="BS83" s="337"/>
      <c r="BT83" s="337"/>
      <c r="BU83" s="339"/>
      <c r="BW83" s="236" t="str">
        <f>sum_level("o",'Needs 171007_1818'!D83:BU83)</f>
        <v/>
      </c>
      <c r="BX83" s="237" t="str">
        <f>sum_level("j",'Needs 171007_1818'!D83:BU83)</f>
        <v/>
      </c>
      <c r="BY83" s="237" t="str">
        <f>sum_level("m",'Needs 171007_1818'!D83:BU83)</f>
        <v/>
      </c>
      <c r="BZ83" s="237" t="str">
        <f>sum_level("s",'Needs 171007_1818'!D83:BU83)</f>
        <v/>
      </c>
      <c r="CA83" s="238" t="str">
        <f>sum_level("e",'Needs 171007_1818'!D83:BU83)</f>
        <v/>
      </c>
    </row>
    <row r="84" spans="2:79" x14ac:dyDescent="0.25">
      <c r="B84" s="435"/>
      <c r="C84" s="291" t="s">
        <v>274</v>
      </c>
      <c r="D84" s="336"/>
      <c r="E84" s="337"/>
      <c r="F84" s="337"/>
      <c r="G84" s="337"/>
      <c r="H84" s="338"/>
      <c r="I84" s="336"/>
      <c r="J84" s="337"/>
      <c r="K84" s="337"/>
      <c r="L84" s="337"/>
      <c r="M84" s="338"/>
      <c r="N84" s="336"/>
      <c r="O84" s="337"/>
      <c r="P84" s="337"/>
      <c r="Q84" s="337"/>
      <c r="R84" s="338"/>
      <c r="S84" s="336"/>
      <c r="T84" s="337"/>
      <c r="U84" s="337"/>
      <c r="V84" s="337"/>
      <c r="W84" s="338"/>
      <c r="X84" s="336"/>
      <c r="Y84" s="337"/>
      <c r="Z84" s="337"/>
      <c r="AA84" s="337"/>
      <c r="AB84" s="338"/>
      <c r="AC84" s="336"/>
      <c r="AD84" s="337"/>
      <c r="AE84" s="337"/>
      <c r="AF84" s="337"/>
      <c r="AG84" s="338"/>
      <c r="AH84" s="336"/>
      <c r="AI84" s="337"/>
      <c r="AJ84" s="337"/>
      <c r="AK84" s="337"/>
      <c r="AL84" s="338"/>
      <c r="AM84" s="336"/>
      <c r="AN84" s="337"/>
      <c r="AO84" s="337"/>
      <c r="AP84" s="337"/>
      <c r="AQ84" s="338"/>
      <c r="AR84" s="336"/>
      <c r="AS84" s="337"/>
      <c r="AT84" s="337"/>
      <c r="AU84" s="337"/>
      <c r="AV84" s="338"/>
      <c r="AW84" s="336"/>
      <c r="AX84" s="337"/>
      <c r="AY84" s="337"/>
      <c r="AZ84" s="337"/>
      <c r="BA84" s="338"/>
      <c r="BB84" s="336"/>
      <c r="BC84" s="337"/>
      <c r="BD84" s="337"/>
      <c r="BE84" s="337"/>
      <c r="BF84" s="338"/>
      <c r="BG84" s="336"/>
      <c r="BH84" s="337"/>
      <c r="BI84" s="337"/>
      <c r="BJ84" s="337"/>
      <c r="BK84" s="338"/>
      <c r="BL84" s="336"/>
      <c r="BM84" s="337"/>
      <c r="BN84" s="337"/>
      <c r="BO84" s="337"/>
      <c r="BP84" s="338"/>
      <c r="BQ84" s="336"/>
      <c r="BR84" s="337"/>
      <c r="BS84" s="337"/>
      <c r="BT84" s="337"/>
      <c r="BU84" s="339"/>
      <c r="BW84" s="236" t="str">
        <f>sum_level("o",'Needs 171007_1818'!D84:BU84)</f>
        <v/>
      </c>
      <c r="BX84" s="237" t="str">
        <f>sum_level("j",'Needs 171007_1818'!D84:BU84)</f>
        <v/>
      </c>
      <c r="BY84" s="237" t="str">
        <f>sum_level("m",'Needs 171007_1818'!D84:BU84)</f>
        <v/>
      </c>
      <c r="BZ84" s="237" t="str">
        <f>sum_level("s",'Needs 171007_1818'!D84:BU84)</f>
        <v/>
      </c>
      <c r="CA84" s="238" t="str">
        <f>sum_level("e",'Needs 171007_1818'!D84:BU84)</f>
        <v/>
      </c>
    </row>
    <row r="85" spans="2:79" x14ac:dyDescent="0.25">
      <c r="B85" s="435"/>
      <c r="C85" s="291" t="s">
        <v>275</v>
      </c>
      <c r="D85" s="336"/>
      <c r="E85" s="337"/>
      <c r="F85" s="337"/>
      <c r="G85" s="337"/>
      <c r="H85" s="338"/>
      <c r="I85" s="336"/>
      <c r="J85" s="337"/>
      <c r="K85" s="337"/>
      <c r="L85" s="337"/>
      <c r="M85" s="338"/>
      <c r="N85" s="336"/>
      <c r="O85" s="337"/>
      <c r="P85" s="337"/>
      <c r="Q85" s="337"/>
      <c r="R85" s="338"/>
      <c r="S85" s="336"/>
      <c r="T85" s="337"/>
      <c r="U85" s="337"/>
      <c r="V85" s="337"/>
      <c r="W85" s="338"/>
      <c r="X85" s="336"/>
      <c r="Y85" s="337"/>
      <c r="Z85" s="337"/>
      <c r="AA85" s="337"/>
      <c r="AB85" s="338"/>
      <c r="AC85" s="336"/>
      <c r="AD85" s="337"/>
      <c r="AE85" s="337"/>
      <c r="AF85" s="337"/>
      <c r="AG85" s="338"/>
      <c r="AH85" s="336"/>
      <c r="AI85" s="337"/>
      <c r="AJ85" s="337"/>
      <c r="AK85" s="337"/>
      <c r="AL85" s="338"/>
      <c r="AM85" s="336"/>
      <c r="AN85" s="337"/>
      <c r="AO85" s="337"/>
      <c r="AP85" s="337"/>
      <c r="AQ85" s="338"/>
      <c r="AR85" s="336"/>
      <c r="AS85" s="337"/>
      <c r="AT85" s="337"/>
      <c r="AU85" s="337"/>
      <c r="AV85" s="338"/>
      <c r="AW85" s="336"/>
      <c r="AX85" s="337"/>
      <c r="AY85" s="337"/>
      <c r="AZ85" s="337"/>
      <c r="BA85" s="338"/>
      <c r="BB85" s="336"/>
      <c r="BC85" s="337"/>
      <c r="BD85" s="337"/>
      <c r="BE85" s="337"/>
      <c r="BF85" s="338"/>
      <c r="BG85" s="336"/>
      <c r="BH85" s="337"/>
      <c r="BI85" s="337"/>
      <c r="BJ85" s="337"/>
      <c r="BK85" s="338"/>
      <c r="BL85" s="336"/>
      <c r="BM85" s="337"/>
      <c r="BN85" s="337"/>
      <c r="BO85" s="337"/>
      <c r="BP85" s="338"/>
      <c r="BQ85" s="336"/>
      <c r="BR85" s="337"/>
      <c r="BS85" s="337"/>
      <c r="BT85" s="337"/>
      <c r="BU85" s="339"/>
      <c r="BW85" s="236" t="str">
        <f>sum_level("o",'Needs 171007_1818'!D85:BU85)</f>
        <v/>
      </c>
      <c r="BX85" s="237" t="str">
        <f>sum_level("j",'Needs 171007_1818'!D85:BU85)</f>
        <v/>
      </c>
      <c r="BY85" s="237" t="str">
        <f>sum_level("m",'Needs 171007_1818'!D85:BU85)</f>
        <v/>
      </c>
      <c r="BZ85" s="237" t="str">
        <f>sum_level("s",'Needs 171007_1818'!D85:BU85)</f>
        <v/>
      </c>
      <c r="CA85" s="238" t="str">
        <f>sum_level("e",'Needs 171007_1818'!D85:BU85)</f>
        <v/>
      </c>
    </row>
    <row r="86" spans="2:79" x14ac:dyDescent="0.25">
      <c r="B86" s="435"/>
      <c r="C86" s="291" t="s">
        <v>281</v>
      </c>
      <c r="D86" s="336"/>
      <c r="E86" s="337"/>
      <c r="F86" s="337"/>
      <c r="G86" s="337"/>
      <c r="H86" s="338"/>
      <c r="I86" s="336"/>
      <c r="J86" s="337"/>
      <c r="K86" s="337"/>
      <c r="L86" s="337"/>
      <c r="M86" s="338"/>
      <c r="N86" s="336"/>
      <c r="O86" s="337"/>
      <c r="P86" s="337"/>
      <c r="Q86" s="337"/>
      <c r="R86" s="338"/>
      <c r="S86" s="336"/>
      <c r="T86" s="337"/>
      <c r="U86" s="337"/>
      <c r="V86" s="337"/>
      <c r="W86" s="338"/>
      <c r="X86" s="336"/>
      <c r="Y86" s="337"/>
      <c r="Z86" s="337"/>
      <c r="AA86" s="337"/>
      <c r="AB86" s="338"/>
      <c r="AC86" s="336"/>
      <c r="AD86" s="337"/>
      <c r="AE86" s="337"/>
      <c r="AF86" s="337"/>
      <c r="AG86" s="338"/>
      <c r="AH86" s="336"/>
      <c r="AI86" s="337"/>
      <c r="AJ86" s="337"/>
      <c r="AK86" s="337"/>
      <c r="AL86" s="338"/>
      <c r="AM86" s="336"/>
      <c r="AN86" s="337"/>
      <c r="AO86" s="337"/>
      <c r="AP86" s="337"/>
      <c r="AQ86" s="338"/>
      <c r="AR86" s="336"/>
      <c r="AS86" s="337"/>
      <c r="AT86" s="337"/>
      <c r="AU86" s="337"/>
      <c r="AV86" s="338"/>
      <c r="AW86" s="336"/>
      <c r="AX86" s="337"/>
      <c r="AY86" s="337"/>
      <c r="AZ86" s="337"/>
      <c r="BA86" s="338"/>
      <c r="BB86" s="336"/>
      <c r="BC86" s="337"/>
      <c r="BD86" s="337"/>
      <c r="BE86" s="337"/>
      <c r="BF86" s="338"/>
      <c r="BG86" s="336"/>
      <c r="BH86" s="337"/>
      <c r="BI86" s="337"/>
      <c r="BJ86" s="337"/>
      <c r="BK86" s="338"/>
      <c r="BL86" s="336"/>
      <c r="BM86" s="337"/>
      <c r="BN86" s="337"/>
      <c r="BO86" s="337"/>
      <c r="BP86" s="338"/>
      <c r="BQ86" s="336"/>
      <c r="BR86" s="337"/>
      <c r="BS86" s="337"/>
      <c r="BT86" s="337"/>
      <c r="BU86" s="339"/>
      <c r="BW86" s="236" t="str">
        <f>sum_level("o",'Needs 171007_1818'!D86:BU86)</f>
        <v/>
      </c>
      <c r="BX86" s="237" t="str">
        <f>sum_level("j",'Needs 171007_1818'!D86:BU86)</f>
        <v/>
      </c>
      <c r="BY86" s="237" t="str">
        <f>sum_level("m",'Needs 171007_1818'!D86:BU86)</f>
        <v/>
      </c>
      <c r="BZ86" s="237" t="str">
        <f>sum_level("s",'Needs 171007_1818'!D86:BU86)</f>
        <v/>
      </c>
      <c r="CA86" s="238" t="str">
        <f>sum_level("e",'Needs 171007_1818'!D86:BU86)</f>
        <v/>
      </c>
    </row>
    <row r="87" spans="2:79" x14ac:dyDescent="0.25">
      <c r="B87" s="435"/>
      <c r="C87" s="291" t="s">
        <v>276</v>
      </c>
      <c r="D87" s="336"/>
      <c r="E87" s="337"/>
      <c r="F87" s="337"/>
      <c r="G87" s="337"/>
      <c r="H87" s="338"/>
      <c r="I87" s="336"/>
      <c r="J87" s="337"/>
      <c r="K87" s="337"/>
      <c r="L87" s="337"/>
      <c r="M87" s="338"/>
      <c r="N87" s="336"/>
      <c r="O87" s="337"/>
      <c r="P87" s="337"/>
      <c r="Q87" s="337"/>
      <c r="R87" s="338"/>
      <c r="S87" s="336"/>
      <c r="T87" s="337"/>
      <c r="U87" s="337"/>
      <c r="V87" s="337"/>
      <c r="W87" s="338"/>
      <c r="X87" s="336"/>
      <c r="Y87" s="337"/>
      <c r="Z87" s="337"/>
      <c r="AA87" s="337"/>
      <c r="AB87" s="338"/>
      <c r="AC87" s="336"/>
      <c r="AD87" s="337"/>
      <c r="AE87" s="337"/>
      <c r="AF87" s="337"/>
      <c r="AG87" s="338"/>
      <c r="AH87" s="336"/>
      <c r="AI87" s="337"/>
      <c r="AJ87" s="337"/>
      <c r="AK87" s="337"/>
      <c r="AL87" s="338"/>
      <c r="AM87" s="336"/>
      <c r="AN87" s="337"/>
      <c r="AO87" s="337"/>
      <c r="AP87" s="337"/>
      <c r="AQ87" s="338"/>
      <c r="AR87" s="336"/>
      <c r="AS87" s="337"/>
      <c r="AT87" s="337"/>
      <c r="AU87" s="337"/>
      <c r="AV87" s="338"/>
      <c r="AW87" s="336"/>
      <c r="AX87" s="337"/>
      <c r="AY87" s="337"/>
      <c r="AZ87" s="337"/>
      <c r="BA87" s="338"/>
      <c r="BB87" s="336"/>
      <c r="BC87" s="337"/>
      <c r="BD87" s="337"/>
      <c r="BE87" s="337"/>
      <c r="BF87" s="338"/>
      <c r="BG87" s="336"/>
      <c r="BH87" s="337"/>
      <c r="BI87" s="337"/>
      <c r="BJ87" s="337"/>
      <c r="BK87" s="338"/>
      <c r="BL87" s="336"/>
      <c r="BM87" s="337"/>
      <c r="BN87" s="337"/>
      <c r="BO87" s="337"/>
      <c r="BP87" s="338"/>
      <c r="BQ87" s="336"/>
      <c r="BR87" s="337"/>
      <c r="BS87" s="337"/>
      <c r="BT87" s="337"/>
      <c r="BU87" s="339"/>
      <c r="BW87" s="236" t="str">
        <f>sum_level("o",'Needs 171007_1818'!D87:BU87)</f>
        <v/>
      </c>
      <c r="BX87" s="237" t="str">
        <f>sum_level("j",'Needs 171007_1818'!D87:BU87)</f>
        <v/>
      </c>
      <c r="BY87" s="237" t="str">
        <f>sum_level("m",'Needs 171007_1818'!D87:BU87)</f>
        <v/>
      </c>
      <c r="BZ87" s="237" t="str">
        <f>sum_level("s",'Needs 171007_1818'!D87:BU87)</f>
        <v/>
      </c>
      <c r="CA87" s="238" t="str">
        <f>sum_level("e",'Needs 171007_1818'!D87:BU87)</f>
        <v/>
      </c>
    </row>
    <row r="88" spans="2:79" x14ac:dyDescent="0.25">
      <c r="B88" s="435"/>
      <c r="C88" s="291" t="s">
        <v>277</v>
      </c>
      <c r="D88" s="336"/>
      <c r="E88" s="337"/>
      <c r="F88" s="337"/>
      <c r="G88" s="337"/>
      <c r="H88" s="338"/>
      <c r="I88" s="336"/>
      <c r="J88" s="337"/>
      <c r="K88" s="337"/>
      <c r="L88" s="337"/>
      <c r="M88" s="338"/>
      <c r="N88" s="336"/>
      <c r="O88" s="337"/>
      <c r="P88" s="337"/>
      <c r="Q88" s="337"/>
      <c r="R88" s="338"/>
      <c r="S88" s="336"/>
      <c r="T88" s="337"/>
      <c r="U88" s="337"/>
      <c r="V88" s="337"/>
      <c r="W88" s="338"/>
      <c r="X88" s="336"/>
      <c r="Y88" s="337"/>
      <c r="Z88" s="337"/>
      <c r="AA88" s="337"/>
      <c r="AB88" s="338"/>
      <c r="AC88" s="336"/>
      <c r="AD88" s="337"/>
      <c r="AE88" s="337"/>
      <c r="AF88" s="337"/>
      <c r="AG88" s="338"/>
      <c r="AH88" s="336"/>
      <c r="AI88" s="337"/>
      <c r="AJ88" s="337"/>
      <c r="AK88" s="337"/>
      <c r="AL88" s="338"/>
      <c r="AM88" s="336"/>
      <c r="AN88" s="337"/>
      <c r="AO88" s="337"/>
      <c r="AP88" s="337"/>
      <c r="AQ88" s="338"/>
      <c r="AR88" s="336"/>
      <c r="AS88" s="337"/>
      <c r="AT88" s="337"/>
      <c r="AU88" s="337"/>
      <c r="AV88" s="338"/>
      <c r="AW88" s="336"/>
      <c r="AX88" s="337"/>
      <c r="AY88" s="337"/>
      <c r="AZ88" s="337"/>
      <c r="BA88" s="338"/>
      <c r="BB88" s="336"/>
      <c r="BC88" s="337"/>
      <c r="BD88" s="337"/>
      <c r="BE88" s="337"/>
      <c r="BF88" s="338"/>
      <c r="BG88" s="336"/>
      <c r="BH88" s="337"/>
      <c r="BI88" s="337"/>
      <c r="BJ88" s="337"/>
      <c r="BK88" s="338"/>
      <c r="BL88" s="336"/>
      <c r="BM88" s="337"/>
      <c r="BN88" s="337"/>
      <c r="BO88" s="337"/>
      <c r="BP88" s="338"/>
      <c r="BQ88" s="336"/>
      <c r="BR88" s="337"/>
      <c r="BS88" s="337"/>
      <c r="BT88" s="337"/>
      <c r="BU88" s="339"/>
      <c r="BW88" s="236" t="str">
        <f>sum_level("o",'Needs 171007_1818'!D88:BU88)</f>
        <v/>
      </c>
      <c r="BX88" s="237" t="str">
        <f>sum_level("j",'Needs 171007_1818'!D88:BU88)</f>
        <v/>
      </c>
      <c r="BY88" s="237" t="str">
        <f>sum_level("m",'Needs 171007_1818'!D88:BU88)</f>
        <v/>
      </c>
      <c r="BZ88" s="237" t="str">
        <f>sum_level("s",'Needs 171007_1818'!D88:BU88)</f>
        <v/>
      </c>
      <c r="CA88" s="238" t="str">
        <f>sum_level("e",'Needs 171007_1818'!D88:BU88)</f>
        <v/>
      </c>
    </row>
    <row r="89" spans="2:79" x14ac:dyDescent="0.25">
      <c r="B89" s="435"/>
      <c r="C89" s="291" t="s">
        <v>278</v>
      </c>
      <c r="D89" s="336"/>
      <c r="E89" s="337"/>
      <c r="F89" s="337"/>
      <c r="G89" s="337"/>
      <c r="H89" s="338"/>
      <c r="I89" s="336"/>
      <c r="J89" s="337"/>
      <c r="K89" s="337"/>
      <c r="L89" s="337"/>
      <c r="M89" s="338"/>
      <c r="N89" s="336"/>
      <c r="O89" s="337"/>
      <c r="P89" s="337"/>
      <c r="Q89" s="337"/>
      <c r="R89" s="338"/>
      <c r="S89" s="336"/>
      <c r="T89" s="337"/>
      <c r="U89" s="337"/>
      <c r="V89" s="337"/>
      <c r="W89" s="338"/>
      <c r="X89" s="336"/>
      <c r="Y89" s="337"/>
      <c r="Z89" s="337"/>
      <c r="AA89" s="337"/>
      <c r="AB89" s="338"/>
      <c r="AC89" s="336"/>
      <c r="AD89" s="337"/>
      <c r="AE89" s="337"/>
      <c r="AF89" s="337"/>
      <c r="AG89" s="338"/>
      <c r="AH89" s="336"/>
      <c r="AI89" s="337"/>
      <c r="AJ89" s="337"/>
      <c r="AK89" s="337"/>
      <c r="AL89" s="338"/>
      <c r="AM89" s="336"/>
      <c r="AN89" s="337"/>
      <c r="AO89" s="337"/>
      <c r="AP89" s="337"/>
      <c r="AQ89" s="338"/>
      <c r="AR89" s="336"/>
      <c r="AS89" s="337"/>
      <c r="AT89" s="337"/>
      <c r="AU89" s="337"/>
      <c r="AV89" s="338"/>
      <c r="AW89" s="336"/>
      <c r="AX89" s="337"/>
      <c r="AY89" s="337"/>
      <c r="AZ89" s="337"/>
      <c r="BA89" s="338"/>
      <c r="BB89" s="336"/>
      <c r="BC89" s="337"/>
      <c r="BD89" s="337"/>
      <c r="BE89" s="337"/>
      <c r="BF89" s="338"/>
      <c r="BG89" s="336"/>
      <c r="BH89" s="337"/>
      <c r="BI89" s="337"/>
      <c r="BJ89" s="337"/>
      <c r="BK89" s="338"/>
      <c r="BL89" s="336"/>
      <c r="BM89" s="337"/>
      <c r="BN89" s="337"/>
      <c r="BO89" s="337"/>
      <c r="BP89" s="338"/>
      <c r="BQ89" s="336"/>
      <c r="BR89" s="337"/>
      <c r="BS89" s="337"/>
      <c r="BT89" s="337"/>
      <c r="BU89" s="339"/>
      <c r="BW89" s="236" t="str">
        <f>sum_level("o",'Needs 171007_1818'!D89:BU89)</f>
        <v/>
      </c>
      <c r="BX89" s="237" t="str">
        <f>sum_level("j",'Needs 171007_1818'!D89:BU89)</f>
        <v/>
      </c>
      <c r="BY89" s="237" t="str">
        <f>sum_level("m",'Needs 171007_1818'!D89:BU89)</f>
        <v/>
      </c>
      <c r="BZ89" s="237" t="str">
        <f>sum_level("s",'Needs 171007_1818'!D89:BU89)</f>
        <v/>
      </c>
      <c r="CA89" s="238" t="str">
        <f>sum_level("e",'Needs 171007_1818'!D89:BU89)</f>
        <v/>
      </c>
    </row>
    <row r="90" spans="2:79" x14ac:dyDescent="0.25">
      <c r="B90" s="435"/>
      <c r="C90" s="291" t="s">
        <v>282</v>
      </c>
      <c r="D90" s="336"/>
      <c r="E90" s="337"/>
      <c r="F90" s="337"/>
      <c r="G90" s="337"/>
      <c r="H90" s="338"/>
      <c r="I90" s="336"/>
      <c r="J90" s="337"/>
      <c r="K90" s="337"/>
      <c r="L90" s="337"/>
      <c r="M90" s="338"/>
      <c r="N90" s="336"/>
      <c r="O90" s="337"/>
      <c r="P90" s="337"/>
      <c r="Q90" s="337"/>
      <c r="R90" s="338"/>
      <c r="S90" s="336"/>
      <c r="T90" s="337"/>
      <c r="U90" s="337"/>
      <c r="V90" s="337"/>
      <c r="W90" s="338"/>
      <c r="X90" s="336"/>
      <c r="Y90" s="337"/>
      <c r="Z90" s="337"/>
      <c r="AA90" s="337"/>
      <c r="AB90" s="338"/>
      <c r="AC90" s="336"/>
      <c r="AD90" s="337"/>
      <c r="AE90" s="337"/>
      <c r="AF90" s="337"/>
      <c r="AG90" s="338"/>
      <c r="AH90" s="336"/>
      <c r="AI90" s="337"/>
      <c r="AJ90" s="337"/>
      <c r="AK90" s="337"/>
      <c r="AL90" s="338"/>
      <c r="AM90" s="336"/>
      <c r="AN90" s="337"/>
      <c r="AO90" s="337"/>
      <c r="AP90" s="337"/>
      <c r="AQ90" s="338"/>
      <c r="AR90" s="336"/>
      <c r="AS90" s="337"/>
      <c r="AT90" s="337"/>
      <c r="AU90" s="337"/>
      <c r="AV90" s="338"/>
      <c r="AW90" s="336"/>
      <c r="AX90" s="337"/>
      <c r="AY90" s="337"/>
      <c r="AZ90" s="337"/>
      <c r="BA90" s="338"/>
      <c r="BB90" s="336"/>
      <c r="BC90" s="337"/>
      <c r="BD90" s="337"/>
      <c r="BE90" s="337"/>
      <c r="BF90" s="338"/>
      <c r="BG90" s="336"/>
      <c r="BH90" s="337"/>
      <c r="BI90" s="337"/>
      <c r="BJ90" s="337"/>
      <c r="BK90" s="338"/>
      <c r="BL90" s="336"/>
      <c r="BM90" s="337"/>
      <c r="BN90" s="337"/>
      <c r="BO90" s="337"/>
      <c r="BP90" s="338"/>
      <c r="BQ90" s="336"/>
      <c r="BR90" s="337"/>
      <c r="BS90" s="337"/>
      <c r="BT90" s="337"/>
      <c r="BU90" s="339"/>
      <c r="BW90" s="236" t="str">
        <f>sum_level("o",'Needs 171007_1818'!D90:BU90)</f>
        <v/>
      </c>
      <c r="BX90" s="237" t="str">
        <f>sum_level("j",'Needs 171007_1818'!D90:BU90)</f>
        <v/>
      </c>
      <c r="BY90" s="237" t="str">
        <f>sum_level("m",'Needs 171007_1818'!D90:BU90)</f>
        <v/>
      </c>
      <c r="BZ90" s="237" t="str">
        <f>sum_level("s",'Needs 171007_1818'!D90:BU90)</f>
        <v/>
      </c>
      <c r="CA90" s="238" t="str">
        <f>sum_level("e",'Needs 171007_1818'!D90:BU90)</f>
        <v/>
      </c>
    </row>
    <row r="91" spans="2:79" x14ac:dyDescent="0.25">
      <c r="B91" s="435"/>
      <c r="C91" s="291" t="s">
        <v>283</v>
      </c>
      <c r="D91" s="336"/>
      <c r="E91" s="337"/>
      <c r="F91" s="337"/>
      <c r="G91" s="337"/>
      <c r="H91" s="338"/>
      <c r="I91" s="336"/>
      <c r="J91" s="337"/>
      <c r="K91" s="337"/>
      <c r="L91" s="337"/>
      <c r="M91" s="338"/>
      <c r="N91" s="336"/>
      <c r="O91" s="337"/>
      <c r="P91" s="337"/>
      <c r="Q91" s="337"/>
      <c r="R91" s="338"/>
      <c r="S91" s="336"/>
      <c r="T91" s="337"/>
      <c r="U91" s="337"/>
      <c r="V91" s="337"/>
      <c r="W91" s="338"/>
      <c r="X91" s="336"/>
      <c r="Y91" s="337"/>
      <c r="Z91" s="337"/>
      <c r="AA91" s="337"/>
      <c r="AB91" s="338"/>
      <c r="AC91" s="336"/>
      <c r="AD91" s="337"/>
      <c r="AE91" s="337"/>
      <c r="AF91" s="337"/>
      <c r="AG91" s="338"/>
      <c r="AH91" s="336"/>
      <c r="AI91" s="337"/>
      <c r="AJ91" s="337"/>
      <c r="AK91" s="337"/>
      <c r="AL91" s="338"/>
      <c r="AM91" s="336"/>
      <c r="AN91" s="337"/>
      <c r="AO91" s="337"/>
      <c r="AP91" s="337"/>
      <c r="AQ91" s="338"/>
      <c r="AR91" s="336"/>
      <c r="AS91" s="337"/>
      <c r="AT91" s="337"/>
      <c r="AU91" s="337"/>
      <c r="AV91" s="338"/>
      <c r="AW91" s="336"/>
      <c r="AX91" s="337"/>
      <c r="AY91" s="337"/>
      <c r="AZ91" s="337"/>
      <c r="BA91" s="338"/>
      <c r="BB91" s="336"/>
      <c r="BC91" s="337"/>
      <c r="BD91" s="337"/>
      <c r="BE91" s="337"/>
      <c r="BF91" s="338"/>
      <c r="BG91" s="336"/>
      <c r="BH91" s="337"/>
      <c r="BI91" s="337"/>
      <c r="BJ91" s="337"/>
      <c r="BK91" s="338"/>
      <c r="BL91" s="336"/>
      <c r="BM91" s="337"/>
      <c r="BN91" s="337"/>
      <c r="BO91" s="337"/>
      <c r="BP91" s="338"/>
      <c r="BQ91" s="336"/>
      <c r="BR91" s="337"/>
      <c r="BS91" s="337"/>
      <c r="BT91" s="337"/>
      <c r="BU91" s="339"/>
      <c r="BW91" s="236" t="str">
        <f>sum_level("o",'Needs 171007_1818'!D91:BU91)</f>
        <v/>
      </c>
      <c r="BX91" s="237" t="str">
        <f>sum_level("j",'Needs 171007_1818'!D91:BU91)</f>
        <v/>
      </c>
      <c r="BY91" s="237" t="str">
        <f>sum_level("m",'Needs 171007_1818'!D91:BU91)</f>
        <v/>
      </c>
      <c r="BZ91" s="237" t="str">
        <f>sum_level("s",'Needs 171007_1818'!D91:BU91)</f>
        <v/>
      </c>
      <c r="CA91" s="238" t="str">
        <f>sum_level("e",'Needs 171007_1818'!D91:BU91)</f>
        <v/>
      </c>
    </row>
    <row r="92" spans="2:79" x14ac:dyDescent="0.25">
      <c r="B92" s="435"/>
      <c r="C92" s="291" t="s">
        <v>279</v>
      </c>
      <c r="D92" s="336"/>
      <c r="E92" s="337"/>
      <c r="F92" s="337"/>
      <c r="G92" s="337"/>
      <c r="H92" s="338"/>
      <c r="I92" s="336"/>
      <c r="J92" s="337"/>
      <c r="K92" s="337"/>
      <c r="L92" s="337"/>
      <c r="M92" s="338"/>
      <c r="N92" s="336"/>
      <c r="O92" s="337"/>
      <c r="P92" s="337"/>
      <c r="Q92" s="337"/>
      <c r="R92" s="338"/>
      <c r="S92" s="336"/>
      <c r="T92" s="337"/>
      <c r="U92" s="337"/>
      <c r="V92" s="337"/>
      <c r="W92" s="338"/>
      <c r="X92" s="336"/>
      <c r="Y92" s="337"/>
      <c r="Z92" s="337"/>
      <c r="AA92" s="337"/>
      <c r="AB92" s="338"/>
      <c r="AC92" s="336"/>
      <c r="AD92" s="337"/>
      <c r="AE92" s="337"/>
      <c r="AF92" s="337"/>
      <c r="AG92" s="338"/>
      <c r="AH92" s="336"/>
      <c r="AI92" s="337"/>
      <c r="AJ92" s="337"/>
      <c r="AK92" s="337"/>
      <c r="AL92" s="338"/>
      <c r="AM92" s="336"/>
      <c r="AN92" s="337"/>
      <c r="AO92" s="337"/>
      <c r="AP92" s="337"/>
      <c r="AQ92" s="338"/>
      <c r="AR92" s="336"/>
      <c r="AS92" s="337"/>
      <c r="AT92" s="337"/>
      <c r="AU92" s="337"/>
      <c r="AV92" s="338"/>
      <c r="AW92" s="336"/>
      <c r="AX92" s="337"/>
      <c r="AY92" s="337"/>
      <c r="AZ92" s="337"/>
      <c r="BA92" s="338"/>
      <c r="BB92" s="336"/>
      <c r="BC92" s="337"/>
      <c r="BD92" s="337"/>
      <c r="BE92" s="337"/>
      <c r="BF92" s="338"/>
      <c r="BG92" s="336"/>
      <c r="BH92" s="337"/>
      <c r="BI92" s="337"/>
      <c r="BJ92" s="337"/>
      <c r="BK92" s="338"/>
      <c r="BL92" s="336"/>
      <c r="BM92" s="337"/>
      <c r="BN92" s="337"/>
      <c r="BO92" s="337"/>
      <c r="BP92" s="338"/>
      <c r="BQ92" s="336"/>
      <c r="BR92" s="337"/>
      <c r="BS92" s="337"/>
      <c r="BT92" s="337"/>
      <c r="BU92" s="339"/>
      <c r="BW92" s="236" t="str">
        <f>sum_level("o",'Needs 171007_1818'!D92:BU92)</f>
        <v/>
      </c>
      <c r="BX92" s="237" t="str">
        <f>sum_level("j",'Needs 171007_1818'!D92:BU92)</f>
        <v/>
      </c>
      <c r="BY92" s="237" t="str">
        <f>sum_level("m",'Needs 171007_1818'!D92:BU92)</f>
        <v/>
      </c>
      <c r="BZ92" s="237" t="str">
        <f>sum_level("s",'Needs 171007_1818'!D92:BU92)</f>
        <v/>
      </c>
      <c r="CA92" s="238" t="str">
        <f>sum_level("e",'Needs 171007_1818'!D92:BU92)</f>
        <v/>
      </c>
    </row>
    <row r="93" spans="2:79" ht="15.75" thickBot="1" x14ac:dyDescent="0.3">
      <c r="B93" s="435"/>
      <c r="C93" s="292" t="s">
        <v>280</v>
      </c>
      <c r="D93" s="340"/>
      <c r="E93" s="341"/>
      <c r="F93" s="341"/>
      <c r="G93" s="341"/>
      <c r="H93" s="342"/>
      <c r="I93" s="340"/>
      <c r="J93" s="341"/>
      <c r="K93" s="341"/>
      <c r="L93" s="341"/>
      <c r="M93" s="342"/>
      <c r="N93" s="340"/>
      <c r="O93" s="341"/>
      <c r="P93" s="341"/>
      <c r="Q93" s="341"/>
      <c r="R93" s="342"/>
      <c r="S93" s="340"/>
      <c r="T93" s="341"/>
      <c r="U93" s="341"/>
      <c r="V93" s="341"/>
      <c r="W93" s="342"/>
      <c r="X93" s="340"/>
      <c r="Y93" s="341"/>
      <c r="Z93" s="341"/>
      <c r="AA93" s="341"/>
      <c r="AB93" s="342"/>
      <c r="AC93" s="340"/>
      <c r="AD93" s="341"/>
      <c r="AE93" s="341"/>
      <c r="AF93" s="341"/>
      <c r="AG93" s="342"/>
      <c r="AH93" s="340"/>
      <c r="AI93" s="341"/>
      <c r="AJ93" s="341"/>
      <c r="AK93" s="341"/>
      <c r="AL93" s="342"/>
      <c r="AM93" s="340"/>
      <c r="AN93" s="341"/>
      <c r="AO93" s="341"/>
      <c r="AP93" s="341"/>
      <c r="AQ93" s="342"/>
      <c r="AR93" s="340"/>
      <c r="AS93" s="341"/>
      <c r="AT93" s="341"/>
      <c r="AU93" s="341"/>
      <c r="AV93" s="342"/>
      <c r="AW93" s="340"/>
      <c r="AX93" s="341"/>
      <c r="AY93" s="341"/>
      <c r="AZ93" s="341"/>
      <c r="BA93" s="342"/>
      <c r="BB93" s="340"/>
      <c r="BC93" s="341"/>
      <c r="BD93" s="341"/>
      <c r="BE93" s="341"/>
      <c r="BF93" s="342"/>
      <c r="BG93" s="340"/>
      <c r="BH93" s="341"/>
      <c r="BI93" s="341"/>
      <c r="BJ93" s="341"/>
      <c r="BK93" s="342"/>
      <c r="BL93" s="340"/>
      <c r="BM93" s="341"/>
      <c r="BN93" s="341"/>
      <c r="BO93" s="341"/>
      <c r="BP93" s="342"/>
      <c r="BQ93" s="340"/>
      <c r="BR93" s="341"/>
      <c r="BS93" s="341"/>
      <c r="BT93" s="341"/>
      <c r="BU93" s="343"/>
      <c r="BW93" s="239" t="str">
        <f>sum_level("o",'Needs 171007_1818'!D93:BU93)</f>
        <v/>
      </c>
      <c r="BX93" s="240" t="str">
        <f>sum_level("j",'Needs 171007_1818'!D93:BU93)</f>
        <v/>
      </c>
      <c r="BY93" s="240" t="str">
        <f>sum_level("m",'Needs 171007_1818'!D93:BU93)</f>
        <v/>
      </c>
      <c r="BZ93" s="240" t="str">
        <f>sum_level("s",'Needs 171007_1818'!D93:BU93)</f>
        <v/>
      </c>
      <c r="CA93" s="241" t="str">
        <f>sum_level("e",'Needs 171007_1818'!D93:BU93)</f>
        <v/>
      </c>
    </row>
    <row r="94" spans="2:79" ht="12.75" customHeight="1" thickTop="1" thickBot="1" x14ac:dyDescent="0.3">
      <c r="B94" s="436"/>
      <c r="C94" s="248"/>
      <c r="D94" s="344"/>
      <c r="E94" s="344"/>
      <c r="F94" s="344"/>
      <c r="G94" s="344"/>
      <c r="H94" s="344"/>
      <c r="I94" s="344"/>
      <c r="J94" s="344"/>
      <c r="K94" s="344"/>
      <c r="L94" s="344"/>
      <c r="M94" s="344"/>
      <c r="N94" s="344"/>
      <c r="O94" s="344"/>
      <c r="P94" s="344"/>
      <c r="Q94" s="344"/>
      <c r="R94" s="344"/>
      <c r="S94" s="344"/>
      <c r="T94" s="344"/>
      <c r="U94" s="344"/>
      <c r="V94" s="344"/>
      <c r="W94" s="344"/>
      <c r="X94" s="344"/>
      <c r="Y94" s="344"/>
      <c r="Z94" s="344"/>
      <c r="AA94" s="344"/>
      <c r="AB94" s="344"/>
      <c r="AC94" s="344"/>
      <c r="AD94" s="344"/>
      <c r="AE94" s="344"/>
      <c r="AF94" s="344"/>
      <c r="AG94" s="344"/>
      <c r="AH94" s="344"/>
      <c r="AI94" s="344"/>
      <c r="AJ94" s="344"/>
      <c r="AK94" s="344"/>
      <c r="AL94" s="344"/>
      <c r="AM94" s="344"/>
      <c r="AN94" s="344"/>
      <c r="AO94" s="344"/>
      <c r="AP94" s="344"/>
      <c r="AQ94" s="344"/>
      <c r="AR94" s="344"/>
      <c r="AS94" s="344"/>
      <c r="AT94" s="344"/>
      <c r="AU94" s="344"/>
      <c r="AV94" s="344"/>
      <c r="AW94" s="344"/>
      <c r="AX94" s="344"/>
      <c r="AY94" s="344"/>
      <c r="AZ94" s="344"/>
      <c r="BA94" s="344"/>
      <c r="BB94" s="344"/>
      <c r="BC94" s="344"/>
      <c r="BD94" s="344"/>
      <c r="BE94" s="344"/>
      <c r="BF94" s="344"/>
      <c r="BG94" s="344"/>
      <c r="BH94" s="344"/>
      <c r="BI94" s="344"/>
      <c r="BJ94" s="344"/>
      <c r="BK94" s="344"/>
      <c r="BL94" s="344"/>
      <c r="BM94" s="344"/>
      <c r="BN94" s="344"/>
      <c r="BO94" s="344"/>
      <c r="BP94" s="344"/>
      <c r="BQ94" s="344"/>
      <c r="BR94" s="344"/>
      <c r="BS94" s="344"/>
      <c r="BT94" s="344"/>
      <c r="BU94" s="344"/>
      <c r="BW94" s="249"/>
      <c r="BX94" s="249"/>
      <c r="BY94" s="249"/>
      <c r="BZ94" s="249"/>
      <c r="CA94" s="249"/>
    </row>
    <row r="95" spans="2:79" ht="15.75" thickTop="1" x14ac:dyDescent="0.25">
      <c r="B95" s="434" t="s">
        <v>266</v>
      </c>
      <c r="C95" s="290" t="s">
        <v>184</v>
      </c>
      <c r="D95" s="332"/>
      <c r="E95" s="333"/>
      <c r="F95" s="333"/>
      <c r="G95" s="333"/>
      <c r="H95" s="334"/>
      <c r="I95" s="332"/>
      <c r="J95" s="333"/>
      <c r="K95" s="333"/>
      <c r="L95" s="333"/>
      <c r="M95" s="334"/>
      <c r="N95" s="332"/>
      <c r="O95" s="333"/>
      <c r="P95" s="333"/>
      <c r="Q95" s="333"/>
      <c r="R95" s="334"/>
      <c r="S95" s="332"/>
      <c r="T95" s="333"/>
      <c r="U95" s="333"/>
      <c r="V95" s="333"/>
      <c r="W95" s="334"/>
      <c r="X95" s="332"/>
      <c r="Y95" s="333"/>
      <c r="Z95" s="333"/>
      <c r="AA95" s="333"/>
      <c r="AB95" s="334"/>
      <c r="AC95" s="332"/>
      <c r="AD95" s="333"/>
      <c r="AE95" s="333"/>
      <c r="AF95" s="333"/>
      <c r="AG95" s="334"/>
      <c r="AH95" s="332"/>
      <c r="AI95" s="333"/>
      <c r="AJ95" s="333"/>
      <c r="AK95" s="333"/>
      <c r="AL95" s="334"/>
      <c r="AM95" s="332"/>
      <c r="AN95" s="333"/>
      <c r="AO95" s="333"/>
      <c r="AP95" s="333"/>
      <c r="AQ95" s="334"/>
      <c r="AR95" s="332"/>
      <c r="AS95" s="333"/>
      <c r="AT95" s="333"/>
      <c r="AU95" s="333"/>
      <c r="AV95" s="334"/>
      <c r="AW95" s="332"/>
      <c r="AX95" s="333"/>
      <c r="AY95" s="333"/>
      <c r="AZ95" s="333"/>
      <c r="BA95" s="334"/>
      <c r="BB95" s="332"/>
      <c r="BC95" s="333"/>
      <c r="BD95" s="333"/>
      <c r="BE95" s="333"/>
      <c r="BF95" s="334"/>
      <c r="BG95" s="332"/>
      <c r="BH95" s="333"/>
      <c r="BI95" s="333"/>
      <c r="BJ95" s="333"/>
      <c r="BK95" s="334"/>
      <c r="BL95" s="332"/>
      <c r="BM95" s="333"/>
      <c r="BN95" s="333"/>
      <c r="BO95" s="333"/>
      <c r="BP95" s="334"/>
      <c r="BQ95" s="332"/>
      <c r="BR95" s="333"/>
      <c r="BS95" s="333"/>
      <c r="BT95" s="333"/>
      <c r="BU95" s="335"/>
      <c r="BW95" s="233" t="str">
        <f>sum_level("o",'Needs 171007_1818'!D95:BU95)</f>
        <v/>
      </c>
      <c r="BX95" s="234" t="str">
        <f>sum_level("j",'Needs 171007_1818'!D95:BU95)</f>
        <v/>
      </c>
      <c r="BY95" s="234" t="str">
        <f>sum_level("m",'Needs 171007_1818'!D95:BU95)</f>
        <v/>
      </c>
      <c r="BZ95" s="234" t="str">
        <f>sum_level("s",'Needs 171007_1818'!D95:BU95)</f>
        <v/>
      </c>
      <c r="CA95" s="235" t="str">
        <f>sum_level("e",'Needs 171007_1818'!D95:BU95)</f>
        <v/>
      </c>
    </row>
    <row r="96" spans="2:79" x14ac:dyDescent="0.25">
      <c r="B96" s="435"/>
      <c r="C96" s="291" t="s">
        <v>123</v>
      </c>
      <c r="D96" s="336"/>
      <c r="E96" s="337"/>
      <c r="F96" s="337"/>
      <c r="G96" s="337"/>
      <c r="H96" s="338"/>
      <c r="I96" s="336"/>
      <c r="J96" s="337"/>
      <c r="K96" s="337"/>
      <c r="L96" s="337"/>
      <c r="M96" s="338"/>
      <c r="N96" s="336"/>
      <c r="O96" s="337"/>
      <c r="P96" s="337"/>
      <c r="Q96" s="337"/>
      <c r="R96" s="338"/>
      <c r="S96" s="336"/>
      <c r="T96" s="337"/>
      <c r="U96" s="337"/>
      <c r="V96" s="337"/>
      <c r="W96" s="338"/>
      <c r="X96" s="336"/>
      <c r="Y96" s="337"/>
      <c r="Z96" s="337"/>
      <c r="AA96" s="337"/>
      <c r="AB96" s="338"/>
      <c r="AC96" s="336"/>
      <c r="AD96" s="337"/>
      <c r="AE96" s="337"/>
      <c r="AF96" s="337"/>
      <c r="AG96" s="338"/>
      <c r="AH96" s="336"/>
      <c r="AI96" s="337"/>
      <c r="AJ96" s="337"/>
      <c r="AK96" s="337"/>
      <c r="AL96" s="338"/>
      <c r="AM96" s="336"/>
      <c r="AN96" s="337"/>
      <c r="AO96" s="337"/>
      <c r="AP96" s="337"/>
      <c r="AQ96" s="338"/>
      <c r="AR96" s="336"/>
      <c r="AS96" s="337"/>
      <c r="AT96" s="337"/>
      <c r="AU96" s="337"/>
      <c r="AV96" s="338"/>
      <c r="AW96" s="336"/>
      <c r="AX96" s="337"/>
      <c r="AY96" s="337"/>
      <c r="AZ96" s="337"/>
      <c r="BA96" s="338"/>
      <c r="BB96" s="336"/>
      <c r="BC96" s="337"/>
      <c r="BD96" s="337"/>
      <c r="BE96" s="337"/>
      <c r="BF96" s="338"/>
      <c r="BG96" s="336"/>
      <c r="BH96" s="337"/>
      <c r="BI96" s="337"/>
      <c r="BJ96" s="337"/>
      <c r="BK96" s="338"/>
      <c r="BL96" s="336"/>
      <c r="BM96" s="337"/>
      <c r="BN96" s="337"/>
      <c r="BO96" s="337"/>
      <c r="BP96" s="338"/>
      <c r="BQ96" s="336"/>
      <c r="BR96" s="337"/>
      <c r="BS96" s="337"/>
      <c r="BT96" s="337"/>
      <c r="BU96" s="339"/>
      <c r="BW96" s="236" t="str">
        <f>sum_level("o",'Needs 171007_1818'!D96:BU96)</f>
        <v/>
      </c>
      <c r="BX96" s="237" t="str">
        <f>sum_level("j",'Needs 171007_1818'!D96:BU96)</f>
        <v/>
      </c>
      <c r="BY96" s="237" t="str">
        <f>sum_level("m",'Needs 171007_1818'!D96:BU96)</f>
        <v/>
      </c>
      <c r="BZ96" s="237" t="str">
        <f>sum_level("s",'Needs 171007_1818'!D96:BU96)</f>
        <v/>
      </c>
      <c r="CA96" s="238" t="str">
        <f>sum_level("e",'Needs 171007_1818'!D96:BU96)</f>
        <v/>
      </c>
    </row>
    <row r="97" spans="2:79" x14ac:dyDescent="0.25">
      <c r="B97" s="435"/>
      <c r="C97" s="291" t="s">
        <v>268</v>
      </c>
      <c r="D97" s="336"/>
      <c r="E97" s="337"/>
      <c r="F97" s="337"/>
      <c r="G97" s="337"/>
      <c r="H97" s="338"/>
      <c r="I97" s="336"/>
      <c r="J97" s="337"/>
      <c r="K97" s="337"/>
      <c r="L97" s="337"/>
      <c r="M97" s="338"/>
      <c r="N97" s="336"/>
      <c r="O97" s="337"/>
      <c r="P97" s="337"/>
      <c r="Q97" s="337"/>
      <c r="R97" s="338"/>
      <c r="S97" s="336"/>
      <c r="T97" s="337"/>
      <c r="U97" s="337"/>
      <c r="V97" s="337"/>
      <c r="W97" s="338"/>
      <c r="X97" s="336"/>
      <c r="Y97" s="337"/>
      <c r="Z97" s="337"/>
      <c r="AA97" s="337"/>
      <c r="AB97" s="338"/>
      <c r="AC97" s="336"/>
      <c r="AD97" s="337"/>
      <c r="AE97" s="337"/>
      <c r="AF97" s="337"/>
      <c r="AG97" s="338"/>
      <c r="AH97" s="336"/>
      <c r="AI97" s="337"/>
      <c r="AJ97" s="337"/>
      <c r="AK97" s="337"/>
      <c r="AL97" s="338"/>
      <c r="AM97" s="336"/>
      <c r="AN97" s="337"/>
      <c r="AO97" s="337"/>
      <c r="AP97" s="337"/>
      <c r="AQ97" s="338"/>
      <c r="AR97" s="336"/>
      <c r="AS97" s="337"/>
      <c r="AT97" s="337"/>
      <c r="AU97" s="337"/>
      <c r="AV97" s="338"/>
      <c r="AW97" s="336"/>
      <c r="AX97" s="337"/>
      <c r="AY97" s="337"/>
      <c r="AZ97" s="337"/>
      <c r="BA97" s="338"/>
      <c r="BB97" s="336"/>
      <c r="BC97" s="337"/>
      <c r="BD97" s="337"/>
      <c r="BE97" s="337"/>
      <c r="BF97" s="338"/>
      <c r="BG97" s="336"/>
      <c r="BH97" s="337"/>
      <c r="BI97" s="337"/>
      <c r="BJ97" s="337"/>
      <c r="BK97" s="338"/>
      <c r="BL97" s="336"/>
      <c r="BM97" s="337"/>
      <c r="BN97" s="337"/>
      <c r="BO97" s="337"/>
      <c r="BP97" s="338"/>
      <c r="BQ97" s="336"/>
      <c r="BR97" s="337"/>
      <c r="BS97" s="337"/>
      <c r="BT97" s="337"/>
      <c r="BU97" s="339"/>
      <c r="BW97" s="236" t="str">
        <f>sum_level("o",'Needs 171007_1818'!D97:BU97)</f>
        <v/>
      </c>
      <c r="BX97" s="237" t="str">
        <f>sum_level("j",'Needs 171007_1818'!D97:BU97)</f>
        <v/>
      </c>
      <c r="BY97" s="237" t="str">
        <f>sum_level("m",'Needs 171007_1818'!D97:BU97)</f>
        <v/>
      </c>
      <c r="BZ97" s="237" t="str">
        <f>sum_level("s",'Needs 171007_1818'!D97:BU97)</f>
        <v/>
      </c>
      <c r="CA97" s="238" t="str">
        <f>sum_level("e",'Needs 171007_1818'!D97:BU97)</f>
        <v/>
      </c>
    </row>
    <row r="98" spans="2:79" ht="15.75" thickBot="1" x14ac:dyDescent="0.3">
      <c r="B98" s="435"/>
      <c r="C98" s="292" t="s">
        <v>143</v>
      </c>
      <c r="D98" s="340"/>
      <c r="E98" s="341"/>
      <c r="F98" s="341"/>
      <c r="G98" s="341"/>
      <c r="H98" s="342"/>
      <c r="I98" s="340"/>
      <c r="J98" s="341"/>
      <c r="K98" s="341"/>
      <c r="L98" s="341"/>
      <c r="M98" s="342"/>
      <c r="N98" s="340"/>
      <c r="O98" s="341"/>
      <c r="P98" s="341"/>
      <c r="Q98" s="341"/>
      <c r="R98" s="342"/>
      <c r="S98" s="340"/>
      <c r="T98" s="341"/>
      <c r="U98" s="341"/>
      <c r="V98" s="341"/>
      <c r="W98" s="342"/>
      <c r="X98" s="340"/>
      <c r="Y98" s="341"/>
      <c r="Z98" s="341"/>
      <c r="AA98" s="341"/>
      <c r="AB98" s="342"/>
      <c r="AC98" s="340"/>
      <c r="AD98" s="341"/>
      <c r="AE98" s="341"/>
      <c r="AF98" s="341"/>
      <c r="AG98" s="342"/>
      <c r="AH98" s="340"/>
      <c r="AI98" s="341"/>
      <c r="AJ98" s="341"/>
      <c r="AK98" s="341"/>
      <c r="AL98" s="342"/>
      <c r="AM98" s="340"/>
      <c r="AN98" s="341"/>
      <c r="AO98" s="341"/>
      <c r="AP98" s="341"/>
      <c r="AQ98" s="342"/>
      <c r="AR98" s="340"/>
      <c r="AS98" s="341"/>
      <c r="AT98" s="341"/>
      <c r="AU98" s="341"/>
      <c r="AV98" s="342"/>
      <c r="AW98" s="340"/>
      <c r="AX98" s="341"/>
      <c r="AY98" s="341"/>
      <c r="AZ98" s="341"/>
      <c r="BA98" s="342"/>
      <c r="BB98" s="340"/>
      <c r="BC98" s="341"/>
      <c r="BD98" s="341"/>
      <c r="BE98" s="341"/>
      <c r="BF98" s="342"/>
      <c r="BG98" s="340"/>
      <c r="BH98" s="341"/>
      <c r="BI98" s="341"/>
      <c r="BJ98" s="341"/>
      <c r="BK98" s="342"/>
      <c r="BL98" s="340"/>
      <c r="BM98" s="341"/>
      <c r="BN98" s="341"/>
      <c r="BO98" s="341"/>
      <c r="BP98" s="342"/>
      <c r="BQ98" s="340"/>
      <c r="BR98" s="341"/>
      <c r="BS98" s="341"/>
      <c r="BT98" s="341"/>
      <c r="BU98" s="343"/>
      <c r="BW98" s="239" t="str">
        <f>sum_level("o",'Needs 171007_1818'!D98:BU98)</f>
        <v/>
      </c>
      <c r="BX98" s="240" t="str">
        <f>sum_level("j",'Needs 171007_1818'!D98:BU98)</f>
        <v/>
      </c>
      <c r="BY98" s="240" t="str">
        <f>sum_level("m",'Needs 171007_1818'!D98:BU98)</f>
        <v/>
      </c>
      <c r="BZ98" s="240" t="str">
        <f>sum_level("s",'Needs 171007_1818'!D98:BU98)</f>
        <v/>
      </c>
      <c r="CA98" s="241" t="str">
        <f>sum_level("e",'Needs 171007_1818'!D98:BU98)</f>
        <v/>
      </c>
    </row>
    <row r="99" spans="2:79" ht="12.75" customHeight="1" thickTop="1" thickBot="1" x14ac:dyDescent="0.3">
      <c r="B99" s="437"/>
      <c r="C99" s="248"/>
      <c r="D99" s="344"/>
      <c r="E99" s="344"/>
      <c r="F99" s="344"/>
      <c r="G99" s="344"/>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c r="BH99" s="344"/>
      <c r="BI99" s="344"/>
      <c r="BJ99" s="344"/>
      <c r="BK99" s="344"/>
      <c r="BL99" s="344"/>
      <c r="BM99" s="344"/>
      <c r="BN99" s="344"/>
      <c r="BO99" s="344"/>
      <c r="BP99" s="344"/>
      <c r="BQ99" s="344"/>
      <c r="BR99" s="344"/>
      <c r="BS99" s="344"/>
      <c r="BT99" s="344"/>
      <c r="BU99" s="344"/>
      <c r="BW99" s="249"/>
      <c r="BX99" s="249"/>
      <c r="BY99" s="249"/>
      <c r="BZ99" s="249"/>
      <c r="CA99" s="249"/>
    </row>
    <row r="100" spans="2:79" ht="16.5" thickTop="1" thickBot="1" x14ac:dyDescent="0.3"/>
    <row r="101" spans="2:79" ht="16.5" thickTop="1" thickBot="1" x14ac:dyDescent="0.3">
      <c r="C101" s="297" t="s">
        <v>222</v>
      </c>
      <c r="D101" s="232">
        <f t="shared" ref="D101:AI101" si="0">SUM(D3:D99)</f>
        <v>0</v>
      </c>
      <c r="E101" s="246">
        <f t="shared" si="0"/>
        <v>0</v>
      </c>
      <c r="F101" s="246">
        <f t="shared" si="0"/>
        <v>0</v>
      </c>
      <c r="G101" s="246">
        <f t="shared" si="0"/>
        <v>0</v>
      </c>
      <c r="H101" s="244">
        <f t="shared" si="0"/>
        <v>0</v>
      </c>
      <c r="I101" s="245">
        <f t="shared" si="0"/>
        <v>0</v>
      </c>
      <c r="J101" s="246">
        <f t="shared" si="0"/>
        <v>0</v>
      </c>
      <c r="K101" s="246">
        <f t="shared" si="0"/>
        <v>0</v>
      </c>
      <c r="L101" s="246">
        <f t="shared" si="0"/>
        <v>0</v>
      </c>
      <c r="M101" s="244">
        <f t="shared" si="0"/>
        <v>0</v>
      </c>
      <c r="N101" s="245">
        <f t="shared" si="0"/>
        <v>0</v>
      </c>
      <c r="O101" s="246">
        <f t="shared" si="0"/>
        <v>0</v>
      </c>
      <c r="P101" s="246">
        <f t="shared" si="0"/>
        <v>0</v>
      </c>
      <c r="Q101" s="246">
        <f t="shared" si="0"/>
        <v>0</v>
      </c>
      <c r="R101" s="244">
        <f t="shared" si="0"/>
        <v>0</v>
      </c>
      <c r="S101" s="245">
        <f t="shared" si="0"/>
        <v>0</v>
      </c>
      <c r="T101" s="246">
        <f t="shared" si="0"/>
        <v>0</v>
      </c>
      <c r="U101" s="246">
        <f t="shared" si="0"/>
        <v>0</v>
      </c>
      <c r="V101" s="246">
        <f t="shared" si="0"/>
        <v>0</v>
      </c>
      <c r="W101" s="244">
        <f t="shared" si="0"/>
        <v>0</v>
      </c>
      <c r="X101" s="245">
        <f t="shared" si="0"/>
        <v>0</v>
      </c>
      <c r="Y101" s="246">
        <f t="shared" si="0"/>
        <v>0</v>
      </c>
      <c r="Z101" s="246">
        <f t="shared" si="0"/>
        <v>0</v>
      </c>
      <c r="AA101" s="246">
        <f t="shared" si="0"/>
        <v>0</v>
      </c>
      <c r="AB101" s="244">
        <f t="shared" si="0"/>
        <v>0</v>
      </c>
      <c r="AC101" s="245">
        <f t="shared" si="0"/>
        <v>0</v>
      </c>
      <c r="AD101" s="246">
        <f t="shared" si="0"/>
        <v>0</v>
      </c>
      <c r="AE101" s="246">
        <f t="shared" si="0"/>
        <v>0</v>
      </c>
      <c r="AF101" s="246">
        <f t="shared" si="0"/>
        <v>0</v>
      </c>
      <c r="AG101" s="244">
        <f t="shared" si="0"/>
        <v>0</v>
      </c>
      <c r="AH101" s="245">
        <f t="shared" si="0"/>
        <v>1</v>
      </c>
      <c r="AI101" s="246">
        <f t="shared" si="0"/>
        <v>2</v>
      </c>
      <c r="AJ101" s="246">
        <f t="shared" ref="AJ101:BO101" si="1">SUM(AJ3:AJ99)</f>
        <v>3</v>
      </c>
      <c r="AK101" s="246">
        <f t="shared" si="1"/>
        <v>4</v>
      </c>
      <c r="AL101" s="244">
        <f t="shared" si="1"/>
        <v>5</v>
      </c>
      <c r="AM101" s="245">
        <f t="shared" si="1"/>
        <v>6</v>
      </c>
      <c r="AN101" s="246">
        <f t="shared" si="1"/>
        <v>7</v>
      </c>
      <c r="AO101" s="246">
        <f t="shared" si="1"/>
        <v>8</v>
      </c>
      <c r="AP101" s="246">
        <f t="shared" si="1"/>
        <v>9</v>
      </c>
      <c r="AQ101" s="244">
        <f t="shared" si="1"/>
        <v>10</v>
      </c>
      <c r="AR101" s="245">
        <f t="shared" si="1"/>
        <v>11</v>
      </c>
      <c r="AS101" s="246">
        <f t="shared" si="1"/>
        <v>12</v>
      </c>
      <c r="AT101" s="246">
        <f t="shared" si="1"/>
        <v>13</v>
      </c>
      <c r="AU101" s="246">
        <f t="shared" si="1"/>
        <v>14</v>
      </c>
      <c r="AV101" s="244">
        <f t="shared" si="1"/>
        <v>15</v>
      </c>
      <c r="AW101" s="245">
        <f t="shared" si="1"/>
        <v>16</v>
      </c>
      <c r="AX101" s="246">
        <f t="shared" si="1"/>
        <v>17</v>
      </c>
      <c r="AY101" s="246">
        <f t="shared" si="1"/>
        <v>18</v>
      </c>
      <c r="AZ101" s="246">
        <f t="shared" si="1"/>
        <v>19</v>
      </c>
      <c r="BA101" s="244">
        <f t="shared" si="1"/>
        <v>20</v>
      </c>
      <c r="BB101" s="245">
        <f t="shared" si="1"/>
        <v>21</v>
      </c>
      <c r="BC101" s="246">
        <f t="shared" si="1"/>
        <v>22</v>
      </c>
      <c r="BD101" s="246">
        <f t="shared" si="1"/>
        <v>23</v>
      </c>
      <c r="BE101" s="246">
        <f t="shared" si="1"/>
        <v>24</v>
      </c>
      <c r="BF101" s="244">
        <f t="shared" si="1"/>
        <v>25</v>
      </c>
      <c r="BG101" s="245">
        <f t="shared" si="1"/>
        <v>26</v>
      </c>
      <c r="BH101" s="246">
        <f t="shared" si="1"/>
        <v>27</v>
      </c>
      <c r="BI101" s="246">
        <f t="shared" si="1"/>
        <v>28</v>
      </c>
      <c r="BJ101" s="246">
        <f t="shared" si="1"/>
        <v>29</v>
      </c>
      <c r="BK101" s="244">
        <f t="shared" si="1"/>
        <v>30</v>
      </c>
      <c r="BL101" s="245">
        <f t="shared" si="1"/>
        <v>31</v>
      </c>
      <c r="BM101" s="246">
        <f t="shared" si="1"/>
        <v>32</v>
      </c>
      <c r="BN101" s="246">
        <f t="shared" si="1"/>
        <v>33</v>
      </c>
      <c r="BO101" s="246">
        <f t="shared" si="1"/>
        <v>34</v>
      </c>
      <c r="BP101" s="244">
        <f t="shared" ref="BP101:BU101" si="2">SUM(BP3:BP99)</f>
        <v>35</v>
      </c>
      <c r="BQ101" s="245">
        <f t="shared" si="2"/>
        <v>0</v>
      </c>
      <c r="BR101" s="246">
        <f t="shared" si="2"/>
        <v>0</v>
      </c>
      <c r="BS101" s="246">
        <f t="shared" si="2"/>
        <v>0</v>
      </c>
      <c r="BT101" s="246">
        <f t="shared" si="2"/>
        <v>0</v>
      </c>
      <c r="BU101" s="247">
        <f t="shared" si="2"/>
        <v>0</v>
      </c>
    </row>
    <row r="102" spans="2:79" ht="15.75" thickTop="1" x14ac:dyDescent="0.25"/>
  </sheetData>
  <mergeCells count="24">
    <mergeCell ref="B17:B26"/>
    <mergeCell ref="B27:B37"/>
    <mergeCell ref="AH1:AL1"/>
    <mergeCell ref="AM1:AQ1"/>
    <mergeCell ref="AR1:AV1"/>
    <mergeCell ref="D1:H1"/>
    <mergeCell ref="I1:M1"/>
    <mergeCell ref="N1:R1"/>
    <mergeCell ref="S1:W1"/>
    <mergeCell ref="X1:AB1"/>
    <mergeCell ref="AC1:AG1"/>
    <mergeCell ref="A1:C1"/>
    <mergeCell ref="BL1:BP1"/>
    <mergeCell ref="BQ1:BU1"/>
    <mergeCell ref="BW1:CA1"/>
    <mergeCell ref="B3:B16"/>
    <mergeCell ref="AW1:BA1"/>
    <mergeCell ref="BB1:BF1"/>
    <mergeCell ref="BG1:BK1"/>
    <mergeCell ref="B38:B50"/>
    <mergeCell ref="B51:B59"/>
    <mergeCell ref="B60:B78"/>
    <mergeCell ref="B79:B94"/>
    <mergeCell ref="B95:B99"/>
  </mergeCells>
  <conditionalFormatting sqref="D3:H15">
    <cfRule type="expression" dxfId="4631" priority="1" stopIfTrue="1">
      <formula>LEN(TRIM(D3))=0</formula>
    </cfRule>
  </conditionalFormatting>
  <conditionalFormatting sqref="I3:M15">
    <cfRule type="expression" dxfId="4630" priority="2" stopIfTrue="1">
      <formula>LEN(TRIM(I3))=0</formula>
    </cfRule>
  </conditionalFormatting>
  <conditionalFormatting sqref="N3:R15">
    <cfRule type="expression" dxfId="4629" priority="3" stopIfTrue="1">
      <formula>LEN(TRIM(N3))=0</formula>
    </cfRule>
  </conditionalFormatting>
  <conditionalFormatting sqref="S3:W15">
    <cfRule type="expression" dxfId="4628" priority="4" stopIfTrue="1">
      <formula>LEN(TRIM(S3))=0</formula>
    </cfRule>
  </conditionalFormatting>
  <conditionalFormatting sqref="X3:AB15">
    <cfRule type="expression" dxfId="4627" priority="5" stopIfTrue="1">
      <formula>LEN(TRIM(X3))=0</formula>
    </cfRule>
  </conditionalFormatting>
  <conditionalFormatting sqref="AC3:AG15">
    <cfRule type="expression" dxfId="4626" priority="6" stopIfTrue="1">
      <formula>LEN(TRIM(AC3))=0</formula>
    </cfRule>
  </conditionalFormatting>
  <conditionalFormatting sqref="AH3:AL15">
    <cfRule type="expression" dxfId="4625" priority="7" stopIfTrue="1">
      <formula>LEN(TRIM(AH3))=0</formula>
    </cfRule>
  </conditionalFormatting>
  <conditionalFormatting sqref="AM3:AQ15">
    <cfRule type="expression" dxfId="4624" priority="8" stopIfTrue="1">
      <formula>LEN(TRIM(AM3))=0</formula>
    </cfRule>
  </conditionalFormatting>
  <conditionalFormatting sqref="AR3:AV15">
    <cfRule type="expression" dxfId="4623" priority="9" stopIfTrue="1">
      <formula>LEN(TRIM(AR3))=0</formula>
    </cfRule>
  </conditionalFormatting>
  <conditionalFormatting sqref="AW3:BA15">
    <cfRule type="expression" dxfId="4622" priority="10" stopIfTrue="1">
      <formula>LEN(TRIM(AW3))=0</formula>
    </cfRule>
  </conditionalFormatting>
  <conditionalFormatting sqref="BB3:BF15">
    <cfRule type="expression" dxfId="4621" priority="11" stopIfTrue="1">
      <formula>LEN(TRIM(BB3))=0</formula>
    </cfRule>
  </conditionalFormatting>
  <conditionalFormatting sqref="BG3:BK15">
    <cfRule type="expression" dxfId="4620" priority="12" stopIfTrue="1">
      <formula>LEN(TRIM(BG3))=0</formula>
    </cfRule>
  </conditionalFormatting>
  <conditionalFormatting sqref="BL3:BP15">
    <cfRule type="expression" dxfId="4619" priority="13" stopIfTrue="1">
      <formula>LEN(TRIM(BL3))=0</formula>
    </cfRule>
  </conditionalFormatting>
  <conditionalFormatting sqref="BQ3:BU15">
    <cfRule type="expression" dxfId="4618" priority="14" stopIfTrue="1">
      <formula>LEN(TRIM(BQ3))=0</formula>
    </cfRule>
  </conditionalFormatting>
  <conditionalFormatting sqref="BW3:CA15">
    <cfRule type="expression" dxfId="4617" priority="15" stopIfTrue="1">
      <formula>LEN(TRIM(BW3))=0</formula>
    </cfRule>
  </conditionalFormatting>
  <conditionalFormatting sqref="D17:H25">
    <cfRule type="expression" dxfId="4616" priority="16" stopIfTrue="1">
      <formula>LEN(TRIM(D17))=0</formula>
    </cfRule>
  </conditionalFormatting>
  <conditionalFormatting sqref="I17:M25">
    <cfRule type="expression" dxfId="4615" priority="17" stopIfTrue="1">
      <formula>LEN(TRIM(I17))=0</formula>
    </cfRule>
  </conditionalFormatting>
  <conditionalFormatting sqref="N17:R25">
    <cfRule type="expression" dxfId="4614" priority="18" stopIfTrue="1">
      <formula>LEN(TRIM(N17))=0</formula>
    </cfRule>
  </conditionalFormatting>
  <conditionalFormatting sqref="S17:W25">
    <cfRule type="expression" dxfId="4613" priority="19" stopIfTrue="1">
      <formula>LEN(TRIM(S17))=0</formula>
    </cfRule>
  </conditionalFormatting>
  <conditionalFormatting sqref="X17:AB25">
    <cfRule type="expression" dxfId="4612" priority="20" stopIfTrue="1">
      <formula>LEN(TRIM(X17))=0</formula>
    </cfRule>
  </conditionalFormatting>
  <conditionalFormatting sqref="AC17:AG25">
    <cfRule type="expression" dxfId="4611" priority="21" stopIfTrue="1">
      <formula>LEN(TRIM(AC17))=0</formula>
    </cfRule>
  </conditionalFormatting>
  <conditionalFormatting sqref="AH17:AL25">
    <cfRule type="expression" dxfId="4610" priority="22" stopIfTrue="1">
      <formula>LEN(TRIM(AH17))=0</formula>
    </cfRule>
  </conditionalFormatting>
  <conditionalFormatting sqref="AM17:AQ25">
    <cfRule type="expression" dxfId="4609" priority="23" stopIfTrue="1">
      <formula>LEN(TRIM(AM17))=0</formula>
    </cfRule>
  </conditionalFormatting>
  <conditionalFormatting sqref="AR17:AV25">
    <cfRule type="expression" dxfId="4608" priority="24" stopIfTrue="1">
      <formula>LEN(TRIM(AR17))=0</formula>
    </cfRule>
  </conditionalFormatting>
  <conditionalFormatting sqref="AW17:BA25">
    <cfRule type="expression" dxfId="4607" priority="25" stopIfTrue="1">
      <formula>LEN(TRIM(AW17))=0</formula>
    </cfRule>
  </conditionalFormatting>
  <conditionalFormatting sqref="BB17:BF25">
    <cfRule type="expression" dxfId="4606" priority="26" stopIfTrue="1">
      <formula>LEN(TRIM(BB17))=0</formula>
    </cfRule>
  </conditionalFormatting>
  <conditionalFormatting sqref="BG17:BK25">
    <cfRule type="expression" dxfId="4605" priority="27" stopIfTrue="1">
      <formula>LEN(TRIM(BG17))=0</formula>
    </cfRule>
  </conditionalFormatting>
  <conditionalFormatting sqref="BL17:BP25">
    <cfRule type="expression" dxfId="4604" priority="28" stopIfTrue="1">
      <formula>LEN(TRIM(BL17))=0</formula>
    </cfRule>
  </conditionalFormatting>
  <conditionalFormatting sqref="BQ17:BU25">
    <cfRule type="expression" dxfId="4603" priority="29" stopIfTrue="1">
      <formula>LEN(TRIM(BQ17))=0</formula>
    </cfRule>
  </conditionalFormatting>
  <conditionalFormatting sqref="BW17:CA25">
    <cfRule type="expression" dxfId="4602" priority="30" stopIfTrue="1">
      <formula>LEN(TRIM(BW17))=0</formula>
    </cfRule>
  </conditionalFormatting>
  <conditionalFormatting sqref="D27:H36">
    <cfRule type="expression" dxfId="4601" priority="31" stopIfTrue="1">
      <formula>LEN(TRIM(D27))=0</formula>
    </cfRule>
  </conditionalFormatting>
  <conditionalFormatting sqref="I27:M36">
    <cfRule type="expression" dxfId="4600" priority="32" stopIfTrue="1">
      <formula>LEN(TRIM(I27))=0</formula>
    </cfRule>
  </conditionalFormatting>
  <conditionalFormatting sqref="N27:R36">
    <cfRule type="expression" dxfId="4599" priority="33" stopIfTrue="1">
      <formula>LEN(TRIM(N27))=0</formula>
    </cfRule>
  </conditionalFormatting>
  <conditionalFormatting sqref="S27:W36">
    <cfRule type="expression" dxfId="4598" priority="34" stopIfTrue="1">
      <formula>LEN(TRIM(S27))=0</formula>
    </cfRule>
  </conditionalFormatting>
  <conditionalFormatting sqref="X27:AB36">
    <cfRule type="expression" dxfId="4597" priority="35" stopIfTrue="1">
      <formula>LEN(TRIM(X27))=0</formula>
    </cfRule>
  </conditionalFormatting>
  <conditionalFormatting sqref="AC27:AG36">
    <cfRule type="expression" dxfId="4596" priority="36" stopIfTrue="1">
      <formula>LEN(TRIM(AC27))=0</formula>
    </cfRule>
  </conditionalFormatting>
  <conditionalFormatting sqref="AH27:AL36">
    <cfRule type="expression" dxfId="4595" priority="37" stopIfTrue="1">
      <formula>LEN(TRIM(AH27))=0</formula>
    </cfRule>
  </conditionalFormatting>
  <conditionalFormatting sqref="AM27:AQ36">
    <cfRule type="expression" dxfId="4594" priority="38" stopIfTrue="1">
      <formula>LEN(TRIM(AM27))=0</formula>
    </cfRule>
  </conditionalFormatting>
  <conditionalFormatting sqref="AR27:AV36">
    <cfRule type="expression" dxfId="4593" priority="39" stopIfTrue="1">
      <formula>LEN(TRIM(AR27))=0</formula>
    </cfRule>
  </conditionalFormatting>
  <conditionalFormatting sqref="AW27:BA36">
    <cfRule type="expression" dxfId="4592" priority="40" stopIfTrue="1">
      <formula>LEN(TRIM(AW27))=0</formula>
    </cfRule>
  </conditionalFormatting>
  <conditionalFormatting sqref="BB27:BF36">
    <cfRule type="expression" dxfId="4591" priority="41" stopIfTrue="1">
      <formula>LEN(TRIM(BB27))=0</formula>
    </cfRule>
  </conditionalFormatting>
  <conditionalFormatting sqref="BG27:BK36">
    <cfRule type="expression" dxfId="4590" priority="42" stopIfTrue="1">
      <formula>LEN(TRIM(BG27))=0</formula>
    </cfRule>
  </conditionalFormatting>
  <conditionalFormatting sqref="BL27:BP36">
    <cfRule type="expression" dxfId="4589" priority="43" stopIfTrue="1">
      <formula>LEN(TRIM(BL27))=0</formula>
    </cfRule>
  </conditionalFormatting>
  <conditionalFormatting sqref="BQ27:BU36">
    <cfRule type="expression" dxfId="4588" priority="44" stopIfTrue="1">
      <formula>LEN(TRIM(BQ27))=0</formula>
    </cfRule>
  </conditionalFormatting>
  <conditionalFormatting sqref="BW27:CA36">
    <cfRule type="expression" dxfId="4587" priority="45" stopIfTrue="1">
      <formula>LEN(TRIM(BW27))=0</formula>
    </cfRule>
  </conditionalFormatting>
  <conditionalFormatting sqref="D38:H49">
    <cfRule type="expression" dxfId="4586" priority="46" stopIfTrue="1">
      <formula>LEN(TRIM(D38))=0</formula>
    </cfRule>
  </conditionalFormatting>
  <conditionalFormatting sqref="I38:M49">
    <cfRule type="expression" dxfId="4585" priority="47" stopIfTrue="1">
      <formula>LEN(TRIM(I38))=0</formula>
    </cfRule>
  </conditionalFormatting>
  <conditionalFormatting sqref="N38:R49">
    <cfRule type="expression" dxfId="4584" priority="48" stopIfTrue="1">
      <formula>LEN(TRIM(N38))=0</formula>
    </cfRule>
  </conditionalFormatting>
  <conditionalFormatting sqref="S38:W49">
    <cfRule type="expression" dxfId="4583" priority="49" stopIfTrue="1">
      <formula>LEN(TRIM(S38))=0</formula>
    </cfRule>
  </conditionalFormatting>
  <conditionalFormatting sqref="X38:AB49">
    <cfRule type="expression" dxfId="4582" priority="50" stopIfTrue="1">
      <formula>LEN(TRIM(X38))=0</formula>
    </cfRule>
  </conditionalFormatting>
  <conditionalFormatting sqref="AC38:AG49">
    <cfRule type="expression" dxfId="4581" priority="51" stopIfTrue="1">
      <formula>LEN(TRIM(AC38))=0</formula>
    </cfRule>
  </conditionalFormatting>
  <conditionalFormatting sqref="AH38:AL49">
    <cfRule type="expression" dxfId="4580" priority="52" stopIfTrue="1">
      <formula>LEN(TRIM(AH38))=0</formula>
    </cfRule>
  </conditionalFormatting>
  <conditionalFormatting sqref="AM38:AQ49">
    <cfRule type="expression" dxfId="4579" priority="53" stopIfTrue="1">
      <formula>LEN(TRIM(AM38))=0</formula>
    </cfRule>
  </conditionalFormatting>
  <conditionalFormatting sqref="AR38:AV49">
    <cfRule type="expression" dxfId="4578" priority="54" stopIfTrue="1">
      <formula>LEN(TRIM(AR38))=0</formula>
    </cfRule>
  </conditionalFormatting>
  <conditionalFormatting sqref="AW38:BA49">
    <cfRule type="expression" dxfId="4577" priority="55" stopIfTrue="1">
      <formula>LEN(TRIM(AW38))=0</formula>
    </cfRule>
  </conditionalFormatting>
  <conditionalFormatting sqref="BB38:BF49">
    <cfRule type="expression" dxfId="4576" priority="56" stopIfTrue="1">
      <formula>LEN(TRIM(BB38))=0</formula>
    </cfRule>
  </conditionalFormatting>
  <conditionalFormatting sqref="BG38:BK49">
    <cfRule type="expression" dxfId="4575" priority="57" stopIfTrue="1">
      <formula>LEN(TRIM(BG38))=0</formula>
    </cfRule>
  </conditionalFormatting>
  <conditionalFormatting sqref="BL38:BP49">
    <cfRule type="expression" dxfId="4574" priority="58" stopIfTrue="1">
      <formula>LEN(TRIM(BL38))=0</formula>
    </cfRule>
  </conditionalFormatting>
  <conditionalFormatting sqref="BQ38:BU49">
    <cfRule type="expression" dxfId="4573" priority="59" stopIfTrue="1">
      <formula>LEN(TRIM(BQ38))=0</formula>
    </cfRule>
  </conditionalFormatting>
  <conditionalFormatting sqref="BW38:CA49">
    <cfRule type="expression" dxfId="4572" priority="60" stopIfTrue="1">
      <formula>LEN(TRIM(BW38))=0</formula>
    </cfRule>
  </conditionalFormatting>
  <conditionalFormatting sqref="D51:H58">
    <cfRule type="expression" dxfId="4571" priority="61" stopIfTrue="1">
      <formula>LEN(TRIM(D51))=0</formula>
    </cfRule>
  </conditionalFormatting>
  <conditionalFormatting sqref="I51:M58">
    <cfRule type="expression" dxfId="4570" priority="62" stopIfTrue="1">
      <formula>LEN(TRIM(I51))=0</formula>
    </cfRule>
  </conditionalFormatting>
  <conditionalFormatting sqref="N51:R58">
    <cfRule type="expression" dxfId="4569" priority="63" stopIfTrue="1">
      <formula>LEN(TRIM(N51))=0</formula>
    </cfRule>
  </conditionalFormatting>
  <conditionalFormatting sqref="S51:W58">
    <cfRule type="expression" dxfId="4568" priority="64" stopIfTrue="1">
      <formula>LEN(TRIM(S51))=0</formula>
    </cfRule>
  </conditionalFormatting>
  <conditionalFormatting sqref="X51:AB58">
    <cfRule type="expression" dxfId="4567" priority="65" stopIfTrue="1">
      <formula>LEN(TRIM(X51))=0</formula>
    </cfRule>
  </conditionalFormatting>
  <conditionalFormatting sqref="AC51:AG58">
    <cfRule type="expression" dxfId="4566" priority="66" stopIfTrue="1">
      <formula>LEN(TRIM(AC51))=0</formula>
    </cfRule>
  </conditionalFormatting>
  <conditionalFormatting sqref="AH51:AL58">
    <cfRule type="expression" dxfId="4565" priority="67" stopIfTrue="1">
      <formula>LEN(TRIM(AH51))=0</formula>
    </cfRule>
  </conditionalFormatting>
  <conditionalFormatting sqref="AM51:AQ58">
    <cfRule type="expression" dxfId="4564" priority="68" stopIfTrue="1">
      <formula>LEN(TRIM(AM51))=0</formula>
    </cfRule>
  </conditionalFormatting>
  <conditionalFormatting sqref="AR51:AV58">
    <cfRule type="expression" dxfId="4563" priority="69" stopIfTrue="1">
      <formula>LEN(TRIM(AR51))=0</formula>
    </cfRule>
  </conditionalFormatting>
  <conditionalFormatting sqref="AW51:BA58">
    <cfRule type="expression" dxfId="4562" priority="70" stopIfTrue="1">
      <formula>LEN(TRIM(AW51))=0</formula>
    </cfRule>
  </conditionalFormatting>
  <conditionalFormatting sqref="BB51:BF58">
    <cfRule type="expression" dxfId="4561" priority="71" stopIfTrue="1">
      <formula>LEN(TRIM(BB51))=0</formula>
    </cfRule>
  </conditionalFormatting>
  <conditionalFormatting sqref="BG51:BK58">
    <cfRule type="expression" dxfId="4560" priority="72" stopIfTrue="1">
      <formula>LEN(TRIM(BG51))=0</formula>
    </cfRule>
  </conditionalFormatting>
  <conditionalFormatting sqref="BL51:BP58">
    <cfRule type="expression" dxfId="4559" priority="73" stopIfTrue="1">
      <formula>LEN(TRIM(BL51))=0</formula>
    </cfRule>
  </conditionalFormatting>
  <conditionalFormatting sqref="BQ51:BU58">
    <cfRule type="expression" dxfId="4558" priority="74" stopIfTrue="1">
      <formula>LEN(TRIM(BQ51))=0</formula>
    </cfRule>
  </conditionalFormatting>
  <conditionalFormatting sqref="BW51:CA58">
    <cfRule type="expression" dxfId="4557" priority="75" stopIfTrue="1">
      <formula>LEN(TRIM(BW51))=0</formula>
    </cfRule>
  </conditionalFormatting>
  <conditionalFormatting sqref="D60:H77">
    <cfRule type="expression" dxfId="4556" priority="76" stopIfTrue="1">
      <formula>LEN(TRIM(D60))=0</formula>
    </cfRule>
  </conditionalFormatting>
  <conditionalFormatting sqref="I60:M77">
    <cfRule type="expression" dxfId="4555" priority="77" stopIfTrue="1">
      <formula>LEN(TRIM(I60))=0</formula>
    </cfRule>
  </conditionalFormatting>
  <conditionalFormatting sqref="N60:R77">
    <cfRule type="expression" dxfId="4554" priority="78" stopIfTrue="1">
      <formula>LEN(TRIM(N60))=0</formula>
    </cfRule>
  </conditionalFormatting>
  <conditionalFormatting sqref="S60:W77">
    <cfRule type="expression" dxfId="4553" priority="79" stopIfTrue="1">
      <formula>LEN(TRIM(S60))=0</formula>
    </cfRule>
  </conditionalFormatting>
  <conditionalFormatting sqref="X60:AB77">
    <cfRule type="expression" dxfId="4552" priority="80" stopIfTrue="1">
      <formula>LEN(TRIM(X60))=0</formula>
    </cfRule>
  </conditionalFormatting>
  <conditionalFormatting sqref="AC60:AG77">
    <cfRule type="expression" dxfId="4551" priority="81" stopIfTrue="1">
      <formula>LEN(TRIM(AC60))=0</formula>
    </cfRule>
  </conditionalFormatting>
  <conditionalFormatting sqref="AH60:AL77">
    <cfRule type="expression" dxfId="4550" priority="82" stopIfTrue="1">
      <formula>LEN(TRIM(AH60))=0</formula>
    </cfRule>
  </conditionalFormatting>
  <conditionalFormatting sqref="AM60:AQ77">
    <cfRule type="expression" dxfId="4549" priority="83" stopIfTrue="1">
      <formula>LEN(TRIM(AM60))=0</formula>
    </cfRule>
  </conditionalFormatting>
  <conditionalFormatting sqref="AR60:AV77">
    <cfRule type="expression" dxfId="4548" priority="84" stopIfTrue="1">
      <formula>LEN(TRIM(AR60))=0</formula>
    </cfRule>
  </conditionalFormatting>
  <conditionalFormatting sqref="AW60:BA77">
    <cfRule type="expression" dxfId="4547" priority="85" stopIfTrue="1">
      <formula>LEN(TRIM(AW60))=0</formula>
    </cfRule>
  </conditionalFormatting>
  <conditionalFormatting sqref="BB60:BF77">
    <cfRule type="expression" dxfId="4546" priority="86" stopIfTrue="1">
      <formula>LEN(TRIM(BB60))=0</formula>
    </cfRule>
  </conditionalFormatting>
  <conditionalFormatting sqref="BG60:BK77">
    <cfRule type="expression" dxfId="4545" priority="87" stopIfTrue="1">
      <formula>LEN(TRIM(BG60))=0</formula>
    </cfRule>
  </conditionalFormatting>
  <conditionalFormatting sqref="BL60:BP77">
    <cfRule type="expression" dxfId="4544" priority="88" stopIfTrue="1">
      <formula>LEN(TRIM(BL60))=0</formula>
    </cfRule>
  </conditionalFormatting>
  <conditionalFormatting sqref="BQ60:BU77">
    <cfRule type="expression" dxfId="4543" priority="89" stopIfTrue="1">
      <formula>LEN(TRIM(BQ60))=0</formula>
    </cfRule>
  </conditionalFormatting>
  <conditionalFormatting sqref="BW60:CA77">
    <cfRule type="expression" dxfId="4542" priority="90" stopIfTrue="1">
      <formula>LEN(TRIM(BW60))=0</formula>
    </cfRule>
  </conditionalFormatting>
  <conditionalFormatting sqref="D79:H93">
    <cfRule type="expression" dxfId="4541" priority="91" stopIfTrue="1">
      <formula>LEN(TRIM(D79))=0</formula>
    </cfRule>
  </conditionalFormatting>
  <conditionalFormatting sqref="I79:M93">
    <cfRule type="expression" dxfId="4540" priority="92" stopIfTrue="1">
      <formula>LEN(TRIM(I79))=0</formula>
    </cfRule>
  </conditionalFormatting>
  <conditionalFormatting sqref="N79:R93">
    <cfRule type="expression" dxfId="4539" priority="93" stopIfTrue="1">
      <formula>LEN(TRIM(N79))=0</formula>
    </cfRule>
  </conditionalFormatting>
  <conditionalFormatting sqref="S79:W93">
    <cfRule type="expression" dxfId="4538" priority="94" stopIfTrue="1">
      <formula>LEN(TRIM(S79))=0</formula>
    </cfRule>
  </conditionalFormatting>
  <conditionalFormatting sqref="X79:AB93">
    <cfRule type="expression" dxfId="4537" priority="95" stopIfTrue="1">
      <formula>LEN(TRIM(X79))=0</formula>
    </cfRule>
  </conditionalFormatting>
  <conditionalFormatting sqref="AC79:AG93">
    <cfRule type="expression" dxfId="4536" priority="96" stopIfTrue="1">
      <formula>LEN(TRIM(AC79))=0</formula>
    </cfRule>
  </conditionalFormatting>
  <conditionalFormatting sqref="AH79:AL93">
    <cfRule type="expression" dxfId="4535" priority="97" stopIfTrue="1">
      <formula>LEN(TRIM(AH79))=0</formula>
    </cfRule>
  </conditionalFormatting>
  <conditionalFormatting sqref="AM79:AQ93">
    <cfRule type="expression" dxfId="4534" priority="98" stopIfTrue="1">
      <formula>LEN(TRIM(AM79))=0</formula>
    </cfRule>
  </conditionalFormatting>
  <conditionalFormatting sqref="AR79:AV93">
    <cfRule type="expression" dxfId="4533" priority="99" stopIfTrue="1">
      <formula>LEN(TRIM(AR79))=0</formula>
    </cfRule>
  </conditionalFormatting>
  <conditionalFormatting sqref="AW79:BA93">
    <cfRule type="expression" dxfId="4532" priority="100" stopIfTrue="1">
      <formula>LEN(TRIM(AW79))=0</formula>
    </cfRule>
  </conditionalFormatting>
  <conditionalFormatting sqref="BB79:BF93">
    <cfRule type="expression" dxfId="4531" priority="101" stopIfTrue="1">
      <formula>LEN(TRIM(BB79))=0</formula>
    </cfRule>
  </conditionalFormatting>
  <conditionalFormatting sqref="BG79:BK93">
    <cfRule type="expression" dxfId="4530" priority="102" stopIfTrue="1">
      <formula>LEN(TRIM(BG79))=0</formula>
    </cfRule>
  </conditionalFormatting>
  <conditionalFormatting sqref="BL79:BP93">
    <cfRule type="expression" dxfId="4529" priority="103" stopIfTrue="1">
      <formula>LEN(TRIM(BL79))=0</formula>
    </cfRule>
  </conditionalFormatting>
  <conditionalFormatting sqref="BQ79:BU93">
    <cfRule type="expression" dxfId="4528" priority="104" stopIfTrue="1">
      <formula>LEN(TRIM(BQ79))=0</formula>
    </cfRule>
  </conditionalFormatting>
  <conditionalFormatting sqref="BW79:CA93">
    <cfRule type="expression" dxfId="4527" priority="105" stopIfTrue="1">
      <formula>LEN(TRIM(BW79))=0</formula>
    </cfRule>
  </conditionalFormatting>
  <conditionalFormatting sqref="D95:H98">
    <cfRule type="expression" dxfId="4526" priority="106" stopIfTrue="1">
      <formula>LEN(TRIM(D95))=0</formula>
    </cfRule>
  </conditionalFormatting>
  <conditionalFormatting sqref="I95:M98">
    <cfRule type="expression" dxfId="4525" priority="107" stopIfTrue="1">
      <formula>LEN(TRIM(I95))=0</formula>
    </cfRule>
  </conditionalFormatting>
  <conditionalFormatting sqref="N95:R98">
    <cfRule type="expression" dxfId="4524" priority="108" stopIfTrue="1">
      <formula>LEN(TRIM(N95))=0</formula>
    </cfRule>
  </conditionalFormatting>
  <conditionalFormatting sqref="S95:W98">
    <cfRule type="expression" dxfId="4523" priority="109" stopIfTrue="1">
      <formula>LEN(TRIM(S95))=0</formula>
    </cfRule>
  </conditionalFormatting>
  <conditionalFormatting sqref="X95:AB98">
    <cfRule type="expression" dxfId="4522" priority="110" stopIfTrue="1">
      <formula>LEN(TRIM(X95))=0</formula>
    </cfRule>
  </conditionalFormatting>
  <conditionalFormatting sqref="AC95:AG98">
    <cfRule type="expression" dxfId="4521" priority="111" stopIfTrue="1">
      <formula>LEN(TRIM(AC95))=0</formula>
    </cfRule>
  </conditionalFormatting>
  <conditionalFormatting sqref="AH95:AL98">
    <cfRule type="expression" dxfId="4520" priority="112" stopIfTrue="1">
      <formula>LEN(TRIM(AH95))=0</formula>
    </cfRule>
  </conditionalFormatting>
  <conditionalFormatting sqref="AM95:AQ98">
    <cfRule type="expression" dxfId="4519" priority="113" stopIfTrue="1">
      <formula>LEN(TRIM(AM95))=0</formula>
    </cfRule>
  </conditionalFormatting>
  <conditionalFormatting sqref="AR95:AV98">
    <cfRule type="expression" dxfId="4518" priority="114" stopIfTrue="1">
      <formula>LEN(TRIM(AR95))=0</formula>
    </cfRule>
  </conditionalFormatting>
  <conditionalFormatting sqref="AW95:BA98">
    <cfRule type="expression" dxfId="4517" priority="115" stopIfTrue="1">
      <formula>LEN(TRIM(AW95))=0</formula>
    </cfRule>
  </conditionalFormatting>
  <conditionalFormatting sqref="BB95:BF98">
    <cfRule type="expression" dxfId="4516" priority="116" stopIfTrue="1">
      <formula>LEN(TRIM(BB95))=0</formula>
    </cfRule>
  </conditionalFormatting>
  <conditionalFormatting sqref="BG95:BK98">
    <cfRule type="expression" dxfId="4515" priority="117" stopIfTrue="1">
      <formula>LEN(TRIM(BG95))=0</formula>
    </cfRule>
  </conditionalFormatting>
  <conditionalFormatting sqref="BL95:BP98">
    <cfRule type="expression" dxfId="4514" priority="118" stopIfTrue="1">
      <formula>LEN(TRIM(BL95))=0</formula>
    </cfRule>
  </conditionalFormatting>
  <conditionalFormatting sqref="BQ95:BU98">
    <cfRule type="expression" dxfId="4513" priority="119" stopIfTrue="1">
      <formula>LEN(TRIM(BQ95))=0</formula>
    </cfRule>
  </conditionalFormatting>
  <conditionalFormatting sqref="BW95:CA98">
    <cfRule type="expression" dxfId="4512" priority="120" stopIfTrue="1">
      <formula>LEN(TRIM(BW95))=0</formula>
    </cfRule>
  </conditionalFormatting>
  <conditionalFormatting sqref="D101:H101">
    <cfRule type="expression" dxfId="4511" priority="121" stopIfTrue="1">
      <formula>LEN(TRIM(D101))=0</formula>
    </cfRule>
  </conditionalFormatting>
  <conditionalFormatting sqref="I101:M101">
    <cfRule type="expression" dxfId="4510" priority="122" stopIfTrue="1">
      <formula>LEN(TRIM(I101))=0</formula>
    </cfRule>
  </conditionalFormatting>
  <conditionalFormatting sqref="N101:R101">
    <cfRule type="expression" dxfId="4509" priority="123" stopIfTrue="1">
      <formula>LEN(TRIM(N101))=0</formula>
    </cfRule>
  </conditionalFormatting>
  <conditionalFormatting sqref="S101:W101">
    <cfRule type="expression" dxfId="4508" priority="124" stopIfTrue="1">
      <formula>LEN(TRIM(S101))=0</formula>
    </cfRule>
  </conditionalFormatting>
  <conditionalFormatting sqref="X101:AB101">
    <cfRule type="expression" dxfId="4507" priority="125" stopIfTrue="1">
      <formula>LEN(TRIM(X101))=0</formula>
    </cfRule>
  </conditionalFormatting>
  <conditionalFormatting sqref="AC101:AG101">
    <cfRule type="expression" dxfId="4506" priority="126" stopIfTrue="1">
      <formula>LEN(TRIM(AC101))=0</formula>
    </cfRule>
  </conditionalFormatting>
  <conditionalFormatting sqref="AH101:AL101">
    <cfRule type="expression" dxfId="4505" priority="127" stopIfTrue="1">
      <formula>LEN(TRIM(AH101))=0</formula>
    </cfRule>
  </conditionalFormatting>
  <conditionalFormatting sqref="AM101:AQ101">
    <cfRule type="expression" dxfId="4504" priority="128" stopIfTrue="1">
      <formula>LEN(TRIM(AM101))=0</formula>
    </cfRule>
  </conditionalFormatting>
  <conditionalFormatting sqref="AR101:AV101">
    <cfRule type="expression" dxfId="4503" priority="129" stopIfTrue="1">
      <formula>LEN(TRIM(AR101))=0</formula>
    </cfRule>
  </conditionalFormatting>
  <conditionalFormatting sqref="AW101:BA101">
    <cfRule type="expression" dxfId="4502" priority="130" stopIfTrue="1">
      <formula>LEN(TRIM(AW101))=0</formula>
    </cfRule>
  </conditionalFormatting>
  <conditionalFormatting sqref="BB101:BF101">
    <cfRule type="expression" dxfId="4501" priority="131" stopIfTrue="1">
      <formula>LEN(TRIM(BB101))=0</formula>
    </cfRule>
  </conditionalFormatting>
  <conditionalFormatting sqref="BG101:BK101">
    <cfRule type="expression" dxfId="4500" priority="132" stopIfTrue="1">
      <formula>LEN(TRIM(BG101))=0</formula>
    </cfRule>
  </conditionalFormatting>
  <conditionalFormatting sqref="BL101:BP101">
    <cfRule type="expression" dxfId="4499" priority="133" stopIfTrue="1">
      <formula>LEN(TRIM(BL101))=0</formula>
    </cfRule>
  </conditionalFormatting>
  <conditionalFormatting sqref="BQ101:BU101">
    <cfRule type="expression" dxfId="4498" priority="134" stopIfTrue="1">
      <formula>LEN(TRIM(BQ101))=0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A110"/>
  <sheetViews>
    <sheetView showGridLines="0" zoomScale="70" zoomScaleNormal="70" workbookViewId="0">
      <pane xSplit="3" ySplit="3" topLeftCell="D4" activePane="bottomRight" state="frozenSplit"/>
      <selection pane="topRight" activeCell="D1" sqref="D1"/>
      <selection pane="bottomLeft" activeCell="A4" sqref="A4"/>
      <selection pane="bottomRight" activeCell="Y40" sqref="Y40"/>
    </sheetView>
  </sheetViews>
  <sheetFormatPr defaultRowHeight="15" x14ac:dyDescent="0.25"/>
  <cols>
    <col min="1" max="1" width="11.7109375" customWidth="1"/>
    <col min="2" max="2" width="6.5703125" customWidth="1"/>
    <col min="3" max="3" width="31.7109375" customWidth="1"/>
    <col min="4" max="87" width="3.85546875" customWidth="1"/>
    <col min="88" max="88" width="2.5703125" customWidth="1"/>
    <col min="89" max="93" width="3.85546875" customWidth="1"/>
    <col min="94" max="94" width="2.5703125" customWidth="1"/>
    <col min="95" max="99" width="3.85546875" customWidth="1"/>
    <col min="100" max="100" width="2.5703125" customWidth="1"/>
    <col min="101" max="105" width="3.85546875" customWidth="1"/>
  </cols>
  <sheetData>
    <row r="1" spans="1:105" ht="37.5" customHeight="1" thickTop="1" thickBot="1" x14ac:dyDescent="0.3">
      <c r="A1" s="424" t="s">
        <v>0</v>
      </c>
      <c r="B1" s="424"/>
      <c r="C1" s="425"/>
      <c r="D1" s="431" t="s">
        <v>230</v>
      </c>
      <c r="E1" s="432"/>
      <c r="F1" s="432"/>
      <c r="G1" s="432"/>
      <c r="H1" s="432"/>
      <c r="I1" s="432"/>
      <c r="J1" s="432"/>
      <c r="K1" s="432"/>
      <c r="L1" s="431" t="s">
        <v>231</v>
      </c>
      <c r="M1" s="432"/>
      <c r="N1" s="432"/>
      <c r="O1" s="432"/>
      <c r="P1" s="431" t="s">
        <v>232</v>
      </c>
      <c r="Q1" s="432"/>
      <c r="R1" s="432"/>
      <c r="S1" s="432"/>
      <c r="T1" s="432"/>
      <c r="U1" s="432"/>
      <c r="V1" s="432"/>
      <c r="W1" s="432"/>
      <c r="X1" s="432"/>
      <c r="Y1" s="432"/>
      <c r="Z1" s="432"/>
      <c r="AA1" s="432"/>
      <c r="AB1" s="432"/>
      <c r="AC1" s="432"/>
      <c r="AD1" s="432"/>
      <c r="AE1" s="432"/>
      <c r="AF1" s="432"/>
      <c r="AG1" s="432"/>
      <c r="AH1" s="432"/>
      <c r="AI1" s="432"/>
      <c r="AJ1" s="431" t="s">
        <v>233</v>
      </c>
      <c r="AK1" s="432"/>
      <c r="AL1" s="432"/>
      <c r="AM1" s="431" t="s">
        <v>234</v>
      </c>
      <c r="AN1" s="432"/>
      <c r="AO1" s="432"/>
      <c r="AP1" s="431" t="s">
        <v>235</v>
      </c>
      <c r="AQ1" s="432"/>
      <c r="AR1" s="432"/>
      <c r="AS1" s="432"/>
      <c r="AT1" s="432"/>
      <c r="AU1" s="431" t="s">
        <v>1</v>
      </c>
      <c r="AV1" s="432"/>
      <c r="AW1" s="432"/>
      <c r="AX1" s="432"/>
      <c r="AY1" s="432"/>
      <c r="AZ1" s="432"/>
      <c r="BA1" s="432"/>
      <c r="BB1" s="432"/>
      <c r="BC1" s="431" t="s">
        <v>131</v>
      </c>
      <c r="BD1" s="432"/>
      <c r="BE1" s="432"/>
      <c r="BF1" s="432"/>
      <c r="BG1" s="432"/>
      <c r="BH1" s="431" t="s">
        <v>3</v>
      </c>
      <c r="BI1" s="432"/>
      <c r="BJ1" s="432"/>
      <c r="BK1" s="431" t="s">
        <v>4</v>
      </c>
      <c r="BL1" s="432"/>
      <c r="BM1" s="432"/>
      <c r="BN1" s="432"/>
      <c r="BO1" s="431" t="s">
        <v>5</v>
      </c>
      <c r="BP1" s="432"/>
      <c r="BQ1" s="432"/>
      <c r="BR1" s="432"/>
      <c r="BS1" s="432"/>
      <c r="BT1" s="432"/>
      <c r="BU1" s="432"/>
      <c r="BV1" s="432"/>
      <c r="BW1" s="431" t="s">
        <v>6</v>
      </c>
      <c r="BX1" s="432"/>
      <c r="BY1" s="432"/>
      <c r="BZ1" s="432"/>
      <c r="CA1" s="432"/>
      <c r="CB1" s="432"/>
      <c r="CC1" s="431" t="s">
        <v>135</v>
      </c>
      <c r="CD1" s="432"/>
      <c r="CE1" s="432"/>
      <c r="CF1" s="431" t="s">
        <v>236</v>
      </c>
      <c r="CG1" s="432"/>
      <c r="CH1" s="432"/>
      <c r="CI1" s="433"/>
      <c r="CK1" s="431" t="s">
        <v>304</v>
      </c>
      <c r="CL1" s="432"/>
      <c r="CM1" s="432"/>
      <c r="CN1" s="432"/>
      <c r="CO1" s="433"/>
      <c r="CQ1" s="431" t="s">
        <v>223</v>
      </c>
      <c r="CR1" s="432"/>
      <c r="CS1" s="432"/>
      <c r="CT1" s="432"/>
      <c r="CU1" s="433"/>
      <c r="CW1" s="431" t="s">
        <v>305</v>
      </c>
      <c r="CX1" s="432"/>
      <c r="CY1" s="432"/>
      <c r="CZ1" s="432"/>
      <c r="DA1" s="433"/>
    </row>
    <row r="2" spans="1:105" ht="128.1" customHeight="1" thickTop="1" thickBot="1" x14ac:dyDescent="0.3">
      <c r="A2" s="4" t="s">
        <v>9</v>
      </c>
      <c r="B2" s="5"/>
      <c r="C2" s="231" t="s">
        <v>216</v>
      </c>
      <c r="D2" s="287" t="s">
        <v>241</v>
      </c>
      <c r="E2" s="288" t="s">
        <v>242</v>
      </c>
      <c r="F2" s="288" t="s">
        <v>238</v>
      </c>
      <c r="G2" s="288" t="s">
        <v>11</v>
      </c>
      <c r="H2" s="288" t="s">
        <v>10</v>
      </c>
      <c r="I2" s="288" t="s">
        <v>125</v>
      </c>
      <c r="J2" s="288" t="s">
        <v>12</v>
      </c>
      <c r="K2" s="293" t="s">
        <v>241</v>
      </c>
      <c r="L2" s="287" t="s">
        <v>13</v>
      </c>
      <c r="M2" s="288" t="s">
        <v>38</v>
      </c>
      <c r="N2" s="288" t="s">
        <v>243</v>
      </c>
      <c r="O2" s="293" t="s">
        <v>244</v>
      </c>
      <c r="P2" s="287" t="s">
        <v>35</v>
      </c>
      <c r="Q2" s="288" t="s">
        <v>18</v>
      </c>
      <c r="R2" s="288" t="s">
        <v>239</v>
      </c>
      <c r="S2" s="288" t="s">
        <v>28</v>
      </c>
      <c r="T2" s="288" t="s">
        <v>245</v>
      </c>
      <c r="U2" s="288" t="s">
        <v>246</v>
      </c>
      <c r="V2" s="288" t="s">
        <v>284</v>
      </c>
      <c r="W2" s="288" t="s">
        <v>248</v>
      </c>
      <c r="X2" s="288" t="s">
        <v>247</v>
      </c>
      <c r="Y2" s="288" t="s">
        <v>249</v>
      </c>
      <c r="Z2" s="288" t="s">
        <v>250</v>
      </c>
      <c r="AA2" s="288" t="s">
        <v>251</v>
      </c>
      <c r="AB2" s="288" t="s">
        <v>31</v>
      </c>
      <c r="AC2" s="288" t="s">
        <v>34</v>
      </c>
      <c r="AD2" s="288" t="s">
        <v>252</v>
      </c>
      <c r="AE2" s="288" t="s">
        <v>36</v>
      </c>
      <c r="AF2" s="288" t="s">
        <v>16</v>
      </c>
      <c r="AG2" s="288" t="s">
        <v>253</v>
      </c>
      <c r="AH2" s="288" t="s">
        <v>37</v>
      </c>
      <c r="AI2" s="293" t="s">
        <v>124</v>
      </c>
      <c r="AJ2" s="287" t="s">
        <v>254</v>
      </c>
      <c r="AK2" s="288" t="s">
        <v>255</v>
      </c>
      <c r="AL2" s="293" t="s">
        <v>256</v>
      </c>
      <c r="AM2" s="287" t="s">
        <v>257</v>
      </c>
      <c r="AN2" s="288" t="s">
        <v>22</v>
      </c>
      <c r="AO2" s="293" t="s">
        <v>258</v>
      </c>
      <c r="AP2" s="287" t="s">
        <v>262</v>
      </c>
      <c r="AQ2" s="288" t="s">
        <v>260</v>
      </c>
      <c r="AR2" s="288" t="s">
        <v>19</v>
      </c>
      <c r="AS2" s="288" t="s">
        <v>261</v>
      </c>
      <c r="AT2" s="293" t="s">
        <v>259</v>
      </c>
      <c r="AU2" s="287" t="s">
        <v>10</v>
      </c>
      <c r="AV2" s="288" t="s">
        <v>11</v>
      </c>
      <c r="AW2" s="288" t="s">
        <v>12</v>
      </c>
      <c r="AX2" s="288" t="s">
        <v>13</v>
      </c>
      <c r="AY2" s="288" t="s">
        <v>14</v>
      </c>
      <c r="AZ2" s="288" t="s">
        <v>125</v>
      </c>
      <c r="BA2" s="288" t="s">
        <v>121</v>
      </c>
      <c r="BB2" s="293" t="s">
        <v>15</v>
      </c>
      <c r="BC2" s="287" t="s">
        <v>16</v>
      </c>
      <c r="BD2" s="288" t="s">
        <v>17</v>
      </c>
      <c r="BE2" s="288" t="s">
        <v>18</v>
      </c>
      <c r="BF2" s="288" t="s">
        <v>19</v>
      </c>
      <c r="BG2" s="293" t="s">
        <v>20</v>
      </c>
      <c r="BH2" s="287" t="s">
        <v>21</v>
      </c>
      <c r="BI2" s="288" t="s">
        <v>22</v>
      </c>
      <c r="BJ2" s="293" t="s">
        <v>20</v>
      </c>
      <c r="BK2" s="287" t="s">
        <v>28</v>
      </c>
      <c r="BL2" s="288" t="s">
        <v>24</v>
      </c>
      <c r="BM2" s="288" t="s">
        <v>27</v>
      </c>
      <c r="BN2" s="293" t="s">
        <v>124</v>
      </c>
      <c r="BO2" s="287" t="s">
        <v>33</v>
      </c>
      <c r="BP2" s="288" t="s">
        <v>29</v>
      </c>
      <c r="BQ2" s="288" t="s">
        <v>30</v>
      </c>
      <c r="BR2" s="288" t="s">
        <v>181</v>
      </c>
      <c r="BS2" s="288" t="s">
        <v>26</v>
      </c>
      <c r="BT2" s="288" t="s">
        <v>31</v>
      </c>
      <c r="BU2" s="288" t="s">
        <v>32</v>
      </c>
      <c r="BV2" s="293" t="s">
        <v>23</v>
      </c>
      <c r="BW2" s="287" t="s">
        <v>34</v>
      </c>
      <c r="BX2" s="288" t="s">
        <v>25</v>
      </c>
      <c r="BY2" s="288" t="s">
        <v>35</v>
      </c>
      <c r="BZ2" s="288" t="s">
        <v>38</v>
      </c>
      <c r="CA2" s="288" t="s">
        <v>36</v>
      </c>
      <c r="CB2" s="293" t="s">
        <v>37</v>
      </c>
      <c r="CC2" s="287" t="s">
        <v>133</v>
      </c>
      <c r="CD2" s="288" t="s">
        <v>39</v>
      </c>
      <c r="CE2" s="293" t="s">
        <v>40</v>
      </c>
      <c r="CF2" s="287" t="s">
        <v>263</v>
      </c>
      <c r="CG2" s="288" t="s">
        <v>240</v>
      </c>
      <c r="CH2" s="288" t="s">
        <v>265</v>
      </c>
      <c r="CI2" s="289" t="s">
        <v>264</v>
      </c>
      <c r="CK2" s="304" t="s">
        <v>217</v>
      </c>
      <c r="CL2" s="305" t="s">
        <v>218</v>
      </c>
      <c r="CM2" s="306" t="s">
        <v>219</v>
      </c>
      <c r="CN2" s="307" t="s">
        <v>220</v>
      </c>
      <c r="CO2" s="308" t="s">
        <v>221</v>
      </c>
      <c r="CQ2" s="304" t="s">
        <v>217</v>
      </c>
      <c r="CR2" s="305" t="s">
        <v>218</v>
      </c>
      <c r="CS2" s="306" t="s">
        <v>219</v>
      </c>
      <c r="CT2" s="307" t="s">
        <v>220</v>
      </c>
      <c r="CU2" s="308" t="s">
        <v>221</v>
      </c>
      <c r="CW2" s="304" t="s">
        <v>217</v>
      </c>
      <c r="CX2" s="305" t="s">
        <v>218</v>
      </c>
      <c r="CY2" s="306" t="s">
        <v>219</v>
      </c>
      <c r="CZ2" s="307" t="s">
        <v>220</v>
      </c>
      <c r="DA2" s="308" t="s">
        <v>221</v>
      </c>
    </row>
    <row r="3" spans="1:105" ht="12.75" customHeight="1" thickTop="1" thickBot="1" x14ac:dyDescent="0.3">
      <c r="A3" s="5"/>
      <c r="B3" s="3"/>
      <c r="C3" s="100" t="s">
        <v>126</v>
      </c>
      <c r="D3" s="309" t="s">
        <v>139</v>
      </c>
      <c r="E3" s="309" t="s">
        <v>237</v>
      </c>
      <c r="F3" s="309" t="s">
        <v>237</v>
      </c>
      <c r="G3" s="309" t="s">
        <v>237</v>
      </c>
      <c r="H3" s="309" t="s">
        <v>237</v>
      </c>
      <c r="I3" s="309" t="s">
        <v>139</v>
      </c>
      <c r="J3" s="309" t="s">
        <v>237</v>
      </c>
      <c r="K3" s="309" t="s">
        <v>139</v>
      </c>
      <c r="L3" s="309" t="s">
        <v>237</v>
      </c>
      <c r="M3" s="309" t="s">
        <v>237</v>
      </c>
      <c r="N3" s="309" t="s">
        <v>237</v>
      </c>
      <c r="O3" s="309" t="s">
        <v>237</v>
      </c>
      <c r="P3" s="309" t="s">
        <v>237</v>
      </c>
      <c r="Q3" s="309" t="s">
        <v>237</v>
      </c>
      <c r="R3" s="309" t="s">
        <v>237</v>
      </c>
      <c r="S3" s="309" t="s">
        <v>237</v>
      </c>
      <c r="T3" s="309" t="s">
        <v>237</v>
      </c>
      <c r="U3" s="309" t="s">
        <v>139</v>
      </c>
      <c r="V3" s="309" t="s">
        <v>139</v>
      </c>
      <c r="W3" s="309" t="s">
        <v>139</v>
      </c>
      <c r="X3" s="309" t="s">
        <v>139</v>
      </c>
      <c r="Y3" s="309" t="s">
        <v>237</v>
      </c>
      <c r="Z3" s="309" t="s">
        <v>237</v>
      </c>
      <c r="AA3" s="309" t="s">
        <v>139</v>
      </c>
      <c r="AB3" s="309" t="s">
        <v>139</v>
      </c>
      <c r="AC3" s="309" t="s">
        <v>237</v>
      </c>
      <c r="AD3" s="309" t="s">
        <v>139</v>
      </c>
      <c r="AE3" s="309" t="s">
        <v>237</v>
      </c>
      <c r="AF3" s="309" t="s">
        <v>237</v>
      </c>
      <c r="AG3" s="309" t="s">
        <v>237</v>
      </c>
      <c r="AH3" s="309" t="s">
        <v>237</v>
      </c>
      <c r="AI3" s="309" t="s">
        <v>139</v>
      </c>
      <c r="AJ3" s="309" t="s">
        <v>237</v>
      </c>
      <c r="AK3" s="309" t="s">
        <v>139</v>
      </c>
      <c r="AL3" s="309" t="s">
        <v>139</v>
      </c>
      <c r="AM3" s="309" t="s">
        <v>237</v>
      </c>
      <c r="AN3" s="309" t="s">
        <v>237</v>
      </c>
      <c r="AO3" s="309" t="s">
        <v>139</v>
      </c>
      <c r="AP3" s="309" t="s">
        <v>139</v>
      </c>
      <c r="AQ3" s="309" t="s">
        <v>237</v>
      </c>
      <c r="AR3" s="309" t="s">
        <v>237</v>
      </c>
      <c r="AS3" s="309" t="s">
        <v>237</v>
      </c>
      <c r="AT3" s="309" t="s">
        <v>237</v>
      </c>
      <c r="AU3" s="309" t="s">
        <v>46</v>
      </c>
      <c r="AV3" s="309" t="s">
        <v>46</v>
      </c>
      <c r="AW3" s="309" t="s">
        <v>46</v>
      </c>
      <c r="AX3" s="309" t="s">
        <v>46</v>
      </c>
      <c r="AY3" s="309" t="s">
        <v>46</v>
      </c>
      <c r="AZ3" s="309" t="s">
        <v>47</v>
      </c>
      <c r="BA3" s="309" t="s">
        <v>47</v>
      </c>
      <c r="BB3" s="309" t="s">
        <v>47</v>
      </c>
      <c r="BC3" s="309" t="s">
        <v>46</v>
      </c>
      <c r="BD3" s="309" t="s">
        <v>46</v>
      </c>
      <c r="BE3" s="309" t="s">
        <v>46</v>
      </c>
      <c r="BF3" s="309" t="s">
        <v>46</v>
      </c>
      <c r="BG3" s="309" t="s">
        <v>46</v>
      </c>
      <c r="BH3" s="309" t="s">
        <v>46</v>
      </c>
      <c r="BI3" s="309" t="s">
        <v>46</v>
      </c>
      <c r="BJ3" s="309" t="s">
        <v>46</v>
      </c>
      <c r="BK3" s="309" t="s">
        <v>46</v>
      </c>
      <c r="BL3" s="309" t="s">
        <v>47</v>
      </c>
      <c r="BM3" s="309" t="s">
        <v>47</v>
      </c>
      <c r="BN3" s="309" t="s">
        <v>47</v>
      </c>
      <c r="BO3" s="309" t="s">
        <v>46</v>
      </c>
      <c r="BP3" s="309" t="s">
        <v>46</v>
      </c>
      <c r="BQ3" s="309" t="s">
        <v>46</v>
      </c>
      <c r="BR3" s="309" t="s">
        <v>47</v>
      </c>
      <c r="BS3" s="309" t="s">
        <v>47</v>
      </c>
      <c r="BT3" s="309" t="s">
        <v>47</v>
      </c>
      <c r="BU3" s="309" t="s">
        <v>47</v>
      </c>
      <c r="BV3" s="309" t="s">
        <v>47</v>
      </c>
      <c r="BW3" s="309" t="s">
        <v>46</v>
      </c>
      <c r="BX3" s="309" t="s">
        <v>46</v>
      </c>
      <c r="BY3" s="309" t="s">
        <v>46</v>
      </c>
      <c r="BZ3" s="309" t="s">
        <v>46</v>
      </c>
      <c r="CA3" s="309" t="s">
        <v>46</v>
      </c>
      <c r="CB3" s="309" t="s">
        <v>46</v>
      </c>
      <c r="CC3" s="309" t="s">
        <v>46</v>
      </c>
      <c r="CD3" s="309" t="s">
        <v>46</v>
      </c>
      <c r="CE3" s="309" t="s">
        <v>46</v>
      </c>
      <c r="CF3" s="309" t="s">
        <v>139</v>
      </c>
      <c r="CG3" s="309" t="s">
        <v>237</v>
      </c>
      <c r="CH3" s="309" t="s">
        <v>237</v>
      </c>
      <c r="CI3" s="309" t="s">
        <v>237</v>
      </c>
      <c r="CK3" s="303"/>
      <c r="CL3" s="303"/>
      <c r="CM3" s="303"/>
      <c r="CN3" s="303"/>
      <c r="CO3" s="303"/>
      <c r="CQ3" s="303"/>
      <c r="CR3" s="303"/>
      <c r="CS3" s="303"/>
      <c r="CT3" s="303"/>
      <c r="CU3" s="303"/>
      <c r="CW3" s="303"/>
      <c r="CX3" s="303"/>
      <c r="CY3" s="303"/>
      <c r="CZ3" s="303"/>
      <c r="DA3" s="303"/>
    </row>
    <row r="4" spans="1:105" ht="15.75" thickTop="1" x14ac:dyDescent="0.25">
      <c r="B4" s="434" t="s">
        <v>48</v>
      </c>
      <c r="C4" s="290" t="s">
        <v>49</v>
      </c>
      <c r="D4" s="310"/>
      <c r="E4" s="311"/>
      <c r="F4" s="311"/>
      <c r="G4" s="311"/>
      <c r="H4" s="311"/>
      <c r="I4" s="311"/>
      <c r="J4" s="311"/>
      <c r="K4" s="312"/>
      <c r="L4" s="310"/>
      <c r="M4" s="311"/>
      <c r="N4" s="311"/>
      <c r="O4" s="312"/>
      <c r="P4" s="310"/>
      <c r="Q4" s="311"/>
      <c r="R4" s="311"/>
      <c r="S4" s="311"/>
      <c r="T4" s="311"/>
      <c r="U4" s="311"/>
      <c r="V4" s="311"/>
      <c r="W4" s="311"/>
      <c r="X4" s="311"/>
      <c r="Y4" s="311"/>
      <c r="Z4" s="311"/>
      <c r="AA4" s="311"/>
      <c r="AB4" s="311"/>
      <c r="AC4" s="311"/>
      <c r="AD4" s="311"/>
      <c r="AE4" s="311"/>
      <c r="AF4" s="311"/>
      <c r="AG4" s="311"/>
      <c r="AH4" s="311"/>
      <c r="AI4" s="312"/>
      <c r="AJ4" s="310"/>
      <c r="AK4" s="311"/>
      <c r="AL4" s="312"/>
      <c r="AM4" s="310"/>
      <c r="AN4" s="311"/>
      <c r="AO4" s="312"/>
      <c r="AP4" s="310"/>
      <c r="AQ4" s="311"/>
      <c r="AR4" s="311"/>
      <c r="AS4" s="311"/>
      <c r="AT4" s="312"/>
      <c r="AU4" s="310" t="s">
        <v>148</v>
      </c>
      <c r="AV4" s="311" t="s">
        <v>148</v>
      </c>
      <c r="AW4" s="311" t="s">
        <v>150</v>
      </c>
      <c r="AX4" s="311" t="s">
        <v>147</v>
      </c>
      <c r="AY4" s="311" t="s">
        <v>147</v>
      </c>
      <c r="AZ4" s="311"/>
      <c r="BA4" s="311"/>
      <c r="BB4" s="312"/>
      <c r="BC4" s="310" t="s">
        <v>147</v>
      </c>
      <c r="BD4" s="311" t="s">
        <v>147</v>
      </c>
      <c r="BE4" s="311"/>
      <c r="BF4" s="311"/>
      <c r="BG4" s="312"/>
      <c r="BH4" s="310"/>
      <c r="BI4" s="311" t="s">
        <v>147</v>
      </c>
      <c r="BJ4" s="312"/>
      <c r="BK4" s="310"/>
      <c r="BL4" s="311" t="s">
        <v>147</v>
      </c>
      <c r="BM4" s="311"/>
      <c r="BN4" s="312" t="s">
        <v>147</v>
      </c>
      <c r="BO4" s="310" t="s">
        <v>150</v>
      </c>
      <c r="BP4" s="311" t="s">
        <v>148</v>
      </c>
      <c r="BQ4" s="311" t="s">
        <v>147</v>
      </c>
      <c r="BR4" s="311"/>
      <c r="BS4" s="311" t="s">
        <v>147</v>
      </c>
      <c r="BT4" s="311" t="s">
        <v>150</v>
      </c>
      <c r="BU4" s="311" t="s">
        <v>150</v>
      </c>
      <c r="BV4" s="312"/>
      <c r="BW4" s="310" t="s">
        <v>148</v>
      </c>
      <c r="BX4" s="311"/>
      <c r="BY4" s="311"/>
      <c r="BZ4" s="311" t="s">
        <v>147</v>
      </c>
      <c r="CA4" s="311"/>
      <c r="CB4" s="312"/>
      <c r="CC4" s="310"/>
      <c r="CD4" s="311"/>
      <c r="CE4" s="312"/>
      <c r="CF4" s="310"/>
      <c r="CG4" s="311"/>
      <c r="CH4" s="311"/>
      <c r="CI4" s="313"/>
      <c r="CK4" s="233" t="str">
        <f t="shared" ref="CK4:CK16" si="0">IF(COUNTIF(D4:CI4,"o")&gt;0,COUNTIF(D4:CI4,"o"),"")</f>
        <v/>
      </c>
      <c r="CL4" s="234">
        <f t="shared" ref="CL4:CL16" si="1">IF(COUNTIF(D4:CI4,"j")&gt;0,COUNTIF(D4:CI4,"j"),"")</f>
        <v>10</v>
      </c>
      <c r="CM4" s="234">
        <f t="shared" ref="CM4:CM16" si="2">IF(COUNTIF(D4:CI4,"m")&gt;0,COUNTIF(D4:CI4,"m"),"")</f>
        <v>4</v>
      </c>
      <c r="CN4" s="234">
        <f t="shared" ref="CN4:CN16" si="3">IF(COUNTIF(D4:CI4,"s")&gt;0,COUNTIF(D4:CI4,"s"),"")</f>
        <v>4</v>
      </c>
      <c r="CO4" s="235" t="str">
        <f t="shared" ref="CO4:CO16" si="4">IF(COUNTIF(D4:CI4,"e")&gt;0,COUNTIF(D4:CI4,"e"),"")</f>
        <v/>
      </c>
      <c r="CQ4" s="233" t="str">
        <f>desired_skills(C4,"Systemen/Oracle","o")</f>
        <v>1</v>
      </c>
      <c r="CR4" s="234" t="str">
        <f>desired_skills(C4,"Systemen/Oracle","j")</f>
        <v/>
      </c>
      <c r="CS4" s="234" t="str">
        <f>desired_skills(C4,"Systemen/Oracle","m")</f>
        <v/>
      </c>
      <c r="CT4" s="234" t="str">
        <f>desired_skills(C4,"Systemen/Oracle","s")</f>
        <v/>
      </c>
      <c r="CU4" s="235" t="str">
        <f>desired_skills(C4,"Systemen/Oracle","e")</f>
        <v/>
      </c>
      <c r="CW4" s="233" t="str">
        <f>calc_gap('Matrix 171007_1815'!$CK$4,'Matrix 171007_1815'!$CQ$4)</f>
        <v/>
      </c>
      <c r="CX4" s="234" t="str">
        <f>calc_gap('Matrix 171007_1815'!$CL$4,'Matrix 171007_1815'!$CR$4)</f>
        <v/>
      </c>
      <c r="CY4" s="234" t="str">
        <f>calc_gap('Matrix 171007_1815'!$CM$4,'Matrix 171007_1815'!$CS$4)</f>
        <v/>
      </c>
      <c r="CZ4" s="234" t="str">
        <f>calc_gap('Matrix 171007_1815'!$CN$4,'Matrix 171007_1815'!$CT$4)</f>
        <v/>
      </c>
      <c r="DA4" s="235" t="str">
        <f>calc_gap('Matrix 171007_1815'!$CO$4,'Matrix 171007_1815'!$CU$4)</f>
        <v/>
      </c>
    </row>
    <row r="5" spans="1:105" x14ac:dyDescent="0.25">
      <c r="B5" s="435"/>
      <c r="C5" s="291" t="s">
        <v>54</v>
      </c>
      <c r="D5" s="314"/>
      <c r="E5" s="315"/>
      <c r="F5" s="315"/>
      <c r="G5" s="315"/>
      <c r="H5" s="315"/>
      <c r="I5" s="315"/>
      <c r="J5" s="315"/>
      <c r="K5" s="316"/>
      <c r="L5" s="314"/>
      <c r="M5" s="315"/>
      <c r="N5" s="315"/>
      <c r="O5" s="316"/>
      <c r="P5" s="314"/>
      <c r="Q5" s="315"/>
      <c r="R5" s="315"/>
      <c r="S5" s="315"/>
      <c r="T5" s="315"/>
      <c r="U5" s="315"/>
      <c r="V5" s="315"/>
      <c r="W5" s="315"/>
      <c r="X5" s="315"/>
      <c r="Y5" s="315"/>
      <c r="Z5" s="315"/>
      <c r="AA5" s="315"/>
      <c r="AB5" s="315"/>
      <c r="AC5" s="315"/>
      <c r="AD5" s="315"/>
      <c r="AE5" s="315"/>
      <c r="AF5" s="315"/>
      <c r="AG5" s="315"/>
      <c r="AH5" s="315"/>
      <c r="AI5" s="316"/>
      <c r="AJ5" s="314"/>
      <c r="AK5" s="315"/>
      <c r="AL5" s="316"/>
      <c r="AM5" s="314"/>
      <c r="AN5" s="315"/>
      <c r="AO5" s="316"/>
      <c r="AP5" s="314"/>
      <c r="AQ5" s="315"/>
      <c r="AR5" s="315"/>
      <c r="AS5" s="315"/>
      <c r="AT5" s="316"/>
      <c r="AU5" s="314" t="s">
        <v>148</v>
      </c>
      <c r="AV5" s="315" t="s">
        <v>150</v>
      </c>
      <c r="AW5" s="315" t="s">
        <v>150</v>
      </c>
      <c r="AX5" s="315" t="s">
        <v>148</v>
      </c>
      <c r="AY5" s="315" t="s">
        <v>148</v>
      </c>
      <c r="AZ5" s="315"/>
      <c r="BA5" s="315"/>
      <c r="BB5" s="316" t="s">
        <v>147</v>
      </c>
      <c r="BC5" s="314" t="s">
        <v>147</v>
      </c>
      <c r="BD5" s="315" t="s">
        <v>147</v>
      </c>
      <c r="BE5" s="315"/>
      <c r="BF5" s="315"/>
      <c r="BG5" s="316"/>
      <c r="BH5" s="314"/>
      <c r="BI5" s="315"/>
      <c r="BJ5" s="316"/>
      <c r="BK5" s="314" t="s">
        <v>148</v>
      </c>
      <c r="BL5" s="315" t="s">
        <v>147</v>
      </c>
      <c r="BM5" s="315"/>
      <c r="BN5" s="316" t="s">
        <v>147</v>
      </c>
      <c r="BO5" s="314" t="s">
        <v>150</v>
      </c>
      <c r="BP5" s="315" t="s">
        <v>150</v>
      </c>
      <c r="BQ5" s="315" t="s">
        <v>148</v>
      </c>
      <c r="BR5" s="315"/>
      <c r="BS5" s="315" t="s">
        <v>147</v>
      </c>
      <c r="BT5" s="315" t="s">
        <v>150</v>
      </c>
      <c r="BU5" s="315" t="s">
        <v>150</v>
      </c>
      <c r="BV5" s="316"/>
      <c r="BW5" s="314" t="s">
        <v>150</v>
      </c>
      <c r="BX5" s="315" t="s">
        <v>148</v>
      </c>
      <c r="BY5" s="315" t="s">
        <v>150</v>
      </c>
      <c r="BZ5" s="315" t="s">
        <v>150</v>
      </c>
      <c r="CA5" s="315" t="s">
        <v>150</v>
      </c>
      <c r="CB5" s="316" t="s">
        <v>150</v>
      </c>
      <c r="CC5" s="314" t="s">
        <v>148</v>
      </c>
      <c r="CD5" s="315"/>
      <c r="CE5" s="316"/>
      <c r="CF5" s="314"/>
      <c r="CG5" s="315"/>
      <c r="CH5" s="315"/>
      <c r="CI5" s="317"/>
      <c r="CK5" s="236" t="str">
        <f t="shared" si="0"/>
        <v/>
      </c>
      <c r="CL5" s="237">
        <f t="shared" si="1"/>
        <v>6</v>
      </c>
      <c r="CM5" s="237">
        <f t="shared" si="2"/>
        <v>7</v>
      </c>
      <c r="CN5" s="237">
        <f t="shared" si="3"/>
        <v>11</v>
      </c>
      <c r="CO5" s="238" t="str">
        <f t="shared" si="4"/>
        <v/>
      </c>
      <c r="CQ5" s="236" t="str">
        <f>desired_skills(C5,"Systemen/OBIP","o")</f>
        <v/>
      </c>
      <c r="CR5" s="237" t="str">
        <f>desired_skills(C5,"Systemen/OBIP","j")</f>
        <v>2</v>
      </c>
      <c r="CS5" s="237" t="str">
        <f>desired_skills(C5,"Systemen/OBIP","m")</f>
        <v/>
      </c>
      <c r="CT5" s="237" t="str">
        <f>desired_skills(C5,"Systemen/OBIP","s")</f>
        <v/>
      </c>
      <c r="CU5" s="238" t="str">
        <f>desired_skills(C5,"Systemen/OBIP","e")</f>
        <v/>
      </c>
      <c r="CW5" s="236" t="str">
        <f>calc_gap('Matrix 171007_1815'!$CK$5,'Matrix 171007_1815'!$CQ$5)</f>
        <v/>
      </c>
      <c r="CX5" s="237" t="str">
        <f>calc_gap('Matrix 171007_1815'!$CL$5,'Matrix 171007_1815'!$CR$5)</f>
        <v>-4</v>
      </c>
      <c r="CY5" s="237" t="str">
        <f>calc_gap('Matrix 171007_1815'!$CM$5,'Matrix 171007_1815'!$CS$5)</f>
        <v/>
      </c>
      <c r="CZ5" s="237" t="str">
        <f>calc_gap('Matrix 171007_1815'!$CN$5,'Matrix 171007_1815'!$CT$5)</f>
        <v/>
      </c>
      <c r="DA5" s="238" t="str">
        <f>calc_gap('Matrix 171007_1815'!$CO$5,'Matrix 171007_1815'!$CU$5)</f>
        <v/>
      </c>
    </row>
    <row r="6" spans="1:105" x14ac:dyDescent="0.25">
      <c r="B6" s="435"/>
      <c r="C6" s="291" t="s">
        <v>51</v>
      </c>
      <c r="D6" s="314"/>
      <c r="E6" s="315"/>
      <c r="F6" s="315"/>
      <c r="G6" s="315"/>
      <c r="H6" s="315"/>
      <c r="I6" s="315"/>
      <c r="J6" s="315"/>
      <c r="K6" s="316"/>
      <c r="L6" s="314"/>
      <c r="M6" s="315"/>
      <c r="N6" s="315"/>
      <c r="O6" s="316"/>
      <c r="P6" s="314"/>
      <c r="Q6" s="315"/>
      <c r="R6" s="315"/>
      <c r="S6" s="315"/>
      <c r="T6" s="315"/>
      <c r="U6" s="315"/>
      <c r="V6" s="315"/>
      <c r="W6" s="315"/>
      <c r="X6" s="315"/>
      <c r="Y6" s="315"/>
      <c r="Z6" s="315"/>
      <c r="AA6" s="315"/>
      <c r="AB6" s="315"/>
      <c r="AC6" s="315"/>
      <c r="AD6" s="315"/>
      <c r="AE6" s="315"/>
      <c r="AF6" s="315"/>
      <c r="AG6" s="315"/>
      <c r="AH6" s="315"/>
      <c r="AI6" s="316"/>
      <c r="AJ6" s="314"/>
      <c r="AK6" s="315"/>
      <c r="AL6" s="316"/>
      <c r="AM6" s="314"/>
      <c r="AN6" s="315"/>
      <c r="AO6" s="316"/>
      <c r="AP6" s="314"/>
      <c r="AQ6" s="315"/>
      <c r="AR6" s="315"/>
      <c r="AS6" s="315"/>
      <c r="AT6" s="316"/>
      <c r="AU6" s="314" t="s">
        <v>148</v>
      </c>
      <c r="AV6" s="315" t="s">
        <v>148</v>
      </c>
      <c r="AW6" s="315" t="s">
        <v>149</v>
      </c>
      <c r="AX6" s="315" t="s">
        <v>148</v>
      </c>
      <c r="AY6" s="315" t="s">
        <v>147</v>
      </c>
      <c r="AZ6" s="315"/>
      <c r="BA6" s="315"/>
      <c r="BB6" s="316" t="s">
        <v>147</v>
      </c>
      <c r="BC6" s="314" t="s">
        <v>149</v>
      </c>
      <c r="BD6" s="315" t="s">
        <v>148</v>
      </c>
      <c r="BE6" s="315"/>
      <c r="BF6" s="315"/>
      <c r="BG6" s="316"/>
      <c r="BH6" s="314"/>
      <c r="BI6" s="315"/>
      <c r="BJ6" s="316"/>
      <c r="BK6" s="314" t="s">
        <v>47</v>
      </c>
      <c r="BL6" s="315" t="s">
        <v>148</v>
      </c>
      <c r="BM6" s="315"/>
      <c r="BN6" s="316" t="s">
        <v>148</v>
      </c>
      <c r="BO6" s="314" t="s">
        <v>150</v>
      </c>
      <c r="BP6" s="315" t="s">
        <v>47</v>
      </c>
      <c r="BQ6" s="315" t="s">
        <v>148</v>
      </c>
      <c r="BR6" s="315"/>
      <c r="BS6" s="315" t="s">
        <v>147</v>
      </c>
      <c r="BT6" s="315" t="s">
        <v>148</v>
      </c>
      <c r="BU6" s="315" t="s">
        <v>150</v>
      </c>
      <c r="BV6" s="316"/>
      <c r="BW6" s="314" t="s">
        <v>47</v>
      </c>
      <c r="BX6" s="315" t="s">
        <v>148</v>
      </c>
      <c r="BY6" s="315" t="s">
        <v>150</v>
      </c>
      <c r="BZ6" s="315" t="s">
        <v>47</v>
      </c>
      <c r="CA6" s="315" t="s">
        <v>150</v>
      </c>
      <c r="CB6" s="316" t="s">
        <v>150</v>
      </c>
      <c r="CC6" s="314" t="s">
        <v>150</v>
      </c>
      <c r="CD6" s="315" t="s">
        <v>148</v>
      </c>
      <c r="CE6" s="316"/>
      <c r="CF6" s="314"/>
      <c r="CG6" s="315"/>
      <c r="CH6" s="315"/>
      <c r="CI6" s="317"/>
      <c r="CK6" s="236">
        <f t="shared" si="0"/>
        <v>2</v>
      </c>
      <c r="CL6" s="237">
        <f t="shared" si="1"/>
        <v>3</v>
      </c>
      <c r="CM6" s="237">
        <f t="shared" si="2"/>
        <v>10</v>
      </c>
      <c r="CN6" s="237">
        <f t="shared" si="3"/>
        <v>6</v>
      </c>
      <c r="CO6" s="238">
        <f t="shared" si="4"/>
        <v>4</v>
      </c>
      <c r="CQ6" s="236" t="str">
        <f>desired_skills(C6,"Systemen/Raboshop","o")</f>
        <v/>
      </c>
      <c r="CR6" s="237" t="str">
        <f>desired_skills(C6,"Systemen/Raboshop","j")</f>
        <v/>
      </c>
      <c r="CS6" s="237" t="str">
        <f>desired_skills(C6,"Systemen/Raboshop","m")</f>
        <v>3</v>
      </c>
      <c r="CT6" s="237" t="str">
        <f>desired_skills(C6,"Systemen/Raboshop","s")</f>
        <v/>
      </c>
      <c r="CU6" s="238" t="str">
        <f>desired_skills(C6,"Systemen/Raboshop","e")</f>
        <v/>
      </c>
      <c r="CW6" s="236" t="str">
        <f>calc_gap('Matrix 171007_1815'!$CK$6,'Matrix 171007_1815'!$CQ$6)</f>
        <v/>
      </c>
      <c r="CX6" s="237" t="str">
        <f>calc_gap('Matrix 171007_1815'!$CL$6,'Matrix 171007_1815'!$CR$6)</f>
        <v/>
      </c>
      <c r="CY6" s="237" t="str">
        <f>calc_gap('Matrix 171007_1815'!$CM$6,'Matrix 171007_1815'!$CS$6)</f>
        <v>-7</v>
      </c>
      <c r="CZ6" s="237" t="str">
        <f>calc_gap('Matrix 171007_1815'!$CN$6,'Matrix 171007_1815'!$CT$6)</f>
        <v/>
      </c>
      <c r="DA6" s="238" t="str">
        <f>calc_gap('Matrix 171007_1815'!$CO$6,'Matrix 171007_1815'!$CU$6)</f>
        <v/>
      </c>
    </row>
    <row r="7" spans="1:105" x14ac:dyDescent="0.25">
      <c r="B7" s="435"/>
      <c r="C7" s="291" t="s">
        <v>52</v>
      </c>
      <c r="D7" s="314"/>
      <c r="E7" s="315"/>
      <c r="F7" s="315"/>
      <c r="G7" s="315"/>
      <c r="H7" s="315"/>
      <c r="I7" s="315"/>
      <c r="J7" s="315"/>
      <c r="K7" s="316"/>
      <c r="L7" s="314"/>
      <c r="M7" s="315"/>
      <c r="N7" s="315"/>
      <c r="O7" s="316"/>
      <c r="P7" s="314"/>
      <c r="Q7" s="315"/>
      <c r="R7" s="315"/>
      <c r="S7" s="315"/>
      <c r="T7" s="315"/>
      <c r="U7" s="315"/>
      <c r="V7" s="315"/>
      <c r="W7" s="315"/>
      <c r="X7" s="315"/>
      <c r="Y7" s="315"/>
      <c r="Z7" s="315"/>
      <c r="AA7" s="315"/>
      <c r="AB7" s="315"/>
      <c r="AC7" s="315"/>
      <c r="AD7" s="315"/>
      <c r="AE7" s="315"/>
      <c r="AF7" s="315"/>
      <c r="AG7" s="315"/>
      <c r="AH7" s="315"/>
      <c r="AI7" s="316"/>
      <c r="AJ7" s="314"/>
      <c r="AK7" s="315"/>
      <c r="AL7" s="316"/>
      <c r="AM7" s="314"/>
      <c r="AN7" s="315"/>
      <c r="AO7" s="316"/>
      <c r="AP7" s="314"/>
      <c r="AQ7" s="315"/>
      <c r="AR7" s="315"/>
      <c r="AS7" s="315"/>
      <c r="AT7" s="316"/>
      <c r="AU7" s="314" t="s">
        <v>148</v>
      </c>
      <c r="AV7" s="315" t="s">
        <v>148</v>
      </c>
      <c r="AW7" s="315" t="s">
        <v>149</v>
      </c>
      <c r="AX7" s="315" t="s">
        <v>147</v>
      </c>
      <c r="AY7" s="315" t="s">
        <v>147</v>
      </c>
      <c r="AZ7" s="315"/>
      <c r="BA7" s="315"/>
      <c r="BB7" s="316"/>
      <c r="BC7" s="314" t="s">
        <v>149</v>
      </c>
      <c r="BD7" s="315" t="s">
        <v>150</v>
      </c>
      <c r="BE7" s="315"/>
      <c r="BF7" s="315"/>
      <c r="BG7" s="316"/>
      <c r="BH7" s="314"/>
      <c r="BI7" s="315"/>
      <c r="BJ7" s="316"/>
      <c r="BK7" s="314" t="s">
        <v>150</v>
      </c>
      <c r="BL7" s="315" t="s">
        <v>148</v>
      </c>
      <c r="BM7" s="315"/>
      <c r="BN7" s="316" t="s">
        <v>147</v>
      </c>
      <c r="BO7" s="314" t="s">
        <v>150</v>
      </c>
      <c r="BP7" s="315" t="s">
        <v>47</v>
      </c>
      <c r="BQ7" s="315" t="s">
        <v>148</v>
      </c>
      <c r="BR7" s="315"/>
      <c r="BS7" s="315" t="s">
        <v>147</v>
      </c>
      <c r="BT7" s="315" t="s">
        <v>148</v>
      </c>
      <c r="BU7" s="315" t="s">
        <v>150</v>
      </c>
      <c r="BV7" s="316"/>
      <c r="BW7" s="314" t="s">
        <v>47</v>
      </c>
      <c r="BX7" s="315" t="s">
        <v>147</v>
      </c>
      <c r="BY7" s="315" t="s">
        <v>147</v>
      </c>
      <c r="BZ7" s="315" t="s">
        <v>47</v>
      </c>
      <c r="CA7" s="315" t="s">
        <v>147</v>
      </c>
      <c r="CB7" s="316" t="s">
        <v>147</v>
      </c>
      <c r="CC7" s="314" t="s">
        <v>147</v>
      </c>
      <c r="CD7" s="315"/>
      <c r="CE7" s="316"/>
      <c r="CF7" s="314"/>
      <c r="CG7" s="315"/>
      <c r="CH7" s="315"/>
      <c r="CI7" s="317"/>
      <c r="CK7" s="236">
        <f t="shared" si="0"/>
        <v>2</v>
      </c>
      <c r="CL7" s="237">
        <f t="shared" si="1"/>
        <v>9</v>
      </c>
      <c r="CM7" s="237">
        <f t="shared" si="2"/>
        <v>5</v>
      </c>
      <c r="CN7" s="237">
        <f t="shared" si="3"/>
        <v>4</v>
      </c>
      <c r="CO7" s="238">
        <f t="shared" si="4"/>
        <v>3</v>
      </c>
      <c r="CQ7" s="236" t="str">
        <f>desired_skills(C7,"Systemen/HP Servicemanager","o")</f>
        <v/>
      </c>
      <c r="CR7" s="237" t="str">
        <f>desired_skills(C7,"Systemen/HP Servicemanager","j")</f>
        <v/>
      </c>
      <c r="CS7" s="237" t="str">
        <f>desired_skills(C7,"Systemen/HP Servicemanager","m")</f>
        <v/>
      </c>
      <c r="CT7" s="237" t="str">
        <f>desired_skills(C7,"Systemen/HP Servicemanager","s")</f>
        <v>4</v>
      </c>
      <c r="CU7" s="238" t="str">
        <f>desired_skills(C7,"Systemen/HP Servicemanager","e")</f>
        <v/>
      </c>
      <c r="CW7" s="236" t="str">
        <f>calc_gap('Matrix 171007_1815'!$CK$7,'Matrix 171007_1815'!$CQ$7)</f>
        <v/>
      </c>
      <c r="CX7" s="237" t="str">
        <f>calc_gap('Matrix 171007_1815'!$CL$7,'Matrix 171007_1815'!$CR$7)</f>
        <v/>
      </c>
      <c r="CY7" s="237" t="str">
        <f>calc_gap('Matrix 171007_1815'!$CM$7,'Matrix 171007_1815'!$CS$7)</f>
        <v/>
      </c>
      <c r="CZ7" s="237" t="str">
        <f>calc_gap('Matrix 171007_1815'!$CN$7,'Matrix 171007_1815'!$CT$7)</f>
        <v>0</v>
      </c>
      <c r="DA7" s="238" t="str">
        <f>calc_gap('Matrix 171007_1815'!$CO$7,'Matrix 171007_1815'!$CU$7)</f>
        <v/>
      </c>
    </row>
    <row r="8" spans="1:105" x14ac:dyDescent="0.25">
      <c r="B8" s="435"/>
      <c r="C8" s="291" t="s">
        <v>53</v>
      </c>
      <c r="D8" s="314"/>
      <c r="E8" s="315"/>
      <c r="F8" s="315"/>
      <c r="G8" s="315"/>
      <c r="H8" s="315"/>
      <c r="I8" s="315"/>
      <c r="J8" s="315"/>
      <c r="K8" s="316"/>
      <c r="L8" s="314"/>
      <c r="M8" s="315"/>
      <c r="N8" s="315"/>
      <c r="O8" s="316"/>
      <c r="P8" s="314"/>
      <c r="Q8" s="315"/>
      <c r="R8" s="315"/>
      <c r="S8" s="315"/>
      <c r="T8" s="315"/>
      <c r="U8" s="315"/>
      <c r="V8" s="315"/>
      <c r="W8" s="315"/>
      <c r="X8" s="315"/>
      <c r="Y8" s="315"/>
      <c r="Z8" s="315"/>
      <c r="AA8" s="315"/>
      <c r="AB8" s="315"/>
      <c r="AC8" s="315"/>
      <c r="AD8" s="315"/>
      <c r="AE8" s="315"/>
      <c r="AF8" s="315"/>
      <c r="AG8" s="315"/>
      <c r="AH8" s="315"/>
      <c r="AI8" s="316"/>
      <c r="AJ8" s="314"/>
      <c r="AK8" s="315"/>
      <c r="AL8" s="316"/>
      <c r="AM8" s="314"/>
      <c r="AN8" s="315"/>
      <c r="AO8" s="316"/>
      <c r="AP8" s="314"/>
      <c r="AQ8" s="315"/>
      <c r="AR8" s="315"/>
      <c r="AS8" s="315"/>
      <c r="AT8" s="316"/>
      <c r="AU8" s="314" t="s">
        <v>148</v>
      </c>
      <c r="AV8" s="315" t="s">
        <v>147</v>
      </c>
      <c r="AW8" s="315" t="s">
        <v>149</v>
      </c>
      <c r="AX8" s="315" t="s">
        <v>147</v>
      </c>
      <c r="AY8" s="315" t="s">
        <v>147</v>
      </c>
      <c r="AZ8" s="315"/>
      <c r="BA8" s="315"/>
      <c r="BB8" s="316" t="s">
        <v>147</v>
      </c>
      <c r="BC8" s="314" t="s">
        <v>149</v>
      </c>
      <c r="BD8" s="315"/>
      <c r="BE8" s="315"/>
      <c r="BF8" s="315"/>
      <c r="BG8" s="316"/>
      <c r="BH8" s="314"/>
      <c r="BI8" s="315"/>
      <c r="BJ8" s="316"/>
      <c r="BK8" s="314" t="s">
        <v>147</v>
      </c>
      <c r="BL8" s="315" t="s">
        <v>147</v>
      </c>
      <c r="BM8" s="315"/>
      <c r="BN8" s="316" t="s">
        <v>147</v>
      </c>
      <c r="BO8" s="314"/>
      <c r="BP8" s="315"/>
      <c r="BQ8" s="315"/>
      <c r="BR8" s="315"/>
      <c r="BS8" s="315"/>
      <c r="BT8" s="315"/>
      <c r="BU8" s="315" t="s">
        <v>150</v>
      </c>
      <c r="BV8" s="316"/>
      <c r="BW8" s="314" t="s">
        <v>149</v>
      </c>
      <c r="BX8" s="315"/>
      <c r="BY8" s="315"/>
      <c r="BZ8" s="315" t="s">
        <v>150</v>
      </c>
      <c r="CA8" s="315"/>
      <c r="CB8" s="316"/>
      <c r="CC8" s="314" t="s">
        <v>147</v>
      </c>
      <c r="CD8" s="315"/>
      <c r="CE8" s="316"/>
      <c r="CF8" s="314"/>
      <c r="CG8" s="315"/>
      <c r="CH8" s="315"/>
      <c r="CI8" s="317"/>
      <c r="CK8" s="236">
        <f t="shared" si="0"/>
        <v>3</v>
      </c>
      <c r="CL8" s="237">
        <f t="shared" si="1"/>
        <v>8</v>
      </c>
      <c r="CM8" s="237">
        <f t="shared" si="2"/>
        <v>1</v>
      </c>
      <c r="CN8" s="237">
        <f t="shared" si="3"/>
        <v>2</v>
      </c>
      <c r="CO8" s="238" t="str">
        <f t="shared" si="4"/>
        <v/>
      </c>
      <c r="CQ8" s="236" t="str">
        <f>desired_skills(C8,"Systemen/IT Shop","o")</f>
        <v/>
      </c>
      <c r="CR8" s="237" t="str">
        <f>desired_skills(C8,"Systemen/IT Shop","j")</f>
        <v/>
      </c>
      <c r="CS8" s="237" t="str">
        <f>desired_skills(C8,"Systemen/IT Shop","m")</f>
        <v/>
      </c>
      <c r="CT8" s="237" t="str">
        <f>desired_skills(C8,"Systemen/IT Shop","s")</f>
        <v/>
      </c>
      <c r="CU8" s="238" t="str">
        <f>desired_skills(C8,"Systemen/IT Shop","e")</f>
        <v>5</v>
      </c>
      <c r="CW8" s="236" t="str">
        <f>calc_gap('Matrix 171007_1815'!$CK$8,'Matrix 171007_1815'!$CQ$8)</f>
        <v/>
      </c>
      <c r="CX8" s="237" t="str">
        <f>calc_gap('Matrix 171007_1815'!$CL$8,'Matrix 171007_1815'!$CR$8)</f>
        <v/>
      </c>
      <c r="CY8" s="237" t="str">
        <f>calc_gap('Matrix 171007_1815'!$CM$8,'Matrix 171007_1815'!$CS$8)</f>
        <v/>
      </c>
      <c r="CZ8" s="237" t="str">
        <f>calc_gap('Matrix 171007_1815'!$CN$8,'Matrix 171007_1815'!$CT$8)</f>
        <v/>
      </c>
      <c r="DA8" s="238" t="str">
        <f>calc_gap('Matrix 171007_1815'!$CO$8,'Matrix 171007_1815'!$CU$8)</f>
        <v/>
      </c>
    </row>
    <row r="9" spans="1:105" x14ac:dyDescent="0.25">
      <c r="B9" s="435"/>
      <c r="C9" s="291" t="s">
        <v>50</v>
      </c>
      <c r="D9" s="314"/>
      <c r="E9" s="315"/>
      <c r="F9" s="315"/>
      <c r="G9" s="315"/>
      <c r="H9" s="315"/>
      <c r="I9" s="315"/>
      <c r="J9" s="315"/>
      <c r="K9" s="316"/>
      <c r="L9" s="314"/>
      <c r="M9" s="315"/>
      <c r="N9" s="315"/>
      <c r="O9" s="316"/>
      <c r="P9" s="314"/>
      <c r="Q9" s="315"/>
      <c r="R9" s="315"/>
      <c r="S9" s="315"/>
      <c r="T9" s="315"/>
      <c r="U9" s="315"/>
      <c r="V9" s="315"/>
      <c r="W9" s="315"/>
      <c r="X9" s="315"/>
      <c r="Y9" s="315"/>
      <c r="Z9" s="315"/>
      <c r="AA9" s="315"/>
      <c r="AB9" s="315"/>
      <c r="AC9" s="315"/>
      <c r="AD9" s="315"/>
      <c r="AE9" s="315"/>
      <c r="AF9" s="315"/>
      <c r="AG9" s="315"/>
      <c r="AH9" s="315"/>
      <c r="AI9" s="316"/>
      <c r="AJ9" s="314"/>
      <c r="AK9" s="315"/>
      <c r="AL9" s="316"/>
      <c r="AM9" s="314"/>
      <c r="AN9" s="315"/>
      <c r="AO9" s="316"/>
      <c r="AP9" s="314"/>
      <c r="AQ9" s="315"/>
      <c r="AR9" s="315"/>
      <c r="AS9" s="315"/>
      <c r="AT9" s="316"/>
      <c r="AU9" s="314"/>
      <c r="AV9" s="315" t="s">
        <v>47</v>
      </c>
      <c r="AW9" s="315" t="s">
        <v>150</v>
      </c>
      <c r="AX9" s="315" t="s">
        <v>148</v>
      </c>
      <c r="AY9" s="315" t="s">
        <v>148</v>
      </c>
      <c r="AZ9" s="315"/>
      <c r="BA9" s="315"/>
      <c r="BB9" s="316" t="s">
        <v>147</v>
      </c>
      <c r="BC9" s="314" t="s">
        <v>150</v>
      </c>
      <c r="BD9" s="315" t="s">
        <v>149</v>
      </c>
      <c r="BE9" s="315"/>
      <c r="BF9" s="315"/>
      <c r="BG9" s="316"/>
      <c r="BH9" s="314"/>
      <c r="BI9" s="315"/>
      <c r="BJ9" s="316"/>
      <c r="BK9" s="314"/>
      <c r="BL9" s="315"/>
      <c r="BM9" s="315"/>
      <c r="BN9" s="316"/>
      <c r="BO9" s="314" t="s">
        <v>147</v>
      </c>
      <c r="BP9" s="315" t="s">
        <v>147</v>
      </c>
      <c r="BQ9" s="315" t="s">
        <v>147</v>
      </c>
      <c r="BR9" s="315"/>
      <c r="BS9" s="315"/>
      <c r="BT9" s="315"/>
      <c r="BU9" s="315" t="s">
        <v>150</v>
      </c>
      <c r="BV9" s="316"/>
      <c r="BW9" s="314" t="s">
        <v>147</v>
      </c>
      <c r="BX9" s="315" t="s">
        <v>150</v>
      </c>
      <c r="BY9" s="315" t="s">
        <v>47</v>
      </c>
      <c r="BZ9" s="315"/>
      <c r="CA9" s="315" t="s">
        <v>47</v>
      </c>
      <c r="CB9" s="316" t="s">
        <v>47</v>
      </c>
      <c r="CC9" s="314"/>
      <c r="CD9" s="315"/>
      <c r="CE9" s="316"/>
      <c r="CF9" s="314"/>
      <c r="CG9" s="315"/>
      <c r="CH9" s="315"/>
      <c r="CI9" s="317"/>
      <c r="CK9" s="236">
        <f t="shared" si="0"/>
        <v>1</v>
      </c>
      <c r="CL9" s="237">
        <f t="shared" si="1"/>
        <v>5</v>
      </c>
      <c r="CM9" s="237">
        <f t="shared" si="2"/>
        <v>2</v>
      </c>
      <c r="CN9" s="237">
        <f t="shared" si="3"/>
        <v>4</v>
      </c>
      <c r="CO9" s="238">
        <f t="shared" si="4"/>
        <v>4</v>
      </c>
      <c r="CQ9" s="236" t="str">
        <f>desired_skills(C9,"Systemen/Bert+","o")</f>
        <v/>
      </c>
      <c r="CR9" s="237" t="str">
        <f>desired_skills(C9,"Systemen/Bert+","j")</f>
        <v/>
      </c>
      <c r="CS9" s="237" t="str">
        <f>desired_skills(C9,"Systemen/Bert+","m")</f>
        <v/>
      </c>
      <c r="CT9" s="237" t="str">
        <f>desired_skills(C9,"Systemen/Bert+","s")</f>
        <v/>
      </c>
      <c r="CU9" s="238" t="str">
        <f>desired_skills(C9,"Systemen/Bert+","e")</f>
        <v/>
      </c>
      <c r="CW9" s="236" t="str">
        <f>calc_gap('Matrix 171007_1815'!$CK$9,'Matrix 171007_1815'!$CQ$9)</f>
        <v/>
      </c>
      <c r="CX9" s="237" t="str">
        <f>calc_gap('Matrix 171007_1815'!$CL$9,'Matrix 171007_1815'!$CR$9)</f>
        <v/>
      </c>
      <c r="CY9" s="237" t="str">
        <f>calc_gap('Matrix 171007_1815'!$CM$9,'Matrix 171007_1815'!$CS$9)</f>
        <v/>
      </c>
      <c r="CZ9" s="237" t="str">
        <f>calc_gap('Matrix 171007_1815'!$CN$9,'Matrix 171007_1815'!$CT$9)</f>
        <v/>
      </c>
      <c r="DA9" s="238" t="str">
        <f>calc_gap('Matrix 171007_1815'!$CO$9,'Matrix 171007_1815'!$CU$9)</f>
        <v/>
      </c>
    </row>
    <row r="10" spans="1:105" x14ac:dyDescent="0.25">
      <c r="B10" s="435"/>
      <c r="C10" s="291" t="s">
        <v>55</v>
      </c>
      <c r="D10" s="314"/>
      <c r="E10" s="315"/>
      <c r="F10" s="315"/>
      <c r="G10" s="315"/>
      <c r="H10" s="315"/>
      <c r="I10" s="315"/>
      <c r="J10" s="315"/>
      <c r="K10" s="316"/>
      <c r="L10" s="314"/>
      <c r="M10" s="315"/>
      <c r="N10" s="315"/>
      <c r="O10" s="316"/>
      <c r="P10" s="314"/>
      <c r="Q10" s="315"/>
      <c r="R10" s="315"/>
      <c r="S10" s="315"/>
      <c r="T10" s="315"/>
      <c r="U10" s="315"/>
      <c r="V10" s="315"/>
      <c r="W10" s="315"/>
      <c r="X10" s="315"/>
      <c r="Y10" s="315"/>
      <c r="Z10" s="315"/>
      <c r="AA10" s="315"/>
      <c r="AB10" s="315"/>
      <c r="AC10" s="315"/>
      <c r="AD10" s="315"/>
      <c r="AE10" s="315"/>
      <c r="AF10" s="315"/>
      <c r="AG10" s="315"/>
      <c r="AH10" s="315"/>
      <c r="AI10" s="316"/>
      <c r="AJ10" s="314"/>
      <c r="AK10" s="315"/>
      <c r="AL10" s="316"/>
      <c r="AM10" s="314"/>
      <c r="AN10" s="315"/>
      <c r="AO10" s="316"/>
      <c r="AP10" s="314"/>
      <c r="AQ10" s="315"/>
      <c r="AR10" s="315"/>
      <c r="AS10" s="315"/>
      <c r="AT10" s="316"/>
      <c r="AU10" s="314" t="s">
        <v>148</v>
      </c>
      <c r="AV10" s="315" t="s">
        <v>47</v>
      </c>
      <c r="AW10" s="315" t="s">
        <v>150</v>
      </c>
      <c r="AX10" s="315" t="s">
        <v>148</v>
      </c>
      <c r="AY10" s="315" t="s">
        <v>148</v>
      </c>
      <c r="AZ10" s="315"/>
      <c r="BA10" s="315"/>
      <c r="BB10" s="316"/>
      <c r="BC10" s="314" t="s">
        <v>149</v>
      </c>
      <c r="BD10" s="315" t="s">
        <v>148</v>
      </c>
      <c r="BE10" s="315"/>
      <c r="BF10" s="315"/>
      <c r="BG10" s="316"/>
      <c r="BH10" s="314"/>
      <c r="BI10" s="315"/>
      <c r="BJ10" s="316"/>
      <c r="BK10" s="314" t="s">
        <v>148</v>
      </c>
      <c r="BL10" s="315"/>
      <c r="BM10" s="315"/>
      <c r="BN10" s="316"/>
      <c r="BO10" s="314" t="s">
        <v>150</v>
      </c>
      <c r="BP10" s="315" t="s">
        <v>150</v>
      </c>
      <c r="BQ10" s="315" t="s">
        <v>150</v>
      </c>
      <c r="BR10" s="315"/>
      <c r="BS10" s="315" t="s">
        <v>147</v>
      </c>
      <c r="BT10" s="315" t="s">
        <v>150</v>
      </c>
      <c r="BU10" s="315" t="s">
        <v>150</v>
      </c>
      <c r="BV10" s="316"/>
      <c r="BW10" s="314" t="s">
        <v>150</v>
      </c>
      <c r="BX10" s="315" t="s">
        <v>148</v>
      </c>
      <c r="BY10" s="315" t="s">
        <v>47</v>
      </c>
      <c r="BZ10" s="315" t="s">
        <v>150</v>
      </c>
      <c r="CA10" s="315" t="s">
        <v>47</v>
      </c>
      <c r="CB10" s="316" t="s">
        <v>47</v>
      </c>
      <c r="CC10" s="314"/>
      <c r="CD10" s="315"/>
      <c r="CE10" s="316"/>
      <c r="CF10" s="314"/>
      <c r="CG10" s="315"/>
      <c r="CH10" s="315"/>
      <c r="CI10" s="317"/>
      <c r="CK10" s="236">
        <f t="shared" si="0"/>
        <v>1</v>
      </c>
      <c r="CL10" s="237">
        <f t="shared" si="1"/>
        <v>1</v>
      </c>
      <c r="CM10" s="237">
        <f t="shared" si="2"/>
        <v>6</v>
      </c>
      <c r="CN10" s="237">
        <f t="shared" si="3"/>
        <v>8</v>
      </c>
      <c r="CO10" s="238">
        <f t="shared" si="4"/>
        <v>4</v>
      </c>
      <c r="CQ10" s="236" t="str">
        <f>desired_skills(C10,"Systemen/Rapportageserver","o")</f>
        <v>6</v>
      </c>
      <c r="CR10" s="237" t="str">
        <f>desired_skills(C10,"Systemen/Rapportageserver","j")</f>
        <v/>
      </c>
      <c r="CS10" s="237" t="str">
        <f>desired_skills(C10,"Systemen/Rapportageserver","m")</f>
        <v/>
      </c>
      <c r="CT10" s="237" t="str">
        <f>desired_skills(C10,"Systemen/Rapportageserver","s")</f>
        <v/>
      </c>
      <c r="CU10" s="238" t="str">
        <f>desired_skills(C10,"Systemen/Rapportageserver","e")</f>
        <v/>
      </c>
      <c r="CW10" s="236" t="str">
        <f>calc_gap('Matrix 171007_1815'!$CK$10,'Matrix 171007_1815'!$CQ$10)</f>
        <v>5</v>
      </c>
      <c r="CX10" s="237" t="str">
        <f>calc_gap('Matrix 171007_1815'!$CL$10,'Matrix 171007_1815'!$CR$10)</f>
        <v/>
      </c>
      <c r="CY10" s="237" t="str">
        <f>calc_gap('Matrix 171007_1815'!$CM$10,'Matrix 171007_1815'!$CS$10)</f>
        <v/>
      </c>
      <c r="CZ10" s="237" t="str">
        <f>calc_gap('Matrix 171007_1815'!$CN$10,'Matrix 171007_1815'!$CT$10)</f>
        <v/>
      </c>
      <c r="DA10" s="238" t="str">
        <f>calc_gap('Matrix 171007_1815'!$CO$10,'Matrix 171007_1815'!$CU$10)</f>
        <v/>
      </c>
    </row>
    <row r="11" spans="1:105" x14ac:dyDescent="0.25">
      <c r="B11" s="435"/>
      <c r="C11" s="291" t="s">
        <v>56</v>
      </c>
      <c r="D11" s="314"/>
      <c r="E11" s="315"/>
      <c r="F11" s="315"/>
      <c r="G11" s="315"/>
      <c r="H11" s="315"/>
      <c r="I11" s="315"/>
      <c r="J11" s="315"/>
      <c r="K11" s="316"/>
      <c r="L11" s="314"/>
      <c r="M11" s="315"/>
      <c r="N11" s="315"/>
      <c r="O11" s="316"/>
      <c r="P11" s="314"/>
      <c r="Q11" s="315"/>
      <c r="R11" s="315"/>
      <c r="S11" s="315"/>
      <c r="T11" s="315"/>
      <c r="U11" s="315"/>
      <c r="V11" s="315"/>
      <c r="W11" s="315"/>
      <c r="X11" s="315"/>
      <c r="Y11" s="315"/>
      <c r="Z11" s="315"/>
      <c r="AA11" s="315"/>
      <c r="AB11" s="315"/>
      <c r="AC11" s="315"/>
      <c r="AD11" s="315"/>
      <c r="AE11" s="315"/>
      <c r="AF11" s="315"/>
      <c r="AG11" s="315"/>
      <c r="AH11" s="315"/>
      <c r="AI11" s="316"/>
      <c r="AJ11" s="314"/>
      <c r="AK11" s="315"/>
      <c r="AL11" s="316"/>
      <c r="AM11" s="314"/>
      <c r="AN11" s="315"/>
      <c r="AO11" s="316"/>
      <c r="AP11" s="314"/>
      <c r="AQ11" s="315"/>
      <c r="AR11" s="315"/>
      <c r="AS11" s="315"/>
      <c r="AT11" s="316"/>
      <c r="AU11" s="314"/>
      <c r="AV11" s="315" t="s">
        <v>147</v>
      </c>
      <c r="AW11" s="315" t="s">
        <v>147</v>
      </c>
      <c r="AX11" s="315" t="s">
        <v>147</v>
      </c>
      <c r="AY11" s="315" t="s">
        <v>147</v>
      </c>
      <c r="AZ11" s="315"/>
      <c r="BA11" s="315"/>
      <c r="BB11" s="316"/>
      <c r="BC11" s="314" t="s">
        <v>149</v>
      </c>
      <c r="BD11" s="315" t="s">
        <v>149</v>
      </c>
      <c r="BE11" s="315"/>
      <c r="BF11" s="315"/>
      <c r="BG11" s="316"/>
      <c r="BH11" s="314"/>
      <c r="BI11" s="315"/>
      <c r="BJ11" s="316"/>
      <c r="BK11" s="314"/>
      <c r="BL11" s="315"/>
      <c r="BM11" s="315"/>
      <c r="BN11" s="316"/>
      <c r="BO11" s="314"/>
      <c r="BP11" s="315"/>
      <c r="BQ11" s="315"/>
      <c r="BR11" s="315"/>
      <c r="BS11" s="315" t="s">
        <v>149</v>
      </c>
      <c r="BT11" s="315" t="s">
        <v>149</v>
      </c>
      <c r="BU11" s="315" t="s">
        <v>147</v>
      </c>
      <c r="BV11" s="316"/>
      <c r="BW11" s="314" t="s">
        <v>149</v>
      </c>
      <c r="BX11" s="315"/>
      <c r="BY11" s="315"/>
      <c r="BZ11" s="315" t="s">
        <v>149</v>
      </c>
      <c r="CA11" s="315"/>
      <c r="CB11" s="316"/>
      <c r="CC11" s="314"/>
      <c r="CD11" s="315" t="s">
        <v>147</v>
      </c>
      <c r="CE11" s="316"/>
      <c r="CF11" s="314"/>
      <c r="CG11" s="315"/>
      <c r="CH11" s="315"/>
      <c r="CI11" s="317"/>
      <c r="CK11" s="236">
        <f t="shared" si="0"/>
        <v>6</v>
      </c>
      <c r="CL11" s="237">
        <f t="shared" si="1"/>
        <v>6</v>
      </c>
      <c r="CM11" s="237" t="str">
        <f t="shared" si="2"/>
        <v/>
      </c>
      <c r="CN11" s="237" t="str">
        <f t="shared" si="3"/>
        <v/>
      </c>
      <c r="CO11" s="238" t="str">
        <f t="shared" si="4"/>
        <v/>
      </c>
      <c r="CQ11" s="236" t="str">
        <f>desired_skills(C11,"Systemen/Splunk","o")</f>
        <v/>
      </c>
      <c r="CR11" s="237" t="str">
        <f>desired_skills(C11,"Systemen/Splunk","j")</f>
        <v>7</v>
      </c>
      <c r="CS11" s="237" t="str">
        <f>desired_skills(C11,"Systemen/Splunk","m")</f>
        <v/>
      </c>
      <c r="CT11" s="237" t="str">
        <f>desired_skills(C11,"Systemen/Splunk","s")</f>
        <v/>
      </c>
      <c r="CU11" s="238" t="str">
        <f>desired_skills(C11,"Systemen/Splunk","e")</f>
        <v/>
      </c>
      <c r="CW11" s="236" t="str">
        <f>calc_gap('Matrix 171007_1815'!$CK$11,'Matrix 171007_1815'!$CQ$11)</f>
        <v/>
      </c>
      <c r="CX11" s="237" t="str">
        <f>calc_gap('Matrix 171007_1815'!$CL$11,'Matrix 171007_1815'!$CR$11)</f>
        <v>1</v>
      </c>
      <c r="CY11" s="237" t="str">
        <f>calc_gap('Matrix 171007_1815'!$CM$11,'Matrix 171007_1815'!$CS$11)</f>
        <v/>
      </c>
      <c r="CZ11" s="237" t="str">
        <f>calc_gap('Matrix 171007_1815'!$CN$11,'Matrix 171007_1815'!$CT$11)</f>
        <v/>
      </c>
      <c r="DA11" s="238" t="str">
        <f>calc_gap('Matrix 171007_1815'!$CO$11,'Matrix 171007_1815'!$CU$11)</f>
        <v/>
      </c>
    </row>
    <row r="12" spans="1:105" x14ac:dyDescent="0.25">
      <c r="B12" s="435"/>
      <c r="C12" s="291" t="s">
        <v>57</v>
      </c>
      <c r="D12" s="314"/>
      <c r="E12" s="315"/>
      <c r="F12" s="315"/>
      <c r="G12" s="315"/>
      <c r="H12" s="315"/>
      <c r="I12" s="315"/>
      <c r="J12" s="315"/>
      <c r="K12" s="316"/>
      <c r="L12" s="314"/>
      <c r="M12" s="315"/>
      <c r="N12" s="315"/>
      <c r="O12" s="316"/>
      <c r="P12" s="314"/>
      <c r="Q12" s="315"/>
      <c r="R12" s="315"/>
      <c r="S12" s="315"/>
      <c r="T12" s="315"/>
      <c r="U12" s="315"/>
      <c r="V12" s="315"/>
      <c r="W12" s="315"/>
      <c r="X12" s="315"/>
      <c r="Y12" s="315"/>
      <c r="Z12" s="315"/>
      <c r="AA12" s="315"/>
      <c r="AB12" s="315"/>
      <c r="AC12" s="315"/>
      <c r="AD12" s="315"/>
      <c r="AE12" s="315"/>
      <c r="AF12" s="315"/>
      <c r="AG12" s="315"/>
      <c r="AH12" s="315"/>
      <c r="AI12" s="316"/>
      <c r="AJ12" s="314"/>
      <c r="AK12" s="315"/>
      <c r="AL12" s="316"/>
      <c r="AM12" s="314"/>
      <c r="AN12" s="315"/>
      <c r="AO12" s="316"/>
      <c r="AP12" s="314"/>
      <c r="AQ12" s="315"/>
      <c r="AR12" s="315"/>
      <c r="AS12" s="315"/>
      <c r="AT12" s="316"/>
      <c r="AU12" s="314" t="s">
        <v>148</v>
      </c>
      <c r="AV12" s="315" t="s">
        <v>149</v>
      </c>
      <c r="AW12" s="315" t="s">
        <v>149</v>
      </c>
      <c r="AX12" s="315" t="s">
        <v>147</v>
      </c>
      <c r="AY12" s="315" t="s">
        <v>147</v>
      </c>
      <c r="AZ12" s="315"/>
      <c r="BA12" s="315"/>
      <c r="BB12" s="316" t="s">
        <v>147</v>
      </c>
      <c r="BC12" s="314" t="s">
        <v>149</v>
      </c>
      <c r="BD12" s="315" t="s">
        <v>149</v>
      </c>
      <c r="BE12" s="315"/>
      <c r="BF12" s="315"/>
      <c r="BG12" s="316"/>
      <c r="BH12" s="314"/>
      <c r="BI12" s="315"/>
      <c r="BJ12" s="316"/>
      <c r="BK12" s="314"/>
      <c r="BL12" s="315"/>
      <c r="BM12" s="315"/>
      <c r="BN12" s="316"/>
      <c r="BO12" s="314"/>
      <c r="BP12" s="315"/>
      <c r="BQ12" s="315"/>
      <c r="BR12" s="315"/>
      <c r="BS12" s="315"/>
      <c r="BT12" s="315"/>
      <c r="BU12" s="315" t="s">
        <v>147</v>
      </c>
      <c r="BV12" s="316"/>
      <c r="BW12" s="314" t="s">
        <v>149</v>
      </c>
      <c r="BX12" s="315"/>
      <c r="BY12" s="315"/>
      <c r="BZ12" s="315"/>
      <c r="CA12" s="315"/>
      <c r="CB12" s="316"/>
      <c r="CC12" s="314"/>
      <c r="CD12" s="315"/>
      <c r="CE12" s="316"/>
      <c r="CF12" s="314"/>
      <c r="CG12" s="315"/>
      <c r="CH12" s="315"/>
      <c r="CI12" s="317"/>
      <c r="CK12" s="236">
        <f t="shared" si="0"/>
        <v>5</v>
      </c>
      <c r="CL12" s="237">
        <f t="shared" si="1"/>
        <v>4</v>
      </c>
      <c r="CM12" s="237">
        <f t="shared" si="2"/>
        <v>1</v>
      </c>
      <c r="CN12" s="237" t="str">
        <f t="shared" si="3"/>
        <v/>
      </c>
      <c r="CO12" s="238" t="str">
        <f t="shared" si="4"/>
        <v/>
      </c>
      <c r="CQ12" s="236" t="str">
        <f>desired_skills(C12,"Systemen/Dell One Identity","o")</f>
        <v/>
      </c>
      <c r="CR12" s="237" t="str">
        <f>desired_skills(C12,"Systemen/Dell One Identity","j")</f>
        <v/>
      </c>
      <c r="CS12" s="237" t="str">
        <f>desired_skills(C12,"Systemen/Dell One Identity","m")</f>
        <v>8</v>
      </c>
      <c r="CT12" s="237" t="str">
        <f>desired_skills(C12,"Systemen/Dell One Identity","s")</f>
        <v/>
      </c>
      <c r="CU12" s="238" t="str">
        <f>desired_skills(C12,"Systemen/Dell One Identity","e")</f>
        <v/>
      </c>
      <c r="CW12" s="236" t="str">
        <f>calc_gap('Matrix 171007_1815'!$CK$12,'Matrix 171007_1815'!$CQ$12)</f>
        <v/>
      </c>
      <c r="CX12" s="237" t="str">
        <f>calc_gap('Matrix 171007_1815'!$CL$12,'Matrix 171007_1815'!$CR$12)</f>
        <v/>
      </c>
      <c r="CY12" s="237" t="str">
        <f>calc_gap('Matrix 171007_1815'!$CM$12,'Matrix 171007_1815'!$CS$12)</f>
        <v>7</v>
      </c>
      <c r="CZ12" s="237" t="str">
        <f>calc_gap('Matrix 171007_1815'!$CN$12,'Matrix 171007_1815'!$CT$12)</f>
        <v/>
      </c>
      <c r="DA12" s="238" t="str">
        <f>calc_gap('Matrix 171007_1815'!$CO$12,'Matrix 171007_1815'!$CU$12)</f>
        <v/>
      </c>
    </row>
    <row r="13" spans="1:105" x14ac:dyDescent="0.25">
      <c r="B13" s="435"/>
      <c r="C13" s="291" t="s">
        <v>58</v>
      </c>
      <c r="D13" s="314"/>
      <c r="E13" s="315"/>
      <c r="F13" s="315"/>
      <c r="G13" s="315"/>
      <c r="H13" s="315"/>
      <c r="I13" s="315"/>
      <c r="J13" s="315"/>
      <c r="K13" s="316"/>
      <c r="L13" s="314"/>
      <c r="M13" s="315"/>
      <c r="N13" s="315"/>
      <c r="O13" s="316"/>
      <c r="P13" s="314"/>
      <c r="Q13" s="315"/>
      <c r="R13" s="315"/>
      <c r="S13" s="315"/>
      <c r="T13" s="315"/>
      <c r="U13" s="315"/>
      <c r="V13" s="315"/>
      <c r="W13" s="315"/>
      <c r="X13" s="315"/>
      <c r="Y13" s="315"/>
      <c r="Z13" s="315"/>
      <c r="AA13" s="315"/>
      <c r="AB13" s="315"/>
      <c r="AC13" s="315"/>
      <c r="AD13" s="315"/>
      <c r="AE13" s="315"/>
      <c r="AF13" s="315"/>
      <c r="AG13" s="315"/>
      <c r="AH13" s="315"/>
      <c r="AI13" s="316"/>
      <c r="AJ13" s="314"/>
      <c r="AK13" s="315"/>
      <c r="AL13" s="316"/>
      <c r="AM13" s="314"/>
      <c r="AN13" s="315"/>
      <c r="AO13" s="316"/>
      <c r="AP13" s="314"/>
      <c r="AQ13" s="315"/>
      <c r="AR13" s="315"/>
      <c r="AS13" s="315"/>
      <c r="AT13" s="316"/>
      <c r="AU13" s="314" t="s">
        <v>150</v>
      </c>
      <c r="AV13" s="315" t="s">
        <v>148</v>
      </c>
      <c r="AW13" s="315" t="s">
        <v>147</v>
      </c>
      <c r="AX13" s="315" t="s">
        <v>150</v>
      </c>
      <c r="AY13" s="315" t="s">
        <v>147</v>
      </c>
      <c r="AZ13" s="315"/>
      <c r="BA13" s="315"/>
      <c r="BB13" s="316" t="s">
        <v>147</v>
      </c>
      <c r="BC13" s="314" t="s">
        <v>150</v>
      </c>
      <c r="BD13" s="315" t="s">
        <v>147</v>
      </c>
      <c r="BE13" s="315"/>
      <c r="BF13" s="315"/>
      <c r="BG13" s="316"/>
      <c r="BH13" s="314"/>
      <c r="BI13" s="315"/>
      <c r="BJ13" s="316"/>
      <c r="BK13" s="314"/>
      <c r="BL13" s="315"/>
      <c r="BM13" s="315"/>
      <c r="BN13" s="316"/>
      <c r="BO13" s="314"/>
      <c r="BP13" s="315"/>
      <c r="BQ13" s="315" t="s">
        <v>147</v>
      </c>
      <c r="BR13" s="315"/>
      <c r="BS13" s="315"/>
      <c r="BT13" s="315"/>
      <c r="BU13" s="315" t="s">
        <v>148</v>
      </c>
      <c r="BV13" s="316"/>
      <c r="BW13" s="314"/>
      <c r="BX13" s="315"/>
      <c r="BY13" s="315" t="s">
        <v>150</v>
      </c>
      <c r="BZ13" s="315"/>
      <c r="CA13" s="315" t="s">
        <v>150</v>
      </c>
      <c r="CB13" s="316" t="s">
        <v>150</v>
      </c>
      <c r="CC13" s="314"/>
      <c r="CD13" s="315"/>
      <c r="CE13" s="316"/>
      <c r="CF13" s="314"/>
      <c r="CG13" s="315"/>
      <c r="CH13" s="315"/>
      <c r="CI13" s="317"/>
      <c r="CK13" s="236" t="str">
        <f t="shared" si="0"/>
        <v/>
      </c>
      <c r="CL13" s="237">
        <f t="shared" si="1"/>
        <v>5</v>
      </c>
      <c r="CM13" s="237">
        <f t="shared" si="2"/>
        <v>2</v>
      </c>
      <c r="CN13" s="237">
        <f t="shared" si="3"/>
        <v>6</v>
      </c>
      <c r="CO13" s="238" t="str">
        <f t="shared" si="4"/>
        <v/>
      </c>
      <c r="CQ13" s="236" t="str">
        <f>desired_skills(C13,"Systemen/RSA","o")</f>
        <v/>
      </c>
      <c r="CR13" s="237" t="str">
        <f>desired_skills(C13,"Systemen/RSA","j")</f>
        <v/>
      </c>
      <c r="CS13" s="237" t="str">
        <f>desired_skills(C13,"Systemen/RSA","m")</f>
        <v/>
      </c>
      <c r="CT13" s="237" t="str">
        <f>desired_skills(C13,"Systemen/RSA","s")</f>
        <v>9</v>
      </c>
      <c r="CU13" s="238" t="str">
        <f>desired_skills(C13,"Systemen/RSA","e")</f>
        <v/>
      </c>
      <c r="CW13" s="236" t="str">
        <f>calc_gap('Matrix 171007_1815'!$CK$13,'Matrix 171007_1815'!$CQ$13)</f>
        <v/>
      </c>
      <c r="CX13" s="237" t="str">
        <f>calc_gap('Matrix 171007_1815'!$CL$13,'Matrix 171007_1815'!$CR$13)</f>
        <v/>
      </c>
      <c r="CY13" s="237" t="str">
        <f>calc_gap('Matrix 171007_1815'!$CM$13,'Matrix 171007_1815'!$CS$13)</f>
        <v/>
      </c>
      <c r="CZ13" s="237" t="str">
        <f>calc_gap('Matrix 171007_1815'!$CN$13,'Matrix 171007_1815'!$CT$13)</f>
        <v>3</v>
      </c>
      <c r="DA13" s="238" t="str">
        <f>calc_gap('Matrix 171007_1815'!$CO$13,'Matrix 171007_1815'!$CU$13)</f>
        <v/>
      </c>
    </row>
    <row r="14" spans="1:105" x14ac:dyDescent="0.25">
      <c r="B14" s="435"/>
      <c r="C14" s="291" t="s">
        <v>59</v>
      </c>
      <c r="D14" s="314"/>
      <c r="E14" s="315"/>
      <c r="F14" s="315"/>
      <c r="G14" s="315"/>
      <c r="H14" s="315"/>
      <c r="I14" s="315"/>
      <c r="J14" s="315"/>
      <c r="K14" s="316"/>
      <c r="L14" s="314"/>
      <c r="M14" s="315"/>
      <c r="N14" s="315"/>
      <c r="O14" s="316"/>
      <c r="P14" s="314"/>
      <c r="Q14" s="315"/>
      <c r="R14" s="315"/>
      <c r="S14" s="315"/>
      <c r="T14" s="315"/>
      <c r="U14" s="315"/>
      <c r="V14" s="315"/>
      <c r="W14" s="315"/>
      <c r="X14" s="315"/>
      <c r="Y14" s="315"/>
      <c r="Z14" s="315"/>
      <c r="AA14" s="315"/>
      <c r="AB14" s="315"/>
      <c r="AC14" s="315"/>
      <c r="AD14" s="315"/>
      <c r="AE14" s="315"/>
      <c r="AF14" s="315"/>
      <c r="AG14" s="315"/>
      <c r="AH14" s="315"/>
      <c r="AI14" s="316"/>
      <c r="AJ14" s="314"/>
      <c r="AK14" s="315"/>
      <c r="AL14" s="316"/>
      <c r="AM14" s="314"/>
      <c r="AN14" s="315"/>
      <c r="AO14" s="316"/>
      <c r="AP14" s="314"/>
      <c r="AQ14" s="315"/>
      <c r="AR14" s="315"/>
      <c r="AS14" s="315"/>
      <c r="AT14" s="316"/>
      <c r="AU14" s="314" t="s">
        <v>150</v>
      </c>
      <c r="AV14" s="315" t="s">
        <v>150</v>
      </c>
      <c r="AW14" s="315" t="s">
        <v>149</v>
      </c>
      <c r="AX14" s="315" t="s">
        <v>148</v>
      </c>
      <c r="AY14" s="315" t="s">
        <v>147</v>
      </c>
      <c r="AZ14" s="315"/>
      <c r="BA14" s="315"/>
      <c r="BB14" s="316"/>
      <c r="BC14" s="314" t="s">
        <v>148</v>
      </c>
      <c r="BD14" s="315" t="s">
        <v>148</v>
      </c>
      <c r="BE14" s="315"/>
      <c r="BF14" s="315"/>
      <c r="BG14" s="316"/>
      <c r="BH14" s="314"/>
      <c r="BI14" s="315"/>
      <c r="BJ14" s="316"/>
      <c r="BK14" s="314"/>
      <c r="BL14" s="315"/>
      <c r="BM14" s="315"/>
      <c r="BN14" s="316"/>
      <c r="BO14" s="314" t="s">
        <v>150</v>
      </c>
      <c r="BP14" s="315" t="s">
        <v>150</v>
      </c>
      <c r="BQ14" s="315" t="s">
        <v>150</v>
      </c>
      <c r="BR14" s="315"/>
      <c r="BS14" s="315" t="s">
        <v>148</v>
      </c>
      <c r="BT14" s="315" t="s">
        <v>47</v>
      </c>
      <c r="BU14" s="315" t="s">
        <v>148</v>
      </c>
      <c r="BV14" s="316"/>
      <c r="BW14" s="314" t="s">
        <v>150</v>
      </c>
      <c r="BX14" s="315"/>
      <c r="BY14" s="315" t="s">
        <v>150</v>
      </c>
      <c r="BZ14" s="315" t="s">
        <v>150</v>
      </c>
      <c r="CA14" s="315" t="s">
        <v>150</v>
      </c>
      <c r="CB14" s="316" t="s">
        <v>150</v>
      </c>
      <c r="CC14" s="314"/>
      <c r="CD14" s="315"/>
      <c r="CE14" s="316"/>
      <c r="CF14" s="314"/>
      <c r="CG14" s="315"/>
      <c r="CH14" s="315"/>
      <c r="CI14" s="317"/>
      <c r="CK14" s="236">
        <f t="shared" si="0"/>
        <v>1</v>
      </c>
      <c r="CL14" s="237">
        <f t="shared" si="1"/>
        <v>1</v>
      </c>
      <c r="CM14" s="237">
        <f t="shared" si="2"/>
        <v>5</v>
      </c>
      <c r="CN14" s="237">
        <f t="shared" si="3"/>
        <v>10</v>
      </c>
      <c r="CO14" s="238">
        <f t="shared" si="4"/>
        <v>1</v>
      </c>
      <c r="CQ14" s="236" t="str">
        <f>desired_skills(C14,"Systemen/RWA","o")</f>
        <v/>
      </c>
      <c r="CR14" s="237" t="str">
        <f>desired_skills(C14,"Systemen/RWA","j")</f>
        <v/>
      </c>
      <c r="CS14" s="237" t="str">
        <f>desired_skills(C14,"Systemen/RWA","m")</f>
        <v/>
      </c>
      <c r="CT14" s="237" t="str">
        <f>desired_skills(C14,"Systemen/RWA","s")</f>
        <v/>
      </c>
      <c r="CU14" s="238" t="str">
        <f>desired_skills(C14,"Systemen/RWA","e")</f>
        <v>10</v>
      </c>
      <c r="CW14" s="236" t="str">
        <f>calc_gap('Matrix 171007_1815'!$CK$14,'Matrix 171007_1815'!$CQ$14)</f>
        <v/>
      </c>
      <c r="CX14" s="237" t="str">
        <f>calc_gap('Matrix 171007_1815'!$CL$14,'Matrix 171007_1815'!$CR$14)</f>
        <v/>
      </c>
      <c r="CY14" s="237" t="str">
        <f>calc_gap('Matrix 171007_1815'!$CM$14,'Matrix 171007_1815'!$CS$14)</f>
        <v/>
      </c>
      <c r="CZ14" s="237" t="str">
        <f>calc_gap('Matrix 171007_1815'!$CN$14,'Matrix 171007_1815'!$CT$14)</f>
        <v/>
      </c>
      <c r="DA14" s="238" t="str">
        <f>calc_gap('Matrix 171007_1815'!$CO$14,'Matrix 171007_1815'!$CU$14)</f>
        <v>9</v>
      </c>
    </row>
    <row r="15" spans="1:105" x14ac:dyDescent="0.25">
      <c r="B15" s="435"/>
      <c r="C15" s="291" t="s">
        <v>60</v>
      </c>
      <c r="D15" s="314"/>
      <c r="E15" s="315"/>
      <c r="F15" s="315"/>
      <c r="G15" s="315"/>
      <c r="H15" s="315"/>
      <c r="I15" s="315"/>
      <c r="J15" s="315"/>
      <c r="K15" s="316"/>
      <c r="L15" s="314"/>
      <c r="M15" s="315"/>
      <c r="N15" s="315"/>
      <c r="O15" s="316"/>
      <c r="P15" s="314"/>
      <c r="Q15" s="315"/>
      <c r="R15" s="315"/>
      <c r="S15" s="315"/>
      <c r="T15" s="315"/>
      <c r="U15" s="315"/>
      <c r="V15" s="315"/>
      <c r="W15" s="315"/>
      <c r="X15" s="315"/>
      <c r="Y15" s="315"/>
      <c r="Z15" s="315"/>
      <c r="AA15" s="315"/>
      <c r="AB15" s="315"/>
      <c r="AC15" s="315"/>
      <c r="AD15" s="315"/>
      <c r="AE15" s="315"/>
      <c r="AF15" s="315"/>
      <c r="AG15" s="315"/>
      <c r="AH15" s="315"/>
      <c r="AI15" s="316"/>
      <c r="AJ15" s="314"/>
      <c r="AK15" s="315"/>
      <c r="AL15" s="316"/>
      <c r="AM15" s="314"/>
      <c r="AN15" s="315"/>
      <c r="AO15" s="316"/>
      <c r="AP15" s="314"/>
      <c r="AQ15" s="315"/>
      <c r="AR15" s="315"/>
      <c r="AS15" s="315"/>
      <c r="AT15" s="316"/>
      <c r="AU15" s="314" t="s">
        <v>150</v>
      </c>
      <c r="AV15" s="315" t="s">
        <v>148</v>
      </c>
      <c r="AW15" s="315" t="s">
        <v>148</v>
      </c>
      <c r="AX15" s="315" t="s">
        <v>148</v>
      </c>
      <c r="AY15" s="315" t="s">
        <v>148</v>
      </c>
      <c r="AZ15" s="315"/>
      <c r="BA15" s="315"/>
      <c r="BB15" s="316" t="s">
        <v>147</v>
      </c>
      <c r="BC15" s="314" t="s">
        <v>150</v>
      </c>
      <c r="BD15" s="315" t="s">
        <v>148</v>
      </c>
      <c r="BE15" s="315"/>
      <c r="BF15" s="315"/>
      <c r="BG15" s="316"/>
      <c r="BH15" s="314"/>
      <c r="BI15" s="315"/>
      <c r="BJ15" s="316"/>
      <c r="BK15" s="314"/>
      <c r="BL15" s="315"/>
      <c r="BM15" s="315"/>
      <c r="BN15" s="316"/>
      <c r="BO15" s="314" t="s">
        <v>148</v>
      </c>
      <c r="BP15" s="315"/>
      <c r="BQ15" s="315" t="s">
        <v>150</v>
      </c>
      <c r="BR15" s="315"/>
      <c r="BS15" s="315" t="s">
        <v>147</v>
      </c>
      <c r="BT15" s="315" t="s">
        <v>150</v>
      </c>
      <c r="BU15" s="315" t="s">
        <v>150</v>
      </c>
      <c r="BV15" s="316"/>
      <c r="BW15" s="314" t="s">
        <v>150</v>
      </c>
      <c r="BX15" s="315"/>
      <c r="BY15" s="315" t="s">
        <v>150</v>
      </c>
      <c r="BZ15" s="315" t="s">
        <v>150</v>
      </c>
      <c r="CA15" s="315" t="s">
        <v>150</v>
      </c>
      <c r="CB15" s="316" t="s">
        <v>150</v>
      </c>
      <c r="CC15" s="314"/>
      <c r="CD15" s="315"/>
      <c r="CE15" s="316"/>
      <c r="CF15" s="314"/>
      <c r="CG15" s="315"/>
      <c r="CH15" s="315"/>
      <c r="CI15" s="317"/>
      <c r="CK15" s="236" t="str">
        <f t="shared" si="0"/>
        <v/>
      </c>
      <c r="CL15" s="237">
        <f t="shared" si="1"/>
        <v>2</v>
      </c>
      <c r="CM15" s="237">
        <f t="shared" si="2"/>
        <v>6</v>
      </c>
      <c r="CN15" s="237">
        <f t="shared" si="3"/>
        <v>10</v>
      </c>
      <c r="CO15" s="238" t="str">
        <f t="shared" si="4"/>
        <v/>
      </c>
      <c r="CQ15" s="236" t="str">
        <f>desired_skills(C15,"Systemen/Integraal IAM landschap","o")</f>
        <v/>
      </c>
      <c r="CR15" s="237" t="str">
        <f>desired_skills(C15,"Systemen/Integraal IAM landschap","j")</f>
        <v/>
      </c>
      <c r="CS15" s="237" t="str">
        <f>desired_skills(C15,"Systemen/Integraal IAM landschap","m")</f>
        <v/>
      </c>
      <c r="CT15" s="237" t="str">
        <f>desired_skills(C15,"Systemen/Integraal IAM landschap","s")</f>
        <v/>
      </c>
      <c r="CU15" s="238" t="str">
        <f>desired_skills(C15,"Systemen/Integraal IAM landschap","e")</f>
        <v/>
      </c>
      <c r="CW15" s="236" t="str">
        <f>calc_gap('Matrix 171007_1815'!$CK$15,'Matrix 171007_1815'!$CQ$15)</f>
        <v/>
      </c>
      <c r="CX15" s="237" t="str">
        <f>calc_gap('Matrix 171007_1815'!$CL$15,'Matrix 171007_1815'!$CR$15)</f>
        <v/>
      </c>
      <c r="CY15" s="237" t="str">
        <f>calc_gap('Matrix 171007_1815'!$CM$15,'Matrix 171007_1815'!$CS$15)</f>
        <v/>
      </c>
      <c r="CZ15" s="237" t="str">
        <f>calc_gap('Matrix 171007_1815'!$CN$15,'Matrix 171007_1815'!$CT$15)</f>
        <v/>
      </c>
      <c r="DA15" s="238" t="str">
        <f>calc_gap('Matrix 171007_1815'!$CO$15,'Matrix 171007_1815'!$CU$15)</f>
        <v/>
      </c>
    </row>
    <row r="16" spans="1:105" ht="15.75" thickBot="1" x14ac:dyDescent="0.3">
      <c r="B16" s="435"/>
      <c r="C16" s="292" t="s">
        <v>61</v>
      </c>
      <c r="D16" s="318"/>
      <c r="E16" s="319"/>
      <c r="F16" s="319"/>
      <c r="G16" s="319"/>
      <c r="H16" s="319"/>
      <c r="I16" s="319"/>
      <c r="J16" s="319"/>
      <c r="K16" s="320"/>
      <c r="L16" s="318"/>
      <c r="M16" s="319"/>
      <c r="N16" s="319"/>
      <c r="O16" s="320"/>
      <c r="P16" s="318"/>
      <c r="Q16" s="319"/>
      <c r="R16" s="319"/>
      <c r="S16" s="319"/>
      <c r="T16" s="319"/>
      <c r="U16" s="319"/>
      <c r="V16" s="319"/>
      <c r="W16" s="319"/>
      <c r="X16" s="319"/>
      <c r="Y16" s="319"/>
      <c r="Z16" s="319"/>
      <c r="AA16" s="319"/>
      <c r="AB16" s="319"/>
      <c r="AC16" s="319"/>
      <c r="AD16" s="319"/>
      <c r="AE16" s="319"/>
      <c r="AF16" s="319"/>
      <c r="AG16" s="319"/>
      <c r="AH16" s="319"/>
      <c r="AI16" s="320"/>
      <c r="AJ16" s="318"/>
      <c r="AK16" s="319"/>
      <c r="AL16" s="320"/>
      <c r="AM16" s="318"/>
      <c r="AN16" s="319"/>
      <c r="AO16" s="320"/>
      <c r="AP16" s="318"/>
      <c r="AQ16" s="319"/>
      <c r="AR16" s="319"/>
      <c r="AS16" s="319"/>
      <c r="AT16" s="320"/>
      <c r="AU16" s="318" t="s">
        <v>147</v>
      </c>
      <c r="AV16" s="319" t="s">
        <v>147</v>
      </c>
      <c r="AW16" s="319" t="s">
        <v>147</v>
      </c>
      <c r="AX16" s="319" t="s">
        <v>147</v>
      </c>
      <c r="AY16" s="319" t="s">
        <v>147</v>
      </c>
      <c r="AZ16" s="319"/>
      <c r="BA16" s="319"/>
      <c r="BB16" s="320"/>
      <c r="BC16" s="318" t="s">
        <v>147</v>
      </c>
      <c r="BD16" s="319" t="s">
        <v>147</v>
      </c>
      <c r="BE16" s="319"/>
      <c r="BF16" s="319"/>
      <c r="BG16" s="320"/>
      <c r="BH16" s="318"/>
      <c r="BI16" s="319"/>
      <c r="BJ16" s="320"/>
      <c r="BK16" s="318" t="s">
        <v>148</v>
      </c>
      <c r="BL16" s="319"/>
      <c r="BM16" s="319"/>
      <c r="BN16" s="320"/>
      <c r="BO16" s="318" t="s">
        <v>148</v>
      </c>
      <c r="BP16" s="319" t="s">
        <v>150</v>
      </c>
      <c r="BQ16" s="319" t="s">
        <v>150</v>
      </c>
      <c r="BR16" s="319"/>
      <c r="BS16" s="319" t="s">
        <v>147</v>
      </c>
      <c r="BT16" s="319" t="s">
        <v>148</v>
      </c>
      <c r="BU16" s="319" t="s">
        <v>148</v>
      </c>
      <c r="BV16" s="320"/>
      <c r="BW16" s="318" t="s">
        <v>150</v>
      </c>
      <c r="BX16" s="319"/>
      <c r="BY16" s="319" t="s">
        <v>147</v>
      </c>
      <c r="BZ16" s="319" t="s">
        <v>150</v>
      </c>
      <c r="CA16" s="319" t="s">
        <v>147</v>
      </c>
      <c r="CB16" s="320" t="s">
        <v>147</v>
      </c>
      <c r="CC16" s="318"/>
      <c r="CD16" s="319"/>
      <c r="CE16" s="320"/>
      <c r="CF16" s="318"/>
      <c r="CG16" s="319"/>
      <c r="CH16" s="319"/>
      <c r="CI16" s="321"/>
      <c r="CK16" s="239" t="str">
        <f t="shared" si="0"/>
        <v/>
      </c>
      <c r="CL16" s="240">
        <f t="shared" si="1"/>
        <v>11</v>
      </c>
      <c r="CM16" s="240">
        <f t="shared" si="2"/>
        <v>4</v>
      </c>
      <c r="CN16" s="240">
        <f t="shared" si="3"/>
        <v>4</v>
      </c>
      <c r="CO16" s="241" t="str">
        <f t="shared" si="4"/>
        <v/>
      </c>
      <c r="CQ16" s="239" t="str">
        <f>desired_skills(C16,"Systemen/Disconnected applicaties","o")</f>
        <v/>
      </c>
      <c r="CR16" s="240" t="str">
        <f>desired_skills(C16,"Systemen/Disconnected applicaties","j")</f>
        <v/>
      </c>
      <c r="CS16" s="240" t="str">
        <f>desired_skills(C16,"Systemen/Disconnected applicaties","m")</f>
        <v/>
      </c>
      <c r="CT16" s="240" t="str">
        <f>desired_skills(C16,"Systemen/Disconnected applicaties","s")</f>
        <v/>
      </c>
      <c r="CU16" s="241" t="str">
        <f>desired_skills(C16,"Systemen/Disconnected applicaties","e")</f>
        <v/>
      </c>
      <c r="CW16" s="239" t="str">
        <f>calc_gap('Matrix 171007_1815'!$CK$16,'Matrix 171007_1815'!$CQ$16)</f>
        <v/>
      </c>
      <c r="CX16" s="240" t="str">
        <f>calc_gap('Matrix 171007_1815'!$CL$16,'Matrix 171007_1815'!$CR$16)</f>
        <v/>
      </c>
      <c r="CY16" s="240" t="str">
        <f>calc_gap('Matrix 171007_1815'!$CM$16,'Matrix 171007_1815'!$CS$16)</f>
        <v/>
      </c>
      <c r="CZ16" s="240" t="str">
        <f>calc_gap('Matrix 171007_1815'!$CN$16,'Matrix 171007_1815'!$CT$16)</f>
        <v/>
      </c>
      <c r="DA16" s="241" t="str">
        <f>calc_gap('Matrix 171007_1815'!$CO$16,'Matrix 171007_1815'!$CU$16)</f>
        <v/>
      </c>
    </row>
    <row r="17" spans="2:105" ht="12.75" customHeight="1" thickTop="1" thickBot="1" x14ac:dyDescent="0.3">
      <c r="B17" s="436"/>
      <c r="C17" s="248"/>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2"/>
      <c r="CH17" s="322"/>
      <c r="CI17" s="322"/>
      <c r="CK17" s="249"/>
      <c r="CL17" s="249"/>
      <c r="CM17" s="249"/>
      <c r="CN17" s="249"/>
      <c r="CO17" s="249"/>
      <c r="CQ17" s="249"/>
      <c r="CR17" s="249"/>
      <c r="CS17" s="249"/>
      <c r="CT17" s="249"/>
      <c r="CU17" s="249"/>
      <c r="CW17" s="249"/>
      <c r="CX17" s="249"/>
      <c r="CY17" s="249"/>
      <c r="CZ17" s="249"/>
      <c r="DA17" s="249"/>
    </row>
    <row r="18" spans="2:105" ht="15.75" thickTop="1" x14ac:dyDescent="0.25">
      <c r="B18" s="434" t="s">
        <v>62</v>
      </c>
      <c r="C18" s="290" t="s">
        <v>63</v>
      </c>
      <c r="D18" s="310"/>
      <c r="E18" s="311"/>
      <c r="F18" s="311"/>
      <c r="G18" s="311"/>
      <c r="H18" s="311"/>
      <c r="I18" s="311"/>
      <c r="J18" s="311"/>
      <c r="K18" s="312"/>
      <c r="L18" s="310"/>
      <c r="M18" s="311"/>
      <c r="N18" s="311"/>
      <c r="O18" s="312"/>
      <c r="P18" s="310"/>
      <c r="Q18" s="311"/>
      <c r="R18" s="311"/>
      <c r="S18" s="311"/>
      <c r="T18" s="311"/>
      <c r="U18" s="311"/>
      <c r="V18" s="311"/>
      <c r="W18" s="311"/>
      <c r="X18" s="311"/>
      <c r="Y18" s="311"/>
      <c r="Z18" s="311"/>
      <c r="AA18" s="311"/>
      <c r="AB18" s="311"/>
      <c r="AC18" s="311"/>
      <c r="AD18" s="311"/>
      <c r="AE18" s="311"/>
      <c r="AF18" s="311"/>
      <c r="AG18" s="311"/>
      <c r="AH18" s="311"/>
      <c r="AI18" s="312"/>
      <c r="AJ18" s="310"/>
      <c r="AK18" s="311"/>
      <c r="AL18" s="312"/>
      <c r="AM18" s="310"/>
      <c r="AN18" s="311"/>
      <c r="AO18" s="312"/>
      <c r="AP18" s="310"/>
      <c r="AQ18" s="311"/>
      <c r="AR18" s="311"/>
      <c r="AS18" s="311"/>
      <c r="AT18" s="312"/>
      <c r="AU18" s="310" t="s">
        <v>148</v>
      </c>
      <c r="AV18" s="311" t="s">
        <v>150</v>
      </c>
      <c r="AW18" s="311" t="s">
        <v>150</v>
      </c>
      <c r="AX18" s="311" t="s">
        <v>47</v>
      </c>
      <c r="AY18" s="311" t="s">
        <v>47</v>
      </c>
      <c r="AZ18" s="311" t="s">
        <v>148</v>
      </c>
      <c r="BA18" s="311" t="s">
        <v>150</v>
      </c>
      <c r="BB18" s="312" t="s">
        <v>150</v>
      </c>
      <c r="BC18" s="310" t="s">
        <v>148</v>
      </c>
      <c r="BD18" s="311" t="s">
        <v>148</v>
      </c>
      <c r="BE18" s="311"/>
      <c r="BF18" s="311" t="s">
        <v>147</v>
      </c>
      <c r="BG18" s="312"/>
      <c r="BH18" s="310"/>
      <c r="BI18" s="311" t="s">
        <v>148</v>
      </c>
      <c r="BJ18" s="312"/>
      <c r="BK18" s="310" t="s">
        <v>147</v>
      </c>
      <c r="BL18" s="311" t="s">
        <v>148</v>
      </c>
      <c r="BM18" s="311"/>
      <c r="BN18" s="312" t="s">
        <v>149</v>
      </c>
      <c r="BO18" s="310" t="s">
        <v>148</v>
      </c>
      <c r="BP18" s="311"/>
      <c r="BQ18" s="311" t="s">
        <v>148</v>
      </c>
      <c r="BR18" s="311"/>
      <c r="BS18" s="311" t="s">
        <v>149</v>
      </c>
      <c r="BT18" s="311" t="s">
        <v>148</v>
      </c>
      <c r="BU18" s="311" t="s">
        <v>148</v>
      </c>
      <c r="BV18" s="312"/>
      <c r="BW18" s="310" t="s">
        <v>148</v>
      </c>
      <c r="BX18" s="311" t="s">
        <v>148</v>
      </c>
      <c r="BY18" s="311" t="s">
        <v>148</v>
      </c>
      <c r="BZ18" s="311" t="s">
        <v>148</v>
      </c>
      <c r="CA18" s="311" t="s">
        <v>47</v>
      </c>
      <c r="CB18" s="312" t="s">
        <v>150</v>
      </c>
      <c r="CC18" s="310"/>
      <c r="CD18" s="311" t="s">
        <v>148</v>
      </c>
      <c r="CE18" s="312"/>
      <c r="CF18" s="310"/>
      <c r="CG18" s="311"/>
      <c r="CH18" s="311"/>
      <c r="CI18" s="313"/>
      <c r="CK18" s="233">
        <f t="shared" ref="CK18:CK26" si="5">IF(COUNTIF(D18:CI18,"o")&gt;0,COUNTIF(D18:CI18,"o"),"")</f>
        <v>2</v>
      </c>
      <c r="CL18" s="234">
        <f t="shared" ref="CL18:CL26" si="6">IF(COUNTIF(D18:CI18,"j")&gt;0,COUNTIF(D18:CI18,"j"),"")</f>
        <v>2</v>
      </c>
      <c r="CM18" s="234">
        <f t="shared" ref="CM18:CM26" si="7">IF(COUNTIF(D18:CI18,"m")&gt;0,COUNTIF(D18:CI18,"m"),"")</f>
        <v>15</v>
      </c>
      <c r="CN18" s="234">
        <f t="shared" ref="CN18:CN26" si="8">IF(COUNTIF(D18:CI18,"s")&gt;0,COUNTIF(D18:CI18,"s"),"")</f>
        <v>5</v>
      </c>
      <c r="CO18" s="235">
        <f t="shared" ref="CO18:CO26" si="9">IF(COUNTIF(D18:CI18,"e")&gt;0,COUNTIF(D18:CI18,"e"),"")</f>
        <v>3</v>
      </c>
      <c r="CQ18" s="233" t="str">
        <f>desired_skills(C18,"Specifieke Risico / IAM-kennis/IAM beleid","o")</f>
        <v>11</v>
      </c>
      <c r="CR18" s="234" t="str">
        <f>desired_skills(C18,"Specifieke Risico / IAM-kennis/IAM beleid","j")</f>
        <v/>
      </c>
      <c r="CS18" s="234" t="str">
        <f>desired_skills(C18,"Specifieke Risico / IAM-kennis/IAM beleid","m")</f>
        <v/>
      </c>
      <c r="CT18" s="234" t="str">
        <f>desired_skills(C18,"Specifieke Risico / IAM-kennis/IAM beleid","s")</f>
        <v/>
      </c>
      <c r="CU18" s="235" t="str">
        <f>desired_skills(C18,"Specifieke Risico / IAM-kennis/IAM beleid","e")</f>
        <v/>
      </c>
      <c r="CW18" s="233" t="str">
        <f>calc_gap('Matrix 171007_1815'!$CK$18,'Matrix 171007_1815'!$CQ$18)</f>
        <v>9</v>
      </c>
      <c r="CX18" s="234" t="str">
        <f>calc_gap('Matrix 171007_1815'!$CL$18,'Matrix 171007_1815'!$CR$18)</f>
        <v/>
      </c>
      <c r="CY18" s="234" t="str">
        <f>calc_gap('Matrix 171007_1815'!$CM$18,'Matrix 171007_1815'!$CS$18)</f>
        <v/>
      </c>
      <c r="CZ18" s="234" t="str">
        <f>calc_gap('Matrix 171007_1815'!$CN$18,'Matrix 171007_1815'!$CT$18)</f>
        <v/>
      </c>
      <c r="DA18" s="235" t="str">
        <f>calc_gap('Matrix 171007_1815'!$CO$18,'Matrix 171007_1815'!$CU$18)</f>
        <v/>
      </c>
    </row>
    <row r="19" spans="2:105" x14ac:dyDescent="0.25">
      <c r="B19" s="435"/>
      <c r="C19" s="291" t="s">
        <v>118</v>
      </c>
      <c r="D19" s="314"/>
      <c r="E19" s="315"/>
      <c r="F19" s="315"/>
      <c r="G19" s="315"/>
      <c r="H19" s="315"/>
      <c r="I19" s="315"/>
      <c r="J19" s="315"/>
      <c r="K19" s="316"/>
      <c r="L19" s="314"/>
      <c r="M19" s="315"/>
      <c r="N19" s="315"/>
      <c r="O19" s="316"/>
      <c r="P19" s="314"/>
      <c r="Q19" s="315"/>
      <c r="R19" s="315"/>
      <c r="S19" s="315"/>
      <c r="T19" s="315"/>
      <c r="U19" s="315"/>
      <c r="V19" s="315"/>
      <c r="W19" s="315"/>
      <c r="X19" s="315"/>
      <c r="Y19" s="315"/>
      <c r="Z19" s="315"/>
      <c r="AA19" s="315"/>
      <c r="AB19" s="315"/>
      <c r="AC19" s="315"/>
      <c r="AD19" s="315"/>
      <c r="AE19" s="315"/>
      <c r="AF19" s="315"/>
      <c r="AG19" s="315"/>
      <c r="AH19" s="315"/>
      <c r="AI19" s="316"/>
      <c r="AJ19" s="314"/>
      <c r="AK19" s="315"/>
      <c r="AL19" s="316"/>
      <c r="AM19" s="314"/>
      <c r="AN19" s="315"/>
      <c r="AO19" s="316"/>
      <c r="AP19" s="314"/>
      <c r="AQ19" s="315"/>
      <c r="AR19" s="315"/>
      <c r="AS19" s="315"/>
      <c r="AT19" s="316"/>
      <c r="AU19" s="314" t="s">
        <v>148</v>
      </c>
      <c r="AV19" s="315" t="s">
        <v>150</v>
      </c>
      <c r="AW19" s="315" t="s">
        <v>150</v>
      </c>
      <c r="AX19" s="315" t="s">
        <v>47</v>
      </c>
      <c r="AY19" s="315" t="s">
        <v>150</v>
      </c>
      <c r="AZ19" s="315" t="s">
        <v>147</v>
      </c>
      <c r="BA19" s="315" t="s">
        <v>150</v>
      </c>
      <c r="BB19" s="316" t="s">
        <v>150</v>
      </c>
      <c r="BC19" s="314" t="s">
        <v>148</v>
      </c>
      <c r="BD19" s="315" t="s">
        <v>148</v>
      </c>
      <c r="BE19" s="315"/>
      <c r="BF19" s="315" t="s">
        <v>148</v>
      </c>
      <c r="BG19" s="316"/>
      <c r="BH19" s="314"/>
      <c r="BI19" s="315" t="s">
        <v>148</v>
      </c>
      <c r="BJ19" s="316"/>
      <c r="BK19" s="314" t="s">
        <v>148</v>
      </c>
      <c r="BL19" s="315" t="s">
        <v>148</v>
      </c>
      <c r="BM19" s="315"/>
      <c r="BN19" s="316" t="s">
        <v>149</v>
      </c>
      <c r="BO19" s="314" t="s">
        <v>148</v>
      </c>
      <c r="BP19" s="315"/>
      <c r="BQ19" s="315" t="s">
        <v>148</v>
      </c>
      <c r="BR19" s="315"/>
      <c r="BS19" s="315" t="s">
        <v>149</v>
      </c>
      <c r="BT19" s="315" t="s">
        <v>148</v>
      </c>
      <c r="BU19" s="315" t="s">
        <v>150</v>
      </c>
      <c r="BV19" s="316"/>
      <c r="BW19" s="314" t="s">
        <v>47</v>
      </c>
      <c r="BX19" s="315" t="s">
        <v>148</v>
      </c>
      <c r="BY19" s="315" t="s">
        <v>150</v>
      </c>
      <c r="BZ19" s="315" t="s">
        <v>47</v>
      </c>
      <c r="CA19" s="315" t="s">
        <v>150</v>
      </c>
      <c r="CB19" s="316" t="s">
        <v>150</v>
      </c>
      <c r="CC19" s="314"/>
      <c r="CD19" s="315" t="s">
        <v>150</v>
      </c>
      <c r="CE19" s="316"/>
      <c r="CF19" s="314"/>
      <c r="CG19" s="315"/>
      <c r="CH19" s="315"/>
      <c r="CI19" s="317"/>
      <c r="CK19" s="236">
        <f t="shared" si="5"/>
        <v>2</v>
      </c>
      <c r="CL19" s="237">
        <f t="shared" si="6"/>
        <v>1</v>
      </c>
      <c r="CM19" s="237">
        <f t="shared" si="7"/>
        <v>11</v>
      </c>
      <c r="CN19" s="237">
        <f t="shared" si="8"/>
        <v>10</v>
      </c>
      <c r="CO19" s="238">
        <f t="shared" si="9"/>
        <v>3</v>
      </c>
      <c r="CQ19" s="236" t="str">
        <f>desired_skills(C19,"Specifieke Risico / IAM-kennis/IAM Processen/procedures","o")</f>
        <v/>
      </c>
      <c r="CR19" s="237" t="str">
        <f>desired_skills(C19,"Specifieke Risico / IAM-kennis/IAM Processen/procedures","j")</f>
        <v>12</v>
      </c>
      <c r="CS19" s="237" t="str">
        <f>desired_skills(C19,"Specifieke Risico / IAM-kennis/IAM Processen/procedures","m")</f>
        <v/>
      </c>
      <c r="CT19" s="237" t="str">
        <f>desired_skills(C19,"Specifieke Risico / IAM-kennis/IAM Processen/procedures","s")</f>
        <v/>
      </c>
      <c r="CU19" s="238" t="str">
        <f>desired_skills(C19,"Specifieke Risico / IAM-kennis/IAM Processen/procedures","e")</f>
        <v/>
      </c>
      <c r="CW19" s="236" t="str">
        <f>calc_gap('Matrix 171007_1815'!$CK$19,'Matrix 171007_1815'!$CQ$19)</f>
        <v/>
      </c>
      <c r="CX19" s="237" t="str">
        <f>calc_gap('Matrix 171007_1815'!$CL$19,'Matrix 171007_1815'!$CR$19)</f>
        <v>11</v>
      </c>
      <c r="CY19" s="237" t="str">
        <f>calc_gap('Matrix 171007_1815'!$CM$19,'Matrix 171007_1815'!$CS$19)</f>
        <v/>
      </c>
      <c r="CZ19" s="237" t="str">
        <f>calc_gap('Matrix 171007_1815'!$CN$19,'Matrix 171007_1815'!$CT$19)</f>
        <v/>
      </c>
      <c r="DA19" s="238" t="str">
        <f>calc_gap('Matrix 171007_1815'!$CO$19,'Matrix 171007_1815'!$CU$19)</f>
        <v/>
      </c>
    </row>
    <row r="20" spans="2:105" x14ac:dyDescent="0.25">
      <c r="B20" s="435"/>
      <c r="C20" s="291" t="s">
        <v>64</v>
      </c>
      <c r="D20" s="314"/>
      <c r="E20" s="315"/>
      <c r="F20" s="315"/>
      <c r="G20" s="315"/>
      <c r="H20" s="315"/>
      <c r="I20" s="315"/>
      <c r="J20" s="315"/>
      <c r="K20" s="316"/>
      <c r="L20" s="314"/>
      <c r="M20" s="315"/>
      <c r="N20" s="315"/>
      <c r="O20" s="316"/>
      <c r="P20" s="314"/>
      <c r="Q20" s="315"/>
      <c r="R20" s="315"/>
      <c r="S20" s="315"/>
      <c r="T20" s="315"/>
      <c r="U20" s="315"/>
      <c r="V20" s="315"/>
      <c r="W20" s="315"/>
      <c r="X20" s="315"/>
      <c r="Y20" s="315"/>
      <c r="Z20" s="315"/>
      <c r="AA20" s="315"/>
      <c r="AB20" s="315"/>
      <c r="AC20" s="315"/>
      <c r="AD20" s="315"/>
      <c r="AE20" s="315"/>
      <c r="AF20" s="315"/>
      <c r="AG20" s="315"/>
      <c r="AH20" s="315"/>
      <c r="AI20" s="316"/>
      <c r="AJ20" s="314"/>
      <c r="AK20" s="315"/>
      <c r="AL20" s="316"/>
      <c r="AM20" s="314"/>
      <c r="AN20" s="315"/>
      <c r="AO20" s="316"/>
      <c r="AP20" s="314"/>
      <c r="AQ20" s="315"/>
      <c r="AR20" s="315"/>
      <c r="AS20" s="315"/>
      <c r="AT20" s="316"/>
      <c r="AU20" s="314" t="s">
        <v>150</v>
      </c>
      <c r="AV20" s="315" t="s">
        <v>150</v>
      </c>
      <c r="AW20" s="315" t="s">
        <v>150</v>
      </c>
      <c r="AX20" s="315" t="s">
        <v>47</v>
      </c>
      <c r="AY20" s="315" t="s">
        <v>47</v>
      </c>
      <c r="AZ20" s="315" t="s">
        <v>149</v>
      </c>
      <c r="BA20" s="315" t="s">
        <v>148</v>
      </c>
      <c r="BB20" s="316" t="s">
        <v>150</v>
      </c>
      <c r="BC20" s="314" t="s">
        <v>147</v>
      </c>
      <c r="BD20" s="315" t="s">
        <v>149</v>
      </c>
      <c r="BE20" s="315"/>
      <c r="BF20" s="315" t="s">
        <v>148</v>
      </c>
      <c r="BG20" s="316"/>
      <c r="BH20" s="314"/>
      <c r="BI20" s="315" t="s">
        <v>148</v>
      </c>
      <c r="BJ20" s="316"/>
      <c r="BK20" s="314" t="s">
        <v>147</v>
      </c>
      <c r="BL20" s="315"/>
      <c r="BM20" s="315"/>
      <c r="BN20" s="316"/>
      <c r="BO20" s="314" t="s">
        <v>147</v>
      </c>
      <c r="BP20" s="315"/>
      <c r="BQ20" s="315" t="s">
        <v>147</v>
      </c>
      <c r="BR20" s="315"/>
      <c r="BS20" s="315"/>
      <c r="BT20" s="315" t="s">
        <v>148</v>
      </c>
      <c r="BU20" s="315" t="s">
        <v>150</v>
      </c>
      <c r="BV20" s="316"/>
      <c r="BW20" s="314" t="s">
        <v>148</v>
      </c>
      <c r="BX20" s="315" t="s">
        <v>148</v>
      </c>
      <c r="BY20" s="315" t="s">
        <v>150</v>
      </c>
      <c r="BZ20" s="315"/>
      <c r="CA20" s="315" t="s">
        <v>150</v>
      </c>
      <c r="CB20" s="316" t="s">
        <v>47</v>
      </c>
      <c r="CC20" s="314"/>
      <c r="CD20" s="315" t="s">
        <v>148</v>
      </c>
      <c r="CE20" s="316"/>
      <c r="CF20" s="314"/>
      <c r="CG20" s="315"/>
      <c r="CH20" s="315"/>
      <c r="CI20" s="317"/>
      <c r="CK20" s="236">
        <f t="shared" si="5"/>
        <v>2</v>
      </c>
      <c r="CL20" s="237">
        <f t="shared" si="6"/>
        <v>4</v>
      </c>
      <c r="CM20" s="237">
        <f t="shared" si="7"/>
        <v>7</v>
      </c>
      <c r="CN20" s="237">
        <f t="shared" si="8"/>
        <v>7</v>
      </c>
      <c r="CO20" s="238">
        <f t="shared" si="9"/>
        <v>3</v>
      </c>
      <c r="CQ20" s="236" t="str">
        <f>desired_skills(C20,"Specifieke Risico / IAM-kennis/Key Control Framework","o")</f>
        <v/>
      </c>
      <c r="CR20" s="237" t="str">
        <f>desired_skills(C20,"Specifieke Risico / IAM-kennis/Key Control Framework","j")</f>
        <v/>
      </c>
      <c r="CS20" s="237" t="str">
        <f>desired_skills(C20,"Specifieke Risico / IAM-kennis/Key Control Framework","m")</f>
        <v>13</v>
      </c>
      <c r="CT20" s="237" t="str">
        <f>desired_skills(C20,"Specifieke Risico / IAM-kennis/Key Control Framework","s")</f>
        <v/>
      </c>
      <c r="CU20" s="238" t="str">
        <f>desired_skills(C20,"Specifieke Risico / IAM-kennis/Key Control Framework","e")</f>
        <v/>
      </c>
      <c r="CW20" s="236" t="str">
        <f>calc_gap('Matrix 171007_1815'!$CK$20,'Matrix 171007_1815'!$CQ$20)</f>
        <v/>
      </c>
      <c r="CX20" s="237" t="str">
        <f>calc_gap('Matrix 171007_1815'!$CL$20,'Matrix 171007_1815'!$CR$20)</f>
        <v/>
      </c>
      <c r="CY20" s="237" t="str">
        <f>calc_gap('Matrix 171007_1815'!$CM$20,'Matrix 171007_1815'!$CS$20)</f>
        <v>6</v>
      </c>
      <c r="CZ20" s="237" t="str">
        <f>calc_gap('Matrix 171007_1815'!$CN$20,'Matrix 171007_1815'!$CT$20)</f>
        <v/>
      </c>
      <c r="DA20" s="238" t="str">
        <f>calc_gap('Matrix 171007_1815'!$CO$20,'Matrix 171007_1815'!$CU$20)</f>
        <v/>
      </c>
    </row>
    <row r="21" spans="2:105" x14ac:dyDescent="0.25">
      <c r="B21" s="435"/>
      <c r="C21" s="291" t="s">
        <v>65</v>
      </c>
      <c r="D21" s="314"/>
      <c r="E21" s="315"/>
      <c r="F21" s="315"/>
      <c r="G21" s="315"/>
      <c r="H21" s="315"/>
      <c r="I21" s="315"/>
      <c r="J21" s="315"/>
      <c r="K21" s="316"/>
      <c r="L21" s="314"/>
      <c r="M21" s="315"/>
      <c r="N21" s="315"/>
      <c r="O21" s="316"/>
      <c r="P21" s="314"/>
      <c r="Q21" s="315"/>
      <c r="R21" s="315"/>
      <c r="S21" s="315"/>
      <c r="T21" s="315"/>
      <c r="U21" s="315"/>
      <c r="V21" s="315"/>
      <c r="W21" s="315"/>
      <c r="X21" s="315"/>
      <c r="Y21" s="315"/>
      <c r="Z21" s="315"/>
      <c r="AA21" s="315"/>
      <c r="AB21" s="315"/>
      <c r="AC21" s="315"/>
      <c r="AD21" s="315"/>
      <c r="AE21" s="315"/>
      <c r="AF21" s="315"/>
      <c r="AG21" s="315"/>
      <c r="AH21" s="315"/>
      <c r="AI21" s="316"/>
      <c r="AJ21" s="314"/>
      <c r="AK21" s="315"/>
      <c r="AL21" s="316"/>
      <c r="AM21" s="314"/>
      <c r="AN21" s="315"/>
      <c r="AO21" s="316"/>
      <c r="AP21" s="314"/>
      <c r="AQ21" s="315"/>
      <c r="AR21" s="315"/>
      <c r="AS21" s="315"/>
      <c r="AT21" s="316"/>
      <c r="AU21" s="314" t="s">
        <v>148</v>
      </c>
      <c r="AV21" s="315" t="s">
        <v>148</v>
      </c>
      <c r="AW21" s="315" t="s">
        <v>148</v>
      </c>
      <c r="AX21" s="315" t="s">
        <v>147</v>
      </c>
      <c r="AY21" s="315" t="s">
        <v>147</v>
      </c>
      <c r="AZ21" s="315"/>
      <c r="BA21" s="315" t="s">
        <v>147</v>
      </c>
      <c r="BB21" s="316" t="s">
        <v>147</v>
      </c>
      <c r="BC21" s="314" t="s">
        <v>147</v>
      </c>
      <c r="BD21" s="315" t="s">
        <v>149</v>
      </c>
      <c r="BE21" s="315"/>
      <c r="BF21" s="315" t="s">
        <v>147</v>
      </c>
      <c r="BG21" s="316"/>
      <c r="BH21" s="314"/>
      <c r="BI21" s="315"/>
      <c r="BJ21" s="316"/>
      <c r="BK21" s="314"/>
      <c r="BL21" s="315" t="s">
        <v>150</v>
      </c>
      <c r="BM21" s="315"/>
      <c r="BN21" s="316" t="s">
        <v>147</v>
      </c>
      <c r="BO21" s="314"/>
      <c r="BP21" s="315"/>
      <c r="BQ21" s="315" t="s">
        <v>148</v>
      </c>
      <c r="BR21" s="315"/>
      <c r="BS21" s="315" t="s">
        <v>147</v>
      </c>
      <c r="BT21" s="315" t="s">
        <v>148</v>
      </c>
      <c r="BU21" s="315" t="s">
        <v>150</v>
      </c>
      <c r="BV21" s="316"/>
      <c r="BW21" s="314" t="s">
        <v>47</v>
      </c>
      <c r="BX21" s="315"/>
      <c r="BY21" s="315" t="s">
        <v>147</v>
      </c>
      <c r="BZ21" s="315"/>
      <c r="CA21" s="315" t="s">
        <v>150</v>
      </c>
      <c r="CB21" s="316" t="s">
        <v>147</v>
      </c>
      <c r="CC21" s="314"/>
      <c r="CD21" s="315" t="s">
        <v>147</v>
      </c>
      <c r="CE21" s="316"/>
      <c r="CF21" s="314"/>
      <c r="CG21" s="315"/>
      <c r="CH21" s="315"/>
      <c r="CI21" s="317"/>
      <c r="CK21" s="236">
        <f t="shared" si="5"/>
        <v>1</v>
      </c>
      <c r="CL21" s="237">
        <f t="shared" si="6"/>
        <v>11</v>
      </c>
      <c r="CM21" s="237">
        <f t="shared" si="7"/>
        <v>5</v>
      </c>
      <c r="CN21" s="237">
        <f t="shared" si="8"/>
        <v>3</v>
      </c>
      <c r="CO21" s="238">
        <f t="shared" si="9"/>
        <v>1</v>
      </c>
      <c r="CQ21" s="236" t="str">
        <f>desired_skills(C21,"Specifieke Risico / IAM-kennis/IT Security","o")</f>
        <v/>
      </c>
      <c r="CR21" s="237" t="str">
        <f>desired_skills(C21,"Specifieke Risico / IAM-kennis/IT Security","j")</f>
        <v/>
      </c>
      <c r="CS21" s="237" t="str">
        <f>desired_skills(C21,"Specifieke Risico / IAM-kennis/IT Security","m")</f>
        <v/>
      </c>
      <c r="CT21" s="237" t="str">
        <f>desired_skills(C21,"Specifieke Risico / IAM-kennis/IT Security","s")</f>
        <v>14</v>
      </c>
      <c r="CU21" s="238" t="str">
        <f>desired_skills(C21,"Specifieke Risico / IAM-kennis/IT Security","e")</f>
        <v/>
      </c>
      <c r="CW21" s="236" t="str">
        <f>calc_gap('Matrix 171007_1815'!$CK$21,'Matrix 171007_1815'!$CQ$21)</f>
        <v/>
      </c>
      <c r="CX21" s="237" t="str">
        <f>calc_gap('Matrix 171007_1815'!$CL$21,'Matrix 171007_1815'!$CR$21)</f>
        <v/>
      </c>
      <c r="CY21" s="237" t="str">
        <f>calc_gap('Matrix 171007_1815'!$CM$21,'Matrix 171007_1815'!$CS$21)</f>
        <v/>
      </c>
      <c r="CZ21" s="237" t="str">
        <f>calc_gap('Matrix 171007_1815'!$CN$21,'Matrix 171007_1815'!$CT$21)</f>
        <v>11</v>
      </c>
      <c r="DA21" s="238" t="str">
        <f>calc_gap('Matrix 171007_1815'!$CO$21,'Matrix 171007_1815'!$CU$21)</f>
        <v/>
      </c>
    </row>
    <row r="22" spans="2:105" x14ac:dyDescent="0.25">
      <c r="B22" s="435"/>
      <c r="C22" s="291" t="s">
        <v>66</v>
      </c>
      <c r="D22" s="314"/>
      <c r="E22" s="315"/>
      <c r="F22" s="315"/>
      <c r="G22" s="315"/>
      <c r="H22" s="315"/>
      <c r="I22" s="315"/>
      <c r="J22" s="315"/>
      <c r="K22" s="316"/>
      <c r="L22" s="314"/>
      <c r="M22" s="315"/>
      <c r="N22" s="315"/>
      <c r="O22" s="316"/>
      <c r="P22" s="314"/>
      <c r="Q22" s="315"/>
      <c r="R22" s="315"/>
      <c r="S22" s="315"/>
      <c r="T22" s="315"/>
      <c r="U22" s="315"/>
      <c r="V22" s="315"/>
      <c r="W22" s="315"/>
      <c r="X22" s="315"/>
      <c r="Y22" s="315"/>
      <c r="Z22" s="315"/>
      <c r="AA22" s="315"/>
      <c r="AB22" s="315"/>
      <c r="AC22" s="315"/>
      <c r="AD22" s="315"/>
      <c r="AE22" s="315"/>
      <c r="AF22" s="315"/>
      <c r="AG22" s="315"/>
      <c r="AH22" s="315"/>
      <c r="AI22" s="316"/>
      <c r="AJ22" s="314"/>
      <c r="AK22" s="315"/>
      <c r="AL22" s="316"/>
      <c r="AM22" s="314"/>
      <c r="AN22" s="315"/>
      <c r="AO22" s="316"/>
      <c r="AP22" s="314"/>
      <c r="AQ22" s="315"/>
      <c r="AR22" s="315"/>
      <c r="AS22" s="315"/>
      <c r="AT22" s="316"/>
      <c r="AU22" s="314" t="s">
        <v>47</v>
      </c>
      <c r="AV22" s="315" t="s">
        <v>150</v>
      </c>
      <c r="AW22" s="315" t="s">
        <v>148</v>
      </c>
      <c r="AX22" s="315" t="s">
        <v>150</v>
      </c>
      <c r="AY22" s="315" t="s">
        <v>147</v>
      </c>
      <c r="AZ22" s="315" t="s">
        <v>147</v>
      </c>
      <c r="BA22" s="315" t="s">
        <v>147</v>
      </c>
      <c r="BB22" s="316" t="s">
        <v>148</v>
      </c>
      <c r="BC22" s="314" t="s">
        <v>148</v>
      </c>
      <c r="BD22" s="315" t="s">
        <v>147</v>
      </c>
      <c r="BE22" s="315"/>
      <c r="BF22" s="315" t="s">
        <v>147</v>
      </c>
      <c r="BG22" s="316"/>
      <c r="BH22" s="314"/>
      <c r="BI22" s="315"/>
      <c r="BJ22" s="316"/>
      <c r="BK22" s="314" t="s">
        <v>147</v>
      </c>
      <c r="BL22" s="315"/>
      <c r="BM22" s="315"/>
      <c r="BN22" s="316" t="s">
        <v>149</v>
      </c>
      <c r="BO22" s="314" t="s">
        <v>147</v>
      </c>
      <c r="BP22" s="315"/>
      <c r="BQ22" s="315" t="s">
        <v>147</v>
      </c>
      <c r="BR22" s="315"/>
      <c r="BS22" s="315"/>
      <c r="BT22" s="315" t="s">
        <v>147</v>
      </c>
      <c r="BU22" s="315" t="s">
        <v>150</v>
      </c>
      <c r="BV22" s="316"/>
      <c r="BW22" s="314" t="s">
        <v>148</v>
      </c>
      <c r="BX22" s="315"/>
      <c r="BY22" s="315" t="s">
        <v>150</v>
      </c>
      <c r="BZ22" s="315" t="s">
        <v>47</v>
      </c>
      <c r="CA22" s="315" t="s">
        <v>150</v>
      </c>
      <c r="CB22" s="316" t="s">
        <v>150</v>
      </c>
      <c r="CC22" s="314"/>
      <c r="CD22" s="315" t="s">
        <v>147</v>
      </c>
      <c r="CE22" s="316"/>
      <c r="CF22" s="314"/>
      <c r="CG22" s="315"/>
      <c r="CH22" s="315"/>
      <c r="CI22" s="317"/>
      <c r="CK22" s="236">
        <f t="shared" si="5"/>
        <v>1</v>
      </c>
      <c r="CL22" s="237">
        <f t="shared" si="6"/>
        <v>10</v>
      </c>
      <c r="CM22" s="237">
        <f t="shared" si="7"/>
        <v>4</v>
      </c>
      <c r="CN22" s="237">
        <f t="shared" si="8"/>
        <v>6</v>
      </c>
      <c r="CO22" s="238">
        <f t="shared" si="9"/>
        <v>2</v>
      </c>
      <c r="CQ22" s="236" t="str">
        <f>desired_skills(C22,"Specifieke Risico / IAM-kennis/Cross domain","o")</f>
        <v/>
      </c>
      <c r="CR22" s="237" t="str">
        <f>desired_skills(C22,"Specifieke Risico / IAM-kennis/Cross domain","j")</f>
        <v/>
      </c>
      <c r="CS22" s="237" t="str">
        <f>desired_skills(C22,"Specifieke Risico / IAM-kennis/Cross domain","m")</f>
        <v/>
      </c>
      <c r="CT22" s="237" t="str">
        <f>desired_skills(C22,"Specifieke Risico / IAM-kennis/Cross domain","s")</f>
        <v/>
      </c>
      <c r="CU22" s="238" t="str">
        <f>desired_skills(C22,"Specifieke Risico / IAM-kennis/Cross domain","e")</f>
        <v>15</v>
      </c>
      <c r="CW22" s="236" t="str">
        <f>calc_gap('Matrix 171007_1815'!$CK$22,'Matrix 171007_1815'!$CQ$22)</f>
        <v/>
      </c>
      <c r="CX22" s="237" t="str">
        <f>calc_gap('Matrix 171007_1815'!$CL$22,'Matrix 171007_1815'!$CR$22)</f>
        <v/>
      </c>
      <c r="CY22" s="237" t="str">
        <f>calc_gap('Matrix 171007_1815'!$CM$22,'Matrix 171007_1815'!$CS$22)</f>
        <v/>
      </c>
      <c r="CZ22" s="237" t="str">
        <f>calc_gap('Matrix 171007_1815'!$CN$22,'Matrix 171007_1815'!$CT$22)</f>
        <v/>
      </c>
      <c r="DA22" s="238" t="str">
        <f>calc_gap('Matrix 171007_1815'!$CO$22,'Matrix 171007_1815'!$CU$22)</f>
        <v>13</v>
      </c>
    </row>
    <row r="23" spans="2:105" x14ac:dyDescent="0.25">
      <c r="B23" s="435"/>
      <c r="C23" s="291" t="s">
        <v>67</v>
      </c>
      <c r="D23" s="314"/>
      <c r="E23" s="315"/>
      <c r="F23" s="315"/>
      <c r="G23" s="315"/>
      <c r="H23" s="315"/>
      <c r="I23" s="315"/>
      <c r="J23" s="315"/>
      <c r="K23" s="316"/>
      <c r="L23" s="314"/>
      <c r="M23" s="315"/>
      <c r="N23" s="315"/>
      <c r="O23" s="316"/>
      <c r="P23" s="314"/>
      <c r="Q23" s="315"/>
      <c r="R23" s="315"/>
      <c r="S23" s="315"/>
      <c r="T23" s="315"/>
      <c r="U23" s="315"/>
      <c r="V23" s="315"/>
      <c r="W23" s="315"/>
      <c r="X23" s="315"/>
      <c r="Y23" s="315"/>
      <c r="Z23" s="315"/>
      <c r="AA23" s="315"/>
      <c r="AB23" s="315"/>
      <c r="AC23" s="315"/>
      <c r="AD23" s="315"/>
      <c r="AE23" s="315"/>
      <c r="AF23" s="315"/>
      <c r="AG23" s="315"/>
      <c r="AH23" s="315"/>
      <c r="AI23" s="316"/>
      <c r="AJ23" s="314"/>
      <c r="AK23" s="315"/>
      <c r="AL23" s="316"/>
      <c r="AM23" s="314"/>
      <c r="AN23" s="315"/>
      <c r="AO23" s="316"/>
      <c r="AP23" s="314"/>
      <c r="AQ23" s="315"/>
      <c r="AR23" s="315"/>
      <c r="AS23" s="315"/>
      <c r="AT23" s="316"/>
      <c r="AU23" s="314" t="s">
        <v>148</v>
      </c>
      <c r="AV23" s="315" t="s">
        <v>148</v>
      </c>
      <c r="AW23" s="315" t="s">
        <v>148</v>
      </c>
      <c r="AX23" s="315" t="s">
        <v>148</v>
      </c>
      <c r="AY23" s="315" t="s">
        <v>150</v>
      </c>
      <c r="AZ23" s="315"/>
      <c r="BA23" s="315"/>
      <c r="BB23" s="316" t="s">
        <v>148</v>
      </c>
      <c r="BC23" s="314" t="s">
        <v>148</v>
      </c>
      <c r="BD23" s="315" t="s">
        <v>147</v>
      </c>
      <c r="BE23" s="315"/>
      <c r="BF23" s="315" t="s">
        <v>147</v>
      </c>
      <c r="BG23" s="316"/>
      <c r="BH23" s="314"/>
      <c r="BI23" s="315"/>
      <c r="BJ23" s="316"/>
      <c r="BK23" s="314"/>
      <c r="BL23" s="315"/>
      <c r="BM23" s="315"/>
      <c r="BN23" s="316"/>
      <c r="BO23" s="314"/>
      <c r="BP23" s="315"/>
      <c r="BQ23" s="315" t="s">
        <v>148</v>
      </c>
      <c r="BR23" s="315"/>
      <c r="BS23" s="315"/>
      <c r="BT23" s="315" t="s">
        <v>147</v>
      </c>
      <c r="BU23" s="315" t="s">
        <v>150</v>
      </c>
      <c r="BV23" s="316"/>
      <c r="BW23" s="314" t="s">
        <v>150</v>
      </c>
      <c r="BX23" s="315"/>
      <c r="BY23" s="315" t="s">
        <v>148</v>
      </c>
      <c r="BZ23" s="315" t="s">
        <v>150</v>
      </c>
      <c r="CA23" s="315" t="s">
        <v>150</v>
      </c>
      <c r="CB23" s="316" t="s">
        <v>148</v>
      </c>
      <c r="CC23" s="314"/>
      <c r="CD23" s="315" t="s">
        <v>147</v>
      </c>
      <c r="CE23" s="316"/>
      <c r="CF23" s="314"/>
      <c r="CG23" s="315"/>
      <c r="CH23" s="315"/>
      <c r="CI23" s="317"/>
      <c r="CK23" s="236" t="str">
        <f t="shared" si="5"/>
        <v/>
      </c>
      <c r="CL23" s="237">
        <f t="shared" si="6"/>
        <v>4</v>
      </c>
      <c r="CM23" s="237">
        <f t="shared" si="7"/>
        <v>9</v>
      </c>
      <c r="CN23" s="237">
        <f t="shared" si="8"/>
        <v>5</v>
      </c>
      <c r="CO23" s="238" t="str">
        <f t="shared" si="9"/>
        <v/>
      </c>
      <c r="CQ23" s="236" t="str">
        <f>desired_skills(C23,"Specifieke Risico / IAM-kennis/FSE's","o")</f>
        <v/>
      </c>
      <c r="CR23" s="237" t="str">
        <f>desired_skills(C23,"Specifieke Risico / IAM-kennis/FSE's","j")</f>
        <v/>
      </c>
      <c r="CS23" s="237" t="str">
        <f>desired_skills(C23,"Specifieke Risico / IAM-kennis/FSE's","m")</f>
        <v/>
      </c>
      <c r="CT23" s="237" t="str">
        <f>desired_skills(C23,"Specifieke Risico / IAM-kennis/FSE's","s")</f>
        <v/>
      </c>
      <c r="CU23" s="238" t="str">
        <f>desired_skills(C23,"Specifieke Risico / IAM-kennis/FSE's","e")</f>
        <v/>
      </c>
      <c r="CW23" s="236" t="str">
        <f>calc_gap('Matrix 171007_1815'!$CK$23,'Matrix 171007_1815'!$CQ$23)</f>
        <v/>
      </c>
      <c r="CX23" s="237" t="str">
        <f>calc_gap('Matrix 171007_1815'!$CL$23,'Matrix 171007_1815'!$CR$23)</f>
        <v/>
      </c>
      <c r="CY23" s="237" t="str">
        <f>calc_gap('Matrix 171007_1815'!$CM$23,'Matrix 171007_1815'!$CS$23)</f>
        <v/>
      </c>
      <c r="CZ23" s="237" t="str">
        <f>calc_gap('Matrix 171007_1815'!$CN$23,'Matrix 171007_1815'!$CT$23)</f>
        <v/>
      </c>
      <c r="DA23" s="238" t="str">
        <f>calc_gap('Matrix 171007_1815'!$CO$23,'Matrix 171007_1815'!$CU$23)</f>
        <v/>
      </c>
    </row>
    <row r="24" spans="2:105" x14ac:dyDescent="0.25">
      <c r="B24" s="435"/>
      <c r="C24" s="291" t="s">
        <v>68</v>
      </c>
      <c r="D24" s="314"/>
      <c r="E24" s="315"/>
      <c r="F24" s="315"/>
      <c r="G24" s="315"/>
      <c r="H24" s="315"/>
      <c r="I24" s="315"/>
      <c r="J24" s="315"/>
      <c r="K24" s="316"/>
      <c r="L24" s="314"/>
      <c r="M24" s="315"/>
      <c r="N24" s="315"/>
      <c r="O24" s="316"/>
      <c r="P24" s="314"/>
      <c r="Q24" s="315"/>
      <c r="R24" s="315"/>
      <c r="S24" s="315"/>
      <c r="T24" s="315"/>
      <c r="U24" s="315"/>
      <c r="V24" s="315"/>
      <c r="W24" s="315"/>
      <c r="X24" s="315"/>
      <c r="Y24" s="315"/>
      <c r="Z24" s="315"/>
      <c r="AA24" s="315"/>
      <c r="AB24" s="315"/>
      <c r="AC24" s="315"/>
      <c r="AD24" s="315"/>
      <c r="AE24" s="315"/>
      <c r="AF24" s="315"/>
      <c r="AG24" s="315"/>
      <c r="AH24" s="315"/>
      <c r="AI24" s="316"/>
      <c r="AJ24" s="314"/>
      <c r="AK24" s="315"/>
      <c r="AL24" s="316"/>
      <c r="AM24" s="314"/>
      <c r="AN24" s="315"/>
      <c r="AO24" s="316"/>
      <c r="AP24" s="314"/>
      <c r="AQ24" s="315"/>
      <c r="AR24" s="315"/>
      <c r="AS24" s="315"/>
      <c r="AT24" s="316"/>
      <c r="AU24" s="314" t="s">
        <v>148</v>
      </c>
      <c r="AV24" s="315" t="s">
        <v>148</v>
      </c>
      <c r="AW24" s="315" t="s">
        <v>150</v>
      </c>
      <c r="AX24" s="315" t="s">
        <v>47</v>
      </c>
      <c r="AY24" s="315" t="s">
        <v>150</v>
      </c>
      <c r="AZ24" s="315"/>
      <c r="BA24" s="315"/>
      <c r="BB24" s="316" t="s">
        <v>150</v>
      </c>
      <c r="BC24" s="314" t="s">
        <v>147</v>
      </c>
      <c r="BD24" s="315"/>
      <c r="BE24" s="315"/>
      <c r="BF24" s="315" t="s">
        <v>147</v>
      </c>
      <c r="BG24" s="316"/>
      <c r="BH24" s="314"/>
      <c r="BI24" s="315"/>
      <c r="BJ24" s="316"/>
      <c r="BK24" s="314" t="s">
        <v>150</v>
      </c>
      <c r="BL24" s="315" t="s">
        <v>147</v>
      </c>
      <c r="BM24" s="315"/>
      <c r="BN24" s="316" t="s">
        <v>149</v>
      </c>
      <c r="BO24" s="314" t="s">
        <v>148</v>
      </c>
      <c r="BP24" s="315" t="s">
        <v>47</v>
      </c>
      <c r="BQ24" s="315" t="s">
        <v>147</v>
      </c>
      <c r="BR24" s="315"/>
      <c r="BS24" s="315" t="s">
        <v>148</v>
      </c>
      <c r="BT24" s="315" t="s">
        <v>147</v>
      </c>
      <c r="BU24" s="315" t="s">
        <v>150</v>
      </c>
      <c r="BV24" s="316"/>
      <c r="BW24" s="314" t="s">
        <v>150</v>
      </c>
      <c r="BX24" s="315"/>
      <c r="BY24" s="315" t="s">
        <v>148</v>
      </c>
      <c r="BZ24" s="315" t="s">
        <v>47</v>
      </c>
      <c r="CA24" s="315" t="s">
        <v>148</v>
      </c>
      <c r="CB24" s="316" t="s">
        <v>148</v>
      </c>
      <c r="CC24" s="314"/>
      <c r="CD24" s="315" t="s">
        <v>148</v>
      </c>
      <c r="CE24" s="316"/>
      <c r="CF24" s="314"/>
      <c r="CG24" s="315"/>
      <c r="CH24" s="315"/>
      <c r="CI24" s="317"/>
      <c r="CK24" s="236">
        <f t="shared" si="5"/>
        <v>1</v>
      </c>
      <c r="CL24" s="237">
        <f t="shared" si="6"/>
        <v>5</v>
      </c>
      <c r="CM24" s="237">
        <f t="shared" si="7"/>
        <v>8</v>
      </c>
      <c r="CN24" s="237">
        <f t="shared" si="8"/>
        <v>6</v>
      </c>
      <c r="CO24" s="238">
        <f t="shared" si="9"/>
        <v>3</v>
      </c>
      <c r="CQ24" s="236" t="str">
        <f>desired_skills(C24,"Specifieke Risico / IAM-kennis/Toerusten","o")</f>
        <v/>
      </c>
      <c r="CR24" s="237" t="str">
        <f>desired_skills(C24,"Specifieke Risico / IAM-kennis/Toerusten","j")</f>
        <v/>
      </c>
      <c r="CS24" s="237" t="str">
        <f>desired_skills(C24,"Specifieke Risico / IAM-kennis/Toerusten","m")</f>
        <v/>
      </c>
      <c r="CT24" s="237" t="str">
        <f>desired_skills(C24,"Specifieke Risico / IAM-kennis/Toerusten","s")</f>
        <v/>
      </c>
      <c r="CU24" s="238" t="str">
        <f>desired_skills(C24,"Specifieke Risico / IAM-kennis/Toerusten","e")</f>
        <v/>
      </c>
      <c r="CW24" s="236" t="str">
        <f>calc_gap('Matrix 171007_1815'!$CK$24,'Matrix 171007_1815'!$CQ$24)</f>
        <v/>
      </c>
      <c r="CX24" s="237" t="str">
        <f>calc_gap('Matrix 171007_1815'!$CL$24,'Matrix 171007_1815'!$CR$24)</f>
        <v/>
      </c>
      <c r="CY24" s="237" t="str">
        <f>calc_gap('Matrix 171007_1815'!$CM$24,'Matrix 171007_1815'!$CS$24)</f>
        <v/>
      </c>
      <c r="CZ24" s="237" t="str">
        <f>calc_gap('Matrix 171007_1815'!$CN$24,'Matrix 171007_1815'!$CT$24)</f>
        <v/>
      </c>
      <c r="DA24" s="238" t="str">
        <f>calc_gap('Matrix 171007_1815'!$CO$24,'Matrix 171007_1815'!$CU$24)</f>
        <v/>
      </c>
    </row>
    <row r="25" spans="2:105" x14ac:dyDescent="0.25">
      <c r="B25" s="435"/>
      <c r="C25" s="291" t="s">
        <v>69</v>
      </c>
      <c r="D25" s="314"/>
      <c r="E25" s="315"/>
      <c r="F25" s="315"/>
      <c r="G25" s="315"/>
      <c r="H25" s="315"/>
      <c r="I25" s="315"/>
      <c r="J25" s="315"/>
      <c r="K25" s="316"/>
      <c r="L25" s="314"/>
      <c r="M25" s="315"/>
      <c r="N25" s="315"/>
      <c r="O25" s="316"/>
      <c r="P25" s="314"/>
      <c r="Q25" s="315"/>
      <c r="R25" s="315"/>
      <c r="S25" s="315"/>
      <c r="T25" s="315"/>
      <c r="U25" s="315"/>
      <c r="V25" s="315"/>
      <c r="W25" s="315"/>
      <c r="X25" s="315"/>
      <c r="Y25" s="315"/>
      <c r="Z25" s="315"/>
      <c r="AA25" s="315"/>
      <c r="AB25" s="315"/>
      <c r="AC25" s="315"/>
      <c r="AD25" s="315"/>
      <c r="AE25" s="315"/>
      <c r="AF25" s="315"/>
      <c r="AG25" s="315"/>
      <c r="AH25" s="315"/>
      <c r="AI25" s="316"/>
      <c r="AJ25" s="314"/>
      <c r="AK25" s="315"/>
      <c r="AL25" s="316"/>
      <c r="AM25" s="314"/>
      <c r="AN25" s="315"/>
      <c r="AO25" s="316"/>
      <c r="AP25" s="314"/>
      <c r="AQ25" s="315"/>
      <c r="AR25" s="315"/>
      <c r="AS25" s="315"/>
      <c r="AT25" s="316"/>
      <c r="AU25" s="314" t="s">
        <v>148</v>
      </c>
      <c r="AV25" s="315" t="s">
        <v>148</v>
      </c>
      <c r="AW25" s="315" t="s">
        <v>148</v>
      </c>
      <c r="AX25" s="315" t="s">
        <v>150</v>
      </c>
      <c r="AY25" s="315" t="s">
        <v>150</v>
      </c>
      <c r="AZ25" s="315"/>
      <c r="BA25" s="315"/>
      <c r="BB25" s="316" t="s">
        <v>148</v>
      </c>
      <c r="BC25" s="314" t="s">
        <v>147</v>
      </c>
      <c r="BD25" s="315"/>
      <c r="BE25" s="315"/>
      <c r="BF25" s="315" t="s">
        <v>147</v>
      </c>
      <c r="BG25" s="316"/>
      <c r="BH25" s="314"/>
      <c r="BI25" s="315"/>
      <c r="BJ25" s="316"/>
      <c r="BK25" s="314" t="s">
        <v>147</v>
      </c>
      <c r="BL25" s="315" t="s">
        <v>147</v>
      </c>
      <c r="BM25" s="315"/>
      <c r="BN25" s="316" t="s">
        <v>147</v>
      </c>
      <c r="BO25" s="314"/>
      <c r="BP25" s="315" t="s">
        <v>150</v>
      </c>
      <c r="BQ25" s="315" t="s">
        <v>147</v>
      </c>
      <c r="BR25" s="315"/>
      <c r="BS25" s="315"/>
      <c r="BT25" s="315" t="s">
        <v>147</v>
      </c>
      <c r="BU25" s="315" t="s">
        <v>150</v>
      </c>
      <c r="BV25" s="316"/>
      <c r="BW25" s="314" t="s">
        <v>148</v>
      </c>
      <c r="BX25" s="315"/>
      <c r="BY25" s="315" t="s">
        <v>147</v>
      </c>
      <c r="BZ25" s="315" t="s">
        <v>150</v>
      </c>
      <c r="CA25" s="315" t="s">
        <v>147</v>
      </c>
      <c r="CB25" s="316" t="s">
        <v>147</v>
      </c>
      <c r="CC25" s="314"/>
      <c r="CD25" s="315" t="s">
        <v>147</v>
      </c>
      <c r="CE25" s="316"/>
      <c r="CF25" s="314"/>
      <c r="CG25" s="315"/>
      <c r="CH25" s="315"/>
      <c r="CI25" s="317"/>
      <c r="CK25" s="236" t="str">
        <f t="shared" si="5"/>
        <v/>
      </c>
      <c r="CL25" s="237">
        <f t="shared" si="6"/>
        <v>11</v>
      </c>
      <c r="CM25" s="237">
        <f t="shared" si="7"/>
        <v>5</v>
      </c>
      <c r="CN25" s="237">
        <f t="shared" si="8"/>
        <v>5</v>
      </c>
      <c r="CO25" s="238" t="str">
        <f t="shared" si="9"/>
        <v/>
      </c>
      <c r="CQ25" s="236" t="str">
        <f>desired_skills(C25,"Specifieke Risico / IAM-kennis/Authenthiseren","o")</f>
        <v/>
      </c>
      <c r="CR25" s="237" t="str">
        <f>desired_skills(C25,"Specifieke Risico / IAM-kennis/Authenthiseren","j")</f>
        <v/>
      </c>
      <c r="CS25" s="237" t="str">
        <f>desired_skills(C25,"Specifieke Risico / IAM-kennis/Authenthiseren","m")</f>
        <v/>
      </c>
      <c r="CT25" s="237" t="str">
        <f>desired_skills(C25,"Specifieke Risico / IAM-kennis/Authenthiseren","s")</f>
        <v/>
      </c>
      <c r="CU25" s="238" t="str">
        <f>desired_skills(C25,"Specifieke Risico / IAM-kennis/Authenthiseren","e")</f>
        <v/>
      </c>
      <c r="CW25" s="236" t="str">
        <f>calc_gap('Matrix 171007_1815'!$CK$25,'Matrix 171007_1815'!$CQ$25)</f>
        <v/>
      </c>
      <c r="CX25" s="237" t="str">
        <f>calc_gap('Matrix 171007_1815'!$CL$25,'Matrix 171007_1815'!$CR$25)</f>
        <v/>
      </c>
      <c r="CY25" s="237" t="str">
        <f>calc_gap('Matrix 171007_1815'!$CM$25,'Matrix 171007_1815'!$CS$25)</f>
        <v/>
      </c>
      <c r="CZ25" s="237" t="str">
        <f>calc_gap('Matrix 171007_1815'!$CN$25,'Matrix 171007_1815'!$CT$25)</f>
        <v/>
      </c>
      <c r="DA25" s="238" t="str">
        <f>calc_gap('Matrix 171007_1815'!$CO$25,'Matrix 171007_1815'!$CU$25)</f>
        <v/>
      </c>
    </row>
    <row r="26" spans="2:105" ht="15.75" thickBot="1" x14ac:dyDescent="0.3">
      <c r="B26" s="435"/>
      <c r="C26" s="292" t="s">
        <v>75</v>
      </c>
      <c r="D26" s="318"/>
      <c r="E26" s="319"/>
      <c r="F26" s="319"/>
      <c r="G26" s="319"/>
      <c r="H26" s="319"/>
      <c r="I26" s="319"/>
      <c r="J26" s="319"/>
      <c r="K26" s="320"/>
      <c r="L26" s="318"/>
      <c r="M26" s="319"/>
      <c r="N26" s="319"/>
      <c r="O26" s="320"/>
      <c r="P26" s="318"/>
      <c r="Q26" s="319"/>
      <c r="R26" s="319"/>
      <c r="S26" s="319"/>
      <c r="T26" s="319"/>
      <c r="U26" s="319"/>
      <c r="V26" s="319"/>
      <c r="W26" s="319"/>
      <c r="X26" s="319"/>
      <c r="Y26" s="319"/>
      <c r="Z26" s="319"/>
      <c r="AA26" s="319"/>
      <c r="AB26" s="319"/>
      <c r="AC26" s="319"/>
      <c r="AD26" s="319"/>
      <c r="AE26" s="319"/>
      <c r="AF26" s="319"/>
      <c r="AG26" s="319"/>
      <c r="AH26" s="319"/>
      <c r="AI26" s="320"/>
      <c r="AJ26" s="318"/>
      <c r="AK26" s="319"/>
      <c r="AL26" s="320"/>
      <c r="AM26" s="318"/>
      <c r="AN26" s="319"/>
      <c r="AO26" s="320"/>
      <c r="AP26" s="318"/>
      <c r="AQ26" s="319"/>
      <c r="AR26" s="319"/>
      <c r="AS26" s="319"/>
      <c r="AT26" s="320"/>
      <c r="AU26" s="318" t="s">
        <v>148</v>
      </c>
      <c r="AV26" s="319" t="s">
        <v>47</v>
      </c>
      <c r="AW26" s="319" t="s">
        <v>150</v>
      </c>
      <c r="AX26" s="319" t="s">
        <v>150</v>
      </c>
      <c r="AY26" s="319" t="s">
        <v>150</v>
      </c>
      <c r="AZ26" s="319"/>
      <c r="BA26" s="319" t="s">
        <v>150</v>
      </c>
      <c r="BB26" s="320" t="s">
        <v>150</v>
      </c>
      <c r="BC26" s="318" t="s">
        <v>147</v>
      </c>
      <c r="BD26" s="319"/>
      <c r="BE26" s="319"/>
      <c r="BF26" s="319" t="s">
        <v>147</v>
      </c>
      <c r="BG26" s="320"/>
      <c r="BH26" s="318"/>
      <c r="BI26" s="319" t="s">
        <v>147</v>
      </c>
      <c r="BJ26" s="320"/>
      <c r="BK26" s="318" t="s">
        <v>148</v>
      </c>
      <c r="BL26" s="319" t="s">
        <v>148</v>
      </c>
      <c r="BM26" s="319"/>
      <c r="BN26" s="320" t="s">
        <v>147</v>
      </c>
      <c r="BO26" s="318" t="s">
        <v>150</v>
      </c>
      <c r="BP26" s="319"/>
      <c r="BQ26" s="319" t="s">
        <v>150</v>
      </c>
      <c r="BR26" s="319"/>
      <c r="BS26" s="319" t="s">
        <v>147</v>
      </c>
      <c r="BT26" s="319" t="s">
        <v>47</v>
      </c>
      <c r="BU26" s="319" t="s">
        <v>47</v>
      </c>
      <c r="BV26" s="320"/>
      <c r="BW26" s="318" t="s">
        <v>47</v>
      </c>
      <c r="BX26" s="319" t="s">
        <v>148</v>
      </c>
      <c r="BY26" s="319" t="s">
        <v>47</v>
      </c>
      <c r="BZ26" s="319" t="s">
        <v>150</v>
      </c>
      <c r="CA26" s="319" t="s">
        <v>47</v>
      </c>
      <c r="CB26" s="320" t="s">
        <v>47</v>
      </c>
      <c r="CC26" s="318"/>
      <c r="CD26" s="319" t="s">
        <v>148</v>
      </c>
      <c r="CE26" s="320"/>
      <c r="CF26" s="318"/>
      <c r="CG26" s="319"/>
      <c r="CH26" s="319"/>
      <c r="CI26" s="321"/>
      <c r="CK26" s="239" t="str">
        <f t="shared" si="5"/>
        <v/>
      </c>
      <c r="CL26" s="240">
        <f t="shared" si="6"/>
        <v>5</v>
      </c>
      <c r="CM26" s="240">
        <f t="shared" si="7"/>
        <v>5</v>
      </c>
      <c r="CN26" s="240">
        <f t="shared" si="8"/>
        <v>8</v>
      </c>
      <c r="CO26" s="241">
        <f t="shared" si="9"/>
        <v>7</v>
      </c>
      <c r="CQ26" s="239" t="str">
        <f>desired_skills(C26,"Specifieke Risico / IAM-kennis/Rolmodellen (RBAC)","o")</f>
        <v/>
      </c>
      <c r="CR26" s="240" t="str">
        <f>desired_skills(C26,"Specifieke Risico / IAM-kennis/Rolmodellen (RBAC)","j")</f>
        <v/>
      </c>
      <c r="CS26" s="240" t="str">
        <f>desired_skills(C26,"Specifieke Risico / IAM-kennis/Rolmodellen (RBAC)","m")</f>
        <v/>
      </c>
      <c r="CT26" s="240" t="str">
        <f>desired_skills(C26,"Specifieke Risico / IAM-kennis/Rolmodellen (RBAC)","s")</f>
        <v/>
      </c>
      <c r="CU26" s="241" t="str">
        <f>desired_skills(C26,"Specifieke Risico / IAM-kennis/Rolmodellen (RBAC)","e")</f>
        <v/>
      </c>
      <c r="CW26" s="239" t="str">
        <f>calc_gap('Matrix 171007_1815'!$CK$26,'Matrix 171007_1815'!$CQ$26)</f>
        <v/>
      </c>
      <c r="CX26" s="240" t="str">
        <f>calc_gap('Matrix 171007_1815'!$CL$26,'Matrix 171007_1815'!$CR$26)</f>
        <v/>
      </c>
      <c r="CY26" s="240" t="str">
        <f>calc_gap('Matrix 171007_1815'!$CM$26,'Matrix 171007_1815'!$CS$26)</f>
        <v/>
      </c>
      <c r="CZ26" s="240" t="str">
        <f>calc_gap('Matrix 171007_1815'!$CN$26,'Matrix 171007_1815'!$CT$26)</f>
        <v/>
      </c>
      <c r="DA26" s="241" t="str">
        <f>calc_gap('Matrix 171007_1815'!$CO$26,'Matrix 171007_1815'!$CU$26)</f>
        <v/>
      </c>
    </row>
    <row r="27" spans="2:105" ht="12.75" customHeight="1" thickTop="1" thickBot="1" x14ac:dyDescent="0.3">
      <c r="B27" s="436"/>
      <c r="C27" s="248"/>
      <c r="D27" s="322"/>
      <c r="E27" s="322"/>
      <c r="F27" s="322"/>
      <c r="G27" s="322"/>
      <c r="H27" s="322"/>
      <c r="I27" s="322"/>
      <c r="J27" s="322"/>
      <c r="K27" s="322"/>
      <c r="L27" s="322"/>
      <c r="M27" s="322"/>
      <c r="N27" s="322"/>
      <c r="O27" s="322"/>
      <c r="P27" s="322"/>
      <c r="Q27" s="322"/>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K27" s="249"/>
      <c r="CL27" s="249"/>
      <c r="CM27" s="249"/>
      <c r="CN27" s="249"/>
      <c r="CO27" s="249"/>
      <c r="CQ27" s="249"/>
      <c r="CR27" s="249"/>
      <c r="CS27" s="249"/>
      <c r="CT27" s="249"/>
      <c r="CU27" s="249"/>
      <c r="CW27" s="249"/>
      <c r="CX27" s="249"/>
      <c r="CY27" s="249"/>
      <c r="CZ27" s="249"/>
      <c r="DA27" s="249"/>
    </row>
    <row r="28" spans="2:105" ht="15.75" thickTop="1" x14ac:dyDescent="0.25">
      <c r="B28" s="434" t="s">
        <v>70</v>
      </c>
      <c r="C28" s="290" t="s">
        <v>71</v>
      </c>
      <c r="D28" s="310"/>
      <c r="E28" s="311"/>
      <c r="F28" s="311"/>
      <c r="G28" s="311"/>
      <c r="H28" s="311"/>
      <c r="I28" s="311"/>
      <c r="J28" s="311"/>
      <c r="K28" s="312"/>
      <c r="L28" s="310"/>
      <c r="M28" s="311"/>
      <c r="N28" s="311"/>
      <c r="O28" s="312"/>
      <c r="P28" s="310"/>
      <c r="Q28" s="311"/>
      <c r="R28" s="311"/>
      <c r="S28" s="311"/>
      <c r="T28" s="311"/>
      <c r="U28" s="311"/>
      <c r="V28" s="311"/>
      <c r="W28" s="311"/>
      <c r="X28" s="311"/>
      <c r="Y28" s="311"/>
      <c r="Z28" s="311"/>
      <c r="AA28" s="311"/>
      <c r="AB28" s="311"/>
      <c r="AC28" s="311"/>
      <c r="AD28" s="311"/>
      <c r="AE28" s="311"/>
      <c r="AF28" s="311"/>
      <c r="AG28" s="311"/>
      <c r="AH28" s="311"/>
      <c r="AI28" s="312"/>
      <c r="AJ28" s="310"/>
      <c r="AK28" s="311"/>
      <c r="AL28" s="312"/>
      <c r="AM28" s="310"/>
      <c r="AN28" s="311"/>
      <c r="AO28" s="312"/>
      <c r="AP28" s="310"/>
      <c r="AQ28" s="311"/>
      <c r="AR28" s="311"/>
      <c r="AS28" s="311"/>
      <c r="AT28" s="312"/>
      <c r="AU28" s="310" t="s">
        <v>148</v>
      </c>
      <c r="AV28" s="311" t="s">
        <v>150</v>
      </c>
      <c r="AW28" s="311" t="s">
        <v>150</v>
      </c>
      <c r="AX28" s="311" t="s">
        <v>150</v>
      </c>
      <c r="AY28" s="311" t="s">
        <v>150</v>
      </c>
      <c r="AZ28" s="311" t="s">
        <v>148</v>
      </c>
      <c r="BA28" s="311" t="s">
        <v>148</v>
      </c>
      <c r="BB28" s="312" t="s">
        <v>47</v>
      </c>
      <c r="BC28" s="310" t="s">
        <v>148</v>
      </c>
      <c r="BD28" s="311" t="s">
        <v>148</v>
      </c>
      <c r="BE28" s="311"/>
      <c r="BF28" s="311" t="s">
        <v>150</v>
      </c>
      <c r="BG28" s="312"/>
      <c r="BH28" s="310"/>
      <c r="BI28" s="311" t="s">
        <v>148</v>
      </c>
      <c r="BJ28" s="312"/>
      <c r="BK28" s="310" t="s">
        <v>147</v>
      </c>
      <c r="BL28" s="311" t="s">
        <v>150</v>
      </c>
      <c r="BM28" s="311"/>
      <c r="BN28" s="312" t="s">
        <v>149</v>
      </c>
      <c r="BO28" s="310" t="s">
        <v>147</v>
      </c>
      <c r="BP28" s="311" t="s">
        <v>150</v>
      </c>
      <c r="BQ28" s="311" t="s">
        <v>147</v>
      </c>
      <c r="BR28" s="311"/>
      <c r="BS28" s="311"/>
      <c r="BT28" s="311" t="s">
        <v>150</v>
      </c>
      <c r="BU28" s="311" t="s">
        <v>148</v>
      </c>
      <c r="BV28" s="312"/>
      <c r="BW28" s="310" t="s">
        <v>148</v>
      </c>
      <c r="BX28" s="311" t="s">
        <v>148</v>
      </c>
      <c r="BY28" s="311" t="s">
        <v>150</v>
      </c>
      <c r="BZ28" s="311" t="s">
        <v>150</v>
      </c>
      <c r="CA28" s="311" t="s">
        <v>150</v>
      </c>
      <c r="CB28" s="312" t="s">
        <v>150</v>
      </c>
      <c r="CC28" s="310" t="s">
        <v>147</v>
      </c>
      <c r="CD28" s="311" t="s">
        <v>148</v>
      </c>
      <c r="CE28" s="312"/>
      <c r="CF28" s="310"/>
      <c r="CG28" s="311"/>
      <c r="CH28" s="311"/>
      <c r="CI28" s="313"/>
      <c r="CK28" s="233">
        <f t="shared" ref="CK28:CK37" si="10">IF(COUNTIF(D28:CI28,"o")&gt;0,COUNTIF(D28:CI28,"o"),"")</f>
        <v>1</v>
      </c>
      <c r="CL28" s="234">
        <f t="shared" ref="CL28:CL37" si="11">IF(COUNTIF(D28:CI28,"j")&gt;0,COUNTIF(D28:CI28,"j"),"")</f>
        <v>4</v>
      </c>
      <c r="CM28" s="234">
        <f t="shared" ref="CM28:CM37" si="12">IF(COUNTIF(D28:CI28,"m")&gt;0,COUNTIF(D28:CI28,"m"),"")</f>
        <v>10</v>
      </c>
      <c r="CN28" s="234">
        <f t="shared" ref="CN28:CN37" si="13">IF(COUNTIF(D28:CI28,"s")&gt;0,COUNTIF(D28:CI28,"s"),"")</f>
        <v>12</v>
      </c>
      <c r="CO28" s="235">
        <f t="shared" ref="CO28:CO37" si="14">IF(COUNTIF(D28:CI28,"e")&gt;0,COUNTIF(D28:CI28,"e"),"")</f>
        <v>1</v>
      </c>
      <c r="CQ28" s="233" t="str">
        <f>desired_skills(C28,"Methodieken/Lean","o")</f>
        <v>16</v>
      </c>
      <c r="CR28" s="234" t="str">
        <f>desired_skills(C28,"Methodieken/Lean","j")</f>
        <v/>
      </c>
      <c r="CS28" s="234" t="str">
        <f>desired_skills(C28,"Methodieken/Lean","m")</f>
        <v/>
      </c>
      <c r="CT28" s="234" t="str">
        <f>desired_skills(C28,"Methodieken/Lean","s")</f>
        <v/>
      </c>
      <c r="CU28" s="235" t="str">
        <f>desired_skills(C28,"Methodieken/Lean","e")</f>
        <v/>
      </c>
      <c r="CW28" s="233" t="str">
        <f>calc_gap('Matrix 171007_1815'!$CK$28,'Matrix 171007_1815'!$CQ$28)</f>
        <v>15</v>
      </c>
      <c r="CX28" s="234" t="str">
        <f>calc_gap('Matrix 171007_1815'!$CL$28,'Matrix 171007_1815'!$CR$28)</f>
        <v/>
      </c>
      <c r="CY28" s="234" t="str">
        <f>calc_gap('Matrix 171007_1815'!$CM$28,'Matrix 171007_1815'!$CS$28)</f>
        <v/>
      </c>
      <c r="CZ28" s="234" t="str">
        <f>calc_gap('Matrix 171007_1815'!$CN$28,'Matrix 171007_1815'!$CT$28)</f>
        <v/>
      </c>
      <c r="DA28" s="235" t="str">
        <f>calc_gap('Matrix 171007_1815'!$CO$28,'Matrix 171007_1815'!$CU$28)</f>
        <v/>
      </c>
    </row>
    <row r="29" spans="2:105" x14ac:dyDescent="0.25">
      <c r="B29" s="435"/>
      <c r="C29" s="291" t="s">
        <v>72</v>
      </c>
      <c r="D29" s="314"/>
      <c r="E29" s="315"/>
      <c r="F29" s="315"/>
      <c r="G29" s="315"/>
      <c r="H29" s="315"/>
      <c r="I29" s="315"/>
      <c r="J29" s="315"/>
      <c r="K29" s="316"/>
      <c r="L29" s="314"/>
      <c r="M29" s="315"/>
      <c r="N29" s="315"/>
      <c r="O29" s="316"/>
      <c r="P29" s="314"/>
      <c r="Q29" s="315"/>
      <c r="R29" s="315"/>
      <c r="S29" s="315"/>
      <c r="T29" s="315"/>
      <c r="U29" s="315"/>
      <c r="V29" s="315"/>
      <c r="W29" s="315"/>
      <c r="X29" s="315"/>
      <c r="Y29" s="315"/>
      <c r="Z29" s="315"/>
      <c r="AA29" s="315"/>
      <c r="AB29" s="315"/>
      <c r="AC29" s="315"/>
      <c r="AD29" s="315"/>
      <c r="AE29" s="315"/>
      <c r="AF29" s="315"/>
      <c r="AG29" s="315"/>
      <c r="AH29" s="315"/>
      <c r="AI29" s="316"/>
      <c r="AJ29" s="314"/>
      <c r="AK29" s="315"/>
      <c r="AL29" s="316"/>
      <c r="AM29" s="314"/>
      <c r="AN29" s="315"/>
      <c r="AO29" s="316"/>
      <c r="AP29" s="314"/>
      <c r="AQ29" s="315"/>
      <c r="AR29" s="315"/>
      <c r="AS29" s="315"/>
      <c r="AT29" s="316"/>
      <c r="AU29" s="314" t="s">
        <v>147</v>
      </c>
      <c r="AV29" s="315" t="s">
        <v>147</v>
      </c>
      <c r="AW29" s="315" t="s">
        <v>149</v>
      </c>
      <c r="AX29" s="315" t="s">
        <v>148</v>
      </c>
      <c r="AY29" s="315" t="s">
        <v>148</v>
      </c>
      <c r="AZ29" s="315"/>
      <c r="BA29" s="315" t="s">
        <v>147</v>
      </c>
      <c r="BB29" s="316" t="s">
        <v>148</v>
      </c>
      <c r="BC29" s="314" t="s">
        <v>150</v>
      </c>
      <c r="BD29" s="315" t="s">
        <v>147</v>
      </c>
      <c r="BE29" s="315"/>
      <c r="BF29" s="315" t="s">
        <v>147</v>
      </c>
      <c r="BG29" s="316"/>
      <c r="BH29" s="314"/>
      <c r="BI29" s="315"/>
      <c r="BJ29" s="316"/>
      <c r="BK29" s="314"/>
      <c r="BL29" s="315" t="s">
        <v>150</v>
      </c>
      <c r="BM29" s="315"/>
      <c r="BN29" s="316"/>
      <c r="BO29" s="314" t="s">
        <v>147</v>
      </c>
      <c r="BP29" s="315" t="s">
        <v>148</v>
      </c>
      <c r="BQ29" s="315"/>
      <c r="BR29" s="315"/>
      <c r="BS29" s="315"/>
      <c r="BT29" s="315"/>
      <c r="BU29" s="315" t="s">
        <v>148</v>
      </c>
      <c r="BV29" s="316"/>
      <c r="BW29" s="314" t="s">
        <v>147</v>
      </c>
      <c r="BX29" s="315"/>
      <c r="BY29" s="315"/>
      <c r="BZ29" s="315" t="s">
        <v>148</v>
      </c>
      <c r="CA29" s="315"/>
      <c r="CB29" s="316"/>
      <c r="CC29" s="314"/>
      <c r="CD29" s="315" t="s">
        <v>147</v>
      </c>
      <c r="CE29" s="316"/>
      <c r="CF29" s="314"/>
      <c r="CG29" s="315"/>
      <c r="CH29" s="315"/>
      <c r="CI29" s="317"/>
      <c r="CK29" s="236">
        <f t="shared" si="10"/>
        <v>1</v>
      </c>
      <c r="CL29" s="237">
        <f t="shared" si="11"/>
        <v>8</v>
      </c>
      <c r="CM29" s="237">
        <f t="shared" si="12"/>
        <v>6</v>
      </c>
      <c r="CN29" s="237">
        <f t="shared" si="13"/>
        <v>2</v>
      </c>
      <c r="CO29" s="238" t="str">
        <f t="shared" si="14"/>
        <v/>
      </c>
      <c r="CQ29" s="236" t="str">
        <f>desired_skills(C29,"Methodieken/DevOps","o")</f>
        <v/>
      </c>
      <c r="CR29" s="237" t="str">
        <f>desired_skills(C29,"Methodieken/DevOps","j")</f>
        <v>17</v>
      </c>
      <c r="CS29" s="237" t="str">
        <f>desired_skills(C29,"Methodieken/DevOps","m")</f>
        <v/>
      </c>
      <c r="CT29" s="237" t="str">
        <f>desired_skills(C29,"Methodieken/DevOps","s")</f>
        <v/>
      </c>
      <c r="CU29" s="238" t="str">
        <f>desired_skills(C29,"Methodieken/DevOps","e")</f>
        <v/>
      </c>
      <c r="CW29" s="236" t="str">
        <f>calc_gap('Matrix 171007_1815'!$CK$29,'Matrix 171007_1815'!$CQ$29)</f>
        <v/>
      </c>
      <c r="CX29" s="237" t="str">
        <f>calc_gap('Matrix 171007_1815'!$CL$29,'Matrix 171007_1815'!$CR$29)</f>
        <v>9</v>
      </c>
      <c r="CY29" s="237" t="str">
        <f>calc_gap('Matrix 171007_1815'!$CM$29,'Matrix 171007_1815'!$CS$29)</f>
        <v/>
      </c>
      <c r="CZ29" s="237" t="str">
        <f>calc_gap('Matrix 171007_1815'!$CN$29,'Matrix 171007_1815'!$CT$29)</f>
        <v/>
      </c>
      <c r="DA29" s="238" t="str">
        <f>calc_gap('Matrix 171007_1815'!$CO$29,'Matrix 171007_1815'!$CU$29)</f>
        <v/>
      </c>
    </row>
    <row r="30" spans="2:105" x14ac:dyDescent="0.25">
      <c r="B30" s="435"/>
      <c r="C30" s="291" t="s">
        <v>73</v>
      </c>
      <c r="D30" s="314"/>
      <c r="E30" s="315"/>
      <c r="F30" s="315"/>
      <c r="G30" s="315"/>
      <c r="H30" s="315"/>
      <c r="I30" s="315"/>
      <c r="J30" s="315"/>
      <c r="K30" s="316"/>
      <c r="L30" s="314"/>
      <c r="M30" s="315"/>
      <c r="N30" s="315"/>
      <c r="O30" s="316"/>
      <c r="P30" s="314"/>
      <c r="Q30" s="315"/>
      <c r="R30" s="315"/>
      <c r="S30" s="315"/>
      <c r="T30" s="315"/>
      <c r="U30" s="315"/>
      <c r="V30" s="315"/>
      <c r="W30" s="315"/>
      <c r="X30" s="315"/>
      <c r="Y30" s="315"/>
      <c r="Z30" s="315"/>
      <c r="AA30" s="315"/>
      <c r="AB30" s="315"/>
      <c r="AC30" s="315"/>
      <c r="AD30" s="315"/>
      <c r="AE30" s="315"/>
      <c r="AF30" s="315"/>
      <c r="AG30" s="315"/>
      <c r="AH30" s="315"/>
      <c r="AI30" s="316"/>
      <c r="AJ30" s="314"/>
      <c r="AK30" s="315"/>
      <c r="AL30" s="316"/>
      <c r="AM30" s="314"/>
      <c r="AN30" s="315"/>
      <c r="AO30" s="316"/>
      <c r="AP30" s="314"/>
      <c r="AQ30" s="315"/>
      <c r="AR30" s="315"/>
      <c r="AS30" s="315"/>
      <c r="AT30" s="316"/>
      <c r="AU30" s="314" t="s">
        <v>148</v>
      </c>
      <c r="AV30" s="315" t="s">
        <v>148</v>
      </c>
      <c r="AW30" s="315" t="s">
        <v>150</v>
      </c>
      <c r="AX30" s="315" t="s">
        <v>150</v>
      </c>
      <c r="AY30" s="315" t="s">
        <v>150</v>
      </c>
      <c r="AZ30" s="315" t="s">
        <v>147</v>
      </c>
      <c r="BA30" s="315" t="s">
        <v>150</v>
      </c>
      <c r="BB30" s="316" t="s">
        <v>148</v>
      </c>
      <c r="BC30" s="314" t="s">
        <v>47</v>
      </c>
      <c r="BD30" s="315" t="s">
        <v>147</v>
      </c>
      <c r="BE30" s="315"/>
      <c r="BF30" s="315" t="s">
        <v>148</v>
      </c>
      <c r="BG30" s="316"/>
      <c r="BH30" s="314"/>
      <c r="BI30" s="315" t="s">
        <v>148</v>
      </c>
      <c r="BJ30" s="316"/>
      <c r="BK30" s="314"/>
      <c r="BL30" s="315" t="s">
        <v>150</v>
      </c>
      <c r="BM30" s="315"/>
      <c r="BN30" s="316" t="s">
        <v>149</v>
      </c>
      <c r="BO30" s="314"/>
      <c r="BP30" s="315"/>
      <c r="BQ30" s="315"/>
      <c r="BR30" s="315"/>
      <c r="BS30" s="315"/>
      <c r="BT30" s="315" t="s">
        <v>147</v>
      </c>
      <c r="BU30" s="315" t="s">
        <v>148</v>
      </c>
      <c r="BV30" s="316"/>
      <c r="BW30" s="314" t="s">
        <v>147</v>
      </c>
      <c r="BX30" s="315"/>
      <c r="BY30" s="315" t="s">
        <v>147</v>
      </c>
      <c r="BZ30" s="315" t="s">
        <v>147</v>
      </c>
      <c r="CA30" s="315" t="s">
        <v>147</v>
      </c>
      <c r="CB30" s="316" t="s">
        <v>147</v>
      </c>
      <c r="CC30" s="314"/>
      <c r="CD30" s="315" t="s">
        <v>147</v>
      </c>
      <c r="CE30" s="316"/>
      <c r="CF30" s="314"/>
      <c r="CG30" s="315"/>
      <c r="CH30" s="315"/>
      <c r="CI30" s="317"/>
      <c r="CK30" s="236">
        <f t="shared" si="10"/>
        <v>1</v>
      </c>
      <c r="CL30" s="237">
        <f t="shared" si="11"/>
        <v>9</v>
      </c>
      <c r="CM30" s="237">
        <f t="shared" si="12"/>
        <v>6</v>
      </c>
      <c r="CN30" s="237">
        <f t="shared" si="13"/>
        <v>5</v>
      </c>
      <c r="CO30" s="238">
        <f t="shared" si="14"/>
        <v>1</v>
      </c>
      <c r="CQ30" s="236" t="str">
        <f>desired_skills(C30,"Methodieken/Agile/scrum","o")</f>
        <v/>
      </c>
      <c r="CR30" s="237" t="str">
        <f>desired_skills(C30,"Methodieken/Agile/scrum","j")</f>
        <v/>
      </c>
      <c r="CS30" s="237" t="str">
        <f>desired_skills(C30,"Methodieken/Agile/scrum","m")</f>
        <v>18</v>
      </c>
      <c r="CT30" s="237" t="str">
        <f>desired_skills(C30,"Methodieken/Agile/scrum","s")</f>
        <v/>
      </c>
      <c r="CU30" s="238" t="str">
        <f>desired_skills(C30,"Methodieken/Agile/scrum","e")</f>
        <v/>
      </c>
      <c r="CW30" s="236" t="str">
        <f>calc_gap('Matrix 171007_1815'!$CK$30,'Matrix 171007_1815'!$CQ$30)</f>
        <v/>
      </c>
      <c r="CX30" s="237" t="str">
        <f>calc_gap('Matrix 171007_1815'!$CL$30,'Matrix 171007_1815'!$CR$30)</f>
        <v/>
      </c>
      <c r="CY30" s="237" t="str">
        <f>calc_gap('Matrix 171007_1815'!$CM$30,'Matrix 171007_1815'!$CS$30)</f>
        <v>12</v>
      </c>
      <c r="CZ30" s="237" t="str">
        <f>calc_gap('Matrix 171007_1815'!$CN$30,'Matrix 171007_1815'!$CT$30)</f>
        <v/>
      </c>
      <c r="DA30" s="238" t="str">
        <f>calc_gap('Matrix 171007_1815'!$CO$30,'Matrix 171007_1815'!$CU$30)</f>
        <v/>
      </c>
    </row>
    <row r="31" spans="2:105" x14ac:dyDescent="0.25">
      <c r="B31" s="435"/>
      <c r="C31" s="291" t="s">
        <v>74</v>
      </c>
      <c r="D31" s="314"/>
      <c r="E31" s="315"/>
      <c r="F31" s="315"/>
      <c r="G31" s="315"/>
      <c r="H31" s="315"/>
      <c r="I31" s="315"/>
      <c r="J31" s="315"/>
      <c r="K31" s="316"/>
      <c r="L31" s="314"/>
      <c r="M31" s="315"/>
      <c r="N31" s="315"/>
      <c r="O31" s="316"/>
      <c r="P31" s="314"/>
      <c r="Q31" s="315"/>
      <c r="R31" s="315"/>
      <c r="S31" s="315"/>
      <c r="T31" s="315"/>
      <c r="U31" s="315"/>
      <c r="V31" s="315"/>
      <c r="W31" s="315"/>
      <c r="X31" s="315"/>
      <c r="Y31" s="315"/>
      <c r="Z31" s="315"/>
      <c r="AA31" s="315"/>
      <c r="AB31" s="315"/>
      <c r="AC31" s="315"/>
      <c r="AD31" s="315"/>
      <c r="AE31" s="315"/>
      <c r="AF31" s="315"/>
      <c r="AG31" s="315"/>
      <c r="AH31" s="315"/>
      <c r="AI31" s="316"/>
      <c r="AJ31" s="314"/>
      <c r="AK31" s="315"/>
      <c r="AL31" s="316"/>
      <c r="AM31" s="314"/>
      <c r="AN31" s="315"/>
      <c r="AO31" s="316"/>
      <c r="AP31" s="314"/>
      <c r="AQ31" s="315"/>
      <c r="AR31" s="315"/>
      <c r="AS31" s="315"/>
      <c r="AT31" s="316"/>
      <c r="AU31" s="314" t="s">
        <v>147</v>
      </c>
      <c r="AV31" s="315" t="s">
        <v>147</v>
      </c>
      <c r="AW31" s="315" t="s">
        <v>147</v>
      </c>
      <c r="AX31" s="315" t="s">
        <v>148</v>
      </c>
      <c r="AY31" s="315" t="s">
        <v>147</v>
      </c>
      <c r="AZ31" s="315"/>
      <c r="BA31" s="315" t="s">
        <v>149</v>
      </c>
      <c r="BB31" s="316" t="s">
        <v>148</v>
      </c>
      <c r="BC31" s="314" t="s">
        <v>147</v>
      </c>
      <c r="BD31" s="315" t="s">
        <v>147</v>
      </c>
      <c r="BE31" s="315"/>
      <c r="BF31" s="315" t="s">
        <v>150</v>
      </c>
      <c r="BG31" s="316"/>
      <c r="BH31" s="314"/>
      <c r="BI31" s="315" t="s">
        <v>148</v>
      </c>
      <c r="BJ31" s="316"/>
      <c r="BK31" s="314"/>
      <c r="BL31" s="315" t="s">
        <v>147</v>
      </c>
      <c r="BM31" s="315"/>
      <c r="BN31" s="316" t="s">
        <v>148</v>
      </c>
      <c r="BO31" s="314"/>
      <c r="BP31" s="315"/>
      <c r="BQ31" s="315"/>
      <c r="BR31" s="315"/>
      <c r="BS31" s="315" t="s">
        <v>147</v>
      </c>
      <c r="BT31" s="315" t="s">
        <v>148</v>
      </c>
      <c r="BU31" s="315" t="s">
        <v>150</v>
      </c>
      <c r="BV31" s="316"/>
      <c r="BW31" s="314"/>
      <c r="BX31" s="315"/>
      <c r="BY31" s="315" t="s">
        <v>148</v>
      </c>
      <c r="BZ31" s="315"/>
      <c r="CA31" s="315" t="s">
        <v>147</v>
      </c>
      <c r="CB31" s="316" t="s">
        <v>147</v>
      </c>
      <c r="CC31" s="314"/>
      <c r="CD31" s="315" t="s">
        <v>147</v>
      </c>
      <c r="CE31" s="316"/>
      <c r="CF31" s="314"/>
      <c r="CG31" s="315"/>
      <c r="CH31" s="315"/>
      <c r="CI31" s="317"/>
      <c r="CK31" s="236">
        <f t="shared" si="10"/>
        <v>1</v>
      </c>
      <c r="CL31" s="237">
        <f t="shared" si="11"/>
        <v>11</v>
      </c>
      <c r="CM31" s="237">
        <f t="shared" si="12"/>
        <v>6</v>
      </c>
      <c r="CN31" s="237">
        <f t="shared" si="13"/>
        <v>2</v>
      </c>
      <c r="CO31" s="238" t="str">
        <f t="shared" si="14"/>
        <v/>
      </c>
      <c r="CQ31" s="236" t="str">
        <f>desired_skills(C31,"Methodieken/BiSL","o")</f>
        <v/>
      </c>
      <c r="CR31" s="237" t="str">
        <f>desired_skills(C31,"Methodieken/BiSL","j")</f>
        <v/>
      </c>
      <c r="CS31" s="237" t="str">
        <f>desired_skills(C31,"Methodieken/BiSL","m")</f>
        <v/>
      </c>
      <c r="CT31" s="237" t="str">
        <f>desired_skills(C31,"Methodieken/BiSL","s")</f>
        <v>19</v>
      </c>
      <c r="CU31" s="238" t="str">
        <f>desired_skills(C31,"Methodieken/BiSL","e")</f>
        <v/>
      </c>
      <c r="CW31" s="236" t="str">
        <f>calc_gap('Matrix 171007_1815'!$CK$31,'Matrix 171007_1815'!$CQ$31)</f>
        <v/>
      </c>
      <c r="CX31" s="237" t="str">
        <f>calc_gap('Matrix 171007_1815'!$CL$31,'Matrix 171007_1815'!$CR$31)</f>
        <v/>
      </c>
      <c r="CY31" s="237" t="str">
        <f>calc_gap('Matrix 171007_1815'!$CM$31,'Matrix 171007_1815'!$CS$31)</f>
        <v/>
      </c>
      <c r="CZ31" s="237" t="str">
        <f>calc_gap('Matrix 171007_1815'!$CN$31,'Matrix 171007_1815'!$CT$31)</f>
        <v>17</v>
      </c>
      <c r="DA31" s="238" t="str">
        <f>calc_gap('Matrix 171007_1815'!$CO$31,'Matrix 171007_1815'!$CU$31)</f>
        <v/>
      </c>
    </row>
    <row r="32" spans="2:105" x14ac:dyDescent="0.25">
      <c r="B32" s="435"/>
      <c r="C32" s="291" t="s">
        <v>76</v>
      </c>
      <c r="D32" s="314"/>
      <c r="E32" s="315"/>
      <c r="F32" s="315"/>
      <c r="G32" s="315"/>
      <c r="H32" s="315"/>
      <c r="I32" s="315"/>
      <c r="J32" s="315"/>
      <c r="K32" s="316"/>
      <c r="L32" s="314"/>
      <c r="M32" s="315"/>
      <c r="N32" s="315"/>
      <c r="O32" s="316"/>
      <c r="P32" s="314"/>
      <c r="Q32" s="315"/>
      <c r="R32" s="315"/>
      <c r="S32" s="315"/>
      <c r="T32" s="315"/>
      <c r="U32" s="315"/>
      <c r="V32" s="315"/>
      <c r="W32" s="315"/>
      <c r="X32" s="315"/>
      <c r="Y32" s="315"/>
      <c r="Z32" s="315"/>
      <c r="AA32" s="315"/>
      <c r="AB32" s="315"/>
      <c r="AC32" s="315"/>
      <c r="AD32" s="315"/>
      <c r="AE32" s="315"/>
      <c r="AF32" s="315"/>
      <c r="AG32" s="315"/>
      <c r="AH32" s="315"/>
      <c r="AI32" s="316"/>
      <c r="AJ32" s="314"/>
      <c r="AK32" s="315"/>
      <c r="AL32" s="316"/>
      <c r="AM32" s="314"/>
      <c r="AN32" s="315"/>
      <c r="AO32" s="316"/>
      <c r="AP32" s="314"/>
      <c r="AQ32" s="315"/>
      <c r="AR32" s="315"/>
      <c r="AS32" s="315"/>
      <c r="AT32" s="316"/>
      <c r="AU32" s="314" t="s">
        <v>150</v>
      </c>
      <c r="AV32" s="315" t="s">
        <v>148</v>
      </c>
      <c r="AW32" s="315" t="s">
        <v>148</v>
      </c>
      <c r="AX32" s="315" t="s">
        <v>150</v>
      </c>
      <c r="AY32" s="315" t="s">
        <v>150</v>
      </c>
      <c r="AZ32" s="315"/>
      <c r="BA32" s="315" t="s">
        <v>150</v>
      </c>
      <c r="BB32" s="316" t="s">
        <v>150</v>
      </c>
      <c r="BC32" s="314" t="s">
        <v>147</v>
      </c>
      <c r="BD32" s="315" t="s">
        <v>149</v>
      </c>
      <c r="BE32" s="315"/>
      <c r="BF32" s="315" t="s">
        <v>147</v>
      </c>
      <c r="BG32" s="316"/>
      <c r="BH32" s="314"/>
      <c r="BI32" s="315"/>
      <c r="BJ32" s="316"/>
      <c r="BK32" s="314"/>
      <c r="BL32" s="315" t="s">
        <v>149</v>
      </c>
      <c r="BM32" s="315"/>
      <c r="BN32" s="316" t="s">
        <v>149</v>
      </c>
      <c r="BO32" s="314"/>
      <c r="BP32" s="315"/>
      <c r="BQ32" s="315"/>
      <c r="BR32" s="315"/>
      <c r="BS32" s="315"/>
      <c r="BT32" s="315"/>
      <c r="BU32" s="315" t="s">
        <v>148</v>
      </c>
      <c r="BV32" s="316"/>
      <c r="BW32" s="314" t="s">
        <v>147</v>
      </c>
      <c r="BX32" s="315"/>
      <c r="BY32" s="315" t="s">
        <v>147</v>
      </c>
      <c r="BZ32" s="315"/>
      <c r="CA32" s="315" t="s">
        <v>147</v>
      </c>
      <c r="CB32" s="316" t="s">
        <v>148</v>
      </c>
      <c r="CC32" s="314"/>
      <c r="CD32" s="315"/>
      <c r="CE32" s="316"/>
      <c r="CF32" s="314"/>
      <c r="CG32" s="315"/>
      <c r="CH32" s="315"/>
      <c r="CI32" s="317"/>
      <c r="CK32" s="236">
        <f t="shared" si="10"/>
        <v>3</v>
      </c>
      <c r="CL32" s="237">
        <f t="shared" si="11"/>
        <v>5</v>
      </c>
      <c r="CM32" s="237">
        <f t="shared" si="12"/>
        <v>4</v>
      </c>
      <c r="CN32" s="237">
        <f t="shared" si="13"/>
        <v>5</v>
      </c>
      <c r="CO32" s="238" t="str">
        <f t="shared" si="14"/>
        <v/>
      </c>
      <c r="CQ32" s="236" t="str">
        <f>desired_skills(C32,"Methodieken/Opstellen (KC)Frameworks","o")</f>
        <v/>
      </c>
      <c r="CR32" s="237" t="str">
        <f>desired_skills(C32,"Methodieken/Opstellen (KC)Frameworks","j")</f>
        <v/>
      </c>
      <c r="CS32" s="237" t="str">
        <f>desired_skills(C32,"Methodieken/Opstellen (KC)Frameworks","m")</f>
        <v/>
      </c>
      <c r="CT32" s="237" t="str">
        <f>desired_skills(C32,"Methodieken/Opstellen (KC)Frameworks","s")</f>
        <v/>
      </c>
      <c r="CU32" s="238" t="str">
        <f>desired_skills(C32,"Methodieken/Opstellen (KC)Frameworks","e")</f>
        <v>20</v>
      </c>
      <c r="CW32" s="236" t="str">
        <f>calc_gap('Matrix 171007_1815'!$CK$32,'Matrix 171007_1815'!$CQ$32)</f>
        <v/>
      </c>
      <c r="CX32" s="237" t="str">
        <f>calc_gap('Matrix 171007_1815'!$CL$32,'Matrix 171007_1815'!$CR$32)</f>
        <v/>
      </c>
      <c r="CY32" s="237" t="str">
        <f>calc_gap('Matrix 171007_1815'!$CM$32,'Matrix 171007_1815'!$CS$32)</f>
        <v/>
      </c>
      <c r="CZ32" s="237" t="str">
        <f>calc_gap('Matrix 171007_1815'!$CN$32,'Matrix 171007_1815'!$CT$32)</f>
        <v/>
      </c>
      <c r="DA32" s="238" t="str">
        <f>calc_gap('Matrix 171007_1815'!$CO$32,'Matrix 171007_1815'!$CU$32)</f>
        <v/>
      </c>
    </row>
    <row r="33" spans="2:105" x14ac:dyDescent="0.25">
      <c r="B33" s="435"/>
      <c r="C33" s="291" t="s">
        <v>77</v>
      </c>
      <c r="D33" s="314"/>
      <c r="E33" s="315"/>
      <c r="F33" s="315"/>
      <c r="G33" s="315"/>
      <c r="H33" s="315"/>
      <c r="I33" s="315"/>
      <c r="J33" s="315"/>
      <c r="K33" s="316"/>
      <c r="L33" s="314"/>
      <c r="M33" s="315"/>
      <c r="N33" s="315"/>
      <c r="O33" s="316"/>
      <c r="P33" s="314"/>
      <c r="Q33" s="315"/>
      <c r="R33" s="315"/>
      <c r="S33" s="315"/>
      <c r="T33" s="315"/>
      <c r="U33" s="315"/>
      <c r="V33" s="315"/>
      <c r="W33" s="315"/>
      <c r="X33" s="315"/>
      <c r="Y33" s="315"/>
      <c r="Z33" s="315"/>
      <c r="AA33" s="315"/>
      <c r="AB33" s="315"/>
      <c r="AC33" s="315"/>
      <c r="AD33" s="315"/>
      <c r="AE33" s="315"/>
      <c r="AF33" s="315"/>
      <c r="AG33" s="315"/>
      <c r="AH33" s="315"/>
      <c r="AI33" s="316"/>
      <c r="AJ33" s="314"/>
      <c r="AK33" s="315"/>
      <c r="AL33" s="316"/>
      <c r="AM33" s="314"/>
      <c r="AN33" s="315"/>
      <c r="AO33" s="316"/>
      <c r="AP33" s="314"/>
      <c r="AQ33" s="315"/>
      <c r="AR33" s="315"/>
      <c r="AS33" s="315"/>
      <c r="AT33" s="316"/>
      <c r="AU33" s="314" t="s">
        <v>148</v>
      </c>
      <c r="AV33" s="315" t="s">
        <v>147</v>
      </c>
      <c r="AW33" s="315" t="s">
        <v>149</v>
      </c>
      <c r="AX33" s="315" t="s">
        <v>148</v>
      </c>
      <c r="AY33" s="315" t="s">
        <v>147</v>
      </c>
      <c r="AZ33" s="315"/>
      <c r="BA33" s="315" t="s">
        <v>149</v>
      </c>
      <c r="BB33" s="316" t="s">
        <v>147</v>
      </c>
      <c r="BC33" s="314" t="s">
        <v>147</v>
      </c>
      <c r="BD33" s="315" t="s">
        <v>150</v>
      </c>
      <c r="BE33" s="315"/>
      <c r="BF33" s="315" t="s">
        <v>150</v>
      </c>
      <c r="BG33" s="316"/>
      <c r="BH33" s="314"/>
      <c r="BI33" s="315" t="s">
        <v>148</v>
      </c>
      <c r="BJ33" s="316"/>
      <c r="BK33" s="314" t="s">
        <v>147</v>
      </c>
      <c r="BL33" s="315" t="s">
        <v>150</v>
      </c>
      <c r="BM33" s="315"/>
      <c r="BN33" s="316" t="s">
        <v>47</v>
      </c>
      <c r="BO33" s="314" t="s">
        <v>148</v>
      </c>
      <c r="BP33" s="315" t="s">
        <v>150</v>
      </c>
      <c r="BQ33" s="315" t="s">
        <v>148</v>
      </c>
      <c r="BR33" s="315"/>
      <c r="BS33" s="315" t="s">
        <v>147</v>
      </c>
      <c r="BT33" s="315" t="s">
        <v>147</v>
      </c>
      <c r="BU33" s="315" t="s">
        <v>150</v>
      </c>
      <c r="BV33" s="316"/>
      <c r="BW33" s="314" t="s">
        <v>148</v>
      </c>
      <c r="BX33" s="315"/>
      <c r="BY33" s="315" t="s">
        <v>150</v>
      </c>
      <c r="BZ33" s="315" t="s">
        <v>150</v>
      </c>
      <c r="CA33" s="315" t="s">
        <v>150</v>
      </c>
      <c r="CB33" s="316" t="s">
        <v>148</v>
      </c>
      <c r="CC33" s="314"/>
      <c r="CD33" s="315"/>
      <c r="CE33" s="316"/>
      <c r="CF33" s="314"/>
      <c r="CG33" s="315"/>
      <c r="CH33" s="315"/>
      <c r="CI33" s="317"/>
      <c r="CK33" s="236">
        <f t="shared" si="10"/>
        <v>2</v>
      </c>
      <c r="CL33" s="237">
        <f t="shared" si="11"/>
        <v>7</v>
      </c>
      <c r="CM33" s="237">
        <f t="shared" si="12"/>
        <v>7</v>
      </c>
      <c r="CN33" s="237">
        <f t="shared" si="13"/>
        <v>8</v>
      </c>
      <c r="CO33" s="238">
        <f t="shared" si="14"/>
        <v>1</v>
      </c>
      <c r="CQ33" s="236" t="str">
        <f>desired_skills(C33,"Methodieken/ITIL","o")</f>
        <v/>
      </c>
      <c r="CR33" s="237" t="str">
        <f>desired_skills(C33,"Methodieken/ITIL","j")</f>
        <v/>
      </c>
      <c r="CS33" s="237" t="str">
        <f>desired_skills(C33,"Methodieken/ITIL","m")</f>
        <v/>
      </c>
      <c r="CT33" s="237" t="str">
        <f>desired_skills(C33,"Methodieken/ITIL","s")</f>
        <v/>
      </c>
      <c r="CU33" s="238" t="str">
        <f>desired_skills(C33,"Methodieken/ITIL","e")</f>
        <v/>
      </c>
      <c r="CW33" s="236" t="str">
        <f>calc_gap('Matrix 171007_1815'!$CK$33,'Matrix 171007_1815'!$CQ$33)</f>
        <v/>
      </c>
      <c r="CX33" s="237" t="str">
        <f>calc_gap('Matrix 171007_1815'!$CL$33,'Matrix 171007_1815'!$CR$33)</f>
        <v/>
      </c>
      <c r="CY33" s="237" t="str">
        <f>calc_gap('Matrix 171007_1815'!$CM$33,'Matrix 171007_1815'!$CS$33)</f>
        <v/>
      </c>
      <c r="CZ33" s="237" t="str">
        <f>calc_gap('Matrix 171007_1815'!$CN$33,'Matrix 171007_1815'!$CT$33)</f>
        <v/>
      </c>
      <c r="DA33" s="238" t="str">
        <f>calc_gap('Matrix 171007_1815'!$CO$33,'Matrix 171007_1815'!$CU$33)</f>
        <v/>
      </c>
    </row>
    <row r="34" spans="2:105" x14ac:dyDescent="0.25">
      <c r="B34" s="435"/>
      <c r="C34" s="291" t="s">
        <v>78</v>
      </c>
      <c r="D34" s="314"/>
      <c r="E34" s="315"/>
      <c r="F34" s="315"/>
      <c r="G34" s="315"/>
      <c r="H34" s="315"/>
      <c r="I34" s="315"/>
      <c r="J34" s="315"/>
      <c r="K34" s="316"/>
      <c r="L34" s="314"/>
      <c r="M34" s="315"/>
      <c r="N34" s="315"/>
      <c r="O34" s="316"/>
      <c r="P34" s="314"/>
      <c r="Q34" s="315"/>
      <c r="R34" s="315"/>
      <c r="S34" s="315"/>
      <c r="T34" s="315"/>
      <c r="U34" s="315"/>
      <c r="V34" s="315"/>
      <c r="W34" s="315"/>
      <c r="X34" s="315"/>
      <c r="Y34" s="315"/>
      <c r="Z34" s="315"/>
      <c r="AA34" s="315"/>
      <c r="AB34" s="315"/>
      <c r="AC34" s="315"/>
      <c r="AD34" s="315"/>
      <c r="AE34" s="315"/>
      <c r="AF34" s="315"/>
      <c r="AG34" s="315"/>
      <c r="AH34" s="315"/>
      <c r="AI34" s="316"/>
      <c r="AJ34" s="314"/>
      <c r="AK34" s="315"/>
      <c r="AL34" s="316"/>
      <c r="AM34" s="314"/>
      <c r="AN34" s="315"/>
      <c r="AO34" s="316"/>
      <c r="AP34" s="314"/>
      <c r="AQ34" s="315"/>
      <c r="AR34" s="315"/>
      <c r="AS34" s="315"/>
      <c r="AT34" s="316"/>
      <c r="AU34" s="314" t="s">
        <v>150</v>
      </c>
      <c r="AV34" s="315" t="s">
        <v>147</v>
      </c>
      <c r="AW34" s="315" t="s">
        <v>148</v>
      </c>
      <c r="AX34" s="315" t="s">
        <v>150</v>
      </c>
      <c r="AY34" s="315" t="s">
        <v>148</v>
      </c>
      <c r="AZ34" s="315" t="s">
        <v>150</v>
      </c>
      <c r="BA34" s="315" t="s">
        <v>47</v>
      </c>
      <c r="BB34" s="316" t="s">
        <v>148</v>
      </c>
      <c r="BC34" s="314" t="s">
        <v>147</v>
      </c>
      <c r="BD34" s="315" t="s">
        <v>149</v>
      </c>
      <c r="BE34" s="315"/>
      <c r="BF34" s="315" t="s">
        <v>150</v>
      </c>
      <c r="BG34" s="316"/>
      <c r="BH34" s="314"/>
      <c r="BI34" s="315" t="s">
        <v>148</v>
      </c>
      <c r="BJ34" s="316"/>
      <c r="BK34" s="314" t="s">
        <v>147</v>
      </c>
      <c r="BL34" s="315" t="s">
        <v>150</v>
      </c>
      <c r="BM34" s="315"/>
      <c r="BN34" s="316" t="s">
        <v>148</v>
      </c>
      <c r="BO34" s="314" t="s">
        <v>148</v>
      </c>
      <c r="BP34" s="315" t="s">
        <v>150</v>
      </c>
      <c r="BQ34" s="315" t="s">
        <v>148</v>
      </c>
      <c r="BR34" s="315"/>
      <c r="BS34" s="315"/>
      <c r="BT34" s="315" t="s">
        <v>148</v>
      </c>
      <c r="BU34" s="315" t="s">
        <v>148</v>
      </c>
      <c r="BV34" s="316"/>
      <c r="BW34" s="314" t="s">
        <v>150</v>
      </c>
      <c r="BX34" s="315" t="s">
        <v>148</v>
      </c>
      <c r="BY34" s="315" t="s">
        <v>150</v>
      </c>
      <c r="BZ34" s="315" t="s">
        <v>148</v>
      </c>
      <c r="CA34" s="315" t="s">
        <v>150</v>
      </c>
      <c r="CB34" s="316" t="s">
        <v>150</v>
      </c>
      <c r="CC34" s="314"/>
      <c r="CD34" s="315" t="s">
        <v>148</v>
      </c>
      <c r="CE34" s="316"/>
      <c r="CF34" s="314"/>
      <c r="CG34" s="315"/>
      <c r="CH34" s="315"/>
      <c r="CI34" s="317"/>
      <c r="CK34" s="236">
        <f t="shared" si="10"/>
        <v>1</v>
      </c>
      <c r="CL34" s="237">
        <f t="shared" si="11"/>
        <v>3</v>
      </c>
      <c r="CM34" s="237">
        <f t="shared" si="12"/>
        <v>12</v>
      </c>
      <c r="CN34" s="237">
        <f t="shared" si="13"/>
        <v>10</v>
      </c>
      <c r="CO34" s="238">
        <f t="shared" si="14"/>
        <v>1</v>
      </c>
      <c r="CQ34" s="236" t="str">
        <f>desired_skills(C34,"Methodieken/Prince 2","o")</f>
        <v/>
      </c>
      <c r="CR34" s="237" t="str">
        <f>desired_skills(C34,"Methodieken/Prince 2","j")</f>
        <v/>
      </c>
      <c r="CS34" s="237" t="str">
        <f>desired_skills(C34,"Methodieken/Prince 2","m")</f>
        <v/>
      </c>
      <c r="CT34" s="237" t="str">
        <f>desired_skills(C34,"Methodieken/Prince 2","s")</f>
        <v/>
      </c>
      <c r="CU34" s="238" t="str">
        <f>desired_skills(C34,"Methodieken/Prince 2","e")</f>
        <v/>
      </c>
      <c r="CW34" s="236" t="str">
        <f>calc_gap('Matrix 171007_1815'!$CK$34,'Matrix 171007_1815'!$CQ$34)</f>
        <v/>
      </c>
      <c r="CX34" s="237" t="str">
        <f>calc_gap('Matrix 171007_1815'!$CL$34,'Matrix 171007_1815'!$CR$34)</f>
        <v/>
      </c>
      <c r="CY34" s="237" t="str">
        <f>calc_gap('Matrix 171007_1815'!$CM$34,'Matrix 171007_1815'!$CS$34)</f>
        <v/>
      </c>
      <c r="CZ34" s="237" t="str">
        <f>calc_gap('Matrix 171007_1815'!$CN$34,'Matrix 171007_1815'!$CT$34)</f>
        <v/>
      </c>
      <c r="DA34" s="238" t="str">
        <f>calc_gap('Matrix 171007_1815'!$CO$34,'Matrix 171007_1815'!$CU$34)</f>
        <v/>
      </c>
    </row>
    <row r="35" spans="2:105" x14ac:dyDescent="0.25">
      <c r="B35" s="435"/>
      <c r="C35" s="291" t="s">
        <v>79</v>
      </c>
      <c r="D35" s="314"/>
      <c r="E35" s="315"/>
      <c r="F35" s="315"/>
      <c r="G35" s="315"/>
      <c r="H35" s="315"/>
      <c r="I35" s="315"/>
      <c r="J35" s="315"/>
      <c r="K35" s="316"/>
      <c r="L35" s="314"/>
      <c r="M35" s="315"/>
      <c r="N35" s="315"/>
      <c r="O35" s="316"/>
      <c r="P35" s="314"/>
      <c r="Q35" s="315"/>
      <c r="R35" s="315"/>
      <c r="S35" s="315"/>
      <c r="T35" s="315"/>
      <c r="U35" s="315"/>
      <c r="V35" s="315"/>
      <c r="W35" s="315"/>
      <c r="X35" s="315"/>
      <c r="Y35" s="315"/>
      <c r="Z35" s="315"/>
      <c r="AA35" s="315"/>
      <c r="AB35" s="315"/>
      <c r="AC35" s="315"/>
      <c r="AD35" s="315"/>
      <c r="AE35" s="315"/>
      <c r="AF35" s="315"/>
      <c r="AG35" s="315"/>
      <c r="AH35" s="315"/>
      <c r="AI35" s="316"/>
      <c r="AJ35" s="314"/>
      <c r="AK35" s="315"/>
      <c r="AL35" s="316"/>
      <c r="AM35" s="314"/>
      <c r="AN35" s="315"/>
      <c r="AO35" s="316"/>
      <c r="AP35" s="314"/>
      <c r="AQ35" s="315"/>
      <c r="AR35" s="315"/>
      <c r="AS35" s="315"/>
      <c r="AT35" s="316"/>
      <c r="AU35" s="314" t="s">
        <v>150</v>
      </c>
      <c r="AV35" s="315" t="s">
        <v>150</v>
      </c>
      <c r="AW35" s="315" t="s">
        <v>150</v>
      </c>
      <c r="AX35" s="315" t="s">
        <v>47</v>
      </c>
      <c r="AY35" s="315" t="s">
        <v>47</v>
      </c>
      <c r="AZ35" s="315"/>
      <c r="BA35" s="315" t="s">
        <v>150</v>
      </c>
      <c r="BB35" s="316" t="s">
        <v>148</v>
      </c>
      <c r="BC35" s="314" t="s">
        <v>147</v>
      </c>
      <c r="BD35" s="315" t="s">
        <v>149</v>
      </c>
      <c r="BE35" s="315"/>
      <c r="BF35" s="315"/>
      <c r="BG35" s="316"/>
      <c r="BH35" s="314"/>
      <c r="BI35" s="315"/>
      <c r="BJ35" s="316"/>
      <c r="BK35" s="314"/>
      <c r="BL35" s="315" t="s">
        <v>150</v>
      </c>
      <c r="BM35" s="315"/>
      <c r="BN35" s="316"/>
      <c r="BO35" s="314"/>
      <c r="BP35" s="315" t="s">
        <v>148</v>
      </c>
      <c r="BQ35" s="315" t="s">
        <v>147</v>
      </c>
      <c r="BR35" s="315"/>
      <c r="BS35" s="315"/>
      <c r="BT35" s="315" t="s">
        <v>148</v>
      </c>
      <c r="BU35" s="315" t="s">
        <v>148</v>
      </c>
      <c r="BV35" s="316"/>
      <c r="BW35" s="314" t="s">
        <v>148</v>
      </c>
      <c r="BX35" s="315" t="s">
        <v>148</v>
      </c>
      <c r="BY35" s="315" t="s">
        <v>150</v>
      </c>
      <c r="BZ35" s="315" t="s">
        <v>147</v>
      </c>
      <c r="CA35" s="315" t="s">
        <v>150</v>
      </c>
      <c r="CB35" s="316" t="s">
        <v>150</v>
      </c>
      <c r="CC35" s="314"/>
      <c r="CD35" s="315"/>
      <c r="CE35" s="316"/>
      <c r="CF35" s="314"/>
      <c r="CG35" s="315"/>
      <c r="CH35" s="315"/>
      <c r="CI35" s="317"/>
      <c r="CK35" s="236">
        <f t="shared" si="10"/>
        <v>1</v>
      </c>
      <c r="CL35" s="237">
        <f t="shared" si="11"/>
        <v>3</v>
      </c>
      <c r="CM35" s="237">
        <f t="shared" si="12"/>
        <v>6</v>
      </c>
      <c r="CN35" s="237">
        <f t="shared" si="13"/>
        <v>8</v>
      </c>
      <c r="CO35" s="238">
        <f t="shared" si="14"/>
        <v>2</v>
      </c>
      <c r="CQ35" s="236" t="str">
        <f>desired_skills(C35,"Methodieken/Sox","o")</f>
        <v/>
      </c>
      <c r="CR35" s="237" t="str">
        <f>desired_skills(C35,"Methodieken/Sox","j")</f>
        <v/>
      </c>
      <c r="CS35" s="237" t="str">
        <f>desired_skills(C35,"Methodieken/Sox","m")</f>
        <v/>
      </c>
      <c r="CT35" s="237" t="str">
        <f>desired_skills(C35,"Methodieken/Sox","s")</f>
        <v/>
      </c>
      <c r="CU35" s="238" t="str">
        <f>desired_skills(C35,"Methodieken/Sox","e")</f>
        <v/>
      </c>
      <c r="CW35" s="236" t="str">
        <f>calc_gap('Matrix 171007_1815'!$CK$35,'Matrix 171007_1815'!$CQ$35)</f>
        <v/>
      </c>
      <c r="CX35" s="237" t="str">
        <f>calc_gap('Matrix 171007_1815'!$CL$35,'Matrix 171007_1815'!$CR$35)</f>
        <v/>
      </c>
      <c r="CY35" s="237" t="str">
        <f>calc_gap('Matrix 171007_1815'!$CM$35,'Matrix 171007_1815'!$CS$35)</f>
        <v/>
      </c>
      <c r="CZ35" s="237" t="str">
        <f>calc_gap('Matrix 171007_1815'!$CN$35,'Matrix 171007_1815'!$CT$35)</f>
        <v/>
      </c>
      <c r="DA35" s="238" t="str">
        <f>calc_gap('Matrix 171007_1815'!$CO$35,'Matrix 171007_1815'!$CU$35)</f>
        <v/>
      </c>
    </row>
    <row r="36" spans="2:105" x14ac:dyDescent="0.25">
      <c r="B36" s="435"/>
      <c r="C36" s="291" t="s">
        <v>80</v>
      </c>
      <c r="D36" s="314"/>
      <c r="E36" s="315"/>
      <c r="F36" s="315"/>
      <c r="G36" s="315"/>
      <c r="H36" s="315"/>
      <c r="I36" s="315"/>
      <c r="J36" s="315"/>
      <c r="K36" s="316"/>
      <c r="L36" s="314"/>
      <c r="M36" s="315"/>
      <c r="N36" s="315"/>
      <c r="O36" s="316"/>
      <c r="P36" s="314"/>
      <c r="Q36" s="315"/>
      <c r="R36" s="315"/>
      <c r="S36" s="315"/>
      <c r="T36" s="315"/>
      <c r="U36" s="315"/>
      <c r="V36" s="315"/>
      <c r="W36" s="315"/>
      <c r="X36" s="315"/>
      <c r="Y36" s="315"/>
      <c r="Z36" s="315"/>
      <c r="AA36" s="315"/>
      <c r="AB36" s="315"/>
      <c r="AC36" s="315"/>
      <c r="AD36" s="315"/>
      <c r="AE36" s="315"/>
      <c r="AF36" s="315"/>
      <c r="AG36" s="315"/>
      <c r="AH36" s="315"/>
      <c r="AI36" s="316"/>
      <c r="AJ36" s="314"/>
      <c r="AK36" s="315"/>
      <c r="AL36" s="316"/>
      <c r="AM36" s="314"/>
      <c r="AN36" s="315"/>
      <c r="AO36" s="316"/>
      <c r="AP36" s="314"/>
      <c r="AQ36" s="315"/>
      <c r="AR36" s="315"/>
      <c r="AS36" s="315"/>
      <c r="AT36" s="316"/>
      <c r="AU36" s="314" t="s">
        <v>150</v>
      </c>
      <c r="AV36" s="315" t="s">
        <v>148</v>
      </c>
      <c r="AW36" s="315" t="s">
        <v>150</v>
      </c>
      <c r="AX36" s="315" t="s">
        <v>150</v>
      </c>
      <c r="AY36" s="315" t="s">
        <v>150</v>
      </c>
      <c r="AZ36" s="315"/>
      <c r="BA36" s="315" t="s">
        <v>147</v>
      </c>
      <c r="BB36" s="316" t="s">
        <v>148</v>
      </c>
      <c r="BC36" s="314" t="s">
        <v>147</v>
      </c>
      <c r="BD36" s="315"/>
      <c r="BE36" s="315"/>
      <c r="BF36" s="315"/>
      <c r="BG36" s="316"/>
      <c r="BH36" s="314"/>
      <c r="BI36" s="315" t="s">
        <v>148</v>
      </c>
      <c r="BJ36" s="316"/>
      <c r="BK36" s="314"/>
      <c r="BL36" s="315" t="s">
        <v>149</v>
      </c>
      <c r="BM36" s="315"/>
      <c r="BN36" s="316"/>
      <c r="BO36" s="314"/>
      <c r="BP36" s="315" t="s">
        <v>147</v>
      </c>
      <c r="BQ36" s="315"/>
      <c r="BR36" s="315"/>
      <c r="BS36" s="315"/>
      <c r="BT36" s="315"/>
      <c r="BU36" s="315" t="s">
        <v>148</v>
      </c>
      <c r="BV36" s="316"/>
      <c r="BW36" s="314" t="s">
        <v>148</v>
      </c>
      <c r="BX36" s="315"/>
      <c r="BY36" s="315" t="s">
        <v>147</v>
      </c>
      <c r="BZ36" s="315"/>
      <c r="CA36" s="315" t="s">
        <v>150</v>
      </c>
      <c r="CB36" s="316" t="s">
        <v>148</v>
      </c>
      <c r="CC36" s="314"/>
      <c r="CD36" s="315"/>
      <c r="CE36" s="316"/>
      <c r="CF36" s="314"/>
      <c r="CG36" s="315"/>
      <c r="CH36" s="315"/>
      <c r="CI36" s="317"/>
      <c r="CK36" s="236">
        <f t="shared" si="10"/>
        <v>1</v>
      </c>
      <c r="CL36" s="237">
        <f t="shared" si="11"/>
        <v>4</v>
      </c>
      <c r="CM36" s="237">
        <f t="shared" si="12"/>
        <v>6</v>
      </c>
      <c r="CN36" s="237">
        <f t="shared" si="13"/>
        <v>5</v>
      </c>
      <c r="CO36" s="238" t="str">
        <f t="shared" si="14"/>
        <v/>
      </c>
      <c r="CQ36" s="236" t="str">
        <f>desired_skills(C36,"Methodieken/Cobit","o")</f>
        <v/>
      </c>
      <c r="CR36" s="237" t="str">
        <f>desired_skills(C36,"Methodieken/Cobit","j")</f>
        <v/>
      </c>
      <c r="CS36" s="237" t="str">
        <f>desired_skills(C36,"Methodieken/Cobit","m")</f>
        <v/>
      </c>
      <c r="CT36" s="237" t="str">
        <f>desired_skills(C36,"Methodieken/Cobit","s")</f>
        <v/>
      </c>
      <c r="CU36" s="238" t="str">
        <f>desired_skills(C36,"Methodieken/Cobit","e")</f>
        <v/>
      </c>
      <c r="CW36" s="236" t="str">
        <f>calc_gap('Matrix 171007_1815'!$CK$36,'Matrix 171007_1815'!$CQ$36)</f>
        <v/>
      </c>
      <c r="CX36" s="237" t="str">
        <f>calc_gap('Matrix 171007_1815'!$CL$36,'Matrix 171007_1815'!$CR$36)</f>
        <v/>
      </c>
      <c r="CY36" s="237" t="str">
        <f>calc_gap('Matrix 171007_1815'!$CM$36,'Matrix 171007_1815'!$CS$36)</f>
        <v/>
      </c>
      <c r="CZ36" s="237" t="str">
        <f>calc_gap('Matrix 171007_1815'!$CN$36,'Matrix 171007_1815'!$CT$36)</f>
        <v/>
      </c>
      <c r="DA36" s="238" t="str">
        <f>calc_gap('Matrix 171007_1815'!$CO$36,'Matrix 171007_1815'!$CU$36)</f>
        <v/>
      </c>
    </row>
    <row r="37" spans="2:105" ht="15.75" thickBot="1" x14ac:dyDescent="0.3">
      <c r="B37" s="435"/>
      <c r="C37" s="292" t="s">
        <v>225</v>
      </c>
      <c r="D37" s="318"/>
      <c r="E37" s="319"/>
      <c r="F37" s="319"/>
      <c r="G37" s="319"/>
      <c r="H37" s="319"/>
      <c r="I37" s="319"/>
      <c r="J37" s="319"/>
      <c r="K37" s="320"/>
      <c r="L37" s="318"/>
      <c r="M37" s="319"/>
      <c r="N37" s="319"/>
      <c r="O37" s="320"/>
      <c r="P37" s="318"/>
      <c r="Q37" s="319"/>
      <c r="R37" s="319"/>
      <c r="S37" s="319"/>
      <c r="T37" s="319"/>
      <c r="U37" s="319"/>
      <c r="V37" s="319"/>
      <c r="W37" s="319"/>
      <c r="X37" s="319"/>
      <c r="Y37" s="319"/>
      <c r="Z37" s="319"/>
      <c r="AA37" s="319"/>
      <c r="AB37" s="319"/>
      <c r="AC37" s="319"/>
      <c r="AD37" s="319"/>
      <c r="AE37" s="319"/>
      <c r="AF37" s="319"/>
      <c r="AG37" s="319"/>
      <c r="AH37" s="319"/>
      <c r="AI37" s="320"/>
      <c r="AJ37" s="318"/>
      <c r="AK37" s="319"/>
      <c r="AL37" s="320"/>
      <c r="AM37" s="318"/>
      <c r="AN37" s="319"/>
      <c r="AO37" s="320"/>
      <c r="AP37" s="318"/>
      <c r="AQ37" s="319"/>
      <c r="AR37" s="319"/>
      <c r="AS37" s="319"/>
      <c r="AT37" s="320"/>
      <c r="AU37" s="318"/>
      <c r="AV37" s="319"/>
      <c r="AW37" s="319"/>
      <c r="AX37" s="319"/>
      <c r="AY37" s="319"/>
      <c r="AZ37" s="319"/>
      <c r="BA37" s="319"/>
      <c r="BB37" s="320"/>
      <c r="BC37" s="318"/>
      <c r="BD37" s="319"/>
      <c r="BE37" s="319"/>
      <c r="BF37" s="319"/>
      <c r="BG37" s="320"/>
      <c r="BH37" s="318"/>
      <c r="BI37" s="319"/>
      <c r="BJ37" s="320"/>
      <c r="BK37" s="318"/>
      <c r="BL37" s="319"/>
      <c r="BM37" s="319"/>
      <c r="BN37" s="320"/>
      <c r="BO37" s="318"/>
      <c r="BP37" s="319"/>
      <c r="BQ37" s="319"/>
      <c r="BR37" s="319"/>
      <c r="BS37" s="319"/>
      <c r="BT37" s="319"/>
      <c r="BU37" s="319"/>
      <c r="BV37" s="320"/>
      <c r="BW37" s="318"/>
      <c r="BX37" s="319"/>
      <c r="BY37" s="319"/>
      <c r="BZ37" s="319"/>
      <c r="CA37" s="319"/>
      <c r="CB37" s="320"/>
      <c r="CC37" s="318"/>
      <c r="CD37" s="319"/>
      <c r="CE37" s="320"/>
      <c r="CF37" s="318"/>
      <c r="CG37" s="319"/>
      <c r="CH37" s="319"/>
      <c r="CI37" s="321"/>
      <c r="CK37" s="239" t="str">
        <f t="shared" si="10"/>
        <v/>
      </c>
      <c r="CL37" s="240" t="str">
        <f t="shared" si="11"/>
        <v/>
      </c>
      <c r="CM37" s="240" t="str">
        <f t="shared" si="12"/>
        <v/>
      </c>
      <c r="CN37" s="240" t="str">
        <f t="shared" si="13"/>
        <v/>
      </c>
      <c r="CO37" s="241" t="str">
        <f t="shared" si="14"/>
        <v/>
      </c>
      <c r="CQ37" s="239" t="str">
        <f>desired_skills(C37,"Methodieken/CISM/CISSP","o")</f>
        <v/>
      </c>
      <c r="CR37" s="240" t="str">
        <f>desired_skills(C37,"Methodieken/CISM/CISSP","j")</f>
        <v/>
      </c>
      <c r="CS37" s="240" t="str">
        <f>desired_skills(C37,"Methodieken/CISM/CISSP","m")</f>
        <v/>
      </c>
      <c r="CT37" s="240" t="str">
        <f>desired_skills(C37,"Methodieken/CISM/CISSP","s")</f>
        <v/>
      </c>
      <c r="CU37" s="241" t="str">
        <f>desired_skills(C37,"Methodieken/CISM/CISSP","e")</f>
        <v/>
      </c>
      <c r="CW37" s="239" t="str">
        <f>calc_gap('Matrix 171007_1815'!$CK$37,'Matrix 171007_1815'!$CQ$37)</f>
        <v/>
      </c>
      <c r="CX37" s="240" t="str">
        <f>calc_gap('Matrix 171007_1815'!$CL$37,'Matrix 171007_1815'!$CR$37)</f>
        <v/>
      </c>
      <c r="CY37" s="240" t="str">
        <f>calc_gap('Matrix 171007_1815'!$CM$37,'Matrix 171007_1815'!$CS$37)</f>
        <v/>
      </c>
      <c r="CZ37" s="240" t="str">
        <f>calc_gap('Matrix 171007_1815'!$CN$37,'Matrix 171007_1815'!$CT$37)</f>
        <v/>
      </c>
      <c r="DA37" s="241" t="str">
        <f>calc_gap('Matrix 171007_1815'!$CO$37,'Matrix 171007_1815'!$CU$37)</f>
        <v/>
      </c>
    </row>
    <row r="38" spans="2:105" ht="12.75" customHeight="1" thickTop="1" thickBot="1" x14ac:dyDescent="0.3">
      <c r="B38" s="436"/>
      <c r="C38" s="248"/>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c r="BA38" s="322"/>
      <c r="BB38" s="322"/>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2"/>
      <c r="CH38" s="322"/>
      <c r="CI38" s="322"/>
      <c r="CK38" s="249"/>
      <c r="CL38" s="249"/>
      <c r="CM38" s="249"/>
      <c r="CN38" s="249"/>
      <c r="CO38" s="249"/>
      <c r="CQ38" s="249"/>
      <c r="CR38" s="249"/>
      <c r="CS38" s="249"/>
      <c r="CT38" s="249"/>
      <c r="CU38" s="249"/>
      <c r="CW38" s="249"/>
      <c r="CX38" s="249"/>
      <c r="CY38" s="249"/>
      <c r="CZ38" s="249"/>
      <c r="DA38" s="249"/>
    </row>
    <row r="39" spans="2:105" ht="15.75" thickTop="1" x14ac:dyDescent="0.25">
      <c r="B39" s="434" t="s">
        <v>81</v>
      </c>
      <c r="C39" s="290" t="s">
        <v>82</v>
      </c>
      <c r="D39" s="310"/>
      <c r="E39" s="311"/>
      <c r="F39" s="311"/>
      <c r="G39" s="311"/>
      <c r="H39" s="311"/>
      <c r="I39" s="311"/>
      <c r="J39" s="311"/>
      <c r="K39" s="312"/>
      <c r="L39" s="310"/>
      <c r="M39" s="311"/>
      <c r="N39" s="311"/>
      <c r="O39" s="312"/>
      <c r="P39" s="310"/>
      <c r="Q39" s="311"/>
      <c r="R39" s="311"/>
      <c r="S39" s="311"/>
      <c r="T39" s="311"/>
      <c r="U39" s="311"/>
      <c r="V39" s="311"/>
      <c r="W39" s="311"/>
      <c r="X39" s="311"/>
      <c r="Y39" s="311"/>
      <c r="Z39" s="311"/>
      <c r="AA39" s="311"/>
      <c r="AB39" s="311"/>
      <c r="AC39" s="311"/>
      <c r="AD39" s="311"/>
      <c r="AE39" s="311"/>
      <c r="AF39" s="311"/>
      <c r="AG39" s="311"/>
      <c r="AH39" s="311"/>
      <c r="AI39" s="312"/>
      <c r="AJ39" s="310"/>
      <c r="AK39" s="311"/>
      <c r="AL39" s="312"/>
      <c r="AM39" s="310"/>
      <c r="AN39" s="311"/>
      <c r="AO39" s="312"/>
      <c r="AP39" s="310"/>
      <c r="AQ39" s="311"/>
      <c r="AR39" s="311"/>
      <c r="AS39" s="311"/>
      <c r="AT39" s="312"/>
      <c r="AU39" s="310" t="s">
        <v>150</v>
      </c>
      <c r="AV39" s="311" t="s">
        <v>148</v>
      </c>
      <c r="AW39" s="311" t="s">
        <v>150</v>
      </c>
      <c r="AX39" s="311" t="s">
        <v>150</v>
      </c>
      <c r="AY39" s="311" t="s">
        <v>148</v>
      </c>
      <c r="AZ39" s="311" t="s">
        <v>148</v>
      </c>
      <c r="BA39" s="311" t="s">
        <v>148</v>
      </c>
      <c r="BB39" s="312" t="s">
        <v>150</v>
      </c>
      <c r="BC39" s="310" t="s">
        <v>148</v>
      </c>
      <c r="BD39" s="311" t="s">
        <v>148</v>
      </c>
      <c r="BE39" s="311"/>
      <c r="BF39" s="311" t="s">
        <v>150</v>
      </c>
      <c r="BG39" s="312"/>
      <c r="BH39" s="310"/>
      <c r="BI39" s="311" t="s">
        <v>147</v>
      </c>
      <c r="BJ39" s="312"/>
      <c r="BK39" s="310" t="s">
        <v>148</v>
      </c>
      <c r="BL39" s="311" t="s">
        <v>150</v>
      </c>
      <c r="BM39" s="311"/>
      <c r="BN39" s="312" t="s">
        <v>148</v>
      </c>
      <c r="BO39" s="310" t="s">
        <v>148</v>
      </c>
      <c r="BP39" s="311" t="s">
        <v>47</v>
      </c>
      <c r="BQ39" s="311" t="s">
        <v>148</v>
      </c>
      <c r="BR39" s="311"/>
      <c r="BS39" s="311"/>
      <c r="BT39" s="311" t="s">
        <v>150</v>
      </c>
      <c r="BU39" s="311" t="s">
        <v>148</v>
      </c>
      <c r="BV39" s="312"/>
      <c r="BW39" s="310" t="s">
        <v>147</v>
      </c>
      <c r="BX39" s="311" t="s">
        <v>148</v>
      </c>
      <c r="BY39" s="311" t="s">
        <v>148</v>
      </c>
      <c r="BZ39" s="311" t="s">
        <v>150</v>
      </c>
      <c r="CA39" s="311" t="s">
        <v>150</v>
      </c>
      <c r="CB39" s="312" t="s">
        <v>150</v>
      </c>
      <c r="CC39" s="310" t="s">
        <v>148</v>
      </c>
      <c r="CD39" s="311" t="s">
        <v>150</v>
      </c>
      <c r="CE39" s="312"/>
      <c r="CF39" s="310"/>
      <c r="CG39" s="311"/>
      <c r="CH39" s="311"/>
      <c r="CI39" s="313"/>
      <c r="CK39" s="233" t="str">
        <f t="shared" ref="CK39:CK50" si="15">IF(COUNTIF(D39:CI39,"o")&gt;0,COUNTIF(D39:CI39,"o"),"")</f>
        <v/>
      </c>
      <c r="CL39" s="234">
        <f t="shared" ref="CL39:CL50" si="16">IF(COUNTIF(D39:CI39,"j")&gt;0,COUNTIF(D39:CI39,"j"),"")</f>
        <v>2</v>
      </c>
      <c r="CM39" s="234">
        <f t="shared" ref="CM39:CM50" si="17">IF(COUNTIF(D39:CI39,"m")&gt;0,COUNTIF(D39:CI39,"m"),"")</f>
        <v>14</v>
      </c>
      <c r="CN39" s="234">
        <f t="shared" ref="CN39:CN50" si="18">IF(COUNTIF(D39:CI39,"s")&gt;0,COUNTIF(D39:CI39,"s"),"")</f>
        <v>11</v>
      </c>
      <c r="CO39" s="235">
        <f t="shared" ref="CO39:CO50" si="19">IF(COUNTIF(D39:CI39,"e")&gt;0,COUNTIF(D39:CI39,"e"),"")</f>
        <v>1</v>
      </c>
      <c r="CQ39" s="233" t="str">
        <f>desired_skills(C39,"Competenties/Overtuigingskracht","o")</f>
        <v>21</v>
      </c>
      <c r="CR39" s="234" t="str">
        <f>desired_skills(C39,"Competenties/Overtuigingskracht","j")</f>
        <v/>
      </c>
      <c r="CS39" s="234" t="str">
        <f>desired_skills(C39,"Competenties/Overtuigingskracht","m")</f>
        <v/>
      </c>
      <c r="CT39" s="234" t="str">
        <f>desired_skills(C39,"Competenties/Overtuigingskracht","s")</f>
        <v/>
      </c>
      <c r="CU39" s="235" t="str">
        <f>desired_skills(C39,"Competenties/Overtuigingskracht","e")</f>
        <v/>
      </c>
      <c r="CW39" s="233" t="str">
        <f>calc_gap('Matrix 171007_1815'!$CK$39,'Matrix 171007_1815'!$CQ$39)</f>
        <v/>
      </c>
      <c r="CX39" s="234" t="str">
        <f>calc_gap('Matrix 171007_1815'!$CL$39,'Matrix 171007_1815'!$CR$39)</f>
        <v/>
      </c>
      <c r="CY39" s="234" t="str">
        <f>calc_gap('Matrix 171007_1815'!$CM$39,'Matrix 171007_1815'!$CS$39)</f>
        <v/>
      </c>
      <c r="CZ39" s="234" t="str">
        <f>calc_gap('Matrix 171007_1815'!$CN$39,'Matrix 171007_1815'!$CT$39)</f>
        <v/>
      </c>
      <c r="DA39" s="235" t="str">
        <f>calc_gap('Matrix 171007_1815'!$CO$39,'Matrix 171007_1815'!$CU$39)</f>
        <v/>
      </c>
    </row>
    <row r="40" spans="2:105" x14ac:dyDescent="0.25">
      <c r="B40" s="435"/>
      <c r="C40" s="291" t="s">
        <v>83</v>
      </c>
      <c r="D40" s="314"/>
      <c r="E40" s="315"/>
      <c r="F40" s="315"/>
      <c r="G40" s="315"/>
      <c r="H40" s="315"/>
      <c r="I40" s="315"/>
      <c r="J40" s="315"/>
      <c r="K40" s="316"/>
      <c r="L40" s="314"/>
      <c r="M40" s="315"/>
      <c r="N40" s="315"/>
      <c r="O40" s="316"/>
      <c r="P40" s="314"/>
      <c r="Q40" s="315"/>
      <c r="R40" s="315"/>
      <c r="S40" s="315"/>
      <c r="T40" s="315"/>
      <c r="U40" s="315"/>
      <c r="V40" s="315"/>
      <c r="W40" s="315"/>
      <c r="X40" s="315"/>
      <c r="Y40" s="315"/>
      <c r="Z40" s="315"/>
      <c r="AA40" s="315"/>
      <c r="AB40" s="315"/>
      <c r="AC40" s="315"/>
      <c r="AD40" s="315"/>
      <c r="AE40" s="315"/>
      <c r="AF40" s="315"/>
      <c r="AG40" s="315"/>
      <c r="AH40" s="315"/>
      <c r="AI40" s="316"/>
      <c r="AJ40" s="314"/>
      <c r="AK40" s="315"/>
      <c r="AL40" s="316"/>
      <c r="AM40" s="314"/>
      <c r="AN40" s="315"/>
      <c r="AO40" s="316"/>
      <c r="AP40" s="314"/>
      <c r="AQ40" s="315"/>
      <c r="AR40" s="315"/>
      <c r="AS40" s="315"/>
      <c r="AT40" s="316"/>
      <c r="AU40" s="314" t="s">
        <v>47</v>
      </c>
      <c r="AV40" s="315" t="s">
        <v>150</v>
      </c>
      <c r="AW40" s="315" t="s">
        <v>150</v>
      </c>
      <c r="AX40" s="315" t="s">
        <v>150</v>
      </c>
      <c r="AY40" s="315" t="s">
        <v>150</v>
      </c>
      <c r="AZ40" s="315" t="s">
        <v>47</v>
      </c>
      <c r="BA40" s="315" t="s">
        <v>47</v>
      </c>
      <c r="BB40" s="316" t="s">
        <v>47</v>
      </c>
      <c r="BC40" s="314" t="s">
        <v>150</v>
      </c>
      <c r="BD40" s="315" t="s">
        <v>148</v>
      </c>
      <c r="BE40" s="315"/>
      <c r="BF40" s="315" t="s">
        <v>47</v>
      </c>
      <c r="BG40" s="316"/>
      <c r="BH40" s="314"/>
      <c r="BI40" s="315" t="s">
        <v>150</v>
      </c>
      <c r="BJ40" s="316"/>
      <c r="BK40" s="314" t="s">
        <v>147</v>
      </c>
      <c r="BL40" s="315" t="s">
        <v>148</v>
      </c>
      <c r="BM40" s="315"/>
      <c r="BN40" s="316" t="s">
        <v>149</v>
      </c>
      <c r="BO40" s="314" t="s">
        <v>148</v>
      </c>
      <c r="BP40" s="315" t="s">
        <v>150</v>
      </c>
      <c r="BQ40" s="315" t="s">
        <v>150</v>
      </c>
      <c r="BR40" s="315"/>
      <c r="BS40" s="315"/>
      <c r="BT40" s="315" t="s">
        <v>150</v>
      </c>
      <c r="BU40" s="315" t="s">
        <v>150</v>
      </c>
      <c r="BV40" s="316"/>
      <c r="BW40" s="314" t="s">
        <v>150</v>
      </c>
      <c r="BX40" s="315" t="s">
        <v>148</v>
      </c>
      <c r="BY40" s="315" t="s">
        <v>150</v>
      </c>
      <c r="BZ40" s="315" t="s">
        <v>150</v>
      </c>
      <c r="CA40" s="315" t="s">
        <v>150</v>
      </c>
      <c r="CB40" s="316" t="s">
        <v>150</v>
      </c>
      <c r="CC40" s="314" t="s">
        <v>147</v>
      </c>
      <c r="CD40" s="315" t="s">
        <v>150</v>
      </c>
      <c r="CE40" s="316"/>
      <c r="CF40" s="314"/>
      <c r="CG40" s="315"/>
      <c r="CH40" s="315"/>
      <c r="CI40" s="317"/>
      <c r="CK40" s="236">
        <f t="shared" si="15"/>
        <v>1</v>
      </c>
      <c r="CL40" s="237">
        <f t="shared" si="16"/>
        <v>2</v>
      </c>
      <c r="CM40" s="237">
        <f t="shared" si="17"/>
        <v>4</v>
      </c>
      <c r="CN40" s="237">
        <f t="shared" si="18"/>
        <v>16</v>
      </c>
      <c r="CO40" s="238">
        <f t="shared" si="19"/>
        <v>5</v>
      </c>
      <c r="CQ40" s="236" t="str">
        <f>desired_skills(C40,"Competenties/Ketendenken/helicopterview","o")</f>
        <v/>
      </c>
      <c r="CR40" s="237" t="str">
        <f>desired_skills(C40,"Competenties/Ketendenken/helicopterview","j")</f>
        <v>22</v>
      </c>
      <c r="CS40" s="237" t="str">
        <f>desired_skills(C40,"Competenties/Ketendenken/helicopterview","m")</f>
        <v/>
      </c>
      <c r="CT40" s="237" t="str">
        <f>desired_skills(C40,"Competenties/Ketendenken/helicopterview","s")</f>
        <v/>
      </c>
      <c r="CU40" s="238" t="str">
        <f>desired_skills(C40,"Competenties/Ketendenken/helicopterview","e")</f>
        <v/>
      </c>
      <c r="CW40" s="236" t="str">
        <f>calc_gap('Matrix 171007_1815'!$CK$40,'Matrix 171007_1815'!$CQ$40)</f>
        <v/>
      </c>
      <c r="CX40" s="237" t="str">
        <f>calc_gap('Matrix 171007_1815'!$CL$40,'Matrix 171007_1815'!$CR$40)</f>
        <v>20</v>
      </c>
      <c r="CY40" s="237" t="str">
        <f>calc_gap('Matrix 171007_1815'!$CM$40,'Matrix 171007_1815'!$CS$40)</f>
        <v/>
      </c>
      <c r="CZ40" s="237" t="str">
        <f>calc_gap('Matrix 171007_1815'!$CN$40,'Matrix 171007_1815'!$CT$40)</f>
        <v/>
      </c>
      <c r="DA40" s="238" t="str">
        <f>calc_gap('Matrix 171007_1815'!$CO$40,'Matrix 171007_1815'!$CU$40)</f>
        <v/>
      </c>
    </row>
    <row r="41" spans="2:105" x14ac:dyDescent="0.25">
      <c r="B41" s="435"/>
      <c r="C41" s="291" t="s">
        <v>84</v>
      </c>
      <c r="D41" s="314"/>
      <c r="E41" s="315"/>
      <c r="F41" s="315"/>
      <c r="G41" s="315"/>
      <c r="H41" s="315"/>
      <c r="I41" s="315"/>
      <c r="J41" s="315"/>
      <c r="K41" s="316"/>
      <c r="L41" s="314"/>
      <c r="M41" s="315"/>
      <c r="N41" s="315"/>
      <c r="O41" s="316"/>
      <c r="P41" s="314"/>
      <c r="Q41" s="315"/>
      <c r="R41" s="315"/>
      <c r="S41" s="315"/>
      <c r="T41" s="315"/>
      <c r="U41" s="315"/>
      <c r="V41" s="315"/>
      <c r="W41" s="315"/>
      <c r="X41" s="315"/>
      <c r="Y41" s="315"/>
      <c r="Z41" s="315"/>
      <c r="AA41" s="315"/>
      <c r="AB41" s="315"/>
      <c r="AC41" s="315"/>
      <c r="AD41" s="315"/>
      <c r="AE41" s="315"/>
      <c r="AF41" s="315"/>
      <c r="AG41" s="315"/>
      <c r="AH41" s="315"/>
      <c r="AI41" s="316"/>
      <c r="AJ41" s="314"/>
      <c r="AK41" s="315"/>
      <c r="AL41" s="316"/>
      <c r="AM41" s="314"/>
      <c r="AN41" s="315"/>
      <c r="AO41" s="316"/>
      <c r="AP41" s="314"/>
      <c r="AQ41" s="315"/>
      <c r="AR41" s="315"/>
      <c r="AS41" s="315"/>
      <c r="AT41" s="316"/>
      <c r="AU41" s="314" t="s">
        <v>150</v>
      </c>
      <c r="AV41" s="315" t="s">
        <v>150</v>
      </c>
      <c r="AW41" s="315" t="s">
        <v>150</v>
      </c>
      <c r="AX41" s="315" t="s">
        <v>150</v>
      </c>
      <c r="AY41" s="315" t="s">
        <v>148</v>
      </c>
      <c r="AZ41" s="315" t="s">
        <v>150</v>
      </c>
      <c r="BA41" s="315" t="s">
        <v>148</v>
      </c>
      <c r="BB41" s="316" t="s">
        <v>150</v>
      </c>
      <c r="BC41" s="314" t="s">
        <v>47</v>
      </c>
      <c r="BD41" s="315" t="s">
        <v>148</v>
      </c>
      <c r="BE41" s="315"/>
      <c r="BF41" s="315" t="s">
        <v>150</v>
      </c>
      <c r="BG41" s="316"/>
      <c r="BH41" s="314"/>
      <c r="BI41" s="315" t="s">
        <v>148</v>
      </c>
      <c r="BJ41" s="316"/>
      <c r="BK41" s="314" t="s">
        <v>147</v>
      </c>
      <c r="BL41" s="315" t="s">
        <v>150</v>
      </c>
      <c r="BM41" s="315"/>
      <c r="BN41" s="316" t="s">
        <v>148</v>
      </c>
      <c r="BO41" s="314" t="s">
        <v>147</v>
      </c>
      <c r="BP41" s="315" t="s">
        <v>148</v>
      </c>
      <c r="BQ41" s="315" t="s">
        <v>148</v>
      </c>
      <c r="BR41" s="315"/>
      <c r="BS41" s="315"/>
      <c r="BT41" s="315" t="s">
        <v>148</v>
      </c>
      <c r="BU41" s="315" t="s">
        <v>148</v>
      </c>
      <c r="BV41" s="316"/>
      <c r="BW41" s="314" t="s">
        <v>148</v>
      </c>
      <c r="BX41" s="315" t="s">
        <v>148</v>
      </c>
      <c r="BY41" s="315" t="s">
        <v>148</v>
      </c>
      <c r="BZ41" s="315" t="s">
        <v>150</v>
      </c>
      <c r="CA41" s="315" t="s">
        <v>148</v>
      </c>
      <c r="CB41" s="316" t="s">
        <v>148</v>
      </c>
      <c r="CC41" s="314" t="s">
        <v>147</v>
      </c>
      <c r="CD41" s="315" t="s">
        <v>148</v>
      </c>
      <c r="CE41" s="316"/>
      <c r="CF41" s="314"/>
      <c r="CG41" s="315"/>
      <c r="CH41" s="315"/>
      <c r="CI41" s="317"/>
      <c r="CK41" s="236" t="str">
        <f t="shared" si="15"/>
        <v/>
      </c>
      <c r="CL41" s="237">
        <f t="shared" si="16"/>
        <v>3</v>
      </c>
      <c r="CM41" s="237">
        <f t="shared" si="17"/>
        <v>15</v>
      </c>
      <c r="CN41" s="237">
        <f t="shared" si="18"/>
        <v>9</v>
      </c>
      <c r="CO41" s="238">
        <f t="shared" si="19"/>
        <v>1</v>
      </c>
      <c r="CQ41" s="236" t="str">
        <f>desired_skills(C41,"Competenties/Presentatievaardigheden","o")</f>
        <v/>
      </c>
      <c r="CR41" s="237" t="str">
        <f>desired_skills(C41,"Competenties/Presentatievaardigheden","j")</f>
        <v/>
      </c>
      <c r="CS41" s="237" t="str">
        <f>desired_skills(C41,"Competenties/Presentatievaardigheden","m")</f>
        <v>23</v>
      </c>
      <c r="CT41" s="237" t="str">
        <f>desired_skills(C41,"Competenties/Presentatievaardigheden","s")</f>
        <v/>
      </c>
      <c r="CU41" s="238" t="str">
        <f>desired_skills(C41,"Competenties/Presentatievaardigheden","e")</f>
        <v/>
      </c>
      <c r="CW41" s="236" t="str">
        <f>calc_gap('Matrix 171007_1815'!$CK$41,'Matrix 171007_1815'!$CQ$41)</f>
        <v/>
      </c>
      <c r="CX41" s="237" t="str">
        <f>calc_gap('Matrix 171007_1815'!$CL$41,'Matrix 171007_1815'!$CR$41)</f>
        <v/>
      </c>
      <c r="CY41" s="237" t="str">
        <f>calc_gap('Matrix 171007_1815'!$CM$41,'Matrix 171007_1815'!$CS$41)</f>
        <v>8</v>
      </c>
      <c r="CZ41" s="237" t="str">
        <f>calc_gap('Matrix 171007_1815'!$CN$41,'Matrix 171007_1815'!$CT$41)</f>
        <v/>
      </c>
      <c r="DA41" s="238" t="str">
        <f>calc_gap('Matrix 171007_1815'!$CO$41,'Matrix 171007_1815'!$CU$41)</f>
        <v/>
      </c>
    </row>
    <row r="42" spans="2:105" x14ac:dyDescent="0.25">
      <c r="B42" s="435"/>
      <c r="C42" s="291" t="s">
        <v>85</v>
      </c>
      <c r="D42" s="314"/>
      <c r="E42" s="315"/>
      <c r="F42" s="315"/>
      <c r="G42" s="315"/>
      <c r="H42" s="315"/>
      <c r="I42" s="315"/>
      <c r="J42" s="315"/>
      <c r="K42" s="316"/>
      <c r="L42" s="314"/>
      <c r="M42" s="315"/>
      <c r="N42" s="315"/>
      <c r="O42" s="316"/>
      <c r="P42" s="314"/>
      <c r="Q42" s="315"/>
      <c r="R42" s="315"/>
      <c r="S42" s="315"/>
      <c r="T42" s="315"/>
      <c r="U42" s="315"/>
      <c r="V42" s="315"/>
      <c r="W42" s="315"/>
      <c r="X42" s="315"/>
      <c r="Y42" s="315"/>
      <c r="Z42" s="315"/>
      <c r="AA42" s="315"/>
      <c r="AB42" s="315"/>
      <c r="AC42" s="315"/>
      <c r="AD42" s="315"/>
      <c r="AE42" s="315"/>
      <c r="AF42" s="315"/>
      <c r="AG42" s="315"/>
      <c r="AH42" s="315"/>
      <c r="AI42" s="316"/>
      <c r="AJ42" s="314"/>
      <c r="AK42" s="315"/>
      <c r="AL42" s="316"/>
      <c r="AM42" s="314"/>
      <c r="AN42" s="315"/>
      <c r="AO42" s="316"/>
      <c r="AP42" s="314"/>
      <c r="AQ42" s="315"/>
      <c r="AR42" s="315"/>
      <c r="AS42" s="315"/>
      <c r="AT42" s="316"/>
      <c r="AU42" s="314" t="s">
        <v>150</v>
      </c>
      <c r="AV42" s="315" t="s">
        <v>148</v>
      </c>
      <c r="AW42" s="315" t="s">
        <v>150</v>
      </c>
      <c r="AX42" s="315" t="s">
        <v>150</v>
      </c>
      <c r="AY42" s="315" t="s">
        <v>150</v>
      </c>
      <c r="AZ42" s="315" t="s">
        <v>150</v>
      </c>
      <c r="BA42" s="315" t="s">
        <v>150</v>
      </c>
      <c r="BB42" s="316" t="s">
        <v>150</v>
      </c>
      <c r="BC42" s="314" t="s">
        <v>150</v>
      </c>
      <c r="BD42" s="315" t="s">
        <v>148</v>
      </c>
      <c r="BE42" s="315"/>
      <c r="BF42" s="315" t="s">
        <v>150</v>
      </c>
      <c r="BG42" s="316"/>
      <c r="BH42" s="314"/>
      <c r="BI42" s="315" t="s">
        <v>149</v>
      </c>
      <c r="BJ42" s="316"/>
      <c r="BK42" s="314" t="s">
        <v>148</v>
      </c>
      <c r="BL42" s="315" t="s">
        <v>148</v>
      </c>
      <c r="BM42" s="315"/>
      <c r="BN42" s="316"/>
      <c r="BO42" s="314" t="s">
        <v>147</v>
      </c>
      <c r="BP42" s="315" t="s">
        <v>150</v>
      </c>
      <c r="BQ42" s="315" t="s">
        <v>148</v>
      </c>
      <c r="BR42" s="315"/>
      <c r="BS42" s="315"/>
      <c r="BT42" s="315" t="s">
        <v>148</v>
      </c>
      <c r="BU42" s="315" t="s">
        <v>148</v>
      </c>
      <c r="BV42" s="316"/>
      <c r="BW42" s="314" t="s">
        <v>148</v>
      </c>
      <c r="BX42" s="315"/>
      <c r="BY42" s="315" t="s">
        <v>150</v>
      </c>
      <c r="BZ42" s="315" t="s">
        <v>150</v>
      </c>
      <c r="CA42" s="315" t="s">
        <v>47</v>
      </c>
      <c r="CB42" s="316" t="s">
        <v>150</v>
      </c>
      <c r="CC42" s="314"/>
      <c r="CD42" s="315" t="s">
        <v>150</v>
      </c>
      <c r="CE42" s="316"/>
      <c r="CF42" s="314"/>
      <c r="CG42" s="315"/>
      <c r="CH42" s="315"/>
      <c r="CI42" s="317"/>
      <c r="CK42" s="236">
        <f t="shared" si="15"/>
        <v>1</v>
      </c>
      <c r="CL42" s="237">
        <f t="shared" si="16"/>
        <v>1</v>
      </c>
      <c r="CM42" s="237">
        <f t="shared" si="17"/>
        <v>8</v>
      </c>
      <c r="CN42" s="237">
        <f t="shared" si="18"/>
        <v>14</v>
      </c>
      <c r="CO42" s="238">
        <f t="shared" si="19"/>
        <v>1</v>
      </c>
      <c r="CQ42" s="236" t="str">
        <f>desired_skills(C42,"Competenties/Stakeholdermanagement","o")</f>
        <v/>
      </c>
      <c r="CR42" s="237" t="str">
        <f>desired_skills(C42,"Competenties/Stakeholdermanagement","j")</f>
        <v/>
      </c>
      <c r="CS42" s="237" t="str">
        <f>desired_skills(C42,"Competenties/Stakeholdermanagement","m")</f>
        <v/>
      </c>
      <c r="CT42" s="237" t="str">
        <f>desired_skills(C42,"Competenties/Stakeholdermanagement","s")</f>
        <v>24</v>
      </c>
      <c r="CU42" s="238" t="str">
        <f>desired_skills(C42,"Competenties/Stakeholdermanagement","e")</f>
        <v/>
      </c>
      <c r="CW42" s="236" t="str">
        <f>calc_gap('Matrix 171007_1815'!$CK$42,'Matrix 171007_1815'!$CQ$42)</f>
        <v/>
      </c>
      <c r="CX42" s="237" t="str">
        <f>calc_gap('Matrix 171007_1815'!$CL$42,'Matrix 171007_1815'!$CR$42)</f>
        <v/>
      </c>
      <c r="CY42" s="237" t="str">
        <f>calc_gap('Matrix 171007_1815'!$CM$42,'Matrix 171007_1815'!$CS$42)</f>
        <v/>
      </c>
      <c r="CZ42" s="237" t="str">
        <f>calc_gap('Matrix 171007_1815'!$CN$42,'Matrix 171007_1815'!$CT$42)</f>
        <v>10</v>
      </c>
      <c r="DA42" s="238" t="str">
        <f>calc_gap('Matrix 171007_1815'!$CO$42,'Matrix 171007_1815'!$CU$42)</f>
        <v/>
      </c>
    </row>
    <row r="43" spans="2:105" x14ac:dyDescent="0.25">
      <c r="B43" s="435"/>
      <c r="C43" s="291" t="s">
        <v>86</v>
      </c>
      <c r="D43" s="314"/>
      <c r="E43" s="315"/>
      <c r="F43" s="315"/>
      <c r="G43" s="315"/>
      <c r="H43" s="315"/>
      <c r="I43" s="315"/>
      <c r="J43" s="315"/>
      <c r="K43" s="316"/>
      <c r="L43" s="314"/>
      <c r="M43" s="315"/>
      <c r="N43" s="315"/>
      <c r="O43" s="316"/>
      <c r="P43" s="314"/>
      <c r="Q43" s="315"/>
      <c r="R43" s="315"/>
      <c r="S43" s="315"/>
      <c r="T43" s="315"/>
      <c r="U43" s="315"/>
      <c r="V43" s="315"/>
      <c r="W43" s="315"/>
      <c r="X43" s="315"/>
      <c r="Y43" s="315"/>
      <c r="Z43" s="315"/>
      <c r="AA43" s="315"/>
      <c r="AB43" s="315"/>
      <c r="AC43" s="315"/>
      <c r="AD43" s="315"/>
      <c r="AE43" s="315"/>
      <c r="AF43" s="315"/>
      <c r="AG43" s="315"/>
      <c r="AH43" s="315"/>
      <c r="AI43" s="316"/>
      <c r="AJ43" s="314"/>
      <c r="AK43" s="315"/>
      <c r="AL43" s="316"/>
      <c r="AM43" s="314"/>
      <c r="AN43" s="315"/>
      <c r="AO43" s="316"/>
      <c r="AP43" s="314"/>
      <c r="AQ43" s="315"/>
      <c r="AR43" s="315"/>
      <c r="AS43" s="315"/>
      <c r="AT43" s="316"/>
      <c r="AU43" s="314" t="s">
        <v>150</v>
      </c>
      <c r="AV43" s="315" t="s">
        <v>150</v>
      </c>
      <c r="AW43" s="315" t="s">
        <v>150</v>
      </c>
      <c r="AX43" s="315" t="s">
        <v>150</v>
      </c>
      <c r="AY43" s="315" t="s">
        <v>150</v>
      </c>
      <c r="AZ43" s="315" t="s">
        <v>150</v>
      </c>
      <c r="BA43" s="315" t="s">
        <v>148</v>
      </c>
      <c r="BB43" s="316" t="s">
        <v>150</v>
      </c>
      <c r="BC43" s="314" t="s">
        <v>150</v>
      </c>
      <c r="BD43" s="315" t="s">
        <v>148</v>
      </c>
      <c r="BE43" s="315"/>
      <c r="BF43" s="315" t="s">
        <v>47</v>
      </c>
      <c r="BG43" s="316"/>
      <c r="BH43" s="314"/>
      <c r="BI43" s="315" t="s">
        <v>150</v>
      </c>
      <c r="BJ43" s="316"/>
      <c r="BK43" s="314" t="s">
        <v>147</v>
      </c>
      <c r="BL43" s="315" t="s">
        <v>148</v>
      </c>
      <c r="BM43" s="315"/>
      <c r="BN43" s="316" t="s">
        <v>148</v>
      </c>
      <c r="BO43" s="314" t="s">
        <v>150</v>
      </c>
      <c r="BP43" s="315" t="s">
        <v>150</v>
      </c>
      <c r="BQ43" s="315" t="s">
        <v>150</v>
      </c>
      <c r="BR43" s="315"/>
      <c r="BS43" s="315" t="s">
        <v>147</v>
      </c>
      <c r="BT43" s="315" t="s">
        <v>150</v>
      </c>
      <c r="BU43" s="315" t="s">
        <v>150</v>
      </c>
      <c r="BV43" s="316"/>
      <c r="BW43" s="314" t="s">
        <v>150</v>
      </c>
      <c r="BX43" s="315" t="s">
        <v>148</v>
      </c>
      <c r="BY43" s="315" t="s">
        <v>47</v>
      </c>
      <c r="BZ43" s="315" t="s">
        <v>150</v>
      </c>
      <c r="CA43" s="315" t="s">
        <v>47</v>
      </c>
      <c r="CB43" s="316" t="s">
        <v>47</v>
      </c>
      <c r="CC43" s="314"/>
      <c r="CD43" s="315" t="s">
        <v>150</v>
      </c>
      <c r="CE43" s="316"/>
      <c r="CF43" s="314"/>
      <c r="CG43" s="315"/>
      <c r="CH43" s="315"/>
      <c r="CI43" s="317"/>
      <c r="CK43" s="236" t="str">
        <f t="shared" si="15"/>
        <v/>
      </c>
      <c r="CL43" s="237">
        <f t="shared" si="16"/>
        <v>2</v>
      </c>
      <c r="CM43" s="237">
        <f t="shared" si="17"/>
        <v>5</v>
      </c>
      <c r="CN43" s="237">
        <f t="shared" si="18"/>
        <v>17</v>
      </c>
      <c r="CO43" s="238">
        <f t="shared" si="19"/>
        <v>4</v>
      </c>
      <c r="CQ43" s="236" t="str">
        <f>desired_skills(C43,"Competenties/Analyse &amp; advies","o")</f>
        <v/>
      </c>
      <c r="CR43" s="237" t="str">
        <f>desired_skills(C43,"Competenties/Analyse &amp; advies","j")</f>
        <v/>
      </c>
      <c r="CS43" s="237" t="str">
        <f>desired_skills(C43,"Competenties/Analyse &amp; advies","m")</f>
        <v/>
      </c>
      <c r="CT43" s="237" t="str">
        <f>desired_skills(C43,"Competenties/Analyse &amp; advies","s")</f>
        <v/>
      </c>
      <c r="CU43" s="238" t="str">
        <f>desired_skills(C43,"Competenties/Analyse &amp; advies","e")</f>
        <v>25</v>
      </c>
      <c r="CW43" s="236" t="str">
        <f>calc_gap('Matrix 171007_1815'!$CK$43,'Matrix 171007_1815'!$CQ$43)</f>
        <v/>
      </c>
      <c r="CX43" s="237" t="str">
        <f>calc_gap('Matrix 171007_1815'!$CL$43,'Matrix 171007_1815'!$CR$43)</f>
        <v/>
      </c>
      <c r="CY43" s="237" t="str">
        <f>calc_gap('Matrix 171007_1815'!$CM$43,'Matrix 171007_1815'!$CS$43)</f>
        <v/>
      </c>
      <c r="CZ43" s="237" t="str">
        <f>calc_gap('Matrix 171007_1815'!$CN$43,'Matrix 171007_1815'!$CT$43)</f>
        <v/>
      </c>
      <c r="DA43" s="238" t="str">
        <f>calc_gap('Matrix 171007_1815'!$CO$43,'Matrix 171007_1815'!$CU$43)</f>
        <v>21</v>
      </c>
    </row>
    <row r="44" spans="2:105" x14ac:dyDescent="0.25">
      <c r="B44" s="435"/>
      <c r="C44" s="291" t="s">
        <v>87</v>
      </c>
      <c r="D44" s="314"/>
      <c r="E44" s="315"/>
      <c r="F44" s="315"/>
      <c r="G44" s="315"/>
      <c r="H44" s="315"/>
      <c r="I44" s="315"/>
      <c r="J44" s="315"/>
      <c r="K44" s="316"/>
      <c r="L44" s="314"/>
      <c r="M44" s="315"/>
      <c r="N44" s="315"/>
      <c r="O44" s="316"/>
      <c r="P44" s="314"/>
      <c r="Q44" s="315"/>
      <c r="R44" s="315"/>
      <c r="S44" s="315"/>
      <c r="T44" s="315"/>
      <c r="U44" s="315"/>
      <c r="V44" s="315"/>
      <c r="W44" s="315"/>
      <c r="X44" s="315"/>
      <c r="Y44" s="315"/>
      <c r="Z44" s="315"/>
      <c r="AA44" s="315"/>
      <c r="AB44" s="315"/>
      <c r="AC44" s="315"/>
      <c r="AD44" s="315"/>
      <c r="AE44" s="315"/>
      <c r="AF44" s="315"/>
      <c r="AG44" s="315"/>
      <c r="AH44" s="315"/>
      <c r="AI44" s="316"/>
      <c r="AJ44" s="314"/>
      <c r="AK44" s="315"/>
      <c r="AL44" s="316"/>
      <c r="AM44" s="314"/>
      <c r="AN44" s="315"/>
      <c r="AO44" s="316"/>
      <c r="AP44" s="314"/>
      <c r="AQ44" s="315"/>
      <c r="AR44" s="315"/>
      <c r="AS44" s="315"/>
      <c r="AT44" s="316"/>
      <c r="AU44" s="314" t="s">
        <v>150</v>
      </c>
      <c r="AV44" s="315" t="s">
        <v>148</v>
      </c>
      <c r="AW44" s="315" t="s">
        <v>150</v>
      </c>
      <c r="AX44" s="315" t="s">
        <v>150</v>
      </c>
      <c r="AY44" s="315" t="s">
        <v>150</v>
      </c>
      <c r="AZ44" s="315" t="s">
        <v>150</v>
      </c>
      <c r="BA44" s="315" t="s">
        <v>150</v>
      </c>
      <c r="BB44" s="316" t="s">
        <v>150</v>
      </c>
      <c r="BC44" s="314" t="s">
        <v>148</v>
      </c>
      <c r="BD44" s="315" t="s">
        <v>148</v>
      </c>
      <c r="BE44" s="315"/>
      <c r="BF44" s="315" t="s">
        <v>150</v>
      </c>
      <c r="BG44" s="316"/>
      <c r="BH44" s="314"/>
      <c r="BI44" s="315" t="s">
        <v>149</v>
      </c>
      <c r="BJ44" s="316"/>
      <c r="BK44" s="314" t="s">
        <v>148</v>
      </c>
      <c r="BL44" s="315" t="s">
        <v>148</v>
      </c>
      <c r="BM44" s="315"/>
      <c r="BN44" s="316" t="s">
        <v>150</v>
      </c>
      <c r="BO44" s="314" t="s">
        <v>148</v>
      </c>
      <c r="BP44" s="315" t="s">
        <v>150</v>
      </c>
      <c r="BQ44" s="315" t="s">
        <v>148</v>
      </c>
      <c r="BR44" s="315"/>
      <c r="BS44" s="315"/>
      <c r="BT44" s="315" t="s">
        <v>150</v>
      </c>
      <c r="BU44" s="315" t="s">
        <v>148</v>
      </c>
      <c r="BV44" s="316"/>
      <c r="BW44" s="314" t="s">
        <v>148</v>
      </c>
      <c r="BX44" s="315" t="s">
        <v>148</v>
      </c>
      <c r="BY44" s="315" t="s">
        <v>47</v>
      </c>
      <c r="BZ44" s="315" t="s">
        <v>148</v>
      </c>
      <c r="CA44" s="315" t="s">
        <v>150</v>
      </c>
      <c r="CB44" s="316" t="s">
        <v>150</v>
      </c>
      <c r="CC44" s="314"/>
      <c r="CD44" s="315" t="s">
        <v>47</v>
      </c>
      <c r="CE44" s="316"/>
      <c r="CF44" s="314"/>
      <c r="CG44" s="315"/>
      <c r="CH44" s="315"/>
      <c r="CI44" s="317"/>
      <c r="CK44" s="236">
        <f t="shared" si="15"/>
        <v>1</v>
      </c>
      <c r="CL44" s="237" t="str">
        <f t="shared" si="16"/>
        <v/>
      </c>
      <c r="CM44" s="237">
        <f t="shared" si="17"/>
        <v>11</v>
      </c>
      <c r="CN44" s="237">
        <f t="shared" si="18"/>
        <v>13</v>
      </c>
      <c r="CO44" s="238">
        <f t="shared" si="19"/>
        <v>2</v>
      </c>
      <c r="CQ44" s="236" t="str">
        <f>desired_skills(C44,"Competenties/Veranderkracht","o")</f>
        <v/>
      </c>
      <c r="CR44" s="237" t="str">
        <f>desired_skills(C44,"Competenties/Veranderkracht","j")</f>
        <v/>
      </c>
      <c r="CS44" s="237" t="str">
        <f>desired_skills(C44,"Competenties/Veranderkracht","m")</f>
        <v/>
      </c>
      <c r="CT44" s="237" t="str">
        <f>desired_skills(C44,"Competenties/Veranderkracht","s")</f>
        <v/>
      </c>
      <c r="CU44" s="238" t="str">
        <f>desired_skills(C44,"Competenties/Veranderkracht","e")</f>
        <v/>
      </c>
      <c r="CW44" s="236" t="str">
        <f>calc_gap('Matrix 171007_1815'!$CK$44,'Matrix 171007_1815'!$CQ$44)</f>
        <v/>
      </c>
      <c r="CX44" s="237" t="str">
        <f>calc_gap('Matrix 171007_1815'!$CL$44,'Matrix 171007_1815'!$CR$44)</f>
        <v/>
      </c>
      <c r="CY44" s="237" t="str">
        <f>calc_gap('Matrix 171007_1815'!$CM$44,'Matrix 171007_1815'!$CS$44)</f>
        <v/>
      </c>
      <c r="CZ44" s="237" t="str">
        <f>calc_gap('Matrix 171007_1815'!$CN$44,'Matrix 171007_1815'!$CT$44)</f>
        <v/>
      </c>
      <c r="DA44" s="238" t="str">
        <f>calc_gap('Matrix 171007_1815'!$CO$44,'Matrix 171007_1815'!$CU$44)</f>
        <v/>
      </c>
    </row>
    <row r="45" spans="2:105" x14ac:dyDescent="0.25">
      <c r="B45" s="435"/>
      <c r="C45" s="291" t="s">
        <v>88</v>
      </c>
      <c r="D45" s="314"/>
      <c r="E45" s="315"/>
      <c r="F45" s="315"/>
      <c r="G45" s="315"/>
      <c r="H45" s="315"/>
      <c r="I45" s="315"/>
      <c r="J45" s="315"/>
      <c r="K45" s="316"/>
      <c r="L45" s="314"/>
      <c r="M45" s="315"/>
      <c r="N45" s="315"/>
      <c r="O45" s="316"/>
      <c r="P45" s="314"/>
      <c r="Q45" s="315"/>
      <c r="R45" s="315"/>
      <c r="S45" s="315"/>
      <c r="T45" s="315"/>
      <c r="U45" s="315"/>
      <c r="V45" s="315"/>
      <c r="W45" s="315"/>
      <c r="X45" s="315"/>
      <c r="Y45" s="315"/>
      <c r="Z45" s="315"/>
      <c r="AA45" s="315"/>
      <c r="AB45" s="315"/>
      <c r="AC45" s="315"/>
      <c r="AD45" s="315"/>
      <c r="AE45" s="315"/>
      <c r="AF45" s="315"/>
      <c r="AG45" s="315"/>
      <c r="AH45" s="315"/>
      <c r="AI45" s="316"/>
      <c r="AJ45" s="314"/>
      <c r="AK45" s="315"/>
      <c r="AL45" s="316"/>
      <c r="AM45" s="314"/>
      <c r="AN45" s="315"/>
      <c r="AO45" s="316"/>
      <c r="AP45" s="314"/>
      <c r="AQ45" s="315"/>
      <c r="AR45" s="315"/>
      <c r="AS45" s="315"/>
      <c r="AT45" s="316"/>
      <c r="AU45" s="314" t="s">
        <v>47</v>
      </c>
      <c r="AV45" s="315" t="s">
        <v>150</v>
      </c>
      <c r="AW45" s="315" t="s">
        <v>150</v>
      </c>
      <c r="AX45" s="315" t="s">
        <v>150</v>
      </c>
      <c r="AY45" s="315" t="s">
        <v>150</v>
      </c>
      <c r="AZ45" s="315" t="s">
        <v>150</v>
      </c>
      <c r="BA45" s="315" t="s">
        <v>150</v>
      </c>
      <c r="BB45" s="316" t="s">
        <v>150</v>
      </c>
      <c r="BC45" s="314" t="s">
        <v>150</v>
      </c>
      <c r="BD45" s="315" t="s">
        <v>150</v>
      </c>
      <c r="BE45" s="315"/>
      <c r="BF45" s="315" t="s">
        <v>150</v>
      </c>
      <c r="BG45" s="316"/>
      <c r="BH45" s="314"/>
      <c r="BI45" s="315" t="s">
        <v>148</v>
      </c>
      <c r="BJ45" s="316"/>
      <c r="BK45" s="314" t="s">
        <v>148</v>
      </c>
      <c r="BL45" s="315" t="s">
        <v>148</v>
      </c>
      <c r="BM45" s="315"/>
      <c r="BN45" s="316" t="s">
        <v>150</v>
      </c>
      <c r="BO45" s="314" t="s">
        <v>150</v>
      </c>
      <c r="BP45" s="315" t="s">
        <v>150</v>
      </c>
      <c r="BQ45" s="315" t="s">
        <v>150</v>
      </c>
      <c r="BR45" s="315"/>
      <c r="BS45" s="315" t="s">
        <v>147</v>
      </c>
      <c r="BT45" s="315" t="s">
        <v>150</v>
      </c>
      <c r="BU45" s="315" t="s">
        <v>150</v>
      </c>
      <c r="BV45" s="316"/>
      <c r="BW45" s="314" t="s">
        <v>150</v>
      </c>
      <c r="BX45" s="315" t="s">
        <v>148</v>
      </c>
      <c r="BY45" s="315" t="s">
        <v>150</v>
      </c>
      <c r="BZ45" s="315" t="s">
        <v>150</v>
      </c>
      <c r="CA45" s="315" t="s">
        <v>47</v>
      </c>
      <c r="CB45" s="316" t="s">
        <v>47</v>
      </c>
      <c r="CC45" s="314" t="s">
        <v>150</v>
      </c>
      <c r="CD45" s="315" t="s">
        <v>150</v>
      </c>
      <c r="CE45" s="316"/>
      <c r="CF45" s="314"/>
      <c r="CG45" s="315"/>
      <c r="CH45" s="315"/>
      <c r="CI45" s="317"/>
      <c r="CK45" s="236" t="str">
        <f t="shared" si="15"/>
        <v/>
      </c>
      <c r="CL45" s="237">
        <f t="shared" si="16"/>
        <v>1</v>
      </c>
      <c r="CM45" s="237">
        <f t="shared" si="17"/>
        <v>4</v>
      </c>
      <c r="CN45" s="237">
        <f t="shared" si="18"/>
        <v>21</v>
      </c>
      <c r="CO45" s="238">
        <f t="shared" si="19"/>
        <v>3</v>
      </c>
      <c r="CQ45" s="236" t="str">
        <f>desired_skills(C45,"Competenties/Zelfsturend","o")</f>
        <v/>
      </c>
      <c r="CR45" s="237" t="str">
        <f>desired_skills(C45,"Competenties/Zelfsturend","j")</f>
        <v/>
      </c>
      <c r="CS45" s="237" t="str">
        <f>desired_skills(C45,"Competenties/Zelfsturend","m")</f>
        <v/>
      </c>
      <c r="CT45" s="237" t="str">
        <f>desired_skills(C45,"Competenties/Zelfsturend","s")</f>
        <v/>
      </c>
      <c r="CU45" s="238" t="str">
        <f>desired_skills(C45,"Competenties/Zelfsturend","e")</f>
        <v/>
      </c>
      <c r="CW45" s="236" t="str">
        <f>calc_gap('Matrix 171007_1815'!$CK$45,'Matrix 171007_1815'!$CQ$45)</f>
        <v/>
      </c>
      <c r="CX45" s="237" t="str">
        <f>calc_gap('Matrix 171007_1815'!$CL$45,'Matrix 171007_1815'!$CR$45)</f>
        <v/>
      </c>
      <c r="CY45" s="237" t="str">
        <f>calc_gap('Matrix 171007_1815'!$CM$45,'Matrix 171007_1815'!$CS$45)</f>
        <v/>
      </c>
      <c r="CZ45" s="237" t="str">
        <f>calc_gap('Matrix 171007_1815'!$CN$45,'Matrix 171007_1815'!$CT$45)</f>
        <v/>
      </c>
      <c r="DA45" s="238" t="str">
        <f>calc_gap('Matrix 171007_1815'!$CO$45,'Matrix 171007_1815'!$CU$45)</f>
        <v/>
      </c>
    </row>
    <row r="46" spans="2:105" x14ac:dyDescent="0.25">
      <c r="B46" s="435"/>
      <c r="C46" s="291" t="s">
        <v>89</v>
      </c>
      <c r="D46" s="314"/>
      <c r="E46" s="315"/>
      <c r="F46" s="315"/>
      <c r="G46" s="315"/>
      <c r="H46" s="315"/>
      <c r="I46" s="315"/>
      <c r="J46" s="315"/>
      <c r="K46" s="316"/>
      <c r="L46" s="314"/>
      <c r="M46" s="315"/>
      <c r="N46" s="315"/>
      <c r="O46" s="316"/>
      <c r="P46" s="314"/>
      <c r="Q46" s="315"/>
      <c r="R46" s="315"/>
      <c r="S46" s="315"/>
      <c r="T46" s="315"/>
      <c r="U46" s="315"/>
      <c r="V46" s="315"/>
      <c r="W46" s="315"/>
      <c r="X46" s="315"/>
      <c r="Y46" s="315"/>
      <c r="Z46" s="315"/>
      <c r="AA46" s="315"/>
      <c r="AB46" s="315"/>
      <c r="AC46" s="315"/>
      <c r="AD46" s="315"/>
      <c r="AE46" s="315"/>
      <c r="AF46" s="315"/>
      <c r="AG46" s="315"/>
      <c r="AH46" s="315"/>
      <c r="AI46" s="316"/>
      <c r="AJ46" s="314"/>
      <c r="AK46" s="315"/>
      <c r="AL46" s="316"/>
      <c r="AM46" s="314"/>
      <c r="AN46" s="315"/>
      <c r="AO46" s="316"/>
      <c r="AP46" s="314"/>
      <c r="AQ46" s="315"/>
      <c r="AR46" s="315"/>
      <c r="AS46" s="315"/>
      <c r="AT46" s="316"/>
      <c r="AU46" s="314" t="s">
        <v>150</v>
      </c>
      <c r="AV46" s="315" t="s">
        <v>148</v>
      </c>
      <c r="AW46" s="315" t="s">
        <v>150</v>
      </c>
      <c r="AX46" s="315" t="s">
        <v>150</v>
      </c>
      <c r="AY46" s="315" t="s">
        <v>148</v>
      </c>
      <c r="AZ46" s="315" t="s">
        <v>150</v>
      </c>
      <c r="BA46" s="315" t="s">
        <v>150</v>
      </c>
      <c r="BB46" s="316" t="s">
        <v>150</v>
      </c>
      <c r="BC46" s="314" t="s">
        <v>150</v>
      </c>
      <c r="BD46" s="315" t="s">
        <v>148</v>
      </c>
      <c r="BE46" s="315"/>
      <c r="BF46" s="315" t="s">
        <v>148</v>
      </c>
      <c r="BG46" s="316"/>
      <c r="BH46" s="314"/>
      <c r="BI46" s="315" t="s">
        <v>147</v>
      </c>
      <c r="BJ46" s="316"/>
      <c r="BK46" s="314" t="s">
        <v>147</v>
      </c>
      <c r="BL46" s="315" t="s">
        <v>148</v>
      </c>
      <c r="BM46" s="315"/>
      <c r="BN46" s="316" t="s">
        <v>148</v>
      </c>
      <c r="BO46" s="314" t="s">
        <v>148</v>
      </c>
      <c r="BP46" s="315" t="s">
        <v>150</v>
      </c>
      <c r="BQ46" s="315" t="s">
        <v>148</v>
      </c>
      <c r="BR46" s="315"/>
      <c r="BS46" s="315"/>
      <c r="BT46" s="315" t="s">
        <v>148</v>
      </c>
      <c r="BU46" s="315" t="s">
        <v>150</v>
      </c>
      <c r="BV46" s="316"/>
      <c r="BW46" s="314" t="s">
        <v>148</v>
      </c>
      <c r="BX46" s="315" t="s">
        <v>148</v>
      </c>
      <c r="BY46" s="315" t="s">
        <v>148</v>
      </c>
      <c r="BZ46" s="315" t="s">
        <v>150</v>
      </c>
      <c r="CA46" s="315" t="s">
        <v>150</v>
      </c>
      <c r="CB46" s="316" t="s">
        <v>148</v>
      </c>
      <c r="CC46" s="314" t="s">
        <v>148</v>
      </c>
      <c r="CD46" s="315" t="s">
        <v>47</v>
      </c>
      <c r="CE46" s="316"/>
      <c r="CF46" s="314"/>
      <c r="CG46" s="315"/>
      <c r="CH46" s="315"/>
      <c r="CI46" s="317"/>
      <c r="CK46" s="236" t="str">
        <f t="shared" si="15"/>
        <v/>
      </c>
      <c r="CL46" s="237">
        <f t="shared" si="16"/>
        <v>2</v>
      </c>
      <c r="CM46" s="237">
        <f t="shared" si="17"/>
        <v>14</v>
      </c>
      <c r="CN46" s="237">
        <f t="shared" si="18"/>
        <v>11</v>
      </c>
      <c r="CO46" s="238">
        <f t="shared" si="19"/>
        <v>1</v>
      </c>
      <c r="CQ46" s="236" t="str">
        <f>desired_skills(C46,"Competenties/Inspireren &amp; beïnvloeden","o")</f>
        <v/>
      </c>
      <c r="CR46" s="237" t="str">
        <f>desired_skills(C46,"Competenties/Inspireren &amp; beïnvloeden","j")</f>
        <v/>
      </c>
      <c r="CS46" s="237" t="str">
        <f>desired_skills(C46,"Competenties/Inspireren &amp; beïnvloeden","m")</f>
        <v/>
      </c>
      <c r="CT46" s="237" t="str">
        <f>desired_skills(C46,"Competenties/Inspireren &amp; beïnvloeden","s")</f>
        <v/>
      </c>
      <c r="CU46" s="238" t="str">
        <f>desired_skills(C46,"Competenties/Inspireren &amp; beïnvloeden","e")</f>
        <v/>
      </c>
      <c r="CW46" s="236" t="str">
        <f>calc_gap('Matrix 171007_1815'!$CK$46,'Matrix 171007_1815'!$CQ$46)</f>
        <v/>
      </c>
      <c r="CX46" s="237" t="str">
        <f>calc_gap('Matrix 171007_1815'!$CL$46,'Matrix 171007_1815'!$CR$46)</f>
        <v/>
      </c>
      <c r="CY46" s="237" t="str">
        <f>calc_gap('Matrix 171007_1815'!$CM$46,'Matrix 171007_1815'!$CS$46)</f>
        <v/>
      </c>
      <c r="CZ46" s="237" t="str">
        <f>calc_gap('Matrix 171007_1815'!$CN$46,'Matrix 171007_1815'!$CT$46)</f>
        <v/>
      </c>
      <c r="DA46" s="238" t="str">
        <f>calc_gap('Matrix 171007_1815'!$CO$46,'Matrix 171007_1815'!$CU$46)</f>
        <v/>
      </c>
    </row>
    <row r="47" spans="2:105" x14ac:dyDescent="0.25">
      <c r="B47" s="435"/>
      <c r="C47" s="291" t="s">
        <v>90</v>
      </c>
      <c r="D47" s="314"/>
      <c r="E47" s="315"/>
      <c r="F47" s="315"/>
      <c r="G47" s="315"/>
      <c r="H47" s="315"/>
      <c r="I47" s="315"/>
      <c r="J47" s="315"/>
      <c r="K47" s="316"/>
      <c r="L47" s="314"/>
      <c r="M47" s="315"/>
      <c r="N47" s="315"/>
      <c r="O47" s="316"/>
      <c r="P47" s="314"/>
      <c r="Q47" s="315"/>
      <c r="R47" s="315"/>
      <c r="S47" s="315"/>
      <c r="T47" s="315"/>
      <c r="U47" s="315"/>
      <c r="V47" s="315"/>
      <c r="W47" s="315"/>
      <c r="X47" s="315"/>
      <c r="Y47" s="315"/>
      <c r="Z47" s="315"/>
      <c r="AA47" s="315"/>
      <c r="AB47" s="315"/>
      <c r="AC47" s="315"/>
      <c r="AD47" s="315"/>
      <c r="AE47" s="315"/>
      <c r="AF47" s="315"/>
      <c r="AG47" s="315"/>
      <c r="AH47" s="315"/>
      <c r="AI47" s="316"/>
      <c r="AJ47" s="314"/>
      <c r="AK47" s="315"/>
      <c r="AL47" s="316"/>
      <c r="AM47" s="314"/>
      <c r="AN47" s="315"/>
      <c r="AO47" s="316"/>
      <c r="AP47" s="314"/>
      <c r="AQ47" s="315"/>
      <c r="AR47" s="315"/>
      <c r="AS47" s="315"/>
      <c r="AT47" s="316"/>
      <c r="AU47" s="314" t="s">
        <v>47</v>
      </c>
      <c r="AV47" s="315" t="s">
        <v>150</v>
      </c>
      <c r="AW47" s="315" t="s">
        <v>150</v>
      </c>
      <c r="AX47" s="315" t="s">
        <v>150</v>
      </c>
      <c r="AY47" s="315" t="s">
        <v>150</v>
      </c>
      <c r="AZ47" s="315" t="s">
        <v>150</v>
      </c>
      <c r="BA47" s="315" t="s">
        <v>150</v>
      </c>
      <c r="BB47" s="316" t="s">
        <v>150</v>
      </c>
      <c r="BC47" s="314" t="s">
        <v>150</v>
      </c>
      <c r="BD47" s="315" t="s">
        <v>148</v>
      </c>
      <c r="BE47" s="315"/>
      <c r="BF47" s="315" t="s">
        <v>150</v>
      </c>
      <c r="BG47" s="316"/>
      <c r="BH47" s="314"/>
      <c r="BI47" s="315" t="s">
        <v>148</v>
      </c>
      <c r="BJ47" s="316"/>
      <c r="BK47" s="314" t="s">
        <v>148</v>
      </c>
      <c r="BL47" s="315" t="s">
        <v>148</v>
      </c>
      <c r="BM47" s="315"/>
      <c r="BN47" s="316" t="s">
        <v>150</v>
      </c>
      <c r="BO47" s="314" t="s">
        <v>148</v>
      </c>
      <c r="BP47" s="315" t="s">
        <v>150</v>
      </c>
      <c r="BQ47" s="315" t="s">
        <v>150</v>
      </c>
      <c r="BR47" s="315"/>
      <c r="BS47" s="315"/>
      <c r="BT47" s="315" t="s">
        <v>150</v>
      </c>
      <c r="BU47" s="315" t="s">
        <v>150</v>
      </c>
      <c r="BV47" s="316"/>
      <c r="BW47" s="314" t="s">
        <v>150</v>
      </c>
      <c r="BX47" s="315" t="s">
        <v>150</v>
      </c>
      <c r="BY47" s="315" t="s">
        <v>47</v>
      </c>
      <c r="BZ47" s="315" t="s">
        <v>148</v>
      </c>
      <c r="CA47" s="315" t="s">
        <v>47</v>
      </c>
      <c r="CB47" s="316" t="s">
        <v>150</v>
      </c>
      <c r="CC47" s="314" t="s">
        <v>147</v>
      </c>
      <c r="CD47" s="315" t="s">
        <v>150</v>
      </c>
      <c r="CE47" s="316"/>
      <c r="CF47" s="314"/>
      <c r="CG47" s="315"/>
      <c r="CH47" s="315"/>
      <c r="CI47" s="317"/>
      <c r="CK47" s="236" t="str">
        <f t="shared" si="15"/>
        <v/>
      </c>
      <c r="CL47" s="237">
        <f t="shared" si="16"/>
        <v>1</v>
      </c>
      <c r="CM47" s="237">
        <f t="shared" si="17"/>
        <v>6</v>
      </c>
      <c r="CN47" s="237">
        <f t="shared" si="18"/>
        <v>18</v>
      </c>
      <c r="CO47" s="238">
        <f t="shared" si="19"/>
        <v>3</v>
      </c>
      <c r="CQ47" s="236" t="str">
        <f>desired_skills(C47,"Competenties/Resultaatgerichtheid","o")</f>
        <v/>
      </c>
      <c r="CR47" s="237" t="str">
        <f>desired_skills(C47,"Competenties/Resultaatgerichtheid","j")</f>
        <v/>
      </c>
      <c r="CS47" s="237" t="str">
        <f>desired_skills(C47,"Competenties/Resultaatgerichtheid","m")</f>
        <v/>
      </c>
      <c r="CT47" s="237" t="str">
        <f>desired_skills(C47,"Competenties/Resultaatgerichtheid","s")</f>
        <v/>
      </c>
      <c r="CU47" s="238" t="str">
        <f>desired_skills(C47,"Competenties/Resultaatgerichtheid","e")</f>
        <v/>
      </c>
      <c r="CW47" s="236" t="str">
        <f>calc_gap('Matrix 171007_1815'!$CK$47,'Matrix 171007_1815'!$CQ$47)</f>
        <v/>
      </c>
      <c r="CX47" s="237" t="str">
        <f>calc_gap('Matrix 171007_1815'!$CL$47,'Matrix 171007_1815'!$CR$47)</f>
        <v/>
      </c>
      <c r="CY47" s="237" t="str">
        <f>calc_gap('Matrix 171007_1815'!$CM$47,'Matrix 171007_1815'!$CS$47)</f>
        <v/>
      </c>
      <c r="CZ47" s="237" t="str">
        <f>calc_gap('Matrix 171007_1815'!$CN$47,'Matrix 171007_1815'!$CT$47)</f>
        <v/>
      </c>
      <c r="DA47" s="238" t="str">
        <f>calc_gap('Matrix 171007_1815'!$CO$47,'Matrix 171007_1815'!$CU$47)</f>
        <v/>
      </c>
    </row>
    <row r="48" spans="2:105" x14ac:dyDescent="0.25">
      <c r="B48" s="435"/>
      <c r="C48" s="291" t="s">
        <v>91</v>
      </c>
      <c r="D48" s="314"/>
      <c r="E48" s="315"/>
      <c r="F48" s="315"/>
      <c r="G48" s="315"/>
      <c r="H48" s="315"/>
      <c r="I48" s="315"/>
      <c r="J48" s="315"/>
      <c r="K48" s="316"/>
      <c r="L48" s="314"/>
      <c r="M48" s="315"/>
      <c r="N48" s="315"/>
      <c r="O48" s="316"/>
      <c r="P48" s="314"/>
      <c r="Q48" s="315"/>
      <c r="R48" s="315"/>
      <c r="S48" s="315"/>
      <c r="T48" s="315"/>
      <c r="U48" s="315"/>
      <c r="V48" s="315"/>
      <c r="W48" s="315"/>
      <c r="X48" s="315"/>
      <c r="Y48" s="315"/>
      <c r="Z48" s="315"/>
      <c r="AA48" s="315"/>
      <c r="AB48" s="315"/>
      <c r="AC48" s="315"/>
      <c r="AD48" s="315"/>
      <c r="AE48" s="315"/>
      <c r="AF48" s="315"/>
      <c r="AG48" s="315"/>
      <c r="AH48" s="315"/>
      <c r="AI48" s="316"/>
      <c r="AJ48" s="314"/>
      <c r="AK48" s="315"/>
      <c r="AL48" s="316"/>
      <c r="AM48" s="314"/>
      <c r="AN48" s="315"/>
      <c r="AO48" s="316"/>
      <c r="AP48" s="314"/>
      <c r="AQ48" s="315"/>
      <c r="AR48" s="315"/>
      <c r="AS48" s="315"/>
      <c r="AT48" s="316"/>
      <c r="AU48" s="314" t="s">
        <v>148</v>
      </c>
      <c r="AV48" s="315" t="s">
        <v>150</v>
      </c>
      <c r="AW48" s="315" t="s">
        <v>150</v>
      </c>
      <c r="AX48" s="315" t="s">
        <v>148</v>
      </c>
      <c r="AY48" s="315" t="s">
        <v>148</v>
      </c>
      <c r="AZ48" s="315" t="s">
        <v>150</v>
      </c>
      <c r="BA48" s="315" t="s">
        <v>150</v>
      </c>
      <c r="BB48" s="316" t="s">
        <v>150</v>
      </c>
      <c r="BC48" s="314" t="s">
        <v>150</v>
      </c>
      <c r="BD48" s="315" t="s">
        <v>148</v>
      </c>
      <c r="BE48" s="315"/>
      <c r="BF48" s="315" t="s">
        <v>150</v>
      </c>
      <c r="BG48" s="316"/>
      <c r="BH48" s="314"/>
      <c r="BI48" s="315" t="s">
        <v>148</v>
      </c>
      <c r="BJ48" s="316"/>
      <c r="BK48" s="314" t="s">
        <v>147</v>
      </c>
      <c r="BL48" s="315" t="s">
        <v>148</v>
      </c>
      <c r="BM48" s="315"/>
      <c r="BN48" s="316" t="s">
        <v>150</v>
      </c>
      <c r="BO48" s="314" t="s">
        <v>148</v>
      </c>
      <c r="BP48" s="315" t="s">
        <v>150</v>
      </c>
      <c r="BQ48" s="315" t="s">
        <v>148</v>
      </c>
      <c r="BR48" s="315"/>
      <c r="BS48" s="315" t="s">
        <v>147</v>
      </c>
      <c r="BT48" s="315" t="s">
        <v>150</v>
      </c>
      <c r="BU48" s="315" t="s">
        <v>148</v>
      </c>
      <c r="BV48" s="316"/>
      <c r="BW48" s="314" t="s">
        <v>150</v>
      </c>
      <c r="BX48" s="315" t="s">
        <v>150</v>
      </c>
      <c r="BY48" s="315" t="s">
        <v>150</v>
      </c>
      <c r="BZ48" s="315" t="s">
        <v>148</v>
      </c>
      <c r="CA48" s="315" t="s">
        <v>47</v>
      </c>
      <c r="CB48" s="316" t="s">
        <v>150</v>
      </c>
      <c r="CC48" s="314" t="s">
        <v>148</v>
      </c>
      <c r="CD48" s="315" t="s">
        <v>150</v>
      </c>
      <c r="CE48" s="316"/>
      <c r="CF48" s="314"/>
      <c r="CG48" s="315"/>
      <c r="CH48" s="315"/>
      <c r="CI48" s="317"/>
      <c r="CK48" s="236" t="str">
        <f t="shared" si="15"/>
        <v/>
      </c>
      <c r="CL48" s="237">
        <f t="shared" si="16"/>
        <v>2</v>
      </c>
      <c r="CM48" s="237">
        <f t="shared" si="17"/>
        <v>11</v>
      </c>
      <c r="CN48" s="237">
        <f t="shared" si="18"/>
        <v>15</v>
      </c>
      <c r="CO48" s="238">
        <f t="shared" si="19"/>
        <v>1</v>
      </c>
      <c r="CQ48" s="236" t="str">
        <f>desired_skills(C48,"Competenties/Organisatiesensitiviteit","o")</f>
        <v/>
      </c>
      <c r="CR48" s="237" t="str">
        <f>desired_skills(C48,"Competenties/Organisatiesensitiviteit","j")</f>
        <v/>
      </c>
      <c r="CS48" s="237" t="str">
        <f>desired_skills(C48,"Competenties/Organisatiesensitiviteit","m")</f>
        <v/>
      </c>
      <c r="CT48" s="237" t="str">
        <f>desired_skills(C48,"Competenties/Organisatiesensitiviteit","s")</f>
        <v/>
      </c>
      <c r="CU48" s="238" t="str">
        <f>desired_skills(C48,"Competenties/Organisatiesensitiviteit","e")</f>
        <v/>
      </c>
      <c r="CW48" s="236" t="str">
        <f>calc_gap('Matrix 171007_1815'!$CK$48,'Matrix 171007_1815'!$CQ$48)</f>
        <v/>
      </c>
      <c r="CX48" s="237" t="str">
        <f>calc_gap('Matrix 171007_1815'!$CL$48,'Matrix 171007_1815'!$CR$48)</f>
        <v/>
      </c>
      <c r="CY48" s="237" t="str">
        <f>calc_gap('Matrix 171007_1815'!$CM$48,'Matrix 171007_1815'!$CS$48)</f>
        <v/>
      </c>
      <c r="CZ48" s="237" t="str">
        <f>calc_gap('Matrix 171007_1815'!$CN$48,'Matrix 171007_1815'!$CT$48)</f>
        <v/>
      </c>
      <c r="DA48" s="238" t="str">
        <f>calc_gap('Matrix 171007_1815'!$CO$48,'Matrix 171007_1815'!$CU$48)</f>
        <v/>
      </c>
    </row>
    <row r="49" spans="2:105" x14ac:dyDescent="0.25">
      <c r="B49" s="435"/>
      <c r="C49" s="291" t="s">
        <v>226</v>
      </c>
      <c r="D49" s="314"/>
      <c r="E49" s="315"/>
      <c r="F49" s="315"/>
      <c r="G49" s="315"/>
      <c r="H49" s="315"/>
      <c r="I49" s="315"/>
      <c r="J49" s="315"/>
      <c r="K49" s="316"/>
      <c r="L49" s="314"/>
      <c r="M49" s="315"/>
      <c r="N49" s="315"/>
      <c r="O49" s="316"/>
      <c r="P49" s="314"/>
      <c r="Q49" s="315"/>
      <c r="R49" s="315"/>
      <c r="S49" s="315"/>
      <c r="T49" s="315"/>
      <c r="U49" s="315"/>
      <c r="V49" s="315"/>
      <c r="W49" s="315"/>
      <c r="X49" s="315"/>
      <c r="Y49" s="315"/>
      <c r="Z49" s="315"/>
      <c r="AA49" s="315"/>
      <c r="AB49" s="315"/>
      <c r="AC49" s="315"/>
      <c r="AD49" s="315"/>
      <c r="AE49" s="315"/>
      <c r="AF49" s="315"/>
      <c r="AG49" s="315"/>
      <c r="AH49" s="315"/>
      <c r="AI49" s="316"/>
      <c r="AJ49" s="314"/>
      <c r="AK49" s="315"/>
      <c r="AL49" s="316"/>
      <c r="AM49" s="314"/>
      <c r="AN49" s="315"/>
      <c r="AO49" s="316"/>
      <c r="AP49" s="314"/>
      <c r="AQ49" s="315"/>
      <c r="AR49" s="315"/>
      <c r="AS49" s="315"/>
      <c r="AT49" s="316"/>
      <c r="AU49" s="314"/>
      <c r="AV49" s="315"/>
      <c r="AW49" s="315"/>
      <c r="AX49" s="315"/>
      <c r="AY49" s="315"/>
      <c r="AZ49" s="315"/>
      <c r="BA49" s="315"/>
      <c r="BB49" s="316"/>
      <c r="BC49" s="314"/>
      <c r="BD49" s="315"/>
      <c r="BE49" s="315"/>
      <c r="BF49" s="315"/>
      <c r="BG49" s="316"/>
      <c r="BH49" s="314"/>
      <c r="BI49" s="315"/>
      <c r="BJ49" s="316"/>
      <c r="BK49" s="314"/>
      <c r="BL49" s="315"/>
      <c r="BM49" s="315"/>
      <c r="BN49" s="316"/>
      <c r="BO49" s="314"/>
      <c r="BP49" s="315"/>
      <c r="BQ49" s="315"/>
      <c r="BR49" s="315"/>
      <c r="BS49" s="315"/>
      <c r="BT49" s="315"/>
      <c r="BU49" s="315"/>
      <c r="BV49" s="316"/>
      <c r="BW49" s="314"/>
      <c r="BX49" s="315"/>
      <c r="BY49" s="315"/>
      <c r="BZ49" s="315"/>
      <c r="CA49" s="315"/>
      <c r="CB49" s="316"/>
      <c r="CC49" s="314"/>
      <c r="CD49" s="315"/>
      <c r="CE49" s="316"/>
      <c r="CF49" s="314"/>
      <c r="CG49" s="315"/>
      <c r="CH49" s="315"/>
      <c r="CI49" s="317"/>
      <c r="CK49" s="236" t="str">
        <f t="shared" si="15"/>
        <v/>
      </c>
      <c r="CL49" s="237" t="str">
        <f t="shared" si="16"/>
        <v/>
      </c>
      <c r="CM49" s="237" t="str">
        <f t="shared" si="17"/>
        <v/>
      </c>
      <c r="CN49" s="237" t="str">
        <f t="shared" si="18"/>
        <v/>
      </c>
      <c r="CO49" s="238" t="str">
        <f t="shared" si="19"/>
        <v/>
      </c>
      <c r="CQ49" s="236" t="str">
        <f>desired_skills(C49,"Competenties/Netwerken en contacten onderhouden en uitbouwen","o")</f>
        <v/>
      </c>
      <c r="CR49" s="237" t="str">
        <f>desired_skills(C49,"Competenties/Netwerken en contacten onderhouden en uitbouwen","j")</f>
        <v/>
      </c>
      <c r="CS49" s="237" t="str">
        <f>desired_skills(C49,"Competenties/Netwerken en contacten onderhouden en uitbouwen","m")</f>
        <v/>
      </c>
      <c r="CT49" s="237" t="str">
        <f>desired_skills(C49,"Competenties/Netwerken en contacten onderhouden en uitbouwen","s")</f>
        <v/>
      </c>
      <c r="CU49" s="238" t="str">
        <f>desired_skills(C49,"Competenties/Netwerken en contacten onderhouden en uitbouwen","e")</f>
        <v/>
      </c>
      <c r="CW49" s="236" t="str">
        <f>calc_gap('Matrix 171007_1815'!$CK$49,'Matrix 171007_1815'!$CQ$49)</f>
        <v/>
      </c>
      <c r="CX49" s="237" t="str">
        <f>calc_gap('Matrix 171007_1815'!$CL$49,'Matrix 171007_1815'!$CR$49)</f>
        <v/>
      </c>
      <c r="CY49" s="237" t="str">
        <f>calc_gap('Matrix 171007_1815'!$CM$49,'Matrix 171007_1815'!$CS$49)</f>
        <v/>
      </c>
      <c r="CZ49" s="237" t="str">
        <f>calc_gap('Matrix 171007_1815'!$CN$49,'Matrix 171007_1815'!$CT$49)</f>
        <v/>
      </c>
      <c r="DA49" s="238" t="str">
        <f>calc_gap('Matrix 171007_1815'!$CO$49,'Matrix 171007_1815'!$CU$49)</f>
        <v/>
      </c>
    </row>
    <row r="50" spans="2:105" ht="15.75" thickBot="1" x14ac:dyDescent="0.3">
      <c r="B50" s="435"/>
      <c r="C50" s="292" t="s">
        <v>227</v>
      </c>
      <c r="D50" s="318"/>
      <c r="E50" s="319"/>
      <c r="F50" s="319"/>
      <c r="G50" s="319"/>
      <c r="H50" s="319"/>
      <c r="I50" s="319"/>
      <c r="J50" s="319"/>
      <c r="K50" s="320"/>
      <c r="L50" s="318"/>
      <c r="M50" s="319"/>
      <c r="N50" s="319"/>
      <c r="O50" s="320"/>
      <c r="P50" s="318"/>
      <c r="Q50" s="319"/>
      <c r="R50" s="319"/>
      <c r="S50" s="319"/>
      <c r="T50" s="319"/>
      <c r="U50" s="319"/>
      <c r="V50" s="319"/>
      <c r="W50" s="319"/>
      <c r="X50" s="319"/>
      <c r="Y50" s="319"/>
      <c r="Z50" s="319"/>
      <c r="AA50" s="319"/>
      <c r="AB50" s="319"/>
      <c r="AC50" s="319"/>
      <c r="AD50" s="319"/>
      <c r="AE50" s="319"/>
      <c r="AF50" s="319"/>
      <c r="AG50" s="319"/>
      <c r="AH50" s="319"/>
      <c r="AI50" s="320"/>
      <c r="AJ50" s="318"/>
      <c r="AK50" s="319"/>
      <c r="AL50" s="320"/>
      <c r="AM50" s="318"/>
      <c r="AN50" s="319"/>
      <c r="AO50" s="320"/>
      <c r="AP50" s="318"/>
      <c r="AQ50" s="319"/>
      <c r="AR50" s="319"/>
      <c r="AS50" s="319"/>
      <c r="AT50" s="320"/>
      <c r="AU50" s="318"/>
      <c r="AV50" s="319"/>
      <c r="AW50" s="319"/>
      <c r="AX50" s="319"/>
      <c r="AY50" s="319"/>
      <c r="AZ50" s="319"/>
      <c r="BA50" s="319"/>
      <c r="BB50" s="320"/>
      <c r="BC50" s="318"/>
      <c r="BD50" s="319"/>
      <c r="BE50" s="319"/>
      <c r="BF50" s="319"/>
      <c r="BG50" s="320"/>
      <c r="BH50" s="318"/>
      <c r="BI50" s="319"/>
      <c r="BJ50" s="320"/>
      <c r="BK50" s="318"/>
      <c r="BL50" s="319"/>
      <c r="BM50" s="319"/>
      <c r="BN50" s="320"/>
      <c r="BO50" s="318"/>
      <c r="BP50" s="319"/>
      <c r="BQ50" s="319"/>
      <c r="BR50" s="319"/>
      <c r="BS50" s="319"/>
      <c r="BT50" s="319"/>
      <c r="BU50" s="319"/>
      <c r="BV50" s="320"/>
      <c r="BW50" s="318"/>
      <c r="BX50" s="319"/>
      <c r="BY50" s="319"/>
      <c r="BZ50" s="319"/>
      <c r="CA50" s="319"/>
      <c r="CB50" s="320"/>
      <c r="CC50" s="318"/>
      <c r="CD50" s="319"/>
      <c r="CE50" s="320"/>
      <c r="CF50" s="318"/>
      <c r="CG50" s="319"/>
      <c r="CH50" s="319"/>
      <c r="CI50" s="321"/>
      <c r="CK50" s="239" t="str">
        <f t="shared" si="15"/>
        <v/>
      </c>
      <c r="CL50" s="240" t="str">
        <f t="shared" si="16"/>
        <v/>
      </c>
      <c r="CM50" s="240" t="str">
        <f t="shared" si="17"/>
        <v/>
      </c>
      <c r="CN50" s="240" t="str">
        <f t="shared" si="18"/>
        <v/>
      </c>
      <c r="CO50" s="241" t="str">
        <f t="shared" si="19"/>
        <v/>
      </c>
      <c r="CQ50" s="239" t="str">
        <f>desired_skills(C50,"Competenties/Werken in zelfsturend team","o")</f>
        <v/>
      </c>
      <c r="CR50" s="240" t="str">
        <f>desired_skills(C50,"Competenties/Werken in zelfsturend team","j")</f>
        <v/>
      </c>
      <c r="CS50" s="240" t="str">
        <f>desired_skills(C50,"Competenties/Werken in zelfsturend team","m")</f>
        <v/>
      </c>
      <c r="CT50" s="240" t="str">
        <f>desired_skills(C50,"Competenties/Werken in zelfsturend team","s")</f>
        <v/>
      </c>
      <c r="CU50" s="241" t="str">
        <f>desired_skills(C50,"Competenties/Werken in zelfsturend team","e")</f>
        <v/>
      </c>
      <c r="CW50" s="239" t="str">
        <f>calc_gap('Matrix 171007_1815'!$CK$50,'Matrix 171007_1815'!$CQ$50)</f>
        <v/>
      </c>
      <c r="CX50" s="240" t="str">
        <f>calc_gap('Matrix 171007_1815'!$CL$50,'Matrix 171007_1815'!$CR$50)</f>
        <v/>
      </c>
      <c r="CY50" s="240" t="str">
        <f>calc_gap('Matrix 171007_1815'!$CM$50,'Matrix 171007_1815'!$CS$50)</f>
        <v/>
      </c>
      <c r="CZ50" s="240" t="str">
        <f>calc_gap('Matrix 171007_1815'!$CN$50,'Matrix 171007_1815'!$CT$50)</f>
        <v/>
      </c>
      <c r="DA50" s="241" t="str">
        <f>calc_gap('Matrix 171007_1815'!$CO$50,'Matrix 171007_1815'!$CU$50)</f>
        <v/>
      </c>
    </row>
    <row r="51" spans="2:105" ht="12.75" customHeight="1" thickTop="1" thickBot="1" x14ac:dyDescent="0.3">
      <c r="B51" s="436"/>
      <c r="C51" s="248"/>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2"/>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2"/>
      <c r="CH51" s="322"/>
      <c r="CI51" s="322"/>
      <c r="CK51" s="249"/>
      <c r="CL51" s="249"/>
      <c r="CM51" s="249"/>
      <c r="CN51" s="249"/>
      <c r="CO51" s="249"/>
      <c r="CQ51" s="249"/>
      <c r="CR51" s="249"/>
      <c r="CS51" s="249"/>
      <c r="CT51" s="249"/>
      <c r="CU51" s="249"/>
      <c r="CW51" s="249"/>
      <c r="CX51" s="249"/>
      <c r="CY51" s="249"/>
      <c r="CZ51" s="249"/>
      <c r="DA51" s="249"/>
    </row>
    <row r="52" spans="2:105" ht="15.75" thickTop="1" x14ac:dyDescent="0.25">
      <c r="B52" s="434" t="s">
        <v>122</v>
      </c>
      <c r="C52" s="290" t="s">
        <v>92</v>
      </c>
      <c r="D52" s="310"/>
      <c r="E52" s="311"/>
      <c r="F52" s="311"/>
      <c r="G52" s="311"/>
      <c r="H52" s="311"/>
      <c r="I52" s="311"/>
      <c r="J52" s="311"/>
      <c r="K52" s="312"/>
      <c r="L52" s="310"/>
      <c r="M52" s="311"/>
      <c r="N52" s="311"/>
      <c r="O52" s="312"/>
      <c r="P52" s="310"/>
      <c r="Q52" s="311"/>
      <c r="R52" s="311"/>
      <c r="S52" s="311"/>
      <c r="T52" s="311"/>
      <c r="U52" s="311"/>
      <c r="V52" s="311"/>
      <c r="W52" s="311"/>
      <c r="X52" s="311"/>
      <c r="Y52" s="311"/>
      <c r="Z52" s="311"/>
      <c r="AA52" s="311"/>
      <c r="AB52" s="311"/>
      <c r="AC52" s="311"/>
      <c r="AD52" s="311"/>
      <c r="AE52" s="311"/>
      <c r="AF52" s="311"/>
      <c r="AG52" s="311"/>
      <c r="AH52" s="311"/>
      <c r="AI52" s="312"/>
      <c r="AJ52" s="310"/>
      <c r="AK52" s="311"/>
      <c r="AL52" s="312"/>
      <c r="AM52" s="310"/>
      <c r="AN52" s="311"/>
      <c r="AO52" s="312"/>
      <c r="AP52" s="310"/>
      <c r="AQ52" s="311"/>
      <c r="AR52" s="311"/>
      <c r="AS52" s="311"/>
      <c r="AT52" s="312"/>
      <c r="AU52" s="310" t="s">
        <v>148</v>
      </c>
      <c r="AV52" s="311" t="s">
        <v>148</v>
      </c>
      <c r="AW52" s="311" t="s">
        <v>147</v>
      </c>
      <c r="AX52" s="311" t="s">
        <v>148</v>
      </c>
      <c r="AY52" s="311" t="s">
        <v>148</v>
      </c>
      <c r="AZ52" s="311" t="s">
        <v>147</v>
      </c>
      <c r="BA52" s="311" t="s">
        <v>147</v>
      </c>
      <c r="BB52" s="312" t="s">
        <v>148</v>
      </c>
      <c r="BC52" s="310" t="s">
        <v>147</v>
      </c>
      <c r="BD52" s="311" t="s">
        <v>148</v>
      </c>
      <c r="BE52" s="311"/>
      <c r="BF52" s="311" t="s">
        <v>150</v>
      </c>
      <c r="BG52" s="312"/>
      <c r="BH52" s="310"/>
      <c r="BI52" s="311" t="s">
        <v>148</v>
      </c>
      <c r="BJ52" s="312"/>
      <c r="BK52" s="310" t="s">
        <v>147</v>
      </c>
      <c r="BL52" s="311" t="s">
        <v>148</v>
      </c>
      <c r="BM52" s="311"/>
      <c r="BN52" s="312" t="s">
        <v>150</v>
      </c>
      <c r="BO52" s="310" t="s">
        <v>148</v>
      </c>
      <c r="BP52" s="311" t="s">
        <v>148</v>
      </c>
      <c r="BQ52" s="311" t="s">
        <v>150</v>
      </c>
      <c r="BR52" s="311"/>
      <c r="BS52" s="311" t="s">
        <v>147</v>
      </c>
      <c r="BT52" s="311" t="s">
        <v>148</v>
      </c>
      <c r="BU52" s="311" t="s">
        <v>148</v>
      </c>
      <c r="BV52" s="312"/>
      <c r="BW52" s="310" t="s">
        <v>150</v>
      </c>
      <c r="BX52" s="311" t="s">
        <v>148</v>
      </c>
      <c r="BY52" s="311" t="s">
        <v>150</v>
      </c>
      <c r="BZ52" s="311" t="s">
        <v>148</v>
      </c>
      <c r="CA52" s="311" t="s">
        <v>150</v>
      </c>
      <c r="CB52" s="312" t="s">
        <v>150</v>
      </c>
      <c r="CC52" s="310" t="s">
        <v>150</v>
      </c>
      <c r="CD52" s="311" t="s">
        <v>148</v>
      </c>
      <c r="CE52" s="312"/>
      <c r="CF52" s="310"/>
      <c r="CG52" s="311"/>
      <c r="CH52" s="311"/>
      <c r="CI52" s="313"/>
      <c r="CK52" s="233" t="str">
        <f t="shared" ref="CK52:CK59" si="20">IF(COUNTIF(D52:CI52,"o")&gt;0,COUNTIF(D52:CI52,"o"),"")</f>
        <v/>
      </c>
      <c r="CL52" s="234">
        <f t="shared" ref="CL52:CL59" si="21">IF(COUNTIF(D52:CI52,"j")&gt;0,COUNTIF(D52:CI52,"j"),"")</f>
        <v>6</v>
      </c>
      <c r="CM52" s="234">
        <f t="shared" ref="CM52:CM59" si="22">IF(COUNTIF(D52:CI52,"m")&gt;0,COUNTIF(D52:CI52,"m"),"")</f>
        <v>15</v>
      </c>
      <c r="CN52" s="234">
        <f t="shared" ref="CN52:CN59" si="23">IF(COUNTIF(D52:CI52,"s")&gt;0,COUNTIF(D52:CI52,"s"),"")</f>
        <v>8</v>
      </c>
      <c r="CO52" s="235" t="str">
        <f t="shared" ref="CO52:CO59" si="24">IF(COUNTIF(D52:CI52,"e")&gt;0,COUNTIF(D52:CI52,"e"),"")</f>
        <v/>
      </c>
      <c r="CQ52" s="233" t="str">
        <f>desired_skills(C52,"Vaardigheden/Excel/VBA","o")</f>
        <v>26</v>
      </c>
      <c r="CR52" s="234" t="str">
        <f>desired_skills(C52,"Vaardigheden/Excel/VBA","j")</f>
        <v/>
      </c>
      <c r="CS52" s="234" t="str">
        <f>desired_skills(C52,"Vaardigheden/Excel/VBA","m")</f>
        <v/>
      </c>
      <c r="CT52" s="234" t="str">
        <f>desired_skills(C52,"Vaardigheden/Excel/VBA","s")</f>
        <v/>
      </c>
      <c r="CU52" s="235" t="str">
        <f>desired_skills(C52,"Vaardigheden/Excel/VBA","e")</f>
        <v/>
      </c>
      <c r="CW52" s="233" t="str">
        <f>calc_gap('Matrix 171007_1815'!$CK$52,'Matrix 171007_1815'!$CQ$52)</f>
        <v/>
      </c>
      <c r="CX52" s="234" t="str">
        <f>calc_gap('Matrix 171007_1815'!$CL$52,'Matrix 171007_1815'!$CR$52)</f>
        <v/>
      </c>
      <c r="CY52" s="234" t="str">
        <f>calc_gap('Matrix 171007_1815'!$CM$52,'Matrix 171007_1815'!$CS$52)</f>
        <v/>
      </c>
      <c r="CZ52" s="234" t="str">
        <f>calc_gap('Matrix 171007_1815'!$CN$52,'Matrix 171007_1815'!$CT$52)</f>
        <v/>
      </c>
      <c r="DA52" s="235" t="str">
        <f>calc_gap('Matrix 171007_1815'!$CO$52,'Matrix 171007_1815'!$CU$52)</f>
        <v/>
      </c>
    </row>
    <row r="53" spans="2:105" x14ac:dyDescent="0.25">
      <c r="B53" s="435"/>
      <c r="C53" s="291" t="s">
        <v>93</v>
      </c>
      <c r="D53" s="314"/>
      <c r="E53" s="315"/>
      <c r="F53" s="315"/>
      <c r="G53" s="315"/>
      <c r="H53" s="315"/>
      <c r="I53" s="315"/>
      <c r="J53" s="315"/>
      <c r="K53" s="316"/>
      <c r="L53" s="314"/>
      <c r="M53" s="315"/>
      <c r="N53" s="315"/>
      <c r="O53" s="316"/>
      <c r="P53" s="314"/>
      <c r="Q53" s="315"/>
      <c r="R53" s="315"/>
      <c r="S53" s="315"/>
      <c r="T53" s="315"/>
      <c r="U53" s="315"/>
      <c r="V53" s="315"/>
      <c r="W53" s="315"/>
      <c r="X53" s="315"/>
      <c r="Y53" s="315"/>
      <c r="Z53" s="315"/>
      <c r="AA53" s="315"/>
      <c r="AB53" s="315"/>
      <c r="AC53" s="315"/>
      <c r="AD53" s="315"/>
      <c r="AE53" s="315"/>
      <c r="AF53" s="315"/>
      <c r="AG53" s="315"/>
      <c r="AH53" s="315"/>
      <c r="AI53" s="316"/>
      <c r="AJ53" s="314"/>
      <c r="AK53" s="315"/>
      <c r="AL53" s="316"/>
      <c r="AM53" s="314"/>
      <c r="AN53" s="315"/>
      <c r="AO53" s="316"/>
      <c r="AP53" s="314"/>
      <c r="AQ53" s="315"/>
      <c r="AR53" s="315"/>
      <c r="AS53" s="315"/>
      <c r="AT53" s="316"/>
      <c r="AU53" s="314" t="s">
        <v>147</v>
      </c>
      <c r="AV53" s="315" t="s">
        <v>148</v>
      </c>
      <c r="AW53" s="315" t="s">
        <v>150</v>
      </c>
      <c r="AX53" s="315" t="s">
        <v>150</v>
      </c>
      <c r="AY53" s="315" t="s">
        <v>150</v>
      </c>
      <c r="AZ53" s="315" t="s">
        <v>148</v>
      </c>
      <c r="BA53" s="315"/>
      <c r="BB53" s="316" t="s">
        <v>150</v>
      </c>
      <c r="BC53" s="314" t="s">
        <v>47</v>
      </c>
      <c r="BD53" s="315" t="s">
        <v>149</v>
      </c>
      <c r="BE53" s="315"/>
      <c r="BF53" s="315" t="s">
        <v>150</v>
      </c>
      <c r="BG53" s="316"/>
      <c r="BH53" s="314"/>
      <c r="BI53" s="315"/>
      <c r="BJ53" s="316"/>
      <c r="BK53" s="314"/>
      <c r="BL53" s="315" t="s">
        <v>148</v>
      </c>
      <c r="BM53" s="315"/>
      <c r="BN53" s="316" t="s">
        <v>148</v>
      </c>
      <c r="BO53" s="314"/>
      <c r="BP53" s="315" t="s">
        <v>148</v>
      </c>
      <c r="BQ53" s="315"/>
      <c r="BR53" s="315"/>
      <c r="BS53" s="315"/>
      <c r="BT53" s="315"/>
      <c r="BU53" s="315" t="s">
        <v>150</v>
      </c>
      <c r="BV53" s="316"/>
      <c r="BW53" s="314" t="s">
        <v>147</v>
      </c>
      <c r="BX53" s="315"/>
      <c r="BY53" s="315"/>
      <c r="BZ53" s="315"/>
      <c r="CA53" s="315" t="s">
        <v>147</v>
      </c>
      <c r="CB53" s="316"/>
      <c r="CC53" s="314"/>
      <c r="CD53" s="315" t="s">
        <v>148</v>
      </c>
      <c r="CE53" s="316"/>
      <c r="CF53" s="314"/>
      <c r="CG53" s="315"/>
      <c r="CH53" s="315"/>
      <c r="CI53" s="317"/>
      <c r="CK53" s="236">
        <f t="shared" si="20"/>
        <v>1</v>
      </c>
      <c r="CL53" s="237">
        <f t="shared" si="21"/>
        <v>3</v>
      </c>
      <c r="CM53" s="237">
        <f t="shared" si="22"/>
        <v>6</v>
      </c>
      <c r="CN53" s="237">
        <f t="shared" si="23"/>
        <v>6</v>
      </c>
      <c r="CO53" s="238">
        <f t="shared" si="24"/>
        <v>1</v>
      </c>
      <c r="CQ53" s="236" t="str">
        <f>desired_skills(C53,"Vaardigheden/Product ownership","o")</f>
        <v/>
      </c>
      <c r="CR53" s="237" t="str">
        <f>desired_skills(C53,"Vaardigheden/Product ownership","j")</f>
        <v>27</v>
      </c>
      <c r="CS53" s="237" t="str">
        <f>desired_skills(C53,"Vaardigheden/Product ownership","m")</f>
        <v/>
      </c>
      <c r="CT53" s="237" t="str">
        <f>desired_skills(C53,"Vaardigheden/Product ownership","s")</f>
        <v/>
      </c>
      <c r="CU53" s="238" t="str">
        <f>desired_skills(C53,"Vaardigheden/Product ownership","e")</f>
        <v/>
      </c>
      <c r="CW53" s="236" t="str">
        <f>calc_gap('Matrix 171007_1815'!$CK$53,'Matrix 171007_1815'!$CQ$53)</f>
        <v/>
      </c>
      <c r="CX53" s="237" t="str">
        <f>calc_gap('Matrix 171007_1815'!$CL$53,'Matrix 171007_1815'!$CR$53)</f>
        <v>24</v>
      </c>
      <c r="CY53" s="237" t="str">
        <f>calc_gap('Matrix 171007_1815'!$CM$53,'Matrix 171007_1815'!$CS$53)</f>
        <v/>
      </c>
      <c r="CZ53" s="237" t="str">
        <f>calc_gap('Matrix 171007_1815'!$CN$53,'Matrix 171007_1815'!$CT$53)</f>
        <v/>
      </c>
      <c r="DA53" s="238" t="str">
        <f>calc_gap('Matrix 171007_1815'!$CO$53,'Matrix 171007_1815'!$CU$53)</f>
        <v/>
      </c>
    </row>
    <row r="54" spans="2:105" x14ac:dyDescent="0.25">
      <c r="B54" s="435"/>
      <c r="C54" s="291" t="s">
        <v>94</v>
      </c>
      <c r="D54" s="314"/>
      <c r="E54" s="315"/>
      <c r="F54" s="315"/>
      <c r="G54" s="315"/>
      <c r="H54" s="315"/>
      <c r="I54" s="315"/>
      <c r="J54" s="315"/>
      <c r="K54" s="316"/>
      <c r="L54" s="314"/>
      <c r="M54" s="315"/>
      <c r="N54" s="315"/>
      <c r="O54" s="316"/>
      <c r="P54" s="314"/>
      <c r="Q54" s="315"/>
      <c r="R54" s="315"/>
      <c r="S54" s="315"/>
      <c r="T54" s="315"/>
      <c r="U54" s="315"/>
      <c r="V54" s="315"/>
      <c r="W54" s="315"/>
      <c r="X54" s="315"/>
      <c r="Y54" s="315"/>
      <c r="Z54" s="315"/>
      <c r="AA54" s="315"/>
      <c r="AB54" s="315"/>
      <c r="AC54" s="315"/>
      <c r="AD54" s="315"/>
      <c r="AE54" s="315"/>
      <c r="AF54" s="315"/>
      <c r="AG54" s="315"/>
      <c r="AH54" s="315"/>
      <c r="AI54" s="316"/>
      <c r="AJ54" s="314"/>
      <c r="AK54" s="315"/>
      <c r="AL54" s="316"/>
      <c r="AM54" s="314"/>
      <c r="AN54" s="315"/>
      <c r="AO54" s="316"/>
      <c r="AP54" s="314"/>
      <c r="AQ54" s="315"/>
      <c r="AR54" s="315"/>
      <c r="AS54" s="315"/>
      <c r="AT54" s="316"/>
      <c r="AU54" s="314" t="s">
        <v>147</v>
      </c>
      <c r="AV54" s="315" t="s">
        <v>148</v>
      </c>
      <c r="AW54" s="315" t="s">
        <v>149</v>
      </c>
      <c r="AX54" s="315" t="s">
        <v>148</v>
      </c>
      <c r="AY54" s="315" t="s">
        <v>148</v>
      </c>
      <c r="AZ54" s="315" t="s">
        <v>47</v>
      </c>
      <c r="BA54" s="315"/>
      <c r="BB54" s="316" t="s">
        <v>147</v>
      </c>
      <c r="BC54" s="314" t="s">
        <v>147</v>
      </c>
      <c r="BD54" s="315" t="s">
        <v>149</v>
      </c>
      <c r="BE54" s="315"/>
      <c r="BF54" s="315" t="s">
        <v>148</v>
      </c>
      <c r="BG54" s="316"/>
      <c r="BH54" s="314"/>
      <c r="BI54" s="315" t="s">
        <v>47</v>
      </c>
      <c r="BJ54" s="316"/>
      <c r="BK54" s="314"/>
      <c r="BL54" s="315"/>
      <c r="BM54" s="315"/>
      <c r="BN54" s="316"/>
      <c r="BO54" s="314"/>
      <c r="BP54" s="315"/>
      <c r="BQ54" s="315"/>
      <c r="BR54" s="315"/>
      <c r="BS54" s="315"/>
      <c r="BT54" s="315"/>
      <c r="BU54" s="315" t="s">
        <v>150</v>
      </c>
      <c r="BV54" s="316"/>
      <c r="BW54" s="314" t="s">
        <v>148</v>
      </c>
      <c r="BX54" s="315"/>
      <c r="BY54" s="315" t="s">
        <v>147</v>
      </c>
      <c r="BZ54" s="315" t="s">
        <v>148</v>
      </c>
      <c r="CA54" s="315" t="s">
        <v>147</v>
      </c>
      <c r="CB54" s="316"/>
      <c r="CC54" s="314"/>
      <c r="CD54" s="315"/>
      <c r="CE54" s="316"/>
      <c r="CF54" s="314"/>
      <c r="CG54" s="315"/>
      <c r="CH54" s="315"/>
      <c r="CI54" s="317"/>
      <c r="CK54" s="236">
        <f t="shared" si="20"/>
        <v>2</v>
      </c>
      <c r="CL54" s="237">
        <f t="shared" si="21"/>
        <v>5</v>
      </c>
      <c r="CM54" s="237">
        <f t="shared" si="22"/>
        <v>6</v>
      </c>
      <c r="CN54" s="237">
        <f t="shared" si="23"/>
        <v>1</v>
      </c>
      <c r="CO54" s="238">
        <f t="shared" si="24"/>
        <v>2</v>
      </c>
      <c r="CQ54" s="236" t="str">
        <f>desired_skills(C54,"Vaardigheden/Proces mining","o")</f>
        <v/>
      </c>
      <c r="CR54" s="237" t="str">
        <f>desired_skills(C54,"Vaardigheden/Proces mining","j")</f>
        <v/>
      </c>
      <c r="CS54" s="237" t="str">
        <f>desired_skills(C54,"Vaardigheden/Proces mining","m")</f>
        <v>28</v>
      </c>
      <c r="CT54" s="237" t="str">
        <f>desired_skills(C54,"Vaardigheden/Proces mining","s")</f>
        <v/>
      </c>
      <c r="CU54" s="238" t="str">
        <f>desired_skills(C54,"Vaardigheden/Proces mining","e")</f>
        <v/>
      </c>
      <c r="CW54" s="236" t="str">
        <f>calc_gap('Matrix 171007_1815'!$CK$54,'Matrix 171007_1815'!$CQ$54)</f>
        <v/>
      </c>
      <c r="CX54" s="237" t="str">
        <f>calc_gap('Matrix 171007_1815'!$CL$54,'Matrix 171007_1815'!$CR$54)</f>
        <v/>
      </c>
      <c r="CY54" s="237" t="str">
        <f>calc_gap('Matrix 171007_1815'!$CM$54,'Matrix 171007_1815'!$CS$54)</f>
        <v>22</v>
      </c>
      <c r="CZ54" s="237" t="str">
        <f>calc_gap('Matrix 171007_1815'!$CN$54,'Matrix 171007_1815'!$CT$54)</f>
        <v/>
      </c>
      <c r="DA54" s="238" t="str">
        <f>calc_gap('Matrix 171007_1815'!$CO$54,'Matrix 171007_1815'!$CU$54)</f>
        <v/>
      </c>
    </row>
    <row r="55" spans="2:105" x14ac:dyDescent="0.25">
      <c r="B55" s="435"/>
      <c r="C55" s="291" t="s">
        <v>95</v>
      </c>
      <c r="D55" s="314"/>
      <c r="E55" s="315"/>
      <c r="F55" s="315"/>
      <c r="G55" s="315"/>
      <c r="H55" s="315"/>
      <c r="I55" s="315"/>
      <c r="J55" s="315"/>
      <c r="K55" s="316"/>
      <c r="L55" s="314"/>
      <c r="M55" s="315"/>
      <c r="N55" s="315"/>
      <c r="O55" s="316"/>
      <c r="P55" s="314"/>
      <c r="Q55" s="315"/>
      <c r="R55" s="315"/>
      <c r="S55" s="315"/>
      <c r="T55" s="315"/>
      <c r="U55" s="315"/>
      <c r="V55" s="315"/>
      <c r="W55" s="315"/>
      <c r="X55" s="315"/>
      <c r="Y55" s="315"/>
      <c r="Z55" s="315"/>
      <c r="AA55" s="315"/>
      <c r="AB55" s="315"/>
      <c r="AC55" s="315"/>
      <c r="AD55" s="315"/>
      <c r="AE55" s="315"/>
      <c r="AF55" s="315"/>
      <c r="AG55" s="315"/>
      <c r="AH55" s="315"/>
      <c r="AI55" s="316"/>
      <c r="AJ55" s="314"/>
      <c r="AK55" s="315"/>
      <c r="AL55" s="316"/>
      <c r="AM55" s="314"/>
      <c r="AN55" s="315"/>
      <c r="AO55" s="316"/>
      <c r="AP55" s="314"/>
      <c r="AQ55" s="315"/>
      <c r="AR55" s="315"/>
      <c r="AS55" s="315"/>
      <c r="AT55" s="316"/>
      <c r="AU55" s="314"/>
      <c r="AV55" s="315" t="s">
        <v>149</v>
      </c>
      <c r="AW55" s="315" t="s">
        <v>149</v>
      </c>
      <c r="AX55" s="315" t="s">
        <v>148</v>
      </c>
      <c r="AY55" s="315" t="s">
        <v>147</v>
      </c>
      <c r="AZ55" s="315"/>
      <c r="BA55" s="315"/>
      <c r="BB55" s="316" t="s">
        <v>147</v>
      </c>
      <c r="BC55" s="314" t="s">
        <v>147</v>
      </c>
      <c r="BD55" s="315" t="s">
        <v>149</v>
      </c>
      <c r="BE55" s="315"/>
      <c r="BF55" s="315" t="s">
        <v>147</v>
      </c>
      <c r="BG55" s="316"/>
      <c r="BH55" s="314"/>
      <c r="BI55" s="315" t="s">
        <v>147</v>
      </c>
      <c r="BJ55" s="316"/>
      <c r="BK55" s="314"/>
      <c r="BL55" s="315"/>
      <c r="BM55" s="315"/>
      <c r="BN55" s="316"/>
      <c r="BO55" s="314"/>
      <c r="BP55" s="315"/>
      <c r="BQ55" s="315" t="s">
        <v>148</v>
      </c>
      <c r="BR55" s="315"/>
      <c r="BS55" s="315" t="s">
        <v>149</v>
      </c>
      <c r="BT55" s="315" t="s">
        <v>147</v>
      </c>
      <c r="BU55" s="315" t="s">
        <v>150</v>
      </c>
      <c r="BV55" s="316"/>
      <c r="BW55" s="314" t="s">
        <v>148</v>
      </c>
      <c r="BX55" s="315"/>
      <c r="BY55" s="315" t="s">
        <v>147</v>
      </c>
      <c r="BZ55" s="315" t="s">
        <v>147</v>
      </c>
      <c r="CA55" s="315" t="s">
        <v>147</v>
      </c>
      <c r="CB55" s="316" t="s">
        <v>147</v>
      </c>
      <c r="CC55" s="314"/>
      <c r="CD55" s="315"/>
      <c r="CE55" s="316"/>
      <c r="CF55" s="314"/>
      <c r="CG55" s="315"/>
      <c r="CH55" s="315"/>
      <c r="CI55" s="317"/>
      <c r="CK55" s="236">
        <f t="shared" si="20"/>
        <v>4</v>
      </c>
      <c r="CL55" s="237">
        <f t="shared" si="21"/>
        <v>10</v>
      </c>
      <c r="CM55" s="237">
        <f t="shared" si="22"/>
        <v>3</v>
      </c>
      <c r="CN55" s="237">
        <f t="shared" si="23"/>
        <v>1</v>
      </c>
      <c r="CO55" s="238" t="str">
        <f t="shared" si="24"/>
        <v/>
      </c>
      <c r="CQ55" s="236" t="str">
        <f>desired_skills(C55,"Vaardigheden/Data mining / big data","o")</f>
        <v/>
      </c>
      <c r="CR55" s="237" t="str">
        <f>desired_skills(C55,"Vaardigheden/Data mining / big data","j")</f>
        <v/>
      </c>
      <c r="CS55" s="237" t="str">
        <f>desired_skills(C55,"Vaardigheden/Data mining / big data","m")</f>
        <v/>
      </c>
      <c r="CT55" s="237" t="str">
        <f>desired_skills(C55,"Vaardigheden/Data mining / big data","s")</f>
        <v>29</v>
      </c>
      <c r="CU55" s="238" t="str">
        <f>desired_skills(C55,"Vaardigheden/Data mining / big data","e")</f>
        <v/>
      </c>
      <c r="CW55" s="236" t="str">
        <f>calc_gap('Matrix 171007_1815'!$CK$55,'Matrix 171007_1815'!$CQ$55)</f>
        <v/>
      </c>
      <c r="CX55" s="237" t="str">
        <f>calc_gap('Matrix 171007_1815'!$CL$55,'Matrix 171007_1815'!$CR$55)</f>
        <v/>
      </c>
      <c r="CY55" s="237" t="str">
        <f>calc_gap('Matrix 171007_1815'!$CM$55,'Matrix 171007_1815'!$CS$55)</f>
        <v/>
      </c>
      <c r="CZ55" s="237" t="str">
        <f>calc_gap('Matrix 171007_1815'!$CN$55,'Matrix 171007_1815'!$CT$55)</f>
        <v>28</v>
      </c>
      <c r="DA55" s="238" t="str">
        <f>calc_gap('Matrix 171007_1815'!$CO$55,'Matrix 171007_1815'!$CU$55)</f>
        <v/>
      </c>
    </row>
    <row r="56" spans="2:105" x14ac:dyDescent="0.25">
      <c r="B56" s="435"/>
      <c r="C56" s="291" t="s">
        <v>96</v>
      </c>
      <c r="D56" s="314"/>
      <c r="E56" s="315"/>
      <c r="F56" s="315"/>
      <c r="G56" s="315"/>
      <c r="H56" s="315"/>
      <c r="I56" s="315"/>
      <c r="J56" s="315"/>
      <c r="K56" s="316"/>
      <c r="L56" s="314"/>
      <c r="M56" s="315"/>
      <c r="N56" s="315"/>
      <c r="O56" s="316"/>
      <c r="P56" s="314"/>
      <c r="Q56" s="315"/>
      <c r="R56" s="315"/>
      <c r="S56" s="315"/>
      <c r="T56" s="315"/>
      <c r="U56" s="315"/>
      <c r="V56" s="315"/>
      <c r="W56" s="315"/>
      <c r="X56" s="315"/>
      <c r="Y56" s="315"/>
      <c r="Z56" s="315"/>
      <c r="AA56" s="315"/>
      <c r="AB56" s="315"/>
      <c r="AC56" s="315"/>
      <c r="AD56" s="315"/>
      <c r="AE56" s="315"/>
      <c r="AF56" s="315"/>
      <c r="AG56" s="315"/>
      <c r="AH56" s="315"/>
      <c r="AI56" s="316"/>
      <c r="AJ56" s="314"/>
      <c r="AK56" s="315"/>
      <c r="AL56" s="316"/>
      <c r="AM56" s="314"/>
      <c r="AN56" s="315"/>
      <c r="AO56" s="316"/>
      <c r="AP56" s="314"/>
      <c r="AQ56" s="315"/>
      <c r="AR56" s="315"/>
      <c r="AS56" s="315"/>
      <c r="AT56" s="316"/>
      <c r="AU56" s="314" t="s">
        <v>148</v>
      </c>
      <c r="AV56" s="315" t="s">
        <v>149</v>
      </c>
      <c r="AW56" s="315" t="s">
        <v>148</v>
      </c>
      <c r="AX56" s="315" t="s">
        <v>148</v>
      </c>
      <c r="AY56" s="315" t="s">
        <v>148</v>
      </c>
      <c r="AZ56" s="315" t="s">
        <v>150</v>
      </c>
      <c r="BA56" s="315"/>
      <c r="BB56" s="316" t="s">
        <v>147</v>
      </c>
      <c r="BC56" s="314" t="s">
        <v>148</v>
      </c>
      <c r="BD56" s="315" t="s">
        <v>149</v>
      </c>
      <c r="BE56" s="315"/>
      <c r="BF56" s="315" t="s">
        <v>148</v>
      </c>
      <c r="BG56" s="316"/>
      <c r="BH56" s="314"/>
      <c r="BI56" s="315" t="s">
        <v>147</v>
      </c>
      <c r="BJ56" s="316"/>
      <c r="BK56" s="314"/>
      <c r="BL56" s="315" t="s">
        <v>149</v>
      </c>
      <c r="BM56" s="315"/>
      <c r="BN56" s="316" t="s">
        <v>147</v>
      </c>
      <c r="BO56" s="314"/>
      <c r="BP56" s="315"/>
      <c r="BQ56" s="315"/>
      <c r="BR56" s="315"/>
      <c r="BS56" s="315"/>
      <c r="BT56" s="315"/>
      <c r="BU56" s="315" t="s">
        <v>148</v>
      </c>
      <c r="BV56" s="316"/>
      <c r="BW56" s="314" t="s">
        <v>148</v>
      </c>
      <c r="BX56" s="315"/>
      <c r="BY56" s="315"/>
      <c r="BZ56" s="315" t="s">
        <v>150</v>
      </c>
      <c r="CA56" s="315" t="s">
        <v>147</v>
      </c>
      <c r="CB56" s="316" t="s">
        <v>147</v>
      </c>
      <c r="CC56" s="314"/>
      <c r="CD56" s="315"/>
      <c r="CE56" s="316"/>
      <c r="CF56" s="314"/>
      <c r="CG56" s="315"/>
      <c r="CH56" s="315"/>
      <c r="CI56" s="317"/>
      <c r="CK56" s="236">
        <f t="shared" si="20"/>
        <v>3</v>
      </c>
      <c r="CL56" s="237">
        <f t="shared" si="21"/>
        <v>5</v>
      </c>
      <c r="CM56" s="237">
        <f t="shared" si="22"/>
        <v>8</v>
      </c>
      <c r="CN56" s="237">
        <f t="shared" si="23"/>
        <v>2</v>
      </c>
      <c r="CO56" s="238" t="str">
        <f t="shared" si="24"/>
        <v/>
      </c>
      <c r="CQ56" s="236" t="str">
        <f>desired_skills(C56,"Vaardigheden/Business Intelligence","o")</f>
        <v/>
      </c>
      <c r="CR56" s="237" t="str">
        <f>desired_skills(C56,"Vaardigheden/Business Intelligence","j")</f>
        <v/>
      </c>
      <c r="CS56" s="237" t="str">
        <f>desired_skills(C56,"Vaardigheden/Business Intelligence","m")</f>
        <v/>
      </c>
      <c r="CT56" s="237" t="str">
        <f>desired_skills(C56,"Vaardigheden/Business Intelligence","s")</f>
        <v/>
      </c>
      <c r="CU56" s="238" t="str">
        <f>desired_skills(C56,"Vaardigheden/Business Intelligence","e")</f>
        <v>30</v>
      </c>
      <c r="CW56" s="236" t="str">
        <f>calc_gap('Matrix 171007_1815'!$CK$56,'Matrix 171007_1815'!$CQ$56)</f>
        <v/>
      </c>
      <c r="CX56" s="237" t="str">
        <f>calc_gap('Matrix 171007_1815'!$CL$56,'Matrix 171007_1815'!$CR$56)</f>
        <v/>
      </c>
      <c r="CY56" s="237" t="str">
        <f>calc_gap('Matrix 171007_1815'!$CM$56,'Matrix 171007_1815'!$CS$56)</f>
        <v/>
      </c>
      <c r="CZ56" s="237" t="str">
        <f>calc_gap('Matrix 171007_1815'!$CN$56,'Matrix 171007_1815'!$CT$56)</f>
        <v/>
      </c>
      <c r="DA56" s="238" t="str">
        <f>calc_gap('Matrix 171007_1815'!$CO$56,'Matrix 171007_1815'!$CU$56)</f>
        <v/>
      </c>
    </row>
    <row r="57" spans="2:105" x14ac:dyDescent="0.25">
      <c r="B57" s="435"/>
      <c r="C57" s="291" t="s">
        <v>97</v>
      </c>
      <c r="D57" s="314"/>
      <c r="E57" s="315"/>
      <c r="F57" s="315"/>
      <c r="G57" s="315"/>
      <c r="H57" s="315"/>
      <c r="I57" s="315"/>
      <c r="J57" s="315"/>
      <c r="K57" s="316"/>
      <c r="L57" s="314"/>
      <c r="M57" s="315"/>
      <c r="N57" s="315"/>
      <c r="O57" s="316"/>
      <c r="P57" s="314"/>
      <c r="Q57" s="315"/>
      <c r="R57" s="315"/>
      <c r="S57" s="315"/>
      <c r="T57" s="315"/>
      <c r="U57" s="315"/>
      <c r="V57" s="315"/>
      <c r="W57" s="315"/>
      <c r="X57" s="315"/>
      <c r="Y57" s="315"/>
      <c r="Z57" s="315"/>
      <c r="AA57" s="315"/>
      <c r="AB57" s="315"/>
      <c r="AC57" s="315"/>
      <c r="AD57" s="315"/>
      <c r="AE57" s="315"/>
      <c r="AF57" s="315"/>
      <c r="AG57" s="315"/>
      <c r="AH57" s="315"/>
      <c r="AI57" s="316"/>
      <c r="AJ57" s="314"/>
      <c r="AK57" s="315"/>
      <c r="AL57" s="316"/>
      <c r="AM57" s="314"/>
      <c r="AN57" s="315"/>
      <c r="AO57" s="316"/>
      <c r="AP57" s="314"/>
      <c r="AQ57" s="315"/>
      <c r="AR57" s="315"/>
      <c r="AS57" s="315"/>
      <c r="AT57" s="316"/>
      <c r="AU57" s="314" t="s">
        <v>47</v>
      </c>
      <c r="AV57" s="315" t="s">
        <v>150</v>
      </c>
      <c r="AW57" s="315" t="s">
        <v>150</v>
      </c>
      <c r="AX57" s="315" t="s">
        <v>150</v>
      </c>
      <c r="AY57" s="315" t="s">
        <v>47</v>
      </c>
      <c r="AZ57" s="315" t="s">
        <v>150</v>
      </c>
      <c r="BA57" s="315" t="s">
        <v>150</v>
      </c>
      <c r="BB57" s="316" t="s">
        <v>150</v>
      </c>
      <c r="BC57" s="314" t="s">
        <v>148</v>
      </c>
      <c r="BD57" s="315" t="s">
        <v>148</v>
      </c>
      <c r="BE57" s="315"/>
      <c r="BF57" s="315" t="s">
        <v>150</v>
      </c>
      <c r="BG57" s="316"/>
      <c r="BH57" s="314"/>
      <c r="BI57" s="315" t="s">
        <v>148</v>
      </c>
      <c r="BJ57" s="316"/>
      <c r="BK57" s="314" t="s">
        <v>148</v>
      </c>
      <c r="BL57" s="315"/>
      <c r="BM57" s="315"/>
      <c r="BN57" s="316"/>
      <c r="BO57" s="314"/>
      <c r="BP57" s="315"/>
      <c r="BQ57" s="315"/>
      <c r="BR57" s="315"/>
      <c r="BS57" s="315"/>
      <c r="BT57" s="315"/>
      <c r="BU57" s="315" t="s">
        <v>148</v>
      </c>
      <c r="BV57" s="316"/>
      <c r="BW57" s="314" t="s">
        <v>148</v>
      </c>
      <c r="BX57" s="315" t="s">
        <v>150</v>
      </c>
      <c r="BY57" s="315" t="s">
        <v>150</v>
      </c>
      <c r="BZ57" s="315" t="s">
        <v>148</v>
      </c>
      <c r="CA57" s="315" t="s">
        <v>150</v>
      </c>
      <c r="CB57" s="316" t="s">
        <v>150</v>
      </c>
      <c r="CC57" s="314"/>
      <c r="CD57" s="315" t="s">
        <v>150</v>
      </c>
      <c r="CE57" s="316"/>
      <c r="CF57" s="314"/>
      <c r="CG57" s="315"/>
      <c r="CH57" s="315"/>
      <c r="CI57" s="317"/>
      <c r="CK57" s="236" t="str">
        <f t="shared" si="20"/>
        <v/>
      </c>
      <c r="CL57" s="237" t="str">
        <f t="shared" si="21"/>
        <v/>
      </c>
      <c r="CM57" s="237">
        <f t="shared" si="22"/>
        <v>7</v>
      </c>
      <c r="CN57" s="237">
        <f t="shared" si="23"/>
        <v>12</v>
      </c>
      <c r="CO57" s="238">
        <f t="shared" si="24"/>
        <v>2</v>
      </c>
      <c r="CQ57" s="236" t="str">
        <f>desired_skills(C57,"Vaardigheden/PDCA (in het algemeen)","o")</f>
        <v/>
      </c>
      <c r="CR57" s="237" t="str">
        <f>desired_skills(C57,"Vaardigheden/PDCA (in het algemeen)","j")</f>
        <v/>
      </c>
      <c r="CS57" s="237" t="str">
        <f>desired_skills(C57,"Vaardigheden/PDCA (in het algemeen)","m")</f>
        <v/>
      </c>
      <c r="CT57" s="237" t="str">
        <f>desired_skills(C57,"Vaardigheden/PDCA (in het algemeen)","s")</f>
        <v/>
      </c>
      <c r="CU57" s="238" t="str">
        <f>desired_skills(C57,"Vaardigheden/PDCA (in het algemeen)","e")</f>
        <v/>
      </c>
      <c r="CW57" s="236" t="str">
        <f>calc_gap('Matrix 171007_1815'!$CK$57,'Matrix 171007_1815'!$CQ$57)</f>
        <v/>
      </c>
      <c r="CX57" s="237" t="str">
        <f>calc_gap('Matrix 171007_1815'!$CL$57,'Matrix 171007_1815'!$CR$57)</f>
        <v/>
      </c>
      <c r="CY57" s="237" t="str">
        <f>calc_gap('Matrix 171007_1815'!$CM$57,'Matrix 171007_1815'!$CS$57)</f>
        <v/>
      </c>
      <c r="CZ57" s="237" t="str">
        <f>calc_gap('Matrix 171007_1815'!$CN$57,'Matrix 171007_1815'!$CT$57)</f>
        <v/>
      </c>
      <c r="DA57" s="238" t="str">
        <f>calc_gap('Matrix 171007_1815'!$CO$57,'Matrix 171007_1815'!$CU$57)</f>
        <v/>
      </c>
    </row>
    <row r="58" spans="2:105" x14ac:dyDescent="0.25">
      <c r="B58" s="435"/>
      <c r="C58" s="291" t="s">
        <v>228</v>
      </c>
      <c r="D58" s="314"/>
      <c r="E58" s="315"/>
      <c r="F58" s="315"/>
      <c r="G58" s="315"/>
      <c r="H58" s="315"/>
      <c r="I58" s="315"/>
      <c r="J58" s="315"/>
      <c r="K58" s="316"/>
      <c r="L58" s="314"/>
      <c r="M58" s="315"/>
      <c r="N58" s="315"/>
      <c r="O58" s="316"/>
      <c r="P58" s="314"/>
      <c r="Q58" s="315"/>
      <c r="R58" s="315"/>
      <c r="S58" s="315"/>
      <c r="T58" s="315"/>
      <c r="U58" s="315"/>
      <c r="V58" s="315"/>
      <c r="W58" s="315"/>
      <c r="X58" s="315"/>
      <c r="Y58" s="315"/>
      <c r="Z58" s="315"/>
      <c r="AA58" s="315"/>
      <c r="AB58" s="315"/>
      <c r="AC58" s="315"/>
      <c r="AD58" s="315"/>
      <c r="AE58" s="315"/>
      <c r="AF58" s="315"/>
      <c r="AG58" s="315"/>
      <c r="AH58" s="315"/>
      <c r="AI58" s="316"/>
      <c r="AJ58" s="314"/>
      <c r="AK58" s="315"/>
      <c r="AL58" s="316"/>
      <c r="AM58" s="314"/>
      <c r="AN58" s="315"/>
      <c r="AO58" s="316"/>
      <c r="AP58" s="314"/>
      <c r="AQ58" s="315"/>
      <c r="AR58" s="315"/>
      <c r="AS58" s="315"/>
      <c r="AT58" s="316"/>
      <c r="AU58" s="314"/>
      <c r="AV58" s="315"/>
      <c r="AW58" s="315"/>
      <c r="AX58" s="315"/>
      <c r="AY58" s="315"/>
      <c r="AZ58" s="315"/>
      <c r="BA58" s="315"/>
      <c r="BB58" s="316"/>
      <c r="BC58" s="314"/>
      <c r="BD58" s="315"/>
      <c r="BE58" s="315"/>
      <c r="BF58" s="315"/>
      <c r="BG58" s="316"/>
      <c r="BH58" s="314"/>
      <c r="BI58" s="315"/>
      <c r="BJ58" s="316"/>
      <c r="BK58" s="314"/>
      <c r="BL58" s="315"/>
      <c r="BM58" s="315"/>
      <c r="BN58" s="316"/>
      <c r="BO58" s="314"/>
      <c r="BP58" s="315"/>
      <c r="BQ58" s="315"/>
      <c r="BR58" s="315"/>
      <c r="BS58" s="315"/>
      <c r="BT58" s="315"/>
      <c r="BU58" s="315"/>
      <c r="BV58" s="316"/>
      <c r="BW58" s="314"/>
      <c r="BX58" s="315"/>
      <c r="BY58" s="315"/>
      <c r="BZ58" s="315"/>
      <c r="CA58" s="315"/>
      <c r="CB58" s="316"/>
      <c r="CC58" s="314"/>
      <c r="CD58" s="315"/>
      <c r="CE58" s="316"/>
      <c r="CF58" s="314"/>
      <c r="CG58" s="315"/>
      <c r="CH58" s="315"/>
      <c r="CI58" s="317"/>
      <c r="CK58" s="236" t="str">
        <f t="shared" si="20"/>
        <v/>
      </c>
      <c r="CL58" s="237" t="str">
        <f t="shared" si="21"/>
        <v/>
      </c>
      <c r="CM58" s="237" t="str">
        <f t="shared" si="22"/>
        <v/>
      </c>
      <c r="CN58" s="237" t="str">
        <f t="shared" si="23"/>
        <v/>
      </c>
      <c r="CO58" s="238" t="str">
        <f t="shared" si="24"/>
        <v/>
      </c>
      <c r="CQ58" s="236" t="str">
        <f>desired_skills(C58,"Vaardigheden/PowerPoint (Presentaties)","o")</f>
        <v/>
      </c>
      <c r="CR58" s="237" t="str">
        <f>desired_skills(C58,"Vaardigheden/PowerPoint (Presentaties)","j")</f>
        <v/>
      </c>
      <c r="CS58" s="237" t="str">
        <f>desired_skills(C58,"Vaardigheden/PowerPoint (Presentaties)","m")</f>
        <v/>
      </c>
      <c r="CT58" s="237" t="str">
        <f>desired_skills(C58,"Vaardigheden/PowerPoint (Presentaties)","s")</f>
        <v/>
      </c>
      <c r="CU58" s="238" t="str">
        <f>desired_skills(C58,"Vaardigheden/PowerPoint (Presentaties)","e")</f>
        <v/>
      </c>
      <c r="CW58" s="236" t="str">
        <f>calc_gap('Matrix 171007_1815'!$CK$58,'Matrix 171007_1815'!$CQ$58)</f>
        <v/>
      </c>
      <c r="CX58" s="237" t="str">
        <f>calc_gap('Matrix 171007_1815'!$CL$58,'Matrix 171007_1815'!$CR$58)</f>
        <v/>
      </c>
      <c r="CY58" s="237" t="str">
        <f>calc_gap('Matrix 171007_1815'!$CM$58,'Matrix 171007_1815'!$CS$58)</f>
        <v/>
      </c>
      <c r="CZ58" s="237" t="str">
        <f>calc_gap('Matrix 171007_1815'!$CN$58,'Matrix 171007_1815'!$CT$58)</f>
        <v/>
      </c>
      <c r="DA58" s="238" t="str">
        <f>calc_gap('Matrix 171007_1815'!$CO$58,'Matrix 171007_1815'!$CU$58)</f>
        <v/>
      </c>
    </row>
    <row r="59" spans="2:105" ht="15.75" thickBot="1" x14ac:dyDescent="0.3">
      <c r="B59" s="435"/>
      <c r="C59" s="292" t="s">
        <v>229</v>
      </c>
      <c r="D59" s="318"/>
      <c r="E59" s="319"/>
      <c r="F59" s="319"/>
      <c r="G59" s="319"/>
      <c r="H59" s="319"/>
      <c r="I59" s="319"/>
      <c r="J59" s="319"/>
      <c r="K59" s="320"/>
      <c r="L59" s="318"/>
      <c r="M59" s="319"/>
      <c r="N59" s="319"/>
      <c r="O59" s="320"/>
      <c r="P59" s="318"/>
      <c r="Q59" s="319"/>
      <c r="R59" s="319"/>
      <c r="S59" s="319"/>
      <c r="T59" s="319"/>
      <c r="U59" s="319"/>
      <c r="V59" s="319"/>
      <c r="W59" s="319"/>
      <c r="X59" s="319"/>
      <c r="Y59" s="319"/>
      <c r="Z59" s="319"/>
      <c r="AA59" s="319"/>
      <c r="AB59" s="319"/>
      <c r="AC59" s="319"/>
      <c r="AD59" s="319"/>
      <c r="AE59" s="319"/>
      <c r="AF59" s="319"/>
      <c r="AG59" s="319"/>
      <c r="AH59" s="319"/>
      <c r="AI59" s="320"/>
      <c r="AJ59" s="318"/>
      <c r="AK59" s="319"/>
      <c r="AL59" s="320"/>
      <c r="AM59" s="318"/>
      <c r="AN59" s="319"/>
      <c r="AO59" s="320"/>
      <c r="AP59" s="318"/>
      <c r="AQ59" s="319"/>
      <c r="AR59" s="319"/>
      <c r="AS59" s="319"/>
      <c r="AT59" s="320"/>
      <c r="AU59" s="318"/>
      <c r="AV59" s="319"/>
      <c r="AW59" s="319"/>
      <c r="AX59" s="319"/>
      <c r="AY59" s="319"/>
      <c r="AZ59" s="319"/>
      <c r="BA59" s="319"/>
      <c r="BB59" s="320"/>
      <c r="BC59" s="318"/>
      <c r="BD59" s="319"/>
      <c r="BE59" s="319"/>
      <c r="BF59" s="319"/>
      <c r="BG59" s="320"/>
      <c r="BH59" s="318"/>
      <c r="BI59" s="319"/>
      <c r="BJ59" s="320"/>
      <c r="BK59" s="318"/>
      <c r="BL59" s="319"/>
      <c r="BM59" s="319"/>
      <c r="BN59" s="320"/>
      <c r="BO59" s="318"/>
      <c r="BP59" s="319"/>
      <c r="BQ59" s="319"/>
      <c r="BR59" s="319"/>
      <c r="BS59" s="319"/>
      <c r="BT59" s="319"/>
      <c r="BU59" s="319"/>
      <c r="BV59" s="320"/>
      <c r="BW59" s="318"/>
      <c r="BX59" s="319"/>
      <c r="BY59" s="319"/>
      <c r="BZ59" s="319"/>
      <c r="CA59" s="319"/>
      <c r="CB59" s="320"/>
      <c r="CC59" s="318"/>
      <c r="CD59" s="319"/>
      <c r="CE59" s="320"/>
      <c r="CF59" s="318"/>
      <c r="CG59" s="319"/>
      <c r="CH59" s="319"/>
      <c r="CI59" s="321"/>
      <c r="CK59" s="239" t="str">
        <f t="shared" si="20"/>
        <v/>
      </c>
      <c r="CL59" s="240" t="str">
        <f t="shared" si="21"/>
        <v/>
      </c>
      <c r="CM59" s="240" t="str">
        <f t="shared" si="22"/>
        <v/>
      </c>
      <c r="CN59" s="240" t="str">
        <f t="shared" si="23"/>
        <v/>
      </c>
      <c r="CO59" s="241" t="str">
        <f t="shared" si="24"/>
        <v/>
      </c>
      <c r="CQ59" s="239" t="str">
        <f>desired_skills(C59,"Vaardigheden/Uitvoeren impactanalyse","o")</f>
        <v/>
      </c>
      <c r="CR59" s="240" t="str">
        <f>desired_skills(C59,"Vaardigheden/Uitvoeren impactanalyse","j")</f>
        <v/>
      </c>
      <c r="CS59" s="240" t="str">
        <f>desired_skills(C59,"Vaardigheden/Uitvoeren impactanalyse","m")</f>
        <v/>
      </c>
      <c r="CT59" s="240" t="str">
        <f>desired_skills(C59,"Vaardigheden/Uitvoeren impactanalyse","s")</f>
        <v/>
      </c>
      <c r="CU59" s="241" t="str">
        <f>desired_skills(C59,"Vaardigheden/Uitvoeren impactanalyse","e")</f>
        <v/>
      </c>
      <c r="CW59" s="239" t="str">
        <f>calc_gap('Matrix 171007_1815'!$CK$59,'Matrix 171007_1815'!$CQ$59)</f>
        <v/>
      </c>
      <c r="CX59" s="240" t="str">
        <f>calc_gap('Matrix 171007_1815'!$CL$59,'Matrix 171007_1815'!$CR$59)</f>
        <v/>
      </c>
      <c r="CY59" s="240" t="str">
        <f>calc_gap('Matrix 171007_1815'!$CM$59,'Matrix 171007_1815'!$CS$59)</f>
        <v/>
      </c>
      <c r="CZ59" s="240" t="str">
        <f>calc_gap('Matrix 171007_1815'!$CN$59,'Matrix 171007_1815'!$CT$59)</f>
        <v/>
      </c>
      <c r="DA59" s="241" t="str">
        <f>calc_gap('Matrix 171007_1815'!$CO$59,'Matrix 171007_1815'!$CU$59)</f>
        <v/>
      </c>
    </row>
    <row r="60" spans="2:105" ht="12.75" customHeight="1" thickTop="1" thickBot="1" x14ac:dyDescent="0.3">
      <c r="B60" s="436"/>
      <c r="C60" s="248"/>
      <c r="D60" s="322"/>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c r="BA60" s="322"/>
      <c r="BB60" s="322"/>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2"/>
      <c r="CH60" s="322"/>
      <c r="CI60" s="322"/>
      <c r="CK60" s="249"/>
      <c r="CL60" s="249"/>
      <c r="CM60" s="249"/>
      <c r="CN60" s="249"/>
      <c r="CO60" s="249"/>
      <c r="CQ60" s="249"/>
      <c r="CR60" s="249"/>
      <c r="CS60" s="249"/>
      <c r="CT60" s="249"/>
      <c r="CU60" s="249"/>
      <c r="CW60" s="249"/>
      <c r="CX60" s="249"/>
      <c r="CY60" s="249"/>
      <c r="CZ60" s="249"/>
      <c r="DA60" s="249"/>
    </row>
    <row r="61" spans="2:105" ht="15.75" thickTop="1" x14ac:dyDescent="0.25">
      <c r="B61" s="434" t="s">
        <v>98</v>
      </c>
      <c r="C61" s="290" t="s">
        <v>99</v>
      </c>
      <c r="D61" s="310"/>
      <c r="E61" s="311"/>
      <c r="F61" s="311"/>
      <c r="G61" s="311"/>
      <c r="H61" s="311"/>
      <c r="I61" s="311"/>
      <c r="J61" s="311"/>
      <c r="K61" s="312"/>
      <c r="L61" s="310"/>
      <c r="M61" s="311"/>
      <c r="N61" s="311"/>
      <c r="O61" s="312"/>
      <c r="P61" s="310"/>
      <c r="Q61" s="311"/>
      <c r="R61" s="311"/>
      <c r="S61" s="311"/>
      <c r="T61" s="311"/>
      <c r="U61" s="311"/>
      <c r="V61" s="311"/>
      <c r="W61" s="311"/>
      <c r="X61" s="311"/>
      <c r="Y61" s="311"/>
      <c r="Z61" s="311"/>
      <c r="AA61" s="311"/>
      <c r="AB61" s="311"/>
      <c r="AC61" s="311"/>
      <c r="AD61" s="311"/>
      <c r="AE61" s="311"/>
      <c r="AF61" s="311"/>
      <c r="AG61" s="311"/>
      <c r="AH61" s="311"/>
      <c r="AI61" s="312"/>
      <c r="AJ61" s="310"/>
      <c r="AK61" s="311"/>
      <c r="AL61" s="312"/>
      <c r="AM61" s="310"/>
      <c r="AN61" s="311"/>
      <c r="AO61" s="312"/>
      <c r="AP61" s="310"/>
      <c r="AQ61" s="311"/>
      <c r="AR61" s="311"/>
      <c r="AS61" s="311"/>
      <c r="AT61" s="312"/>
      <c r="AU61" s="310" t="s">
        <v>147</v>
      </c>
      <c r="AV61" s="311" t="s">
        <v>47</v>
      </c>
      <c r="AW61" s="311" t="s">
        <v>148</v>
      </c>
      <c r="AX61" s="311" t="s">
        <v>150</v>
      </c>
      <c r="AY61" s="311" t="s">
        <v>148</v>
      </c>
      <c r="AZ61" s="311" t="s">
        <v>147</v>
      </c>
      <c r="BA61" s="311"/>
      <c r="BB61" s="312" t="s">
        <v>148</v>
      </c>
      <c r="BC61" s="310" t="s">
        <v>149</v>
      </c>
      <c r="BD61" s="311" t="s">
        <v>147</v>
      </c>
      <c r="BE61" s="311"/>
      <c r="BF61" s="311" t="s">
        <v>147</v>
      </c>
      <c r="BG61" s="312"/>
      <c r="BH61" s="310"/>
      <c r="BI61" s="311"/>
      <c r="BJ61" s="312"/>
      <c r="BK61" s="310"/>
      <c r="BL61" s="311"/>
      <c r="BM61" s="311"/>
      <c r="BN61" s="312"/>
      <c r="BO61" s="310"/>
      <c r="BP61" s="311"/>
      <c r="BQ61" s="311"/>
      <c r="BR61" s="311"/>
      <c r="BS61" s="311" t="s">
        <v>149</v>
      </c>
      <c r="BT61" s="311"/>
      <c r="BU61" s="311" t="s">
        <v>150</v>
      </c>
      <c r="BV61" s="312"/>
      <c r="BW61" s="310" t="s">
        <v>147</v>
      </c>
      <c r="BX61" s="311" t="s">
        <v>148</v>
      </c>
      <c r="BY61" s="311" t="s">
        <v>150</v>
      </c>
      <c r="BZ61" s="311" t="s">
        <v>147</v>
      </c>
      <c r="CA61" s="311" t="s">
        <v>47</v>
      </c>
      <c r="CB61" s="312" t="s">
        <v>47</v>
      </c>
      <c r="CC61" s="310"/>
      <c r="CD61" s="311" t="s">
        <v>148</v>
      </c>
      <c r="CE61" s="312"/>
      <c r="CF61" s="310"/>
      <c r="CG61" s="311"/>
      <c r="CH61" s="311"/>
      <c r="CI61" s="313"/>
      <c r="CK61" s="233">
        <f t="shared" ref="CK61:CK78" si="25">IF(COUNTIF(D61:CI61,"o")&gt;0,COUNTIF(D61:CI61,"o"),"")</f>
        <v>2</v>
      </c>
      <c r="CL61" s="234">
        <f t="shared" ref="CL61:CL78" si="26">IF(COUNTIF(D61:CI61,"j")&gt;0,COUNTIF(D61:CI61,"j"),"")</f>
        <v>6</v>
      </c>
      <c r="CM61" s="234">
        <f t="shared" ref="CM61:CM78" si="27">IF(COUNTIF(D61:CI61,"m")&gt;0,COUNTIF(D61:CI61,"m"),"")</f>
        <v>5</v>
      </c>
      <c r="CN61" s="234">
        <f t="shared" ref="CN61:CN78" si="28">IF(COUNTIF(D61:CI61,"s")&gt;0,COUNTIF(D61:CI61,"s"),"")</f>
        <v>3</v>
      </c>
      <c r="CO61" s="235">
        <f t="shared" ref="CO61:CO78" si="29">IF(COUNTIF(D61:CI61,"e")&gt;0,COUNTIF(D61:CI61,"e"),"")</f>
        <v>3</v>
      </c>
      <c r="CQ61" s="233" t="str">
        <f>desired_skills(C61,"Organisatie / klantomgeving/LB - PPB","o")</f>
        <v>31</v>
      </c>
      <c r="CR61" s="234" t="str">
        <f>desired_skills(C61,"Organisatie / klantomgeving/LB - PPB","j")</f>
        <v/>
      </c>
      <c r="CS61" s="234" t="str">
        <f>desired_skills(C61,"Organisatie / klantomgeving/LB - PPB","m")</f>
        <v/>
      </c>
      <c r="CT61" s="234" t="str">
        <f>desired_skills(C61,"Organisatie / klantomgeving/LB - PPB","s")</f>
        <v/>
      </c>
      <c r="CU61" s="235" t="str">
        <f>desired_skills(C61,"Organisatie / klantomgeving/LB - PPB","e")</f>
        <v/>
      </c>
      <c r="CW61" s="233" t="str">
        <f>calc_gap('Matrix 171007_1815'!$CK$61,'Matrix 171007_1815'!$CQ$61)</f>
        <v>29</v>
      </c>
      <c r="CX61" s="234" t="str">
        <f>calc_gap('Matrix 171007_1815'!$CL$61,'Matrix 171007_1815'!$CR$61)</f>
        <v/>
      </c>
      <c r="CY61" s="234" t="str">
        <f>calc_gap('Matrix 171007_1815'!$CM$61,'Matrix 171007_1815'!$CS$61)</f>
        <v/>
      </c>
      <c r="CZ61" s="234" t="str">
        <f>calc_gap('Matrix 171007_1815'!$CN$61,'Matrix 171007_1815'!$CT$61)</f>
        <v/>
      </c>
      <c r="DA61" s="235" t="str">
        <f>calc_gap('Matrix 171007_1815'!$CO$61,'Matrix 171007_1815'!$CU$61)</f>
        <v/>
      </c>
    </row>
    <row r="62" spans="2:105" x14ac:dyDescent="0.25">
      <c r="B62" s="435"/>
      <c r="C62" s="291" t="s">
        <v>100</v>
      </c>
      <c r="D62" s="314"/>
      <c r="E62" s="315"/>
      <c r="F62" s="315"/>
      <c r="G62" s="315"/>
      <c r="H62" s="315"/>
      <c r="I62" s="315"/>
      <c r="J62" s="315"/>
      <c r="K62" s="316"/>
      <c r="L62" s="314"/>
      <c r="M62" s="315"/>
      <c r="N62" s="315"/>
      <c r="O62" s="316"/>
      <c r="P62" s="314"/>
      <c r="Q62" s="315"/>
      <c r="R62" s="315"/>
      <c r="S62" s="315"/>
      <c r="T62" s="315"/>
      <c r="U62" s="315"/>
      <c r="V62" s="315"/>
      <c r="W62" s="315"/>
      <c r="X62" s="315"/>
      <c r="Y62" s="315"/>
      <c r="Z62" s="315"/>
      <c r="AA62" s="315"/>
      <c r="AB62" s="315"/>
      <c r="AC62" s="315"/>
      <c r="AD62" s="315"/>
      <c r="AE62" s="315"/>
      <c r="AF62" s="315"/>
      <c r="AG62" s="315"/>
      <c r="AH62" s="315"/>
      <c r="AI62" s="316"/>
      <c r="AJ62" s="314"/>
      <c r="AK62" s="315"/>
      <c r="AL62" s="316"/>
      <c r="AM62" s="314"/>
      <c r="AN62" s="315"/>
      <c r="AO62" s="316"/>
      <c r="AP62" s="314"/>
      <c r="AQ62" s="315"/>
      <c r="AR62" s="315"/>
      <c r="AS62" s="315"/>
      <c r="AT62" s="316"/>
      <c r="AU62" s="314" t="s">
        <v>147</v>
      </c>
      <c r="AV62" s="315" t="s">
        <v>150</v>
      </c>
      <c r="AW62" s="315" t="s">
        <v>148</v>
      </c>
      <c r="AX62" s="315" t="s">
        <v>150</v>
      </c>
      <c r="AY62" s="315" t="s">
        <v>148</v>
      </c>
      <c r="AZ62" s="315" t="s">
        <v>147</v>
      </c>
      <c r="BA62" s="315"/>
      <c r="BB62" s="316" t="s">
        <v>148</v>
      </c>
      <c r="BC62" s="314" t="s">
        <v>149</v>
      </c>
      <c r="BD62" s="315" t="s">
        <v>147</v>
      </c>
      <c r="BE62" s="315"/>
      <c r="BF62" s="315" t="s">
        <v>147</v>
      </c>
      <c r="BG62" s="316"/>
      <c r="BH62" s="314"/>
      <c r="BI62" s="315"/>
      <c r="BJ62" s="316"/>
      <c r="BK62" s="314"/>
      <c r="BL62" s="315"/>
      <c r="BM62" s="315"/>
      <c r="BN62" s="316"/>
      <c r="BO62" s="314"/>
      <c r="BP62" s="315"/>
      <c r="BQ62" s="315"/>
      <c r="BR62" s="315"/>
      <c r="BS62" s="315" t="s">
        <v>149</v>
      </c>
      <c r="BT62" s="315"/>
      <c r="BU62" s="315" t="s">
        <v>150</v>
      </c>
      <c r="BV62" s="316"/>
      <c r="BW62" s="314" t="s">
        <v>147</v>
      </c>
      <c r="BX62" s="315" t="s">
        <v>148</v>
      </c>
      <c r="BY62" s="315" t="s">
        <v>150</v>
      </c>
      <c r="BZ62" s="315" t="s">
        <v>147</v>
      </c>
      <c r="CA62" s="315" t="s">
        <v>47</v>
      </c>
      <c r="CB62" s="316" t="s">
        <v>150</v>
      </c>
      <c r="CC62" s="314"/>
      <c r="CD62" s="315" t="s">
        <v>148</v>
      </c>
      <c r="CE62" s="316"/>
      <c r="CF62" s="314"/>
      <c r="CG62" s="315"/>
      <c r="CH62" s="315"/>
      <c r="CI62" s="317"/>
      <c r="CK62" s="236">
        <f t="shared" si="25"/>
        <v>2</v>
      </c>
      <c r="CL62" s="237">
        <f t="shared" si="26"/>
        <v>6</v>
      </c>
      <c r="CM62" s="237">
        <f t="shared" si="27"/>
        <v>5</v>
      </c>
      <c r="CN62" s="237">
        <f t="shared" si="28"/>
        <v>5</v>
      </c>
      <c r="CO62" s="238">
        <f t="shared" si="29"/>
        <v>1</v>
      </c>
      <c r="CQ62" s="236" t="str">
        <f>desired_skills(C62,"Organisatie / klantomgeving/LB - Bedrijven","o")</f>
        <v/>
      </c>
      <c r="CR62" s="237" t="str">
        <f>desired_skills(C62,"Organisatie / klantomgeving/LB - Bedrijven","j")</f>
        <v>32</v>
      </c>
      <c r="CS62" s="237" t="str">
        <f>desired_skills(C62,"Organisatie / klantomgeving/LB - Bedrijven","m")</f>
        <v/>
      </c>
      <c r="CT62" s="237" t="str">
        <f>desired_skills(C62,"Organisatie / klantomgeving/LB - Bedrijven","s")</f>
        <v/>
      </c>
      <c r="CU62" s="238" t="str">
        <f>desired_skills(C62,"Organisatie / klantomgeving/LB - Bedrijven","e")</f>
        <v/>
      </c>
      <c r="CW62" s="236" t="str">
        <f>calc_gap('Matrix 171007_1815'!$CK$62,'Matrix 171007_1815'!$CQ$62)</f>
        <v/>
      </c>
      <c r="CX62" s="237" t="str">
        <f>calc_gap('Matrix 171007_1815'!$CL$62,'Matrix 171007_1815'!$CR$62)</f>
        <v>26</v>
      </c>
      <c r="CY62" s="237" t="str">
        <f>calc_gap('Matrix 171007_1815'!$CM$62,'Matrix 171007_1815'!$CS$62)</f>
        <v/>
      </c>
      <c r="CZ62" s="237" t="str">
        <f>calc_gap('Matrix 171007_1815'!$CN$62,'Matrix 171007_1815'!$CT$62)</f>
        <v/>
      </c>
      <c r="DA62" s="238" t="str">
        <f>calc_gap('Matrix 171007_1815'!$CO$62,'Matrix 171007_1815'!$CU$62)</f>
        <v/>
      </c>
    </row>
    <row r="63" spans="2:105" x14ac:dyDescent="0.25">
      <c r="B63" s="435"/>
      <c r="C63" s="291" t="s">
        <v>101</v>
      </c>
      <c r="D63" s="314"/>
      <c r="E63" s="315"/>
      <c r="F63" s="315"/>
      <c r="G63" s="315"/>
      <c r="H63" s="315"/>
      <c r="I63" s="315"/>
      <c r="J63" s="315"/>
      <c r="K63" s="316"/>
      <c r="L63" s="314"/>
      <c r="M63" s="315"/>
      <c r="N63" s="315"/>
      <c r="O63" s="316"/>
      <c r="P63" s="314"/>
      <c r="Q63" s="315"/>
      <c r="R63" s="315"/>
      <c r="S63" s="315"/>
      <c r="T63" s="315"/>
      <c r="U63" s="315"/>
      <c r="V63" s="315"/>
      <c r="W63" s="315"/>
      <c r="X63" s="315"/>
      <c r="Y63" s="315"/>
      <c r="Z63" s="315"/>
      <c r="AA63" s="315"/>
      <c r="AB63" s="315"/>
      <c r="AC63" s="315"/>
      <c r="AD63" s="315"/>
      <c r="AE63" s="315"/>
      <c r="AF63" s="315"/>
      <c r="AG63" s="315"/>
      <c r="AH63" s="315"/>
      <c r="AI63" s="316"/>
      <c r="AJ63" s="314"/>
      <c r="AK63" s="315"/>
      <c r="AL63" s="316"/>
      <c r="AM63" s="314"/>
      <c r="AN63" s="315"/>
      <c r="AO63" s="316"/>
      <c r="AP63" s="314"/>
      <c r="AQ63" s="315"/>
      <c r="AR63" s="315"/>
      <c r="AS63" s="315"/>
      <c r="AT63" s="316"/>
      <c r="AU63" s="314" t="s">
        <v>150</v>
      </c>
      <c r="AV63" s="315" t="s">
        <v>47</v>
      </c>
      <c r="AW63" s="315" t="s">
        <v>148</v>
      </c>
      <c r="AX63" s="315" t="s">
        <v>150</v>
      </c>
      <c r="AY63" s="315" t="s">
        <v>148</v>
      </c>
      <c r="AZ63" s="315"/>
      <c r="BA63" s="315"/>
      <c r="BB63" s="316" t="s">
        <v>148</v>
      </c>
      <c r="BC63" s="314" t="s">
        <v>149</v>
      </c>
      <c r="BD63" s="315" t="s">
        <v>147</v>
      </c>
      <c r="BE63" s="315"/>
      <c r="BF63" s="315" t="s">
        <v>150</v>
      </c>
      <c r="BG63" s="316"/>
      <c r="BH63" s="314"/>
      <c r="BI63" s="315"/>
      <c r="BJ63" s="316"/>
      <c r="BK63" s="314"/>
      <c r="BL63" s="315"/>
      <c r="BM63" s="315"/>
      <c r="BN63" s="316"/>
      <c r="BO63" s="314"/>
      <c r="BP63" s="315"/>
      <c r="BQ63" s="315"/>
      <c r="BR63" s="315"/>
      <c r="BS63" s="315" t="s">
        <v>149</v>
      </c>
      <c r="BT63" s="315"/>
      <c r="BU63" s="315" t="s">
        <v>150</v>
      </c>
      <c r="BV63" s="316"/>
      <c r="BW63" s="314" t="s">
        <v>147</v>
      </c>
      <c r="BX63" s="315" t="s">
        <v>148</v>
      </c>
      <c r="BY63" s="315" t="s">
        <v>47</v>
      </c>
      <c r="BZ63" s="315" t="s">
        <v>147</v>
      </c>
      <c r="CA63" s="315" t="s">
        <v>150</v>
      </c>
      <c r="CB63" s="316" t="s">
        <v>47</v>
      </c>
      <c r="CC63" s="314"/>
      <c r="CD63" s="315" t="s">
        <v>148</v>
      </c>
      <c r="CE63" s="316"/>
      <c r="CF63" s="314"/>
      <c r="CG63" s="315"/>
      <c r="CH63" s="315"/>
      <c r="CI63" s="317"/>
      <c r="CK63" s="236">
        <f t="shared" si="25"/>
        <v>2</v>
      </c>
      <c r="CL63" s="237">
        <f t="shared" si="26"/>
        <v>3</v>
      </c>
      <c r="CM63" s="237">
        <f t="shared" si="27"/>
        <v>5</v>
      </c>
      <c r="CN63" s="237">
        <f t="shared" si="28"/>
        <v>5</v>
      </c>
      <c r="CO63" s="238">
        <f t="shared" si="29"/>
        <v>3</v>
      </c>
      <c r="CQ63" s="236" t="str">
        <f>desired_skills(C63,"Organisatie / klantomgeving/LB - Business Support","o")</f>
        <v/>
      </c>
      <c r="CR63" s="237" t="str">
        <f>desired_skills(C63,"Organisatie / klantomgeving/LB - Business Support","j")</f>
        <v/>
      </c>
      <c r="CS63" s="237" t="str">
        <f>desired_skills(C63,"Organisatie / klantomgeving/LB - Business Support","m")</f>
        <v>33</v>
      </c>
      <c r="CT63" s="237" t="str">
        <f>desired_skills(C63,"Organisatie / klantomgeving/LB - Business Support","s")</f>
        <v/>
      </c>
      <c r="CU63" s="238" t="str">
        <f>desired_skills(C63,"Organisatie / klantomgeving/LB - Business Support","e")</f>
        <v/>
      </c>
      <c r="CW63" s="236" t="str">
        <f>calc_gap('Matrix 171007_1815'!$CK$63,'Matrix 171007_1815'!$CQ$63)</f>
        <v/>
      </c>
      <c r="CX63" s="237" t="str">
        <f>calc_gap('Matrix 171007_1815'!$CL$63,'Matrix 171007_1815'!$CR$63)</f>
        <v/>
      </c>
      <c r="CY63" s="237" t="str">
        <f>calc_gap('Matrix 171007_1815'!$CM$63,'Matrix 171007_1815'!$CS$63)</f>
        <v>28</v>
      </c>
      <c r="CZ63" s="237" t="str">
        <f>calc_gap('Matrix 171007_1815'!$CN$63,'Matrix 171007_1815'!$CT$63)</f>
        <v/>
      </c>
      <c r="DA63" s="238" t="str">
        <f>calc_gap('Matrix 171007_1815'!$CO$63,'Matrix 171007_1815'!$CU$63)</f>
        <v/>
      </c>
    </row>
    <row r="64" spans="2:105" x14ac:dyDescent="0.25">
      <c r="B64" s="435"/>
      <c r="C64" s="291" t="s">
        <v>102</v>
      </c>
      <c r="D64" s="314"/>
      <c r="E64" s="315"/>
      <c r="F64" s="315"/>
      <c r="G64" s="315"/>
      <c r="H64" s="315"/>
      <c r="I64" s="315"/>
      <c r="J64" s="315"/>
      <c r="K64" s="316"/>
      <c r="L64" s="314"/>
      <c r="M64" s="315"/>
      <c r="N64" s="315"/>
      <c r="O64" s="316"/>
      <c r="P64" s="314"/>
      <c r="Q64" s="315"/>
      <c r="R64" s="315"/>
      <c r="S64" s="315"/>
      <c r="T64" s="315"/>
      <c r="U64" s="315"/>
      <c r="V64" s="315"/>
      <c r="W64" s="315"/>
      <c r="X64" s="315"/>
      <c r="Y64" s="315"/>
      <c r="Z64" s="315"/>
      <c r="AA64" s="315"/>
      <c r="AB64" s="315"/>
      <c r="AC64" s="315"/>
      <c r="AD64" s="315"/>
      <c r="AE64" s="315"/>
      <c r="AF64" s="315"/>
      <c r="AG64" s="315"/>
      <c r="AH64" s="315"/>
      <c r="AI64" s="316"/>
      <c r="AJ64" s="314"/>
      <c r="AK64" s="315"/>
      <c r="AL64" s="316"/>
      <c r="AM64" s="314"/>
      <c r="AN64" s="315"/>
      <c r="AO64" s="316"/>
      <c r="AP64" s="314"/>
      <c r="AQ64" s="315"/>
      <c r="AR64" s="315"/>
      <c r="AS64" s="315"/>
      <c r="AT64" s="316"/>
      <c r="AU64" s="314" t="s">
        <v>147</v>
      </c>
      <c r="AV64" s="315" t="s">
        <v>47</v>
      </c>
      <c r="AW64" s="315" t="s">
        <v>148</v>
      </c>
      <c r="AX64" s="315" t="s">
        <v>150</v>
      </c>
      <c r="AY64" s="315" t="s">
        <v>148</v>
      </c>
      <c r="AZ64" s="315"/>
      <c r="BA64" s="315"/>
      <c r="BB64" s="316" t="s">
        <v>148</v>
      </c>
      <c r="BC64" s="314" t="s">
        <v>149</v>
      </c>
      <c r="BD64" s="315" t="s">
        <v>147</v>
      </c>
      <c r="BE64" s="315"/>
      <c r="BF64" s="315" t="s">
        <v>147</v>
      </c>
      <c r="BG64" s="316"/>
      <c r="BH64" s="314"/>
      <c r="BI64" s="315"/>
      <c r="BJ64" s="316"/>
      <c r="BK64" s="314"/>
      <c r="BL64" s="315"/>
      <c r="BM64" s="315"/>
      <c r="BN64" s="316"/>
      <c r="BO64" s="314" t="s">
        <v>148</v>
      </c>
      <c r="BP64" s="315" t="s">
        <v>150</v>
      </c>
      <c r="BQ64" s="315"/>
      <c r="BR64" s="315"/>
      <c r="BS64" s="315" t="s">
        <v>149</v>
      </c>
      <c r="BT64" s="315"/>
      <c r="BU64" s="315" t="s">
        <v>150</v>
      </c>
      <c r="BV64" s="316"/>
      <c r="BW64" s="314" t="s">
        <v>148</v>
      </c>
      <c r="BX64" s="315" t="s">
        <v>147</v>
      </c>
      <c r="BY64" s="315" t="s">
        <v>147</v>
      </c>
      <c r="BZ64" s="315" t="s">
        <v>148</v>
      </c>
      <c r="CA64" s="315" t="s">
        <v>150</v>
      </c>
      <c r="CB64" s="316" t="s">
        <v>47</v>
      </c>
      <c r="CC64" s="314"/>
      <c r="CD64" s="315" t="s">
        <v>148</v>
      </c>
      <c r="CE64" s="316"/>
      <c r="CF64" s="314"/>
      <c r="CG64" s="315"/>
      <c r="CH64" s="315"/>
      <c r="CI64" s="317"/>
      <c r="CK64" s="236">
        <f t="shared" si="25"/>
        <v>2</v>
      </c>
      <c r="CL64" s="237">
        <f t="shared" si="26"/>
        <v>5</v>
      </c>
      <c r="CM64" s="237">
        <f t="shared" si="27"/>
        <v>7</v>
      </c>
      <c r="CN64" s="237">
        <f t="shared" si="28"/>
        <v>4</v>
      </c>
      <c r="CO64" s="238">
        <f t="shared" si="29"/>
        <v>2</v>
      </c>
      <c r="CQ64" s="236" t="str">
        <f>desired_skills(C64,"Organisatie / klantomgeving/PPB","o")</f>
        <v/>
      </c>
      <c r="CR64" s="237" t="str">
        <f>desired_skills(C64,"Organisatie / klantomgeving/PPB","j")</f>
        <v/>
      </c>
      <c r="CS64" s="237" t="str">
        <f>desired_skills(C64,"Organisatie / klantomgeving/PPB","m")</f>
        <v/>
      </c>
      <c r="CT64" s="237" t="str">
        <f>desired_skills(C64,"Organisatie / klantomgeving/PPB","s")</f>
        <v>34</v>
      </c>
      <c r="CU64" s="238" t="str">
        <f>desired_skills(C64,"Organisatie / klantomgeving/PPB","e")</f>
        <v/>
      </c>
      <c r="CW64" s="236" t="str">
        <f>calc_gap('Matrix 171007_1815'!$CK$64,'Matrix 171007_1815'!$CQ$64)</f>
        <v/>
      </c>
      <c r="CX64" s="237" t="str">
        <f>calc_gap('Matrix 171007_1815'!$CL$64,'Matrix 171007_1815'!$CR$64)</f>
        <v/>
      </c>
      <c r="CY64" s="237" t="str">
        <f>calc_gap('Matrix 171007_1815'!$CM$64,'Matrix 171007_1815'!$CS$64)</f>
        <v/>
      </c>
      <c r="CZ64" s="237" t="str">
        <f>calc_gap('Matrix 171007_1815'!$CN$64,'Matrix 171007_1815'!$CT$64)</f>
        <v>30</v>
      </c>
      <c r="DA64" s="238" t="str">
        <f>calc_gap('Matrix 171007_1815'!$CO$64,'Matrix 171007_1815'!$CU$64)</f>
        <v/>
      </c>
    </row>
    <row r="65" spans="2:105" x14ac:dyDescent="0.25">
      <c r="B65" s="435"/>
      <c r="C65" s="291" t="s">
        <v>103</v>
      </c>
      <c r="D65" s="314"/>
      <c r="E65" s="315"/>
      <c r="F65" s="315"/>
      <c r="G65" s="315"/>
      <c r="H65" s="315"/>
      <c r="I65" s="315"/>
      <c r="J65" s="315"/>
      <c r="K65" s="316"/>
      <c r="L65" s="314"/>
      <c r="M65" s="315"/>
      <c r="N65" s="315"/>
      <c r="O65" s="316"/>
      <c r="P65" s="314"/>
      <c r="Q65" s="315"/>
      <c r="R65" s="315"/>
      <c r="S65" s="315"/>
      <c r="T65" s="315"/>
      <c r="U65" s="315"/>
      <c r="V65" s="315"/>
      <c r="W65" s="315"/>
      <c r="X65" s="315"/>
      <c r="Y65" s="315"/>
      <c r="Z65" s="315"/>
      <c r="AA65" s="315"/>
      <c r="AB65" s="315"/>
      <c r="AC65" s="315"/>
      <c r="AD65" s="315"/>
      <c r="AE65" s="315"/>
      <c r="AF65" s="315"/>
      <c r="AG65" s="315"/>
      <c r="AH65" s="315"/>
      <c r="AI65" s="316"/>
      <c r="AJ65" s="314"/>
      <c r="AK65" s="315"/>
      <c r="AL65" s="316"/>
      <c r="AM65" s="314"/>
      <c r="AN65" s="315"/>
      <c r="AO65" s="316"/>
      <c r="AP65" s="314"/>
      <c r="AQ65" s="315"/>
      <c r="AR65" s="315"/>
      <c r="AS65" s="315"/>
      <c r="AT65" s="316"/>
      <c r="AU65" s="314" t="s">
        <v>148</v>
      </c>
      <c r="AV65" s="315" t="s">
        <v>148</v>
      </c>
      <c r="AW65" s="315" t="s">
        <v>148</v>
      </c>
      <c r="AX65" s="315" t="s">
        <v>150</v>
      </c>
      <c r="AY65" s="315" t="s">
        <v>148</v>
      </c>
      <c r="AZ65" s="315"/>
      <c r="BA65" s="315"/>
      <c r="BB65" s="316" t="s">
        <v>148</v>
      </c>
      <c r="BC65" s="314" t="s">
        <v>149</v>
      </c>
      <c r="BD65" s="315" t="s">
        <v>147</v>
      </c>
      <c r="BE65" s="315"/>
      <c r="BF65" s="315" t="s">
        <v>147</v>
      </c>
      <c r="BG65" s="316"/>
      <c r="BH65" s="314"/>
      <c r="BI65" s="315"/>
      <c r="BJ65" s="316"/>
      <c r="BK65" s="314"/>
      <c r="BL65" s="315"/>
      <c r="BM65" s="315"/>
      <c r="BN65" s="316"/>
      <c r="BO65" s="314" t="s">
        <v>148</v>
      </c>
      <c r="BP65" s="315" t="s">
        <v>150</v>
      </c>
      <c r="BQ65" s="315"/>
      <c r="BR65" s="315"/>
      <c r="BS65" s="315" t="s">
        <v>149</v>
      </c>
      <c r="BT65" s="315"/>
      <c r="BU65" s="315" t="s">
        <v>150</v>
      </c>
      <c r="BV65" s="316"/>
      <c r="BW65" s="314" t="s">
        <v>148</v>
      </c>
      <c r="BX65" s="315" t="s">
        <v>147</v>
      </c>
      <c r="BY65" s="315" t="s">
        <v>147</v>
      </c>
      <c r="BZ65" s="315" t="s">
        <v>148</v>
      </c>
      <c r="CA65" s="315" t="s">
        <v>47</v>
      </c>
      <c r="CB65" s="316" t="s">
        <v>148</v>
      </c>
      <c r="CC65" s="314"/>
      <c r="CD65" s="315" t="s">
        <v>148</v>
      </c>
      <c r="CE65" s="316"/>
      <c r="CF65" s="314"/>
      <c r="CG65" s="315"/>
      <c r="CH65" s="315"/>
      <c r="CI65" s="317"/>
      <c r="CK65" s="236">
        <f t="shared" si="25"/>
        <v>2</v>
      </c>
      <c r="CL65" s="237">
        <f t="shared" si="26"/>
        <v>4</v>
      </c>
      <c r="CM65" s="237">
        <f t="shared" si="27"/>
        <v>10</v>
      </c>
      <c r="CN65" s="237">
        <f t="shared" si="28"/>
        <v>3</v>
      </c>
      <c r="CO65" s="238">
        <f t="shared" si="29"/>
        <v>1</v>
      </c>
      <c r="CQ65" s="236" t="str">
        <f>desired_skills(C65,"Organisatie / klantomgeving/Bedrijven","o")</f>
        <v/>
      </c>
      <c r="CR65" s="237" t="str">
        <f>desired_skills(C65,"Organisatie / klantomgeving/Bedrijven","j")</f>
        <v/>
      </c>
      <c r="CS65" s="237" t="str">
        <f>desired_skills(C65,"Organisatie / klantomgeving/Bedrijven","m")</f>
        <v/>
      </c>
      <c r="CT65" s="237" t="str">
        <f>desired_skills(C65,"Organisatie / klantomgeving/Bedrijven","s")</f>
        <v/>
      </c>
      <c r="CU65" s="238" t="str">
        <f>desired_skills(C65,"Organisatie / klantomgeving/Bedrijven","e")</f>
        <v>35</v>
      </c>
      <c r="CW65" s="236" t="str">
        <f>calc_gap('Matrix 171007_1815'!$CK$65,'Matrix 171007_1815'!$CQ$65)</f>
        <v/>
      </c>
      <c r="CX65" s="237" t="str">
        <f>calc_gap('Matrix 171007_1815'!$CL$65,'Matrix 171007_1815'!$CR$65)</f>
        <v/>
      </c>
      <c r="CY65" s="237" t="str">
        <f>calc_gap('Matrix 171007_1815'!$CM$65,'Matrix 171007_1815'!$CS$65)</f>
        <v/>
      </c>
      <c r="CZ65" s="237" t="str">
        <f>calc_gap('Matrix 171007_1815'!$CN$65,'Matrix 171007_1815'!$CT$65)</f>
        <v/>
      </c>
      <c r="DA65" s="238" t="str">
        <f>calc_gap('Matrix 171007_1815'!$CO$65,'Matrix 171007_1815'!$CU$65)</f>
        <v>34</v>
      </c>
    </row>
    <row r="66" spans="2:105" x14ac:dyDescent="0.25">
      <c r="B66" s="435"/>
      <c r="C66" s="291" t="s">
        <v>104</v>
      </c>
      <c r="D66" s="314"/>
      <c r="E66" s="315"/>
      <c r="F66" s="315"/>
      <c r="G66" s="315"/>
      <c r="H66" s="315"/>
      <c r="I66" s="315"/>
      <c r="J66" s="315"/>
      <c r="K66" s="316"/>
      <c r="L66" s="314"/>
      <c r="M66" s="315"/>
      <c r="N66" s="315"/>
      <c r="O66" s="316"/>
      <c r="P66" s="314"/>
      <c r="Q66" s="315"/>
      <c r="R66" s="315"/>
      <c r="S66" s="315"/>
      <c r="T66" s="315"/>
      <c r="U66" s="315"/>
      <c r="V66" s="315"/>
      <c r="W66" s="315"/>
      <c r="X66" s="315"/>
      <c r="Y66" s="315"/>
      <c r="Z66" s="315"/>
      <c r="AA66" s="315"/>
      <c r="AB66" s="315"/>
      <c r="AC66" s="315"/>
      <c r="AD66" s="315"/>
      <c r="AE66" s="315"/>
      <c r="AF66" s="315"/>
      <c r="AG66" s="315"/>
      <c r="AH66" s="315"/>
      <c r="AI66" s="316"/>
      <c r="AJ66" s="314"/>
      <c r="AK66" s="315"/>
      <c r="AL66" s="316"/>
      <c r="AM66" s="314"/>
      <c r="AN66" s="315"/>
      <c r="AO66" s="316"/>
      <c r="AP66" s="314"/>
      <c r="AQ66" s="315"/>
      <c r="AR66" s="315"/>
      <c r="AS66" s="315"/>
      <c r="AT66" s="316"/>
      <c r="AU66" s="314" t="s">
        <v>147</v>
      </c>
      <c r="AV66" s="315" t="s">
        <v>148</v>
      </c>
      <c r="AW66" s="315" t="s">
        <v>147</v>
      </c>
      <c r="AX66" s="315" t="s">
        <v>150</v>
      </c>
      <c r="AY66" s="315" t="s">
        <v>148</v>
      </c>
      <c r="AZ66" s="315"/>
      <c r="BA66" s="315"/>
      <c r="BB66" s="316" t="s">
        <v>148</v>
      </c>
      <c r="BC66" s="314" t="s">
        <v>149</v>
      </c>
      <c r="BD66" s="315" t="s">
        <v>147</v>
      </c>
      <c r="BE66" s="315"/>
      <c r="BF66" s="315" t="s">
        <v>147</v>
      </c>
      <c r="BG66" s="316"/>
      <c r="BH66" s="314"/>
      <c r="BI66" s="315"/>
      <c r="BJ66" s="316"/>
      <c r="BK66" s="314"/>
      <c r="BL66" s="315"/>
      <c r="BM66" s="315"/>
      <c r="BN66" s="316"/>
      <c r="BO66" s="314" t="s">
        <v>147</v>
      </c>
      <c r="BP66" s="315" t="s">
        <v>147</v>
      </c>
      <c r="BQ66" s="315"/>
      <c r="BR66" s="315"/>
      <c r="BS66" s="315" t="s">
        <v>149</v>
      </c>
      <c r="BT66" s="315"/>
      <c r="BU66" s="315" t="s">
        <v>148</v>
      </c>
      <c r="BV66" s="316"/>
      <c r="BW66" s="314" t="s">
        <v>148</v>
      </c>
      <c r="BX66" s="315"/>
      <c r="BY66" s="315" t="s">
        <v>150</v>
      </c>
      <c r="BZ66" s="315" t="s">
        <v>148</v>
      </c>
      <c r="CA66" s="315" t="s">
        <v>47</v>
      </c>
      <c r="CB66" s="316" t="s">
        <v>150</v>
      </c>
      <c r="CC66" s="314"/>
      <c r="CD66" s="315" t="s">
        <v>148</v>
      </c>
      <c r="CE66" s="316"/>
      <c r="CF66" s="314"/>
      <c r="CG66" s="315"/>
      <c r="CH66" s="315"/>
      <c r="CI66" s="317"/>
      <c r="CK66" s="236">
        <f t="shared" si="25"/>
        <v>2</v>
      </c>
      <c r="CL66" s="237">
        <f t="shared" si="26"/>
        <v>6</v>
      </c>
      <c r="CM66" s="237">
        <f t="shared" si="27"/>
        <v>7</v>
      </c>
      <c r="CN66" s="237">
        <f t="shared" si="28"/>
        <v>3</v>
      </c>
      <c r="CO66" s="238">
        <f t="shared" si="29"/>
        <v>1</v>
      </c>
      <c r="CQ66" s="236" t="str">
        <f>desired_skills(C66,"Organisatie / klantomgeving/Digitale Bank","o")</f>
        <v/>
      </c>
      <c r="CR66" s="237" t="str">
        <f>desired_skills(C66,"Organisatie / klantomgeving/Digitale Bank","j")</f>
        <v/>
      </c>
      <c r="CS66" s="237" t="str">
        <f>desired_skills(C66,"Organisatie / klantomgeving/Digitale Bank","m")</f>
        <v/>
      </c>
      <c r="CT66" s="237" t="str">
        <f>desired_skills(C66,"Organisatie / klantomgeving/Digitale Bank","s")</f>
        <v/>
      </c>
      <c r="CU66" s="238" t="str">
        <f>desired_skills(C66,"Organisatie / klantomgeving/Digitale Bank","e")</f>
        <v/>
      </c>
      <c r="CW66" s="236" t="str">
        <f>calc_gap('Matrix 171007_1815'!$CK$66,'Matrix 171007_1815'!$CQ$66)</f>
        <v/>
      </c>
      <c r="CX66" s="237" t="str">
        <f>calc_gap('Matrix 171007_1815'!$CL$66,'Matrix 171007_1815'!$CR$66)</f>
        <v/>
      </c>
      <c r="CY66" s="237" t="str">
        <f>calc_gap('Matrix 171007_1815'!$CM$66,'Matrix 171007_1815'!$CS$66)</f>
        <v/>
      </c>
      <c r="CZ66" s="237" t="str">
        <f>calc_gap('Matrix 171007_1815'!$CN$66,'Matrix 171007_1815'!$CT$66)</f>
        <v/>
      </c>
      <c r="DA66" s="238" t="str">
        <f>calc_gap('Matrix 171007_1815'!$CO$66,'Matrix 171007_1815'!$CU$66)</f>
        <v/>
      </c>
    </row>
    <row r="67" spans="2:105" x14ac:dyDescent="0.25">
      <c r="B67" s="435"/>
      <c r="C67" s="291" t="s">
        <v>105</v>
      </c>
      <c r="D67" s="314"/>
      <c r="E67" s="315"/>
      <c r="F67" s="315"/>
      <c r="G67" s="315"/>
      <c r="H67" s="315"/>
      <c r="I67" s="315"/>
      <c r="J67" s="315"/>
      <c r="K67" s="316"/>
      <c r="L67" s="314"/>
      <c r="M67" s="315"/>
      <c r="N67" s="315"/>
      <c r="O67" s="316"/>
      <c r="P67" s="314"/>
      <c r="Q67" s="315"/>
      <c r="R67" s="315"/>
      <c r="S67" s="315"/>
      <c r="T67" s="315"/>
      <c r="U67" s="315"/>
      <c r="V67" s="315"/>
      <c r="W67" s="315"/>
      <c r="X67" s="315"/>
      <c r="Y67" s="315"/>
      <c r="Z67" s="315"/>
      <c r="AA67" s="315"/>
      <c r="AB67" s="315"/>
      <c r="AC67" s="315"/>
      <c r="AD67" s="315"/>
      <c r="AE67" s="315"/>
      <c r="AF67" s="315"/>
      <c r="AG67" s="315"/>
      <c r="AH67" s="315"/>
      <c r="AI67" s="316"/>
      <c r="AJ67" s="314"/>
      <c r="AK67" s="315"/>
      <c r="AL67" s="316"/>
      <c r="AM67" s="314"/>
      <c r="AN67" s="315"/>
      <c r="AO67" s="316"/>
      <c r="AP67" s="314"/>
      <c r="AQ67" s="315"/>
      <c r="AR67" s="315"/>
      <c r="AS67" s="315"/>
      <c r="AT67" s="316"/>
      <c r="AU67" s="314" t="s">
        <v>150</v>
      </c>
      <c r="AV67" s="315" t="s">
        <v>150</v>
      </c>
      <c r="AW67" s="315" t="s">
        <v>147</v>
      </c>
      <c r="AX67" s="315" t="s">
        <v>150</v>
      </c>
      <c r="AY67" s="315" t="s">
        <v>150</v>
      </c>
      <c r="AZ67" s="315"/>
      <c r="BA67" s="315"/>
      <c r="BB67" s="316" t="s">
        <v>147</v>
      </c>
      <c r="BC67" s="314" t="s">
        <v>149</v>
      </c>
      <c r="BD67" s="315" t="s">
        <v>147</v>
      </c>
      <c r="BE67" s="315"/>
      <c r="BF67" s="315" t="s">
        <v>147</v>
      </c>
      <c r="BG67" s="316"/>
      <c r="BH67" s="314"/>
      <c r="BI67" s="315"/>
      <c r="BJ67" s="316"/>
      <c r="BK67" s="314"/>
      <c r="BL67" s="315"/>
      <c r="BM67" s="315"/>
      <c r="BN67" s="316"/>
      <c r="BO67" s="314" t="s">
        <v>148</v>
      </c>
      <c r="BP67" s="315" t="s">
        <v>148</v>
      </c>
      <c r="BQ67" s="315"/>
      <c r="BR67" s="315"/>
      <c r="BS67" s="315" t="s">
        <v>149</v>
      </c>
      <c r="BT67" s="315"/>
      <c r="BU67" s="315" t="s">
        <v>150</v>
      </c>
      <c r="BV67" s="316"/>
      <c r="BW67" s="314" t="s">
        <v>148</v>
      </c>
      <c r="BX67" s="315"/>
      <c r="BY67" s="315"/>
      <c r="BZ67" s="315" t="s">
        <v>148</v>
      </c>
      <c r="CA67" s="315" t="s">
        <v>147</v>
      </c>
      <c r="CB67" s="316" t="s">
        <v>147</v>
      </c>
      <c r="CC67" s="314"/>
      <c r="CD67" s="315" t="s">
        <v>147</v>
      </c>
      <c r="CE67" s="316"/>
      <c r="CF67" s="314"/>
      <c r="CG67" s="315"/>
      <c r="CH67" s="315"/>
      <c r="CI67" s="317"/>
      <c r="CK67" s="236">
        <f t="shared" si="25"/>
        <v>2</v>
      </c>
      <c r="CL67" s="237">
        <f t="shared" si="26"/>
        <v>7</v>
      </c>
      <c r="CM67" s="237">
        <f t="shared" si="27"/>
        <v>4</v>
      </c>
      <c r="CN67" s="237">
        <f t="shared" si="28"/>
        <v>5</v>
      </c>
      <c r="CO67" s="238" t="str">
        <f t="shared" si="29"/>
        <v/>
      </c>
      <c r="CQ67" s="236" t="str">
        <f>desired_skills(C67,"Organisatie / klantomgeving/CRO","o")</f>
        <v/>
      </c>
      <c r="CR67" s="237" t="str">
        <f>desired_skills(C67,"Organisatie / klantomgeving/CRO","j")</f>
        <v/>
      </c>
      <c r="CS67" s="237" t="str">
        <f>desired_skills(C67,"Organisatie / klantomgeving/CRO","m")</f>
        <v/>
      </c>
      <c r="CT67" s="237" t="str">
        <f>desired_skills(C67,"Organisatie / klantomgeving/CRO","s")</f>
        <v/>
      </c>
      <c r="CU67" s="238" t="str">
        <f>desired_skills(C67,"Organisatie / klantomgeving/CRO","e")</f>
        <v/>
      </c>
      <c r="CW67" s="236" t="str">
        <f>calc_gap('Matrix 171007_1815'!$CK$67,'Matrix 171007_1815'!$CQ$67)</f>
        <v/>
      </c>
      <c r="CX67" s="237" t="str">
        <f>calc_gap('Matrix 171007_1815'!$CL$67,'Matrix 171007_1815'!$CR$67)</f>
        <v/>
      </c>
      <c r="CY67" s="237" t="str">
        <f>calc_gap('Matrix 171007_1815'!$CM$67,'Matrix 171007_1815'!$CS$67)</f>
        <v/>
      </c>
      <c r="CZ67" s="237" t="str">
        <f>calc_gap('Matrix 171007_1815'!$CN$67,'Matrix 171007_1815'!$CT$67)</f>
        <v/>
      </c>
      <c r="DA67" s="238" t="str">
        <f>calc_gap('Matrix 171007_1815'!$CO$67,'Matrix 171007_1815'!$CU$67)</f>
        <v/>
      </c>
    </row>
    <row r="68" spans="2:105" x14ac:dyDescent="0.25">
      <c r="B68" s="435"/>
      <c r="C68" s="291" t="s">
        <v>106</v>
      </c>
      <c r="D68" s="314"/>
      <c r="E68" s="315"/>
      <c r="F68" s="315"/>
      <c r="G68" s="315"/>
      <c r="H68" s="315"/>
      <c r="I68" s="315"/>
      <c r="J68" s="315"/>
      <c r="K68" s="316"/>
      <c r="L68" s="314"/>
      <c r="M68" s="315"/>
      <c r="N68" s="315"/>
      <c r="O68" s="316"/>
      <c r="P68" s="314"/>
      <c r="Q68" s="315"/>
      <c r="R68" s="315"/>
      <c r="S68" s="315"/>
      <c r="T68" s="315"/>
      <c r="U68" s="315"/>
      <c r="V68" s="315"/>
      <c r="W68" s="315"/>
      <c r="X68" s="315"/>
      <c r="Y68" s="315"/>
      <c r="Z68" s="315"/>
      <c r="AA68" s="315"/>
      <c r="AB68" s="315"/>
      <c r="AC68" s="315"/>
      <c r="AD68" s="315"/>
      <c r="AE68" s="315"/>
      <c r="AF68" s="315"/>
      <c r="AG68" s="315"/>
      <c r="AH68" s="315"/>
      <c r="AI68" s="316"/>
      <c r="AJ68" s="314"/>
      <c r="AK68" s="315"/>
      <c r="AL68" s="316"/>
      <c r="AM68" s="314"/>
      <c r="AN68" s="315"/>
      <c r="AO68" s="316"/>
      <c r="AP68" s="314"/>
      <c r="AQ68" s="315"/>
      <c r="AR68" s="315"/>
      <c r="AS68" s="315"/>
      <c r="AT68" s="316"/>
      <c r="AU68" s="314" t="s">
        <v>148</v>
      </c>
      <c r="AV68" s="315" t="s">
        <v>148</v>
      </c>
      <c r="AW68" s="315" t="s">
        <v>147</v>
      </c>
      <c r="AX68" s="315" t="s">
        <v>150</v>
      </c>
      <c r="AY68" s="315" t="s">
        <v>150</v>
      </c>
      <c r="AZ68" s="315"/>
      <c r="BA68" s="315"/>
      <c r="BB68" s="316" t="s">
        <v>148</v>
      </c>
      <c r="BC68" s="314" t="s">
        <v>149</v>
      </c>
      <c r="BD68" s="315" t="s">
        <v>147</v>
      </c>
      <c r="BE68" s="315"/>
      <c r="BF68" s="315"/>
      <c r="BG68" s="316"/>
      <c r="BH68" s="314"/>
      <c r="BI68" s="315"/>
      <c r="BJ68" s="316"/>
      <c r="BK68" s="314"/>
      <c r="BL68" s="315"/>
      <c r="BM68" s="315"/>
      <c r="BN68" s="316"/>
      <c r="BO68" s="314" t="s">
        <v>148</v>
      </c>
      <c r="BP68" s="315" t="s">
        <v>148</v>
      </c>
      <c r="BQ68" s="315"/>
      <c r="BR68" s="315"/>
      <c r="BS68" s="315" t="s">
        <v>149</v>
      </c>
      <c r="BT68" s="315"/>
      <c r="BU68" s="315" t="s">
        <v>150</v>
      </c>
      <c r="BV68" s="316"/>
      <c r="BW68" s="314" t="s">
        <v>148</v>
      </c>
      <c r="BX68" s="315"/>
      <c r="BY68" s="315"/>
      <c r="BZ68" s="315" t="s">
        <v>148</v>
      </c>
      <c r="CA68" s="315" t="s">
        <v>147</v>
      </c>
      <c r="CB68" s="316" t="s">
        <v>147</v>
      </c>
      <c r="CC68" s="314"/>
      <c r="CD68" s="315" t="s">
        <v>147</v>
      </c>
      <c r="CE68" s="316"/>
      <c r="CF68" s="314"/>
      <c r="CG68" s="315"/>
      <c r="CH68" s="315"/>
      <c r="CI68" s="317"/>
      <c r="CK68" s="236">
        <f t="shared" si="25"/>
        <v>2</v>
      </c>
      <c r="CL68" s="237">
        <f t="shared" si="26"/>
        <v>5</v>
      </c>
      <c r="CM68" s="237">
        <f t="shared" si="27"/>
        <v>7</v>
      </c>
      <c r="CN68" s="237">
        <f t="shared" si="28"/>
        <v>3</v>
      </c>
      <c r="CO68" s="238" t="str">
        <f t="shared" si="29"/>
        <v/>
      </c>
      <c r="CQ68" s="236" t="str">
        <f>desired_skills(C68,"Organisatie / klantomgeving/CFO","o")</f>
        <v/>
      </c>
      <c r="CR68" s="237" t="str">
        <f>desired_skills(C68,"Organisatie / klantomgeving/CFO","j")</f>
        <v/>
      </c>
      <c r="CS68" s="237" t="str">
        <f>desired_skills(C68,"Organisatie / klantomgeving/CFO","m")</f>
        <v/>
      </c>
      <c r="CT68" s="237" t="str">
        <f>desired_skills(C68,"Organisatie / klantomgeving/CFO","s")</f>
        <v/>
      </c>
      <c r="CU68" s="238" t="str">
        <f>desired_skills(C68,"Organisatie / klantomgeving/CFO","e")</f>
        <v/>
      </c>
      <c r="CW68" s="236" t="str">
        <f>calc_gap('Matrix 171007_1815'!$CK$68,'Matrix 171007_1815'!$CQ$68)</f>
        <v/>
      </c>
      <c r="CX68" s="237" t="str">
        <f>calc_gap('Matrix 171007_1815'!$CL$68,'Matrix 171007_1815'!$CR$68)</f>
        <v/>
      </c>
      <c r="CY68" s="237" t="str">
        <f>calc_gap('Matrix 171007_1815'!$CM$68,'Matrix 171007_1815'!$CS$68)</f>
        <v/>
      </c>
      <c r="CZ68" s="237" t="str">
        <f>calc_gap('Matrix 171007_1815'!$CN$68,'Matrix 171007_1815'!$CT$68)</f>
        <v/>
      </c>
      <c r="DA68" s="238" t="str">
        <f>calc_gap('Matrix 171007_1815'!$CO$68,'Matrix 171007_1815'!$CU$68)</f>
        <v/>
      </c>
    </row>
    <row r="69" spans="2:105" x14ac:dyDescent="0.25">
      <c r="B69" s="435"/>
      <c r="C69" s="291" t="s">
        <v>107</v>
      </c>
      <c r="D69" s="314"/>
      <c r="E69" s="315"/>
      <c r="F69" s="315"/>
      <c r="G69" s="315"/>
      <c r="H69" s="315"/>
      <c r="I69" s="315"/>
      <c r="J69" s="315"/>
      <c r="K69" s="316"/>
      <c r="L69" s="314"/>
      <c r="M69" s="315"/>
      <c r="N69" s="315"/>
      <c r="O69" s="316"/>
      <c r="P69" s="314"/>
      <c r="Q69" s="315"/>
      <c r="R69" s="315"/>
      <c r="S69" s="315"/>
      <c r="T69" s="315"/>
      <c r="U69" s="315"/>
      <c r="V69" s="315"/>
      <c r="W69" s="315"/>
      <c r="X69" s="315"/>
      <c r="Y69" s="315"/>
      <c r="Z69" s="315"/>
      <c r="AA69" s="315"/>
      <c r="AB69" s="315"/>
      <c r="AC69" s="315"/>
      <c r="AD69" s="315"/>
      <c r="AE69" s="315"/>
      <c r="AF69" s="315"/>
      <c r="AG69" s="315"/>
      <c r="AH69" s="315"/>
      <c r="AI69" s="316"/>
      <c r="AJ69" s="314"/>
      <c r="AK69" s="315"/>
      <c r="AL69" s="316"/>
      <c r="AM69" s="314"/>
      <c r="AN69" s="315"/>
      <c r="AO69" s="316"/>
      <c r="AP69" s="314"/>
      <c r="AQ69" s="315"/>
      <c r="AR69" s="315"/>
      <c r="AS69" s="315"/>
      <c r="AT69" s="316"/>
      <c r="AU69" s="314" t="s">
        <v>148</v>
      </c>
      <c r="AV69" s="315" t="s">
        <v>148</v>
      </c>
      <c r="AW69" s="315" t="s">
        <v>147</v>
      </c>
      <c r="AX69" s="315" t="s">
        <v>150</v>
      </c>
      <c r="AY69" s="315" t="s">
        <v>150</v>
      </c>
      <c r="AZ69" s="315"/>
      <c r="BA69" s="315"/>
      <c r="BB69" s="316" t="s">
        <v>148</v>
      </c>
      <c r="BC69" s="314" t="s">
        <v>149</v>
      </c>
      <c r="BD69" s="315" t="s">
        <v>147</v>
      </c>
      <c r="BE69" s="315"/>
      <c r="BF69" s="315"/>
      <c r="BG69" s="316"/>
      <c r="BH69" s="314"/>
      <c r="BI69" s="315"/>
      <c r="BJ69" s="316"/>
      <c r="BK69" s="314"/>
      <c r="BL69" s="315"/>
      <c r="BM69" s="315"/>
      <c r="BN69" s="316"/>
      <c r="BO69" s="314" t="s">
        <v>147</v>
      </c>
      <c r="BP69" s="315" t="s">
        <v>150</v>
      </c>
      <c r="BQ69" s="315"/>
      <c r="BR69" s="315"/>
      <c r="BS69" s="315" t="s">
        <v>149</v>
      </c>
      <c r="BT69" s="315"/>
      <c r="BU69" s="315" t="s">
        <v>150</v>
      </c>
      <c r="BV69" s="316"/>
      <c r="BW69" s="314" t="s">
        <v>148</v>
      </c>
      <c r="BX69" s="315"/>
      <c r="BY69" s="315"/>
      <c r="BZ69" s="315" t="s">
        <v>150</v>
      </c>
      <c r="CA69" s="315" t="s">
        <v>148</v>
      </c>
      <c r="CB69" s="316" t="s">
        <v>147</v>
      </c>
      <c r="CC69" s="314"/>
      <c r="CD69" s="315" t="s">
        <v>147</v>
      </c>
      <c r="CE69" s="316"/>
      <c r="CF69" s="314"/>
      <c r="CG69" s="315"/>
      <c r="CH69" s="315"/>
      <c r="CI69" s="317"/>
      <c r="CK69" s="236">
        <f t="shared" si="25"/>
        <v>2</v>
      </c>
      <c r="CL69" s="237">
        <f t="shared" si="26"/>
        <v>5</v>
      </c>
      <c r="CM69" s="237">
        <f t="shared" si="27"/>
        <v>5</v>
      </c>
      <c r="CN69" s="237">
        <f t="shared" si="28"/>
        <v>5</v>
      </c>
      <c r="CO69" s="238" t="str">
        <f t="shared" si="29"/>
        <v/>
      </c>
      <c r="CQ69" s="236" t="str">
        <f>desired_skills(C69,"Organisatie / klantomgeving/COO - OPS B&amp;V","o")</f>
        <v/>
      </c>
      <c r="CR69" s="237" t="str">
        <f>desired_skills(C69,"Organisatie / klantomgeving/COO - OPS B&amp;V","j")</f>
        <v/>
      </c>
      <c r="CS69" s="237" t="str">
        <f>desired_skills(C69,"Organisatie / klantomgeving/COO - OPS B&amp;V","m")</f>
        <v/>
      </c>
      <c r="CT69" s="237" t="str">
        <f>desired_skills(C69,"Organisatie / klantomgeving/COO - OPS B&amp;V","s")</f>
        <v/>
      </c>
      <c r="CU69" s="238" t="str">
        <f>desired_skills(C69,"Organisatie / klantomgeving/COO - OPS B&amp;V","e")</f>
        <v/>
      </c>
      <c r="CW69" s="236" t="str">
        <f>calc_gap('Matrix 171007_1815'!$CK$69,'Matrix 171007_1815'!$CQ$69)</f>
        <v/>
      </c>
      <c r="CX69" s="237" t="str">
        <f>calc_gap('Matrix 171007_1815'!$CL$69,'Matrix 171007_1815'!$CR$69)</f>
        <v/>
      </c>
      <c r="CY69" s="237" t="str">
        <f>calc_gap('Matrix 171007_1815'!$CM$69,'Matrix 171007_1815'!$CS$69)</f>
        <v/>
      </c>
      <c r="CZ69" s="237" t="str">
        <f>calc_gap('Matrix 171007_1815'!$CN$69,'Matrix 171007_1815'!$CT$69)</f>
        <v/>
      </c>
      <c r="DA69" s="238" t="str">
        <f>calc_gap('Matrix 171007_1815'!$CO$69,'Matrix 171007_1815'!$CU$69)</f>
        <v/>
      </c>
    </row>
    <row r="70" spans="2:105" x14ac:dyDescent="0.25">
      <c r="B70" s="435"/>
      <c r="C70" s="291" t="s">
        <v>108</v>
      </c>
      <c r="D70" s="314"/>
      <c r="E70" s="315"/>
      <c r="F70" s="315"/>
      <c r="G70" s="315"/>
      <c r="H70" s="315"/>
      <c r="I70" s="315"/>
      <c r="J70" s="315"/>
      <c r="K70" s="316"/>
      <c r="L70" s="314"/>
      <c r="M70" s="315"/>
      <c r="N70" s="315"/>
      <c r="O70" s="316"/>
      <c r="P70" s="314"/>
      <c r="Q70" s="315"/>
      <c r="R70" s="315"/>
      <c r="S70" s="315"/>
      <c r="T70" s="315"/>
      <c r="U70" s="315"/>
      <c r="V70" s="315"/>
      <c r="W70" s="315"/>
      <c r="X70" s="315"/>
      <c r="Y70" s="315"/>
      <c r="Z70" s="315"/>
      <c r="AA70" s="315"/>
      <c r="AB70" s="315"/>
      <c r="AC70" s="315"/>
      <c r="AD70" s="315"/>
      <c r="AE70" s="315"/>
      <c r="AF70" s="315"/>
      <c r="AG70" s="315"/>
      <c r="AH70" s="315"/>
      <c r="AI70" s="316"/>
      <c r="AJ70" s="314"/>
      <c r="AK70" s="315"/>
      <c r="AL70" s="316"/>
      <c r="AM70" s="314"/>
      <c r="AN70" s="315"/>
      <c r="AO70" s="316"/>
      <c r="AP70" s="314"/>
      <c r="AQ70" s="315"/>
      <c r="AR70" s="315"/>
      <c r="AS70" s="315"/>
      <c r="AT70" s="316"/>
      <c r="AU70" s="314" t="s">
        <v>148</v>
      </c>
      <c r="AV70" s="315" t="s">
        <v>148</v>
      </c>
      <c r="AW70" s="315" t="s">
        <v>147</v>
      </c>
      <c r="AX70" s="315" t="s">
        <v>150</v>
      </c>
      <c r="AY70" s="315" t="s">
        <v>150</v>
      </c>
      <c r="AZ70" s="315"/>
      <c r="BA70" s="315"/>
      <c r="BB70" s="316" t="s">
        <v>148</v>
      </c>
      <c r="BC70" s="314" t="s">
        <v>148</v>
      </c>
      <c r="BD70" s="315" t="s">
        <v>147</v>
      </c>
      <c r="BE70" s="315"/>
      <c r="BF70" s="315"/>
      <c r="BG70" s="316"/>
      <c r="BH70" s="314"/>
      <c r="BI70" s="315"/>
      <c r="BJ70" s="316"/>
      <c r="BK70" s="314"/>
      <c r="BL70" s="315"/>
      <c r="BM70" s="315"/>
      <c r="BN70" s="316"/>
      <c r="BO70" s="314" t="s">
        <v>147</v>
      </c>
      <c r="BP70" s="315" t="s">
        <v>150</v>
      </c>
      <c r="BQ70" s="315"/>
      <c r="BR70" s="315"/>
      <c r="BS70" s="315" t="s">
        <v>149</v>
      </c>
      <c r="BT70" s="315"/>
      <c r="BU70" s="315" t="s">
        <v>150</v>
      </c>
      <c r="BV70" s="316"/>
      <c r="BW70" s="314" t="s">
        <v>148</v>
      </c>
      <c r="BX70" s="315"/>
      <c r="BY70" s="315"/>
      <c r="BZ70" s="315" t="s">
        <v>150</v>
      </c>
      <c r="CA70" s="315" t="s">
        <v>150</v>
      </c>
      <c r="CB70" s="316" t="s">
        <v>147</v>
      </c>
      <c r="CC70" s="314"/>
      <c r="CD70" s="315" t="s">
        <v>147</v>
      </c>
      <c r="CE70" s="316"/>
      <c r="CF70" s="314"/>
      <c r="CG70" s="315"/>
      <c r="CH70" s="315"/>
      <c r="CI70" s="317"/>
      <c r="CK70" s="236">
        <f t="shared" si="25"/>
        <v>1</v>
      </c>
      <c r="CL70" s="237">
        <f t="shared" si="26"/>
        <v>5</v>
      </c>
      <c r="CM70" s="237">
        <f t="shared" si="27"/>
        <v>5</v>
      </c>
      <c r="CN70" s="237">
        <f t="shared" si="28"/>
        <v>6</v>
      </c>
      <c r="CO70" s="238" t="str">
        <f t="shared" si="29"/>
        <v/>
      </c>
      <c r="CQ70" s="236" t="str">
        <f>desired_skills(C70,"Organisatie / klantomgeving/COO - OPS FIN","o")</f>
        <v/>
      </c>
      <c r="CR70" s="237" t="str">
        <f>desired_skills(C70,"Organisatie / klantomgeving/COO - OPS FIN","j")</f>
        <v/>
      </c>
      <c r="CS70" s="237" t="str">
        <f>desired_skills(C70,"Organisatie / klantomgeving/COO - OPS FIN","m")</f>
        <v/>
      </c>
      <c r="CT70" s="237" t="str">
        <f>desired_skills(C70,"Organisatie / klantomgeving/COO - OPS FIN","s")</f>
        <v/>
      </c>
      <c r="CU70" s="238" t="str">
        <f>desired_skills(C70,"Organisatie / klantomgeving/COO - OPS FIN","e")</f>
        <v/>
      </c>
      <c r="CW70" s="236" t="str">
        <f>calc_gap('Matrix 171007_1815'!$CK$70,'Matrix 171007_1815'!$CQ$70)</f>
        <v/>
      </c>
      <c r="CX70" s="237" t="str">
        <f>calc_gap('Matrix 171007_1815'!$CL$70,'Matrix 171007_1815'!$CR$70)</f>
        <v/>
      </c>
      <c r="CY70" s="237" t="str">
        <f>calc_gap('Matrix 171007_1815'!$CM$70,'Matrix 171007_1815'!$CS$70)</f>
        <v/>
      </c>
      <c r="CZ70" s="237" t="str">
        <f>calc_gap('Matrix 171007_1815'!$CN$70,'Matrix 171007_1815'!$CT$70)</f>
        <v/>
      </c>
      <c r="DA70" s="238" t="str">
        <f>calc_gap('Matrix 171007_1815'!$CO$70,'Matrix 171007_1815'!$CU$70)</f>
        <v/>
      </c>
    </row>
    <row r="71" spans="2:105" x14ac:dyDescent="0.25">
      <c r="B71" s="435"/>
      <c r="C71" s="291" t="s">
        <v>109</v>
      </c>
      <c r="D71" s="314"/>
      <c r="E71" s="315"/>
      <c r="F71" s="315"/>
      <c r="G71" s="315"/>
      <c r="H71" s="315"/>
      <c r="I71" s="315"/>
      <c r="J71" s="315"/>
      <c r="K71" s="316"/>
      <c r="L71" s="314"/>
      <c r="M71" s="315"/>
      <c r="N71" s="315"/>
      <c r="O71" s="316"/>
      <c r="P71" s="314"/>
      <c r="Q71" s="315"/>
      <c r="R71" s="315"/>
      <c r="S71" s="315"/>
      <c r="T71" s="315"/>
      <c r="U71" s="315"/>
      <c r="V71" s="315"/>
      <c r="W71" s="315"/>
      <c r="X71" s="315"/>
      <c r="Y71" s="315"/>
      <c r="Z71" s="315"/>
      <c r="AA71" s="315"/>
      <c r="AB71" s="315"/>
      <c r="AC71" s="315"/>
      <c r="AD71" s="315"/>
      <c r="AE71" s="315"/>
      <c r="AF71" s="315"/>
      <c r="AG71" s="315"/>
      <c r="AH71" s="315"/>
      <c r="AI71" s="316"/>
      <c r="AJ71" s="314"/>
      <c r="AK71" s="315"/>
      <c r="AL71" s="316"/>
      <c r="AM71" s="314"/>
      <c r="AN71" s="315"/>
      <c r="AO71" s="316"/>
      <c r="AP71" s="314"/>
      <c r="AQ71" s="315"/>
      <c r="AR71" s="315"/>
      <c r="AS71" s="315"/>
      <c r="AT71" s="316"/>
      <c r="AU71" s="314" t="s">
        <v>147</v>
      </c>
      <c r="AV71" s="315" t="s">
        <v>148</v>
      </c>
      <c r="AW71" s="315" t="s">
        <v>147</v>
      </c>
      <c r="AX71" s="315" t="s">
        <v>150</v>
      </c>
      <c r="AY71" s="315" t="s">
        <v>150</v>
      </c>
      <c r="AZ71" s="315"/>
      <c r="BA71" s="315"/>
      <c r="BB71" s="316" t="s">
        <v>148</v>
      </c>
      <c r="BC71" s="314" t="s">
        <v>149</v>
      </c>
      <c r="BD71" s="315" t="s">
        <v>147</v>
      </c>
      <c r="BE71" s="315"/>
      <c r="BF71" s="315"/>
      <c r="BG71" s="316"/>
      <c r="BH71" s="314"/>
      <c r="BI71" s="315"/>
      <c r="BJ71" s="316"/>
      <c r="BK71" s="314"/>
      <c r="BL71" s="315"/>
      <c r="BM71" s="315"/>
      <c r="BN71" s="316"/>
      <c r="BO71" s="314" t="s">
        <v>147</v>
      </c>
      <c r="BP71" s="315" t="s">
        <v>150</v>
      </c>
      <c r="BQ71" s="315"/>
      <c r="BR71" s="315"/>
      <c r="BS71" s="315" t="s">
        <v>149</v>
      </c>
      <c r="BT71" s="315"/>
      <c r="BU71" s="315" t="s">
        <v>150</v>
      </c>
      <c r="BV71" s="316"/>
      <c r="BW71" s="314" t="s">
        <v>148</v>
      </c>
      <c r="BX71" s="315"/>
      <c r="BY71" s="315"/>
      <c r="BZ71" s="315" t="s">
        <v>150</v>
      </c>
      <c r="CA71" s="315" t="s">
        <v>148</v>
      </c>
      <c r="CB71" s="316" t="s">
        <v>147</v>
      </c>
      <c r="CC71" s="314"/>
      <c r="CD71" s="315" t="s">
        <v>147</v>
      </c>
      <c r="CE71" s="316"/>
      <c r="CF71" s="314"/>
      <c r="CG71" s="315"/>
      <c r="CH71" s="315"/>
      <c r="CI71" s="317"/>
      <c r="CK71" s="236">
        <f t="shared" si="25"/>
        <v>2</v>
      </c>
      <c r="CL71" s="237">
        <f t="shared" si="26"/>
        <v>6</v>
      </c>
      <c r="CM71" s="237">
        <f t="shared" si="27"/>
        <v>4</v>
      </c>
      <c r="CN71" s="237">
        <f t="shared" si="28"/>
        <v>5</v>
      </c>
      <c r="CO71" s="238" t="str">
        <f t="shared" si="29"/>
        <v/>
      </c>
      <c r="CQ71" s="236" t="str">
        <f>desired_skills(C71,"Organisatie / klantomgeving/COO - OPS Beleggen","o")</f>
        <v/>
      </c>
      <c r="CR71" s="237" t="str">
        <f>desired_skills(C71,"Organisatie / klantomgeving/COO - OPS Beleggen","j")</f>
        <v/>
      </c>
      <c r="CS71" s="237" t="str">
        <f>desired_skills(C71,"Organisatie / klantomgeving/COO - OPS Beleggen","m")</f>
        <v/>
      </c>
      <c r="CT71" s="237" t="str">
        <f>desired_skills(C71,"Organisatie / klantomgeving/COO - OPS Beleggen","s")</f>
        <v/>
      </c>
      <c r="CU71" s="238" t="str">
        <f>desired_skills(C71,"Organisatie / klantomgeving/COO - OPS Beleggen","e")</f>
        <v/>
      </c>
      <c r="CW71" s="236" t="str">
        <f>calc_gap('Matrix 171007_1815'!$CK$71,'Matrix 171007_1815'!$CQ$71)</f>
        <v/>
      </c>
      <c r="CX71" s="237" t="str">
        <f>calc_gap('Matrix 171007_1815'!$CL$71,'Matrix 171007_1815'!$CR$71)</f>
        <v/>
      </c>
      <c r="CY71" s="237" t="str">
        <f>calc_gap('Matrix 171007_1815'!$CM$71,'Matrix 171007_1815'!$CS$71)</f>
        <v/>
      </c>
      <c r="CZ71" s="237" t="str">
        <f>calc_gap('Matrix 171007_1815'!$CN$71,'Matrix 171007_1815'!$CT$71)</f>
        <v/>
      </c>
      <c r="DA71" s="238" t="str">
        <f>calc_gap('Matrix 171007_1815'!$CO$71,'Matrix 171007_1815'!$CU$71)</f>
        <v/>
      </c>
    </row>
    <row r="72" spans="2:105" x14ac:dyDescent="0.25">
      <c r="B72" s="435"/>
      <c r="C72" s="291" t="s">
        <v>110</v>
      </c>
      <c r="D72" s="314"/>
      <c r="E72" s="315"/>
      <c r="F72" s="315"/>
      <c r="G72" s="315"/>
      <c r="H72" s="315"/>
      <c r="I72" s="315"/>
      <c r="J72" s="315"/>
      <c r="K72" s="316"/>
      <c r="L72" s="314"/>
      <c r="M72" s="315"/>
      <c r="N72" s="315"/>
      <c r="O72" s="316"/>
      <c r="P72" s="314"/>
      <c r="Q72" s="315"/>
      <c r="R72" s="315"/>
      <c r="S72" s="315"/>
      <c r="T72" s="315"/>
      <c r="U72" s="315"/>
      <c r="V72" s="315"/>
      <c r="W72" s="315"/>
      <c r="X72" s="315"/>
      <c r="Y72" s="315"/>
      <c r="Z72" s="315"/>
      <c r="AA72" s="315"/>
      <c r="AB72" s="315"/>
      <c r="AC72" s="315"/>
      <c r="AD72" s="315"/>
      <c r="AE72" s="315"/>
      <c r="AF72" s="315"/>
      <c r="AG72" s="315"/>
      <c r="AH72" s="315"/>
      <c r="AI72" s="316"/>
      <c r="AJ72" s="314"/>
      <c r="AK72" s="315"/>
      <c r="AL72" s="316"/>
      <c r="AM72" s="314"/>
      <c r="AN72" s="315"/>
      <c r="AO72" s="316"/>
      <c r="AP72" s="314"/>
      <c r="AQ72" s="315"/>
      <c r="AR72" s="315"/>
      <c r="AS72" s="315"/>
      <c r="AT72" s="316"/>
      <c r="AU72" s="314" t="s">
        <v>147</v>
      </c>
      <c r="AV72" s="315" t="s">
        <v>148</v>
      </c>
      <c r="AW72" s="315" t="s">
        <v>147</v>
      </c>
      <c r="AX72" s="315" t="s">
        <v>150</v>
      </c>
      <c r="AY72" s="315" t="s">
        <v>148</v>
      </c>
      <c r="AZ72" s="315"/>
      <c r="BA72" s="315"/>
      <c r="BB72" s="316" t="s">
        <v>148</v>
      </c>
      <c r="BC72" s="314" t="s">
        <v>149</v>
      </c>
      <c r="BD72" s="315" t="s">
        <v>147</v>
      </c>
      <c r="BE72" s="315"/>
      <c r="BF72" s="315"/>
      <c r="BG72" s="316"/>
      <c r="BH72" s="314"/>
      <c r="BI72" s="315"/>
      <c r="BJ72" s="316"/>
      <c r="BK72" s="314"/>
      <c r="BL72" s="315"/>
      <c r="BM72" s="315"/>
      <c r="BN72" s="316"/>
      <c r="BO72" s="314" t="s">
        <v>147</v>
      </c>
      <c r="BP72" s="315" t="s">
        <v>150</v>
      </c>
      <c r="BQ72" s="315"/>
      <c r="BR72" s="315"/>
      <c r="BS72" s="315" t="s">
        <v>149</v>
      </c>
      <c r="BT72" s="315"/>
      <c r="BU72" s="315" t="s">
        <v>150</v>
      </c>
      <c r="BV72" s="316"/>
      <c r="BW72" s="314" t="s">
        <v>148</v>
      </c>
      <c r="BX72" s="315"/>
      <c r="BY72" s="315"/>
      <c r="BZ72" s="315" t="s">
        <v>150</v>
      </c>
      <c r="CA72" s="315" t="s">
        <v>147</v>
      </c>
      <c r="CB72" s="316"/>
      <c r="CC72" s="314"/>
      <c r="CD72" s="315" t="s">
        <v>147</v>
      </c>
      <c r="CE72" s="316"/>
      <c r="CF72" s="314"/>
      <c r="CG72" s="315"/>
      <c r="CH72" s="315"/>
      <c r="CI72" s="317"/>
      <c r="CK72" s="236">
        <f t="shared" si="25"/>
        <v>2</v>
      </c>
      <c r="CL72" s="237">
        <f t="shared" si="26"/>
        <v>6</v>
      </c>
      <c r="CM72" s="237">
        <f t="shared" si="27"/>
        <v>4</v>
      </c>
      <c r="CN72" s="237">
        <f t="shared" si="28"/>
        <v>4</v>
      </c>
      <c r="CO72" s="238" t="str">
        <f t="shared" si="29"/>
        <v/>
      </c>
      <c r="CQ72" s="236" t="str">
        <f>desired_skills(C72,"Organisatie / klantomgeving/COO - OPS overig","o")</f>
        <v/>
      </c>
      <c r="CR72" s="237" t="str">
        <f>desired_skills(C72,"Organisatie / klantomgeving/COO - OPS overig","j")</f>
        <v/>
      </c>
      <c r="CS72" s="237" t="str">
        <f>desired_skills(C72,"Organisatie / klantomgeving/COO - OPS overig","m")</f>
        <v/>
      </c>
      <c r="CT72" s="237" t="str">
        <f>desired_skills(C72,"Organisatie / klantomgeving/COO - OPS overig","s")</f>
        <v/>
      </c>
      <c r="CU72" s="238" t="str">
        <f>desired_skills(C72,"Organisatie / klantomgeving/COO - OPS overig","e")</f>
        <v/>
      </c>
      <c r="CW72" s="236" t="str">
        <f>calc_gap('Matrix 171007_1815'!$CK$72,'Matrix 171007_1815'!$CQ$72)</f>
        <v/>
      </c>
      <c r="CX72" s="237" t="str">
        <f>calc_gap('Matrix 171007_1815'!$CL$72,'Matrix 171007_1815'!$CR$72)</f>
        <v/>
      </c>
      <c r="CY72" s="237" t="str">
        <f>calc_gap('Matrix 171007_1815'!$CM$72,'Matrix 171007_1815'!$CS$72)</f>
        <v/>
      </c>
      <c r="CZ72" s="237" t="str">
        <f>calc_gap('Matrix 171007_1815'!$CN$72,'Matrix 171007_1815'!$CT$72)</f>
        <v/>
      </c>
      <c r="DA72" s="238" t="str">
        <f>calc_gap('Matrix 171007_1815'!$CO$72,'Matrix 171007_1815'!$CU$72)</f>
        <v/>
      </c>
    </row>
    <row r="73" spans="2:105" x14ac:dyDescent="0.25">
      <c r="B73" s="435"/>
      <c r="C73" s="291" t="s">
        <v>111</v>
      </c>
      <c r="D73" s="314"/>
      <c r="E73" s="315"/>
      <c r="F73" s="315"/>
      <c r="G73" s="315"/>
      <c r="H73" s="315"/>
      <c r="I73" s="315"/>
      <c r="J73" s="315"/>
      <c r="K73" s="316"/>
      <c r="L73" s="314"/>
      <c r="M73" s="315"/>
      <c r="N73" s="315"/>
      <c r="O73" s="316"/>
      <c r="P73" s="314"/>
      <c r="Q73" s="315"/>
      <c r="R73" s="315"/>
      <c r="S73" s="315"/>
      <c r="T73" s="315"/>
      <c r="U73" s="315"/>
      <c r="V73" s="315"/>
      <c r="W73" s="315"/>
      <c r="X73" s="315"/>
      <c r="Y73" s="315"/>
      <c r="Z73" s="315"/>
      <c r="AA73" s="315"/>
      <c r="AB73" s="315"/>
      <c r="AC73" s="315"/>
      <c r="AD73" s="315"/>
      <c r="AE73" s="315"/>
      <c r="AF73" s="315"/>
      <c r="AG73" s="315"/>
      <c r="AH73" s="315"/>
      <c r="AI73" s="316"/>
      <c r="AJ73" s="314"/>
      <c r="AK73" s="315"/>
      <c r="AL73" s="316"/>
      <c r="AM73" s="314"/>
      <c r="AN73" s="315"/>
      <c r="AO73" s="316"/>
      <c r="AP73" s="314"/>
      <c r="AQ73" s="315"/>
      <c r="AR73" s="315"/>
      <c r="AS73" s="315"/>
      <c r="AT73" s="316"/>
      <c r="AU73" s="314" t="s">
        <v>148</v>
      </c>
      <c r="AV73" s="315" t="s">
        <v>147</v>
      </c>
      <c r="AW73" s="315" t="s">
        <v>147</v>
      </c>
      <c r="AX73" s="315" t="s">
        <v>150</v>
      </c>
      <c r="AY73" s="315" t="s">
        <v>148</v>
      </c>
      <c r="AZ73" s="315"/>
      <c r="BA73" s="315"/>
      <c r="BB73" s="316" t="s">
        <v>148</v>
      </c>
      <c r="BC73" s="314" t="s">
        <v>149</v>
      </c>
      <c r="BD73" s="315" t="s">
        <v>147</v>
      </c>
      <c r="BE73" s="315"/>
      <c r="BF73" s="315"/>
      <c r="BG73" s="316"/>
      <c r="BH73" s="314"/>
      <c r="BI73" s="315"/>
      <c r="BJ73" s="316"/>
      <c r="BK73" s="314"/>
      <c r="BL73" s="315"/>
      <c r="BM73" s="315"/>
      <c r="BN73" s="316"/>
      <c r="BO73" s="314" t="s">
        <v>148</v>
      </c>
      <c r="BP73" s="315" t="s">
        <v>148</v>
      </c>
      <c r="BQ73" s="315"/>
      <c r="BR73" s="315"/>
      <c r="BS73" s="315" t="s">
        <v>149</v>
      </c>
      <c r="BT73" s="315"/>
      <c r="BU73" s="315" t="s">
        <v>150</v>
      </c>
      <c r="BV73" s="316"/>
      <c r="BW73" s="314" t="s">
        <v>148</v>
      </c>
      <c r="BX73" s="315"/>
      <c r="BY73" s="315"/>
      <c r="BZ73" s="315" t="s">
        <v>150</v>
      </c>
      <c r="CA73" s="315" t="s">
        <v>147</v>
      </c>
      <c r="CB73" s="316"/>
      <c r="CC73" s="314"/>
      <c r="CD73" s="315" t="s">
        <v>147</v>
      </c>
      <c r="CE73" s="316"/>
      <c r="CF73" s="314"/>
      <c r="CG73" s="315"/>
      <c r="CH73" s="315"/>
      <c r="CI73" s="317"/>
      <c r="CK73" s="236">
        <f t="shared" si="25"/>
        <v>2</v>
      </c>
      <c r="CL73" s="237">
        <f t="shared" si="26"/>
        <v>5</v>
      </c>
      <c r="CM73" s="237">
        <f t="shared" si="27"/>
        <v>6</v>
      </c>
      <c r="CN73" s="237">
        <f t="shared" si="28"/>
        <v>3</v>
      </c>
      <c r="CO73" s="238" t="str">
        <f t="shared" si="29"/>
        <v/>
      </c>
      <c r="CQ73" s="236" t="str">
        <f>desired_skills(C73,"Organisatie / klantomgeving/COO - ITS","o")</f>
        <v/>
      </c>
      <c r="CR73" s="237" t="str">
        <f>desired_skills(C73,"Organisatie / klantomgeving/COO - ITS","j")</f>
        <v/>
      </c>
      <c r="CS73" s="237" t="str">
        <f>desired_skills(C73,"Organisatie / klantomgeving/COO - ITS","m")</f>
        <v/>
      </c>
      <c r="CT73" s="237" t="str">
        <f>desired_skills(C73,"Organisatie / klantomgeving/COO - ITS","s")</f>
        <v/>
      </c>
      <c r="CU73" s="238" t="str">
        <f>desired_skills(C73,"Organisatie / klantomgeving/COO - ITS","e")</f>
        <v/>
      </c>
      <c r="CW73" s="236" t="str">
        <f>calc_gap('Matrix 171007_1815'!$CK$73,'Matrix 171007_1815'!$CQ$73)</f>
        <v/>
      </c>
      <c r="CX73" s="237" t="str">
        <f>calc_gap('Matrix 171007_1815'!$CL$73,'Matrix 171007_1815'!$CR$73)</f>
        <v/>
      </c>
      <c r="CY73" s="237" t="str">
        <f>calc_gap('Matrix 171007_1815'!$CM$73,'Matrix 171007_1815'!$CS$73)</f>
        <v/>
      </c>
      <c r="CZ73" s="237" t="str">
        <f>calc_gap('Matrix 171007_1815'!$CN$73,'Matrix 171007_1815'!$CT$73)</f>
        <v/>
      </c>
      <c r="DA73" s="238" t="str">
        <f>calc_gap('Matrix 171007_1815'!$CO$73,'Matrix 171007_1815'!$CU$73)</f>
        <v/>
      </c>
    </row>
    <row r="74" spans="2:105" x14ac:dyDescent="0.25">
      <c r="B74" s="435"/>
      <c r="C74" s="291" t="s">
        <v>112</v>
      </c>
      <c r="D74" s="314"/>
      <c r="E74" s="315"/>
      <c r="F74" s="315"/>
      <c r="G74" s="315"/>
      <c r="H74" s="315"/>
      <c r="I74" s="315"/>
      <c r="J74" s="315"/>
      <c r="K74" s="316"/>
      <c r="L74" s="314"/>
      <c r="M74" s="315"/>
      <c r="N74" s="315"/>
      <c r="O74" s="316"/>
      <c r="P74" s="314"/>
      <c r="Q74" s="315"/>
      <c r="R74" s="315"/>
      <c r="S74" s="315"/>
      <c r="T74" s="315"/>
      <c r="U74" s="315"/>
      <c r="V74" s="315"/>
      <c r="W74" s="315"/>
      <c r="X74" s="315"/>
      <c r="Y74" s="315"/>
      <c r="Z74" s="315"/>
      <c r="AA74" s="315"/>
      <c r="AB74" s="315"/>
      <c r="AC74" s="315"/>
      <c r="AD74" s="315"/>
      <c r="AE74" s="315"/>
      <c r="AF74" s="315"/>
      <c r="AG74" s="315"/>
      <c r="AH74" s="315"/>
      <c r="AI74" s="316"/>
      <c r="AJ74" s="314"/>
      <c r="AK74" s="315"/>
      <c r="AL74" s="316"/>
      <c r="AM74" s="314"/>
      <c r="AN74" s="315"/>
      <c r="AO74" s="316"/>
      <c r="AP74" s="314"/>
      <c r="AQ74" s="315"/>
      <c r="AR74" s="315"/>
      <c r="AS74" s="315"/>
      <c r="AT74" s="316"/>
      <c r="AU74" s="314" t="s">
        <v>147</v>
      </c>
      <c r="AV74" s="315" t="s">
        <v>147</v>
      </c>
      <c r="AW74" s="315" t="s">
        <v>147</v>
      </c>
      <c r="AX74" s="315" t="s">
        <v>150</v>
      </c>
      <c r="AY74" s="315" t="s">
        <v>148</v>
      </c>
      <c r="AZ74" s="315"/>
      <c r="BA74" s="315"/>
      <c r="BB74" s="316" t="s">
        <v>147</v>
      </c>
      <c r="BC74" s="314" t="s">
        <v>149</v>
      </c>
      <c r="BD74" s="315" t="s">
        <v>148</v>
      </c>
      <c r="BE74" s="315"/>
      <c r="BF74" s="315"/>
      <c r="BG74" s="316"/>
      <c r="BH74" s="314"/>
      <c r="BI74" s="315"/>
      <c r="BJ74" s="316"/>
      <c r="BK74" s="314"/>
      <c r="BL74" s="315"/>
      <c r="BM74" s="315"/>
      <c r="BN74" s="316"/>
      <c r="BO74" s="314" t="s">
        <v>148</v>
      </c>
      <c r="BP74" s="315" t="s">
        <v>148</v>
      </c>
      <c r="BQ74" s="315"/>
      <c r="BR74" s="315"/>
      <c r="BS74" s="315" t="s">
        <v>149</v>
      </c>
      <c r="BT74" s="315"/>
      <c r="BU74" s="315" t="s">
        <v>150</v>
      </c>
      <c r="BV74" s="316"/>
      <c r="BW74" s="314" t="s">
        <v>148</v>
      </c>
      <c r="BX74" s="315"/>
      <c r="BY74" s="315"/>
      <c r="BZ74" s="315" t="s">
        <v>148</v>
      </c>
      <c r="CA74" s="315" t="s">
        <v>147</v>
      </c>
      <c r="CB74" s="316"/>
      <c r="CC74" s="314"/>
      <c r="CD74" s="315" t="s">
        <v>147</v>
      </c>
      <c r="CE74" s="316"/>
      <c r="CF74" s="314"/>
      <c r="CG74" s="315"/>
      <c r="CH74" s="315"/>
      <c r="CI74" s="317"/>
      <c r="CK74" s="236">
        <f t="shared" si="25"/>
        <v>2</v>
      </c>
      <c r="CL74" s="237">
        <f t="shared" si="26"/>
        <v>6</v>
      </c>
      <c r="CM74" s="237">
        <f t="shared" si="27"/>
        <v>6</v>
      </c>
      <c r="CN74" s="237">
        <f t="shared" si="28"/>
        <v>2</v>
      </c>
      <c r="CO74" s="238" t="str">
        <f t="shared" si="29"/>
        <v/>
      </c>
      <c r="CQ74" s="236" t="str">
        <f>desired_skills(C74,"Organisatie / klantomgeving/COO - Infra","o")</f>
        <v/>
      </c>
      <c r="CR74" s="237" t="str">
        <f>desired_skills(C74,"Organisatie / klantomgeving/COO - Infra","j")</f>
        <v/>
      </c>
      <c r="CS74" s="237" t="str">
        <f>desired_skills(C74,"Organisatie / klantomgeving/COO - Infra","m")</f>
        <v/>
      </c>
      <c r="CT74" s="237" t="str">
        <f>desired_skills(C74,"Organisatie / klantomgeving/COO - Infra","s")</f>
        <v/>
      </c>
      <c r="CU74" s="238" t="str">
        <f>desired_skills(C74,"Organisatie / klantomgeving/COO - Infra","e")</f>
        <v/>
      </c>
      <c r="CW74" s="236" t="str">
        <f>calc_gap('Matrix 171007_1815'!$CK$74,'Matrix 171007_1815'!$CQ$74)</f>
        <v/>
      </c>
      <c r="CX74" s="237" t="str">
        <f>calc_gap('Matrix 171007_1815'!$CL$74,'Matrix 171007_1815'!$CR$74)</f>
        <v/>
      </c>
      <c r="CY74" s="237" t="str">
        <f>calc_gap('Matrix 171007_1815'!$CM$74,'Matrix 171007_1815'!$CS$74)</f>
        <v/>
      </c>
      <c r="CZ74" s="237" t="str">
        <f>calc_gap('Matrix 171007_1815'!$CN$74,'Matrix 171007_1815'!$CT$74)</f>
        <v/>
      </c>
      <c r="DA74" s="238" t="str">
        <f>calc_gap('Matrix 171007_1815'!$CO$74,'Matrix 171007_1815'!$CU$74)</f>
        <v/>
      </c>
    </row>
    <row r="75" spans="2:105" x14ac:dyDescent="0.25">
      <c r="B75" s="435"/>
      <c r="C75" s="291" t="s">
        <v>113</v>
      </c>
      <c r="D75" s="314"/>
      <c r="E75" s="315"/>
      <c r="F75" s="315"/>
      <c r="G75" s="315"/>
      <c r="H75" s="315"/>
      <c r="I75" s="315"/>
      <c r="J75" s="315"/>
      <c r="K75" s="316"/>
      <c r="L75" s="314"/>
      <c r="M75" s="315"/>
      <c r="N75" s="315"/>
      <c r="O75" s="316"/>
      <c r="P75" s="314"/>
      <c r="Q75" s="315"/>
      <c r="R75" s="315"/>
      <c r="S75" s="315"/>
      <c r="T75" s="315"/>
      <c r="U75" s="315"/>
      <c r="V75" s="315"/>
      <c r="W75" s="315"/>
      <c r="X75" s="315"/>
      <c r="Y75" s="315"/>
      <c r="Z75" s="315"/>
      <c r="AA75" s="315"/>
      <c r="AB75" s="315"/>
      <c r="AC75" s="315"/>
      <c r="AD75" s="315"/>
      <c r="AE75" s="315"/>
      <c r="AF75" s="315"/>
      <c r="AG75" s="315"/>
      <c r="AH75" s="315"/>
      <c r="AI75" s="316"/>
      <c r="AJ75" s="314"/>
      <c r="AK75" s="315"/>
      <c r="AL75" s="316"/>
      <c r="AM75" s="314"/>
      <c r="AN75" s="315"/>
      <c r="AO75" s="316"/>
      <c r="AP75" s="314"/>
      <c r="AQ75" s="315"/>
      <c r="AR75" s="315"/>
      <c r="AS75" s="315"/>
      <c r="AT75" s="316"/>
      <c r="AU75" s="314" t="s">
        <v>148</v>
      </c>
      <c r="AV75" s="315" t="s">
        <v>150</v>
      </c>
      <c r="AW75" s="315" t="s">
        <v>147</v>
      </c>
      <c r="AX75" s="315" t="s">
        <v>150</v>
      </c>
      <c r="AY75" s="315" t="s">
        <v>150</v>
      </c>
      <c r="AZ75" s="315"/>
      <c r="BA75" s="315"/>
      <c r="BB75" s="316" t="s">
        <v>148</v>
      </c>
      <c r="BC75" s="314" t="s">
        <v>149</v>
      </c>
      <c r="BD75" s="315" t="s">
        <v>148</v>
      </c>
      <c r="BE75" s="315"/>
      <c r="BF75" s="315"/>
      <c r="BG75" s="316"/>
      <c r="BH75" s="314"/>
      <c r="BI75" s="315"/>
      <c r="BJ75" s="316"/>
      <c r="BK75" s="314"/>
      <c r="BL75" s="315"/>
      <c r="BM75" s="315"/>
      <c r="BN75" s="316"/>
      <c r="BO75" s="314" t="s">
        <v>148</v>
      </c>
      <c r="BP75" s="315" t="s">
        <v>148</v>
      </c>
      <c r="BQ75" s="315"/>
      <c r="BR75" s="315"/>
      <c r="BS75" s="315" t="s">
        <v>149</v>
      </c>
      <c r="BT75" s="315"/>
      <c r="BU75" s="315" t="s">
        <v>150</v>
      </c>
      <c r="BV75" s="316"/>
      <c r="BW75" s="314" t="s">
        <v>148</v>
      </c>
      <c r="BX75" s="315"/>
      <c r="BY75" s="315"/>
      <c r="BZ75" s="315" t="s">
        <v>148</v>
      </c>
      <c r="CA75" s="315" t="s">
        <v>147</v>
      </c>
      <c r="CB75" s="316"/>
      <c r="CC75" s="314"/>
      <c r="CD75" s="315" t="s">
        <v>147</v>
      </c>
      <c r="CE75" s="316"/>
      <c r="CF75" s="314"/>
      <c r="CG75" s="315"/>
      <c r="CH75" s="315"/>
      <c r="CI75" s="317"/>
      <c r="CK75" s="236">
        <f t="shared" si="25"/>
        <v>2</v>
      </c>
      <c r="CL75" s="237">
        <f t="shared" si="26"/>
        <v>3</v>
      </c>
      <c r="CM75" s="237">
        <f t="shared" si="27"/>
        <v>7</v>
      </c>
      <c r="CN75" s="237">
        <f t="shared" si="28"/>
        <v>4</v>
      </c>
      <c r="CO75" s="238" t="str">
        <f t="shared" si="29"/>
        <v/>
      </c>
      <c r="CQ75" s="236" t="str">
        <f>desired_skills(C75,"Organisatie / klantomgeving/COO - RRS","o")</f>
        <v/>
      </c>
      <c r="CR75" s="237" t="str">
        <f>desired_skills(C75,"Organisatie / klantomgeving/COO - RRS","j")</f>
        <v/>
      </c>
      <c r="CS75" s="237" t="str">
        <f>desired_skills(C75,"Organisatie / klantomgeving/COO - RRS","m")</f>
        <v/>
      </c>
      <c r="CT75" s="237" t="str">
        <f>desired_skills(C75,"Organisatie / klantomgeving/COO - RRS","s")</f>
        <v/>
      </c>
      <c r="CU75" s="238" t="str">
        <f>desired_skills(C75,"Organisatie / klantomgeving/COO - RRS","e")</f>
        <v/>
      </c>
      <c r="CW75" s="236" t="str">
        <f>calc_gap('Matrix 171007_1815'!$CK$75,'Matrix 171007_1815'!$CQ$75)</f>
        <v/>
      </c>
      <c r="CX75" s="237" t="str">
        <f>calc_gap('Matrix 171007_1815'!$CL$75,'Matrix 171007_1815'!$CR$75)</f>
        <v/>
      </c>
      <c r="CY75" s="237" t="str">
        <f>calc_gap('Matrix 171007_1815'!$CM$75,'Matrix 171007_1815'!$CS$75)</f>
        <v/>
      </c>
      <c r="CZ75" s="237" t="str">
        <f>calc_gap('Matrix 171007_1815'!$CN$75,'Matrix 171007_1815'!$CT$75)</f>
        <v/>
      </c>
      <c r="DA75" s="238" t="str">
        <f>calc_gap('Matrix 171007_1815'!$CO$75,'Matrix 171007_1815'!$CU$75)</f>
        <v/>
      </c>
    </row>
    <row r="76" spans="2:105" x14ac:dyDescent="0.25">
      <c r="B76" s="435"/>
      <c r="C76" s="291" t="s">
        <v>114</v>
      </c>
      <c r="D76" s="314"/>
      <c r="E76" s="315"/>
      <c r="F76" s="315"/>
      <c r="G76" s="315"/>
      <c r="H76" s="315"/>
      <c r="I76" s="315"/>
      <c r="J76" s="315"/>
      <c r="K76" s="316"/>
      <c r="L76" s="314"/>
      <c r="M76" s="315"/>
      <c r="N76" s="315"/>
      <c r="O76" s="316"/>
      <c r="P76" s="314"/>
      <c r="Q76" s="315"/>
      <c r="R76" s="315"/>
      <c r="S76" s="315"/>
      <c r="T76" s="315"/>
      <c r="U76" s="315"/>
      <c r="V76" s="315"/>
      <c r="W76" s="315"/>
      <c r="X76" s="315"/>
      <c r="Y76" s="315"/>
      <c r="Z76" s="315"/>
      <c r="AA76" s="315"/>
      <c r="AB76" s="315"/>
      <c r="AC76" s="315"/>
      <c r="AD76" s="315"/>
      <c r="AE76" s="315"/>
      <c r="AF76" s="315"/>
      <c r="AG76" s="315"/>
      <c r="AH76" s="315"/>
      <c r="AI76" s="316"/>
      <c r="AJ76" s="314"/>
      <c r="AK76" s="315"/>
      <c r="AL76" s="316"/>
      <c r="AM76" s="314"/>
      <c r="AN76" s="315"/>
      <c r="AO76" s="316"/>
      <c r="AP76" s="314"/>
      <c r="AQ76" s="315"/>
      <c r="AR76" s="315"/>
      <c r="AS76" s="315"/>
      <c r="AT76" s="316"/>
      <c r="AU76" s="314" t="s">
        <v>148</v>
      </c>
      <c r="AV76" s="315" t="s">
        <v>150</v>
      </c>
      <c r="AW76" s="315" t="s">
        <v>150</v>
      </c>
      <c r="AX76" s="315" t="s">
        <v>150</v>
      </c>
      <c r="AY76" s="315" t="s">
        <v>150</v>
      </c>
      <c r="AZ76" s="315" t="s">
        <v>148</v>
      </c>
      <c r="BA76" s="315"/>
      <c r="BB76" s="316" t="s">
        <v>150</v>
      </c>
      <c r="BC76" s="314" t="s">
        <v>148</v>
      </c>
      <c r="BD76" s="315" t="s">
        <v>150</v>
      </c>
      <c r="BE76" s="315"/>
      <c r="BF76" s="315"/>
      <c r="BG76" s="316"/>
      <c r="BH76" s="314"/>
      <c r="BI76" s="315"/>
      <c r="BJ76" s="316"/>
      <c r="BK76" s="314"/>
      <c r="BL76" s="315"/>
      <c r="BM76" s="315"/>
      <c r="BN76" s="316"/>
      <c r="BO76" s="314" t="s">
        <v>148</v>
      </c>
      <c r="BP76" s="315" t="s">
        <v>148</v>
      </c>
      <c r="BQ76" s="315"/>
      <c r="BR76" s="315"/>
      <c r="BS76" s="315" t="s">
        <v>149</v>
      </c>
      <c r="BT76" s="315"/>
      <c r="BU76" s="315" t="s">
        <v>150</v>
      </c>
      <c r="BV76" s="316"/>
      <c r="BW76" s="314" t="s">
        <v>150</v>
      </c>
      <c r="BX76" s="315"/>
      <c r="BY76" s="315"/>
      <c r="BZ76" s="315" t="s">
        <v>150</v>
      </c>
      <c r="CA76" s="315" t="s">
        <v>147</v>
      </c>
      <c r="CB76" s="316" t="s">
        <v>147</v>
      </c>
      <c r="CC76" s="314"/>
      <c r="CD76" s="315" t="s">
        <v>147</v>
      </c>
      <c r="CE76" s="316"/>
      <c r="CF76" s="314"/>
      <c r="CG76" s="315"/>
      <c r="CH76" s="315"/>
      <c r="CI76" s="317"/>
      <c r="CK76" s="236">
        <f t="shared" si="25"/>
        <v>1</v>
      </c>
      <c r="CL76" s="237">
        <f t="shared" si="26"/>
        <v>3</v>
      </c>
      <c r="CM76" s="237">
        <f t="shared" si="27"/>
        <v>5</v>
      </c>
      <c r="CN76" s="237">
        <f t="shared" si="28"/>
        <v>9</v>
      </c>
      <c r="CO76" s="238" t="str">
        <f t="shared" si="29"/>
        <v/>
      </c>
      <c r="CQ76" s="236" t="str">
        <f>desired_skills(C76,"Organisatie / klantomgeving/COO - IAM","o")</f>
        <v/>
      </c>
      <c r="CR76" s="237" t="str">
        <f>desired_skills(C76,"Organisatie / klantomgeving/COO - IAM","j")</f>
        <v/>
      </c>
      <c r="CS76" s="237" t="str">
        <f>desired_skills(C76,"Organisatie / klantomgeving/COO - IAM","m")</f>
        <v/>
      </c>
      <c r="CT76" s="237" t="str">
        <f>desired_skills(C76,"Organisatie / klantomgeving/COO - IAM","s")</f>
        <v/>
      </c>
      <c r="CU76" s="238" t="str">
        <f>desired_skills(C76,"Organisatie / klantomgeving/COO - IAM","e")</f>
        <v/>
      </c>
      <c r="CW76" s="236" t="str">
        <f>calc_gap('Matrix 171007_1815'!$CK$76,'Matrix 171007_1815'!$CQ$76)</f>
        <v/>
      </c>
      <c r="CX76" s="237" t="str">
        <f>calc_gap('Matrix 171007_1815'!$CL$76,'Matrix 171007_1815'!$CR$76)</f>
        <v/>
      </c>
      <c r="CY76" s="237" t="str">
        <f>calc_gap('Matrix 171007_1815'!$CM$76,'Matrix 171007_1815'!$CS$76)</f>
        <v/>
      </c>
      <c r="CZ76" s="237" t="str">
        <f>calc_gap('Matrix 171007_1815'!$CN$76,'Matrix 171007_1815'!$CT$76)</f>
        <v/>
      </c>
      <c r="DA76" s="238" t="str">
        <f>calc_gap('Matrix 171007_1815'!$CO$76,'Matrix 171007_1815'!$CU$76)</f>
        <v/>
      </c>
    </row>
    <row r="77" spans="2:105" x14ac:dyDescent="0.25">
      <c r="B77" s="435"/>
      <c r="C77" s="291" t="s">
        <v>115</v>
      </c>
      <c r="D77" s="314"/>
      <c r="E77" s="315"/>
      <c r="F77" s="315"/>
      <c r="G77" s="315"/>
      <c r="H77" s="315"/>
      <c r="I77" s="315"/>
      <c r="J77" s="315"/>
      <c r="K77" s="316"/>
      <c r="L77" s="314"/>
      <c r="M77" s="315"/>
      <c r="N77" s="315"/>
      <c r="O77" s="316"/>
      <c r="P77" s="314"/>
      <c r="Q77" s="315"/>
      <c r="R77" s="315"/>
      <c r="S77" s="315"/>
      <c r="T77" s="315"/>
      <c r="U77" s="315"/>
      <c r="V77" s="315"/>
      <c r="W77" s="315"/>
      <c r="X77" s="315"/>
      <c r="Y77" s="315"/>
      <c r="Z77" s="315"/>
      <c r="AA77" s="315"/>
      <c r="AB77" s="315"/>
      <c r="AC77" s="315"/>
      <c r="AD77" s="315"/>
      <c r="AE77" s="315"/>
      <c r="AF77" s="315"/>
      <c r="AG77" s="315"/>
      <c r="AH77" s="315"/>
      <c r="AI77" s="316"/>
      <c r="AJ77" s="314"/>
      <c r="AK77" s="315"/>
      <c r="AL77" s="316"/>
      <c r="AM77" s="314"/>
      <c r="AN77" s="315"/>
      <c r="AO77" s="316"/>
      <c r="AP77" s="314"/>
      <c r="AQ77" s="315"/>
      <c r="AR77" s="315"/>
      <c r="AS77" s="315"/>
      <c r="AT77" s="316"/>
      <c r="AU77" s="314" t="s">
        <v>47</v>
      </c>
      <c r="AV77" s="315" t="s">
        <v>148</v>
      </c>
      <c r="AW77" s="315" t="s">
        <v>148</v>
      </c>
      <c r="AX77" s="315" t="s">
        <v>150</v>
      </c>
      <c r="AY77" s="315" t="s">
        <v>150</v>
      </c>
      <c r="AZ77" s="315" t="s">
        <v>148</v>
      </c>
      <c r="BA77" s="315" t="s">
        <v>148</v>
      </c>
      <c r="BB77" s="316" t="s">
        <v>148</v>
      </c>
      <c r="BC77" s="314" t="s">
        <v>148</v>
      </c>
      <c r="BD77" s="315" t="s">
        <v>148</v>
      </c>
      <c r="BE77" s="315"/>
      <c r="BF77" s="315"/>
      <c r="BG77" s="316"/>
      <c r="BH77" s="314"/>
      <c r="BI77" s="315" t="s">
        <v>148</v>
      </c>
      <c r="BJ77" s="316"/>
      <c r="BK77" s="314" t="s">
        <v>148</v>
      </c>
      <c r="BL77" s="315" t="s">
        <v>148</v>
      </c>
      <c r="BM77" s="315"/>
      <c r="BN77" s="316"/>
      <c r="BO77" s="314" t="s">
        <v>148</v>
      </c>
      <c r="BP77" s="315" t="s">
        <v>148</v>
      </c>
      <c r="BQ77" s="315"/>
      <c r="BR77" s="315"/>
      <c r="BS77" s="315" t="s">
        <v>149</v>
      </c>
      <c r="BT77" s="315" t="s">
        <v>147</v>
      </c>
      <c r="BU77" s="315" t="s">
        <v>150</v>
      </c>
      <c r="BV77" s="316"/>
      <c r="BW77" s="314" t="s">
        <v>148</v>
      </c>
      <c r="BX77" s="315"/>
      <c r="BY77" s="315" t="s">
        <v>147</v>
      </c>
      <c r="BZ77" s="315" t="s">
        <v>150</v>
      </c>
      <c r="CA77" s="315" t="s">
        <v>147</v>
      </c>
      <c r="CB77" s="316" t="s">
        <v>147</v>
      </c>
      <c r="CC77" s="314" t="s">
        <v>147</v>
      </c>
      <c r="CD77" s="315" t="s">
        <v>148</v>
      </c>
      <c r="CE77" s="316"/>
      <c r="CF77" s="314"/>
      <c r="CG77" s="315"/>
      <c r="CH77" s="315"/>
      <c r="CI77" s="317"/>
      <c r="CK77" s="236">
        <f t="shared" si="25"/>
        <v>1</v>
      </c>
      <c r="CL77" s="237">
        <f t="shared" si="26"/>
        <v>5</v>
      </c>
      <c r="CM77" s="237">
        <f t="shared" si="27"/>
        <v>14</v>
      </c>
      <c r="CN77" s="237">
        <f t="shared" si="28"/>
        <v>4</v>
      </c>
      <c r="CO77" s="238">
        <f t="shared" si="29"/>
        <v>1</v>
      </c>
      <c r="CQ77" s="236" t="str">
        <f>desired_skills(C77,"Organisatie / klantomgeving/HR (processen)","o")</f>
        <v/>
      </c>
      <c r="CR77" s="237" t="str">
        <f>desired_skills(C77,"Organisatie / klantomgeving/HR (processen)","j")</f>
        <v/>
      </c>
      <c r="CS77" s="237" t="str">
        <f>desired_skills(C77,"Organisatie / klantomgeving/HR (processen)","m")</f>
        <v/>
      </c>
      <c r="CT77" s="237" t="str">
        <f>desired_skills(C77,"Organisatie / klantomgeving/HR (processen)","s")</f>
        <v/>
      </c>
      <c r="CU77" s="238" t="str">
        <f>desired_skills(C77,"Organisatie / klantomgeving/HR (processen)","e")</f>
        <v/>
      </c>
      <c r="CW77" s="236" t="str">
        <f>calc_gap('Matrix 171007_1815'!$CK$77,'Matrix 171007_1815'!$CQ$77)</f>
        <v/>
      </c>
      <c r="CX77" s="237" t="str">
        <f>calc_gap('Matrix 171007_1815'!$CL$77,'Matrix 171007_1815'!$CR$77)</f>
        <v/>
      </c>
      <c r="CY77" s="237" t="str">
        <f>calc_gap('Matrix 171007_1815'!$CM$77,'Matrix 171007_1815'!$CS$77)</f>
        <v/>
      </c>
      <c r="CZ77" s="237" t="str">
        <f>calc_gap('Matrix 171007_1815'!$CN$77,'Matrix 171007_1815'!$CT$77)</f>
        <v/>
      </c>
      <c r="DA77" s="238" t="str">
        <f>calc_gap('Matrix 171007_1815'!$CO$77,'Matrix 171007_1815'!$CU$77)</f>
        <v/>
      </c>
    </row>
    <row r="78" spans="2:105" ht="15.75" thickBot="1" x14ac:dyDescent="0.3">
      <c r="B78" s="435"/>
      <c r="C78" s="292" t="s">
        <v>116</v>
      </c>
      <c r="D78" s="318"/>
      <c r="E78" s="319"/>
      <c r="F78" s="319"/>
      <c r="G78" s="319"/>
      <c r="H78" s="319"/>
      <c r="I78" s="319"/>
      <c r="J78" s="319"/>
      <c r="K78" s="320"/>
      <c r="L78" s="318"/>
      <c r="M78" s="319"/>
      <c r="N78" s="319"/>
      <c r="O78" s="320"/>
      <c r="P78" s="318"/>
      <c r="Q78" s="319"/>
      <c r="R78" s="319"/>
      <c r="S78" s="319"/>
      <c r="T78" s="319"/>
      <c r="U78" s="319"/>
      <c r="V78" s="319"/>
      <c r="W78" s="319"/>
      <c r="X78" s="319"/>
      <c r="Y78" s="319"/>
      <c r="Z78" s="319"/>
      <c r="AA78" s="319"/>
      <c r="AB78" s="319"/>
      <c r="AC78" s="319"/>
      <c r="AD78" s="319"/>
      <c r="AE78" s="319"/>
      <c r="AF78" s="319"/>
      <c r="AG78" s="319"/>
      <c r="AH78" s="319"/>
      <c r="AI78" s="320"/>
      <c r="AJ78" s="318"/>
      <c r="AK78" s="319"/>
      <c r="AL78" s="320"/>
      <c r="AM78" s="318"/>
      <c r="AN78" s="319"/>
      <c r="AO78" s="320"/>
      <c r="AP78" s="318"/>
      <c r="AQ78" s="319"/>
      <c r="AR78" s="319"/>
      <c r="AS78" s="319"/>
      <c r="AT78" s="320"/>
      <c r="AU78" s="318" t="s">
        <v>148</v>
      </c>
      <c r="AV78" s="319" t="s">
        <v>47</v>
      </c>
      <c r="AW78" s="319" t="s">
        <v>150</v>
      </c>
      <c r="AX78" s="319" t="s">
        <v>150</v>
      </c>
      <c r="AY78" s="319" t="s">
        <v>150</v>
      </c>
      <c r="AZ78" s="319" t="s">
        <v>147</v>
      </c>
      <c r="BA78" s="319" t="s">
        <v>148</v>
      </c>
      <c r="BB78" s="320" t="s">
        <v>150</v>
      </c>
      <c r="BC78" s="318" t="s">
        <v>147</v>
      </c>
      <c r="BD78" s="319" t="s">
        <v>148</v>
      </c>
      <c r="BE78" s="319"/>
      <c r="BF78" s="319" t="s">
        <v>147</v>
      </c>
      <c r="BG78" s="320"/>
      <c r="BH78" s="318"/>
      <c r="BI78" s="319"/>
      <c r="BJ78" s="320"/>
      <c r="BK78" s="318" t="s">
        <v>148</v>
      </c>
      <c r="BL78" s="319" t="s">
        <v>148</v>
      </c>
      <c r="BM78" s="319"/>
      <c r="BN78" s="320" t="s">
        <v>149</v>
      </c>
      <c r="BO78" s="318" t="s">
        <v>147</v>
      </c>
      <c r="BP78" s="319" t="s">
        <v>148</v>
      </c>
      <c r="BQ78" s="319" t="s">
        <v>148</v>
      </c>
      <c r="BR78" s="319"/>
      <c r="BS78" s="319" t="s">
        <v>149</v>
      </c>
      <c r="BT78" s="319" t="s">
        <v>148</v>
      </c>
      <c r="BU78" s="319" t="s">
        <v>150</v>
      </c>
      <c r="BV78" s="320"/>
      <c r="BW78" s="318" t="s">
        <v>150</v>
      </c>
      <c r="BX78" s="319"/>
      <c r="BY78" s="319" t="s">
        <v>150</v>
      </c>
      <c r="BZ78" s="319" t="s">
        <v>150</v>
      </c>
      <c r="CA78" s="319" t="s">
        <v>150</v>
      </c>
      <c r="CB78" s="320" t="s">
        <v>150</v>
      </c>
      <c r="CC78" s="318" t="s">
        <v>147</v>
      </c>
      <c r="CD78" s="319" t="s">
        <v>148</v>
      </c>
      <c r="CE78" s="320"/>
      <c r="CF78" s="318"/>
      <c r="CG78" s="319"/>
      <c r="CH78" s="319"/>
      <c r="CI78" s="321"/>
      <c r="CK78" s="239">
        <f t="shared" si="25"/>
        <v>2</v>
      </c>
      <c r="CL78" s="240">
        <f t="shared" si="26"/>
        <v>5</v>
      </c>
      <c r="CM78" s="240">
        <f t="shared" si="27"/>
        <v>9</v>
      </c>
      <c r="CN78" s="240">
        <f t="shared" si="28"/>
        <v>10</v>
      </c>
      <c r="CO78" s="241">
        <f t="shared" si="29"/>
        <v>1</v>
      </c>
      <c r="CQ78" s="239" t="str">
        <f>desired_skills(C78,"Organisatie / klantomgeving/LEX-en","o")</f>
        <v/>
      </c>
      <c r="CR78" s="240" t="str">
        <f>desired_skills(C78,"Organisatie / klantomgeving/LEX-en","j")</f>
        <v/>
      </c>
      <c r="CS78" s="240" t="str">
        <f>desired_skills(C78,"Organisatie / klantomgeving/LEX-en","m")</f>
        <v/>
      </c>
      <c r="CT78" s="240" t="str">
        <f>desired_skills(C78,"Organisatie / klantomgeving/LEX-en","s")</f>
        <v/>
      </c>
      <c r="CU78" s="241" t="str">
        <f>desired_skills(C78,"Organisatie / klantomgeving/LEX-en","e")</f>
        <v/>
      </c>
      <c r="CW78" s="239" t="str">
        <f>calc_gap('Matrix 171007_1815'!$CK$78,'Matrix 171007_1815'!$CQ$78)</f>
        <v/>
      </c>
      <c r="CX78" s="240" t="str">
        <f>calc_gap('Matrix 171007_1815'!$CL$78,'Matrix 171007_1815'!$CR$78)</f>
        <v/>
      </c>
      <c r="CY78" s="240" t="str">
        <f>calc_gap('Matrix 171007_1815'!$CM$78,'Matrix 171007_1815'!$CS$78)</f>
        <v/>
      </c>
      <c r="CZ78" s="240" t="str">
        <f>calc_gap('Matrix 171007_1815'!$CN$78,'Matrix 171007_1815'!$CT$78)</f>
        <v/>
      </c>
      <c r="DA78" s="241" t="str">
        <f>calc_gap('Matrix 171007_1815'!$CO$78,'Matrix 171007_1815'!$CU$78)</f>
        <v/>
      </c>
    </row>
    <row r="79" spans="2:105" ht="12.75" customHeight="1" thickTop="1" thickBot="1" x14ac:dyDescent="0.3">
      <c r="B79" s="436"/>
      <c r="C79" s="248"/>
      <c r="D79" s="322"/>
      <c r="E79" s="322"/>
      <c r="F79" s="322"/>
      <c r="G79" s="322"/>
      <c r="H79" s="322"/>
      <c r="I79" s="322"/>
      <c r="J79" s="322"/>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c r="BG79" s="322"/>
      <c r="BH79" s="322"/>
      <c r="BI79" s="322"/>
      <c r="BJ79" s="322"/>
      <c r="BK79" s="322"/>
      <c r="BL79" s="322"/>
      <c r="BM79" s="322"/>
      <c r="BN79" s="322"/>
      <c r="BO79" s="322"/>
      <c r="BP79" s="322"/>
      <c r="BQ79" s="322"/>
      <c r="BR79" s="322"/>
      <c r="BS79" s="322"/>
      <c r="BT79" s="322"/>
      <c r="BU79" s="322"/>
      <c r="BV79" s="322"/>
      <c r="BW79" s="322"/>
      <c r="BX79" s="322"/>
      <c r="BY79" s="322"/>
      <c r="BZ79" s="322"/>
      <c r="CA79" s="322"/>
      <c r="CB79" s="322"/>
      <c r="CC79" s="322"/>
      <c r="CD79" s="322"/>
      <c r="CE79" s="322"/>
      <c r="CF79" s="322"/>
      <c r="CG79" s="322"/>
      <c r="CH79" s="322"/>
      <c r="CI79" s="322"/>
      <c r="CK79" s="249"/>
      <c r="CL79" s="249"/>
      <c r="CM79" s="249"/>
      <c r="CN79" s="249"/>
      <c r="CO79" s="249"/>
      <c r="CQ79" s="249"/>
      <c r="CR79" s="249"/>
      <c r="CS79" s="249"/>
      <c r="CT79" s="249"/>
      <c r="CU79" s="249"/>
      <c r="CW79" s="249"/>
      <c r="CX79" s="249"/>
      <c r="CY79" s="249"/>
      <c r="CZ79" s="249"/>
      <c r="DA79" s="249"/>
    </row>
    <row r="80" spans="2:105" ht="15.75" thickTop="1" x14ac:dyDescent="0.25">
      <c r="B80" s="434" t="s">
        <v>267</v>
      </c>
      <c r="C80" s="290" t="s">
        <v>269</v>
      </c>
      <c r="D80" s="310"/>
      <c r="E80" s="311"/>
      <c r="F80" s="311"/>
      <c r="G80" s="311"/>
      <c r="H80" s="311"/>
      <c r="I80" s="311"/>
      <c r="J80" s="311"/>
      <c r="K80" s="312"/>
      <c r="L80" s="310"/>
      <c r="M80" s="311"/>
      <c r="N80" s="311"/>
      <c r="O80" s="312"/>
      <c r="P80" s="310"/>
      <c r="Q80" s="311"/>
      <c r="R80" s="311"/>
      <c r="S80" s="311"/>
      <c r="T80" s="311"/>
      <c r="U80" s="311"/>
      <c r="V80" s="311"/>
      <c r="W80" s="311"/>
      <c r="X80" s="311"/>
      <c r="Y80" s="311"/>
      <c r="Z80" s="311"/>
      <c r="AA80" s="311"/>
      <c r="AB80" s="311"/>
      <c r="AC80" s="311"/>
      <c r="AD80" s="311"/>
      <c r="AE80" s="311"/>
      <c r="AF80" s="311"/>
      <c r="AG80" s="311"/>
      <c r="AH80" s="311"/>
      <c r="AI80" s="312"/>
      <c r="AJ80" s="310"/>
      <c r="AK80" s="311"/>
      <c r="AL80" s="312"/>
      <c r="AM80" s="310"/>
      <c r="AN80" s="311"/>
      <c r="AO80" s="312"/>
      <c r="AP80" s="310"/>
      <c r="AQ80" s="311"/>
      <c r="AR80" s="311"/>
      <c r="AS80" s="311"/>
      <c r="AT80" s="312"/>
      <c r="AU80" s="310"/>
      <c r="AV80" s="311"/>
      <c r="AW80" s="311"/>
      <c r="AX80" s="311"/>
      <c r="AY80" s="311"/>
      <c r="AZ80" s="311"/>
      <c r="BA80" s="311"/>
      <c r="BB80" s="312"/>
      <c r="BC80" s="310"/>
      <c r="BD80" s="311"/>
      <c r="BE80" s="311"/>
      <c r="BF80" s="311"/>
      <c r="BG80" s="312"/>
      <c r="BH80" s="310"/>
      <c r="BI80" s="311"/>
      <c r="BJ80" s="312"/>
      <c r="BK80" s="310"/>
      <c r="BL80" s="311"/>
      <c r="BM80" s="311"/>
      <c r="BN80" s="312"/>
      <c r="BO80" s="310"/>
      <c r="BP80" s="311"/>
      <c r="BQ80" s="311"/>
      <c r="BR80" s="311"/>
      <c r="BS80" s="311"/>
      <c r="BT80" s="311"/>
      <c r="BU80" s="311"/>
      <c r="BV80" s="312"/>
      <c r="BW80" s="310"/>
      <c r="BX80" s="311"/>
      <c r="BY80" s="311"/>
      <c r="BZ80" s="311"/>
      <c r="CA80" s="311"/>
      <c r="CB80" s="312"/>
      <c r="CC80" s="310"/>
      <c r="CD80" s="311"/>
      <c r="CE80" s="312"/>
      <c r="CF80" s="310"/>
      <c r="CG80" s="311"/>
      <c r="CH80" s="311"/>
      <c r="CI80" s="313"/>
      <c r="CK80" s="233" t="str">
        <f t="shared" ref="CK80:CK94" si="30">IF(COUNTIF(D80:CI80,"o")&gt;0,COUNTIF(D80:CI80,"o"),"")</f>
        <v/>
      </c>
      <c r="CL80" s="234" t="str">
        <f t="shared" ref="CL80:CL94" si="31">IF(COUNTIF(D80:CI80,"j")&gt;0,COUNTIF(D80:CI80,"j"),"")</f>
        <v/>
      </c>
      <c r="CM80" s="234" t="str">
        <f t="shared" ref="CM80:CM94" si="32">IF(COUNTIF(D80:CI80,"m")&gt;0,COUNTIF(D80:CI80,"m"),"")</f>
        <v/>
      </c>
      <c r="CN80" s="234" t="str">
        <f t="shared" ref="CN80:CN94" si="33">IF(COUNTIF(D80:CI80,"s")&gt;0,COUNTIF(D80:CI80,"s"),"")</f>
        <v/>
      </c>
      <c r="CO80" s="235" t="str">
        <f t="shared" ref="CO80:CO94" si="34">IF(COUNTIF(D80:CI80,"e")&gt;0,COUNTIF(D80:CI80,"e"),"")</f>
        <v/>
      </c>
      <c r="CQ80" s="233" t="str">
        <f>desired_skills(C80,"Extra vaardigheden/Vormgeving/ontwerpen","o")</f>
        <v/>
      </c>
      <c r="CR80" s="234" t="str">
        <f>desired_skills(C80,"Extra vaardigheden/Vormgeving/ontwerpen","j")</f>
        <v/>
      </c>
      <c r="CS80" s="234" t="str">
        <f>desired_skills(C80,"Extra vaardigheden/Vormgeving/ontwerpen","m")</f>
        <v/>
      </c>
      <c r="CT80" s="234" t="str">
        <f>desired_skills(C80,"Extra vaardigheden/Vormgeving/ontwerpen","s")</f>
        <v/>
      </c>
      <c r="CU80" s="235" t="str">
        <f>desired_skills(C80,"Extra vaardigheden/Vormgeving/ontwerpen","e")</f>
        <v/>
      </c>
      <c r="CW80" s="233" t="str">
        <f>calc_gap('Matrix 171007_1815'!$CK$80,'Matrix 171007_1815'!$CQ$80)</f>
        <v/>
      </c>
      <c r="CX80" s="234" t="str">
        <f>calc_gap('Matrix 171007_1815'!$CL$80,'Matrix 171007_1815'!$CR$80)</f>
        <v/>
      </c>
      <c r="CY80" s="234" t="str">
        <f>calc_gap('Matrix 171007_1815'!$CM$80,'Matrix 171007_1815'!$CS$80)</f>
        <v/>
      </c>
      <c r="CZ80" s="234" t="str">
        <f>calc_gap('Matrix 171007_1815'!$CN$80,'Matrix 171007_1815'!$CT$80)</f>
        <v/>
      </c>
      <c r="DA80" s="235" t="str">
        <f>calc_gap('Matrix 171007_1815'!$CO$80,'Matrix 171007_1815'!$CU$80)</f>
        <v/>
      </c>
    </row>
    <row r="81" spans="2:105" x14ac:dyDescent="0.25">
      <c r="B81" s="435"/>
      <c r="C81" s="291" t="s">
        <v>270</v>
      </c>
      <c r="D81" s="314"/>
      <c r="E81" s="315"/>
      <c r="F81" s="315"/>
      <c r="G81" s="315"/>
      <c r="H81" s="315"/>
      <c r="I81" s="315"/>
      <c r="J81" s="315"/>
      <c r="K81" s="316"/>
      <c r="L81" s="314"/>
      <c r="M81" s="315"/>
      <c r="N81" s="315"/>
      <c r="O81" s="316"/>
      <c r="P81" s="314"/>
      <c r="Q81" s="315"/>
      <c r="R81" s="315"/>
      <c r="S81" s="315"/>
      <c r="T81" s="315"/>
      <c r="U81" s="315"/>
      <c r="V81" s="315"/>
      <c r="W81" s="315"/>
      <c r="X81" s="315"/>
      <c r="Y81" s="315"/>
      <c r="Z81" s="315"/>
      <c r="AA81" s="315"/>
      <c r="AB81" s="315"/>
      <c r="AC81" s="315"/>
      <c r="AD81" s="315"/>
      <c r="AE81" s="315"/>
      <c r="AF81" s="315"/>
      <c r="AG81" s="315"/>
      <c r="AH81" s="315"/>
      <c r="AI81" s="316"/>
      <c r="AJ81" s="314"/>
      <c r="AK81" s="315"/>
      <c r="AL81" s="316"/>
      <c r="AM81" s="314"/>
      <c r="AN81" s="315"/>
      <c r="AO81" s="316"/>
      <c r="AP81" s="314"/>
      <c r="AQ81" s="315"/>
      <c r="AR81" s="315"/>
      <c r="AS81" s="315"/>
      <c r="AT81" s="316"/>
      <c r="AU81" s="314"/>
      <c r="AV81" s="315"/>
      <c r="AW81" s="315"/>
      <c r="AX81" s="315"/>
      <c r="AY81" s="315"/>
      <c r="AZ81" s="315"/>
      <c r="BA81" s="315"/>
      <c r="BB81" s="316"/>
      <c r="BC81" s="314"/>
      <c r="BD81" s="315"/>
      <c r="BE81" s="315"/>
      <c r="BF81" s="315"/>
      <c r="BG81" s="316"/>
      <c r="BH81" s="314"/>
      <c r="BI81" s="315"/>
      <c r="BJ81" s="316"/>
      <c r="BK81" s="314"/>
      <c r="BL81" s="315"/>
      <c r="BM81" s="315"/>
      <c r="BN81" s="316"/>
      <c r="BO81" s="314"/>
      <c r="BP81" s="315"/>
      <c r="BQ81" s="315"/>
      <c r="BR81" s="315"/>
      <c r="BS81" s="315"/>
      <c r="BT81" s="315"/>
      <c r="BU81" s="315"/>
      <c r="BV81" s="316"/>
      <c r="BW81" s="314"/>
      <c r="BX81" s="315"/>
      <c r="BY81" s="315"/>
      <c r="BZ81" s="315"/>
      <c r="CA81" s="315"/>
      <c r="CB81" s="316"/>
      <c r="CC81" s="314"/>
      <c r="CD81" s="315"/>
      <c r="CE81" s="316"/>
      <c r="CF81" s="314"/>
      <c r="CG81" s="315"/>
      <c r="CH81" s="315"/>
      <c r="CI81" s="317"/>
      <c r="CK81" s="236" t="str">
        <f t="shared" si="30"/>
        <v/>
      </c>
      <c r="CL81" s="237" t="str">
        <f t="shared" si="31"/>
        <v/>
      </c>
      <c r="CM81" s="237" t="str">
        <f t="shared" si="32"/>
        <v/>
      </c>
      <c r="CN81" s="237" t="str">
        <f t="shared" si="33"/>
        <v/>
      </c>
      <c r="CO81" s="238" t="str">
        <f t="shared" si="34"/>
        <v/>
      </c>
      <c r="CQ81" s="236" t="str">
        <f>desired_skills(C81,"Extra vaardigheden/Organiseren","o")</f>
        <v/>
      </c>
      <c r="CR81" s="237" t="str">
        <f>desired_skills(C81,"Extra vaardigheden/Organiseren","j")</f>
        <v/>
      </c>
      <c r="CS81" s="237" t="str">
        <f>desired_skills(C81,"Extra vaardigheden/Organiseren","m")</f>
        <v/>
      </c>
      <c r="CT81" s="237" t="str">
        <f>desired_skills(C81,"Extra vaardigheden/Organiseren","s")</f>
        <v/>
      </c>
      <c r="CU81" s="238" t="str">
        <f>desired_skills(C81,"Extra vaardigheden/Organiseren","e")</f>
        <v/>
      </c>
      <c r="CW81" s="236" t="str">
        <f>calc_gap('Matrix 171007_1815'!$CK$81,'Matrix 171007_1815'!$CQ$81)</f>
        <v/>
      </c>
      <c r="CX81" s="237" t="str">
        <f>calc_gap('Matrix 171007_1815'!$CL$81,'Matrix 171007_1815'!$CR$81)</f>
        <v/>
      </c>
      <c r="CY81" s="237" t="str">
        <f>calc_gap('Matrix 171007_1815'!$CM$81,'Matrix 171007_1815'!$CS$81)</f>
        <v/>
      </c>
      <c r="CZ81" s="237" t="str">
        <f>calc_gap('Matrix 171007_1815'!$CN$81,'Matrix 171007_1815'!$CT$81)</f>
        <v/>
      </c>
      <c r="DA81" s="238" t="str">
        <f>calc_gap('Matrix 171007_1815'!$CO$81,'Matrix 171007_1815'!$CU$81)</f>
        <v/>
      </c>
    </row>
    <row r="82" spans="2:105" x14ac:dyDescent="0.25">
      <c r="B82" s="435"/>
      <c r="C82" s="291" t="s">
        <v>271</v>
      </c>
      <c r="D82" s="314"/>
      <c r="E82" s="315"/>
      <c r="F82" s="315"/>
      <c r="G82" s="315"/>
      <c r="H82" s="315"/>
      <c r="I82" s="315"/>
      <c r="J82" s="315"/>
      <c r="K82" s="316"/>
      <c r="L82" s="314"/>
      <c r="M82" s="315"/>
      <c r="N82" s="315"/>
      <c r="O82" s="316"/>
      <c r="P82" s="314"/>
      <c r="Q82" s="315"/>
      <c r="R82" s="315"/>
      <c r="S82" s="315"/>
      <c r="T82" s="315"/>
      <c r="U82" s="315"/>
      <c r="V82" s="315"/>
      <c r="W82" s="315"/>
      <c r="X82" s="315"/>
      <c r="Y82" s="315"/>
      <c r="Z82" s="315"/>
      <c r="AA82" s="315"/>
      <c r="AB82" s="315"/>
      <c r="AC82" s="315"/>
      <c r="AD82" s="315"/>
      <c r="AE82" s="315"/>
      <c r="AF82" s="315"/>
      <c r="AG82" s="315"/>
      <c r="AH82" s="315"/>
      <c r="AI82" s="316"/>
      <c r="AJ82" s="314"/>
      <c r="AK82" s="315"/>
      <c r="AL82" s="316"/>
      <c r="AM82" s="314"/>
      <c r="AN82" s="315"/>
      <c r="AO82" s="316"/>
      <c r="AP82" s="314"/>
      <c r="AQ82" s="315"/>
      <c r="AR82" s="315"/>
      <c r="AS82" s="315"/>
      <c r="AT82" s="316"/>
      <c r="AU82" s="314"/>
      <c r="AV82" s="315"/>
      <c r="AW82" s="315"/>
      <c r="AX82" s="315"/>
      <c r="AY82" s="315"/>
      <c r="AZ82" s="315"/>
      <c r="BA82" s="315"/>
      <c r="BB82" s="316"/>
      <c r="BC82" s="314"/>
      <c r="BD82" s="315"/>
      <c r="BE82" s="315"/>
      <c r="BF82" s="315"/>
      <c r="BG82" s="316"/>
      <c r="BH82" s="314"/>
      <c r="BI82" s="315"/>
      <c r="BJ82" s="316"/>
      <c r="BK82" s="314"/>
      <c r="BL82" s="315"/>
      <c r="BM82" s="315"/>
      <c r="BN82" s="316"/>
      <c r="BO82" s="314"/>
      <c r="BP82" s="315"/>
      <c r="BQ82" s="315"/>
      <c r="BR82" s="315"/>
      <c r="BS82" s="315"/>
      <c r="BT82" s="315"/>
      <c r="BU82" s="315"/>
      <c r="BV82" s="316"/>
      <c r="BW82" s="314"/>
      <c r="BX82" s="315"/>
      <c r="BY82" s="315"/>
      <c r="BZ82" s="315"/>
      <c r="CA82" s="315"/>
      <c r="CB82" s="316"/>
      <c r="CC82" s="314"/>
      <c r="CD82" s="315"/>
      <c r="CE82" s="316"/>
      <c r="CF82" s="314"/>
      <c r="CG82" s="315"/>
      <c r="CH82" s="315"/>
      <c r="CI82" s="317"/>
      <c r="CK82" s="236" t="str">
        <f t="shared" si="30"/>
        <v/>
      </c>
      <c r="CL82" s="237" t="str">
        <f t="shared" si="31"/>
        <v/>
      </c>
      <c r="CM82" s="237" t="str">
        <f t="shared" si="32"/>
        <v/>
      </c>
      <c r="CN82" s="237" t="str">
        <f t="shared" si="33"/>
        <v/>
      </c>
      <c r="CO82" s="238" t="str">
        <f t="shared" si="34"/>
        <v/>
      </c>
      <c r="CQ82" s="236" t="str">
        <f>desired_skills(C82,"Extra vaardigheden/Fotografie","o")</f>
        <v/>
      </c>
      <c r="CR82" s="237" t="str">
        <f>desired_skills(C82,"Extra vaardigheden/Fotografie","j")</f>
        <v/>
      </c>
      <c r="CS82" s="237" t="str">
        <f>desired_skills(C82,"Extra vaardigheden/Fotografie","m")</f>
        <v/>
      </c>
      <c r="CT82" s="237" t="str">
        <f>desired_skills(C82,"Extra vaardigheden/Fotografie","s")</f>
        <v/>
      </c>
      <c r="CU82" s="238" t="str">
        <f>desired_skills(C82,"Extra vaardigheden/Fotografie","e")</f>
        <v/>
      </c>
      <c r="CW82" s="236" t="str">
        <f>calc_gap('Matrix 171007_1815'!$CK$82,'Matrix 171007_1815'!$CQ$82)</f>
        <v/>
      </c>
      <c r="CX82" s="237" t="str">
        <f>calc_gap('Matrix 171007_1815'!$CL$82,'Matrix 171007_1815'!$CR$82)</f>
        <v/>
      </c>
      <c r="CY82" s="237" t="str">
        <f>calc_gap('Matrix 171007_1815'!$CM$82,'Matrix 171007_1815'!$CS$82)</f>
        <v/>
      </c>
      <c r="CZ82" s="237" t="str">
        <f>calc_gap('Matrix 171007_1815'!$CN$82,'Matrix 171007_1815'!$CT$82)</f>
        <v/>
      </c>
      <c r="DA82" s="238" t="str">
        <f>calc_gap('Matrix 171007_1815'!$CO$82,'Matrix 171007_1815'!$CU$82)</f>
        <v/>
      </c>
    </row>
    <row r="83" spans="2:105" x14ac:dyDescent="0.25">
      <c r="B83" s="435"/>
      <c r="C83" s="291" t="s">
        <v>272</v>
      </c>
      <c r="D83" s="314"/>
      <c r="E83" s="315"/>
      <c r="F83" s="315"/>
      <c r="G83" s="315"/>
      <c r="H83" s="315"/>
      <c r="I83" s="315"/>
      <c r="J83" s="315"/>
      <c r="K83" s="316"/>
      <c r="L83" s="314"/>
      <c r="M83" s="315"/>
      <c r="N83" s="315"/>
      <c r="O83" s="316"/>
      <c r="P83" s="314"/>
      <c r="Q83" s="315"/>
      <c r="R83" s="315"/>
      <c r="S83" s="315"/>
      <c r="T83" s="315"/>
      <c r="U83" s="315"/>
      <c r="V83" s="315"/>
      <c r="W83" s="315"/>
      <c r="X83" s="315"/>
      <c r="Y83" s="315"/>
      <c r="Z83" s="315"/>
      <c r="AA83" s="315"/>
      <c r="AB83" s="315"/>
      <c r="AC83" s="315"/>
      <c r="AD83" s="315"/>
      <c r="AE83" s="315"/>
      <c r="AF83" s="315"/>
      <c r="AG83" s="315"/>
      <c r="AH83" s="315"/>
      <c r="AI83" s="316"/>
      <c r="AJ83" s="314"/>
      <c r="AK83" s="315"/>
      <c r="AL83" s="316"/>
      <c r="AM83" s="314"/>
      <c r="AN83" s="315"/>
      <c r="AO83" s="316"/>
      <c r="AP83" s="314"/>
      <c r="AQ83" s="315"/>
      <c r="AR83" s="315"/>
      <c r="AS83" s="315"/>
      <c r="AT83" s="316"/>
      <c r="AU83" s="314"/>
      <c r="AV83" s="315"/>
      <c r="AW83" s="315"/>
      <c r="AX83" s="315"/>
      <c r="AY83" s="315"/>
      <c r="AZ83" s="315"/>
      <c r="BA83" s="315"/>
      <c r="BB83" s="316"/>
      <c r="BC83" s="314"/>
      <c r="BD83" s="315"/>
      <c r="BE83" s="315"/>
      <c r="BF83" s="315"/>
      <c r="BG83" s="316"/>
      <c r="BH83" s="314"/>
      <c r="BI83" s="315"/>
      <c r="BJ83" s="316"/>
      <c r="BK83" s="314"/>
      <c r="BL83" s="315"/>
      <c r="BM83" s="315"/>
      <c r="BN83" s="316"/>
      <c r="BO83" s="314"/>
      <c r="BP83" s="315"/>
      <c r="BQ83" s="315"/>
      <c r="BR83" s="315"/>
      <c r="BS83" s="315"/>
      <c r="BT83" s="315"/>
      <c r="BU83" s="315"/>
      <c r="BV83" s="316"/>
      <c r="BW83" s="314"/>
      <c r="BX83" s="315"/>
      <c r="BY83" s="315"/>
      <c r="BZ83" s="315"/>
      <c r="CA83" s="315"/>
      <c r="CB83" s="316"/>
      <c r="CC83" s="314"/>
      <c r="CD83" s="315"/>
      <c r="CE83" s="316"/>
      <c r="CF83" s="314"/>
      <c r="CG83" s="315"/>
      <c r="CH83" s="315"/>
      <c r="CI83" s="317"/>
      <c r="CK83" s="236" t="str">
        <f t="shared" si="30"/>
        <v/>
      </c>
      <c r="CL83" s="237" t="str">
        <f t="shared" si="31"/>
        <v/>
      </c>
      <c r="CM83" s="237" t="str">
        <f t="shared" si="32"/>
        <v/>
      </c>
      <c r="CN83" s="237" t="str">
        <f t="shared" si="33"/>
        <v/>
      </c>
      <c r="CO83" s="238" t="str">
        <f t="shared" si="34"/>
        <v/>
      </c>
      <c r="CQ83" s="236" t="str">
        <f>desired_skills(C83,"Extra vaardigheden/Tekenen","o")</f>
        <v/>
      </c>
      <c r="CR83" s="237" t="str">
        <f>desired_skills(C83,"Extra vaardigheden/Tekenen","j")</f>
        <v/>
      </c>
      <c r="CS83" s="237" t="str">
        <f>desired_skills(C83,"Extra vaardigheden/Tekenen","m")</f>
        <v/>
      </c>
      <c r="CT83" s="237" t="str">
        <f>desired_skills(C83,"Extra vaardigheden/Tekenen","s")</f>
        <v/>
      </c>
      <c r="CU83" s="238" t="str">
        <f>desired_skills(C83,"Extra vaardigheden/Tekenen","e")</f>
        <v/>
      </c>
      <c r="CW83" s="236" t="str">
        <f>calc_gap('Matrix 171007_1815'!$CK$83,'Matrix 171007_1815'!$CQ$83)</f>
        <v/>
      </c>
      <c r="CX83" s="237" t="str">
        <f>calc_gap('Matrix 171007_1815'!$CL$83,'Matrix 171007_1815'!$CR$83)</f>
        <v/>
      </c>
      <c r="CY83" s="237" t="str">
        <f>calc_gap('Matrix 171007_1815'!$CM$83,'Matrix 171007_1815'!$CS$83)</f>
        <v/>
      </c>
      <c r="CZ83" s="237" t="str">
        <f>calc_gap('Matrix 171007_1815'!$CN$83,'Matrix 171007_1815'!$CT$83)</f>
        <v/>
      </c>
      <c r="DA83" s="238" t="str">
        <f>calc_gap('Matrix 171007_1815'!$CO$83,'Matrix 171007_1815'!$CU$83)</f>
        <v/>
      </c>
    </row>
    <row r="84" spans="2:105" x14ac:dyDescent="0.25">
      <c r="B84" s="435"/>
      <c r="C84" s="291" t="s">
        <v>273</v>
      </c>
      <c r="D84" s="314"/>
      <c r="E84" s="315"/>
      <c r="F84" s="315"/>
      <c r="G84" s="315"/>
      <c r="H84" s="315"/>
      <c r="I84" s="315"/>
      <c r="J84" s="315"/>
      <c r="K84" s="316"/>
      <c r="L84" s="314"/>
      <c r="M84" s="315"/>
      <c r="N84" s="315"/>
      <c r="O84" s="316"/>
      <c r="P84" s="314"/>
      <c r="Q84" s="315"/>
      <c r="R84" s="315"/>
      <c r="S84" s="315"/>
      <c r="T84" s="315"/>
      <c r="U84" s="315"/>
      <c r="V84" s="315"/>
      <c r="W84" s="315"/>
      <c r="X84" s="315"/>
      <c r="Y84" s="315"/>
      <c r="Z84" s="315"/>
      <c r="AA84" s="315"/>
      <c r="AB84" s="315"/>
      <c r="AC84" s="315"/>
      <c r="AD84" s="315"/>
      <c r="AE84" s="315"/>
      <c r="AF84" s="315"/>
      <c r="AG84" s="315"/>
      <c r="AH84" s="315"/>
      <c r="AI84" s="316"/>
      <c r="AJ84" s="314"/>
      <c r="AK84" s="315"/>
      <c r="AL84" s="316"/>
      <c r="AM84" s="314"/>
      <c r="AN84" s="315"/>
      <c r="AO84" s="316"/>
      <c r="AP84" s="314"/>
      <c r="AQ84" s="315"/>
      <c r="AR84" s="315"/>
      <c r="AS84" s="315"/>
      <c r="AT84" s="316"/>
      <c r="AU84" s="314"/>
      <c r="AV84" s="315"/>
      <c r="AW84" s="315"/>
      <c r="AX84" s="315"/>
      <c r="AY84" s="315"/>
      <c r="AZ84" s="315"/>
      <c r="BA84" s="315"/>
      <c r="BB84" s="316"/>
      <c r="BC84" s="314"/>
      <c r="BD84" s="315"/>
      <c r="BE84" s="315"/>
      <c r="BF84" s="315"/>
      <c r="BG84" s="316"/>
      <c r="BH84" s="314"/>
      <c r="BI84" s="315"/>
      <c r="BJ84" s="316"/>
      <c r="BK84" s="314"/>
      <c r="BL84" s="315"/>
      <c r="BM84" s="315"/>
      <c r="BN84" s="316"/>
      <c r="BO84" s="314"/>
      <c r="BP84" s="315"/>
      <c r="BQ84" s="315"/>
      <c r="BR84" s="315"/>
      <c r="BS84" s="315"/>
      <c r="BT84" s="315"/>
      <c r="BU84" s="315"/>
      <c r="BV84" s="316"/>
      <c r="BW84" s="314"/>
      <c r="BX84" s="315"/>
      <c r="BY84" s="315"/>
      <c r="BZ84" s="315"/>
      <c r="CA84" s="315"/>
      <c r="CB84" s="316"/>
      <c r="CC84" s="314"/>
      <c r="CD84" s="315"/>
      <c r="CE84" s="316"/>
      <c r="CF84" s="314"/>
      <c r="CG84" s="315"/>
      <c r="CH84" s="315"/>
      <c r="CI84" s="317"/>
      <c r="CK84" s="236" t="str">
        <f t="shared" si="30"/>
        <v/>
      </c>
      <c r="CL84" s="237" t="str">
        <f t="shared" si="31"/>
        <v/>
      </c>
      <c r="CM84" s="237" t="str">
        <f t="shared" si="32"/>
        <v/>
      </c>
      <c r="CN84" s="237" t="str">
        <f t="shared" si="33"/>
        <v/>
      </c>
      <c r="CO84" s="238" t="str">
        <f t="shared" si="34"/>
        <v/>
      </c>
      <c r="CQ84" s="236" t="str">
        <f>desired_skills(C84,"Extra vaardigheden/Creatief","o")</f>
        <v/>
      </c>
      <c r="CR84" s="237" t="str">
        <f>desired_skills(C84,"Extra vaardigheden/Creatief","j")</f>
        <v/>
      </c>
      <c r="CS84" s="237" t="str">
        <f>desired_skills(C84,"Extra vaardigheden/Creatief","m")</f>
        <v/>
      </c>
      <c r="CT84" s="237" t="str">
        <f>desired_skills(C84,"Extra vaardigheden/Creatief","s")</f>
        <v/>
      </c>
      <c r="CU84" s="238" t="str">
        <f>desired_skills(C84,"Extra vaardigheden/Creatief","e")</f>
        <v/>
      </c>
      <c r="CW84" s="236" t="str">
        <f>calc_gap('Matrix 171007_1815'!$CK$84,'Matrix 171007_1815'!$CQ$84)</f>
        <v/>
      </c>
      <c r="CX84" s="237" t="str">
        <f>calc_gap('Matrix 171007_1815'!$CL$84,'Matrix 171007_1815'!$CR$84)</f>
        <v/>
      </c>
      <c r="CY84" s="237" t="str">
        <f>calc_gap('Matrix 171007_1815'!$CM$84,'Matrix 171007_1815'!$CS$84)</f>
        <v/>
      </c>
      <c r="CZ84" s="237" t="str">
        <f>calc_gap('Matrix 171007_1815'!$CN$84,'Matrix 171007_1815'!$CT$84)</f>
        <v/>
      </c>
      <c r="DA84" s="238" t="str">
        <f>calc_gap('Matrix 171007_1815'!$CO$84,'Matrix 171007_1815'!$CU$84)</f>
        <v/>
      </c>
    </row>
    <row r="85" spans="2:105" x14ac:dyDescent="0.25">
      <c r="B85" s="435"/>
      <c r="C85" s="291" t="s">
        <v>274</v>
      </c>
      <c r="D85" s="314"/>
      <c r="E85" s="315"/>
      <c r="F85" s="315"/>
      <c r="G85" s="315"/>
      <c r="H85" s="315"/>
      <c r="I85" s="315"/>
      <c r="J85" s="315"/>
      <c r="K85" s="316"/>
      <c r="L85" s="314"/>
      <c r="M85" s="315"/>
      <c r="N85" s="315"/>
      <c r="O85" s="316"/>
      <c r="P85" s="314"/>
      <c r="Q85" s="315"/>
      <c r="R85" s="315"/>
      <c r="S85" s="315"/>
      <c r="T85" s="315"/>
      <c r="U85" s="315"/>
      <c r="V85" s="315"/>
      <c r="W85" s="315"/>
      <c r="X85" s="315"/>
      <c r="Y85" s="315"/>
      <c r="Z85" s="315"/>
      <c r="AA85" s="315"/>
      <c r="AB85" s="315"/>
      <c r="AC85" s="315"/>
      <c r="AD85" s="315"/>
      <c r="AE85" s="315"/>
      <c r="AF85" s="315"/>
      <c r="AG85" s="315"/>
      <c r="AH85" s="315"/>
      <c r="AI85" s="316"/>
      <c r="AJ85" s="314"/>
      <c r="AK85" s="315"/>
      <c r="AL85" s="316"/>
      <c r="AM85" s="314"/>
      <c r="AN85" s="315"/>
      <c r="AO85" s="316"/>
      <c r="AP85" s="314"/>
      <c r="AQ85" s="315"/>
      <c r="AR85" s="315"/>
      <c r="AS85" s="315"/>
      <c r="AT85" s="316"/>
      <c r="AU85" s="314"/>
      <c r="AV85" s="315"/>
      <c r="AW85" s="315"/>
      <c r="AX85" s="315"/>
      <c r="AY85" s="315"/>
      <c r="AZ85" s="315"/>
      <c r="BA85" s="315"/>
      <c r="BB85" s="316"/>
      <c r="BC85" s="314"/>
      <c r="BD85" s="315"/>
      <c r="BE85" s="315"/>
      <c r="BF85" s="315"/>
      <c r="BG85" s="316"/>
      <c r="BH85" s="314"/>
      <c r="BI85" s="315"/>
      <c r="BJ85" s="316"/>
      <c r="BK85" s="314"/>
      <c r="BL85" s="315"/>
      <c r="BM85" s="315"/>
      <c r="BN85" s="316"/>
      <c r="BO85" s="314"/>
      <c r="BP85" s="315"/>
      <c r="BQ85" s="315"/>
      <c r="BR85" s="315"/>
      <c r="BS85" s="315"/>
      <c r="BT85" s="315"/>
      <c r="BU85" s="315"/>
      <c r="BV85" s="316"/>
      <c r="BW85" s="314"/>
      <c r="BX85" s="315"/>
      <c r="BY85" s="315"/>
      <c r="BZ85" s="315"/>
      <c r="CA85" s="315"/>
      <c r="CB85" s="316"/>
      <c r="CC85" s="314"/>
      <c r="CD85" s="315"/>
      <c r="CE85" s="316"/>
      <c r="CF85" s="314"/>
      <c r="CG85" s="315"/>
      <c r="CH85" s="315"/>
      <c r="CI85" s="317"/>
      <c r="CK85" s="236" t="str">
        <f t="shared" si="30"/>
        <v/>
      </c>
      <c r="CL85" s="237" t="str">
        <f t="shared" si="31"/>
        <v/>
      </c>
      <c r="CM85" s="237" t="str">
        <f t="shared" si="32"/>
        <v/>
      </c>
      <c r="CN85" s="237" t="str">
        <f t="shared" si="33"/>
        <v/>
      </c>
      <c r="CO85" s="238" t="str">
        <f t="shared" si="34"/>
        <v/>
      </c>
      <c r="CQ85" s="236" t="str">
        <f>desired_skills(C85,"Extra vaardigheden/Videobewerking","o")</f>
        <v/>
      </c>
      <c r="CR85" s="237" t="str">
        <f>desired_skills(C85,"Extra vaardigheden/Videobewerking","j")</f>
        <v/>
      </c>
      <c r="CS85" s="237" t="str">
        <f>desired_skills(C85,"Extra vaardigheden/Videobewerking","m")</f>
        <v/>
      </c>
      <c r="CT85" s="237" t="str">
        <f>desired_skills(C85,"Extra vaardigheden/Videobewerking","s")</f>
        <v/>
      </c>
      <c r="CU85" s="238" t="str">
        <f>desired_skills(C85,"Extra vaardigheden/Videobewerking","e")</f>
        <v/>
      </c>
      <c r="CW85" s="236" t="str">
        <f>calc_gap('Matrix 171007_1815'!$CK$85,'Matrix 171007_1815'!$CQ$85)</f>
        <v/>
      </c>
      <c r="CX85" s="237" t="str">
        <f>calc_gap('Matrix 171007_1815'!$CL$85,'Matrix 171007_1815'!$CR$85)</f>
        <v/>
      </c>
      <c r="CY85" s="237" t="str">
        <f>calc_gap('Matrix 171007_1815'!$CM$85,'Matrix 171007_1815'!$CS$85)</f>
        <v/>
      </c>
      <c r="CZ85" s="237" t="str">
        <f>calc_gap('Matrix 171007_1815'!$CN$85,'Matrix 171007_1815'!$CT$85)</f>
        <v/>
      </c>
      <c r="DA85" s="238" t="str">
        <f>calc_gap('Matrix 171007_1815'!$CO$85,'Matrix 171007_1815'!$CU$85)</f>
        <v/>
      </c>
    </row>
    <row r="86" spans="2:105" x14ac:dyDescent="0.25">
      <c r="B86" s="435"/>
      <c r="C86" s="291" t="s">
        <v>275</v>
      </c>
      <c r="D86" s="314"/>
      <c r="E86" s="315"/>
      <c r="F86" s="315"/>
      <c r="G86" s="315"/>
      <c r="H86" s="315"/>
      <c r="I86" s="315"/>
      <c r="J86" s="315"/>
      <c r="K86" s="316"/>
      <c r="L86" s="314"/>
      <c r="M86" s="315"/>
      <c r="N86" s="315"/>
      <c r="O86" s="316"/>
      <c r="P86" s="314"/>
      <c r="Q86" s="315"/>
      <c r="R86" s="315"/>
      <c r="S86" s="315"/>
      <c r="T86" s="315"/>
      <c r="U86" s="315"/>
      <c r="V86" s="315"/>
      <c r="W86" s="315"/>
      <c r="X86" s="315"/>
      <c r="Y86" s="315"/>
      <c r="Z86" s="315"/>
      <c r="AA86" s="315"/>
      <c r="AB86" s="315"/>
      <c r="AC86" s="315"/>
      <c r="AD86" s="315"/>
      <c r="AE86" s="315"/>
      <c r="AF86" s="315"/>
      <c r="AG86" s="315"/>
      <c r="AH86" s="315"/>
      <c r="AI86" s="316"/>
      <c r="AJ86" s="314"/>
      <c r="AK86" s="315"/>
      <c r="AL86" s="316"/>
      <c r="AM86" s="314"/>
      <c r="AN86" s="315"/>
      <c r="AO86" s="316"/>
      <c r="AP86" s="314"/>
      <c r="AQ86" s="315"/>
      <c r="AR86" s="315"/>
      <c r="AS86" s="315"/>
      <c r="AT86" s="316"/>
      <c r="AU86" s="314"/>
      <c r="AV86" s="315"/>
      <c r="AW86" s="315"/>
      <c r="AX86" s="315"/>
      <c r="AY86" s="315"/>
      <c r="AZ86" s="315"/>
      <c r="BA86" s="315"/>
      <c r="BB86" s="316"/>
      <c r="BC86" s="314"/>
      <c r="BD86" s="315"/>
      <c r="BE86" s="315"/>
      <c r="BF86" s="315"/>
      <c r="BG86" s="316"/>
      <c r="BH86" s="314"/>
      <c r="BI86" s="315"/>
      <c r="BJ86" s="316"/>
      <c r="BK86" s="314"/>
      <c r="BL86" s="315"/>
      <c r="BM86" s="315"/>
      <c r="BN86" s="316"/>
      <c r="BO86" s="314"/>
      <c r="BP86" s="315"/>
      <c r="BQ86" s="315"/>
      <c r="BR86" s="315"/>
      <c r="BS86" s="315"/>
      <c r="BT86" s="315"/>
      <c r="BU86" s="315"/>
      <c r="BV86" s="316"/>
      <c r="BW86" s="314"/>
      <c r="BX86" s="315"/>
      <c r="BY86" s="315"/>
      <c r="BZ86" s="315"/>
      <c r="CA86" s="315"/>
      <c r="CB86" s="316"/>
      <c r="CC86" s="314"/>
      <c r="CD86" s="315"/>
      <c r="CE86" s="316"/>
      <c r="CF86" s="314"/>
      <c r="CG86" s="315"/>
      <c r="CH86" s="315"/>
      <c r="CI86" s="317"/>
      <c r="CK86" s="236" t="str">
        <f t="shared" si="30"/>
        <v/>
      </c>
      <c r="CL86" s="237" t="str">
        <f t="shared" si="31"/>
        <v/>
      </c>
      <c r="CM86" s="237" t="str">
        <f t="shared" si="32"/>
        <v/>
      </c>
      <c r="CN86" s="237" t="str">
        <f t="shared" si="33"/>
        <v/>
      </c>
      <c r="CO86" s="238" t="str">
        <f t="shared" si="34"/>
        <v/>
      </c>
      <c r="CQ86" s="236" t="str">
        <f>desired_skills(C86,"Extra vaardigheden/Excel","o")</f>
        <v/>
      </c>
      <c r="CR86" s="237" t="str">
        <f>desired_skills(C86,"Extra vaardigheden/Excel","j")</f>
        <v/>
      </c>
      <c r="CS86" s="237" t="str">
        <f>desired_skills(C86,"Extra vaardigheden/Excel","m")</f>
        <v/>
      </c>
      <c r="CT86" s="237" t="str">
        <f>desired_skills(C86,"Extra vaardigheden/Excel","s")</f>
        <v/>
      </c>
      <c r="CU86" s="238" t="str">
        <f>desired_skills(C86,"Extra vaardigheden/Excel","e")</f>
        <v/>
      </c>
      <c r="CW86" s="236" t="str">
        <f>calc_gap('Matrix 171007_1815'!$CK$86,'Matrix 171007_1815'!$CQ$86)</f>
        <v/>
      </c>
      <c r="CX86" s="237" t="str">
        <f>calc_gap('Matrix 171007_1815'!$CL$86,'Matrix 171007_1815'!$CR$86)</f>
        <v/>
      </c>
      <c r="CY86" s="237" t="str">
        <f>calc_gap('Matrix 171007_1815'!$CM$86,'Matrix 171007_1815'!$CS$86)</f>
        <v/>
      </c>
      <c r="CZ86" s="237" t="str">
        <f>calc_gap('Matrix 171007_1815'!$CN$86,'Matrix 171007_1815'!$CT$86)</f>
        <v/>
      </c>
      <c r="DA86" s="238" t="str">
        <f>calc_gap('Matrix 171007_1815'!$CO$86,'Matrix 171007_1815'!$CU$86)</f>
        <v/>
      </c>
    </row>
    <row r="87" spans="2:105" x14ac:dyDescent="0.25">
      <c r="B87" s="435"/>
      <c r="C87" s="291" t="s">
        <v>281</v>
      </c>
      <c r="D87" s="314"/>
      <c r="E87" s="315"/>
      <c r="F87" s="315"/>
      <c r="G87" s="315"/>
      <c r="H87" s="315"/>
      <c r="I87" s="315"/>
      <c r="J87" s="315"/>
      <c r="K87" s="316"/>
      <c r="L87" s="314"/>
      <c r="M87" s="315"/>
      <c r="N87" s="315"/>
      <c r="O87" s="316"/>
      <c r="P87" s="314"/>
      <c r="Q87" s="315"/>
      <c r="R87" s="315"/>
      <c r="S87" s="315"/>
      <c r="T87" s="315"/>
      <c r="U87" s="315"/>
      <c r="V87" s="315"/>
      <c r="W87" s="315"/>
      <c r="X87" s="315"/>
      <c r="Y87" s="315"/>
      <c r="Z87" s="315"/>
      <c r="AA87" s="315"/>
      <c r="AB87" s="315"/>
      <c r="AC87" s="315"/>
      <c r="AD87" s="315"/>
      <c r="AE87" s="315"/>
      <c r="AF87" s="315"/>
      <c r="AG87" s="315"/>
      <c r="AH87" s="315"/>
      <c r="AI87" s="316"/>
      <c r="AJ87" s="314"/>
      <c r="AK87" s="315"/>
      <c r="AL87" s="316"/>
      <c r="AM87" s="314"/>
      <c r="AN87" s="315"/>
      <c r="AO87" s="316"/>
      <c r="AP87" s="314"/>
      <c r="AQ87" s="315"/>
      <c r="AR87" s="315"/>
      <c r="AS87" s="315"/>
      <c r="AT87" s="316"/>
      <c r="AU87" s="314"/>
      <c r="AV87" s="315"/>
      <c r="AW87" s="315"/>
      <c r="AX87" s="315"/>
      <c r="AY87" s="315"/>
      <c r="AZ87" s="315"/>
      <c r="BA87" s="315"/>
      <c r="BB87" s="316"/>
      <c r="BC87" s="314"/>
      <c r="BD87" s="315"/>
      <c r="BE87" s="315"/>
      <c r="BF87" s="315"/>
      <c r="BG87" s="316"/>
      <c r="BH87" s="314"/>
      <c r="BI87" s="315"/>
      <c r="BJ87" s="316"/>
      <c r="BK87" s="314"/>
      <c r="BL87" s="315"/>
      <c r="BM87" s="315"/>
      <c r="BN87" s="316"/>
      <c r="BO87" s="314"/>
      <c r="BP87" s="315"/>
      <c r="BQ87" s="315"/>
      <c r="BR87" s="315"/>
      <c r="BS87" s="315"/>
      <c r="BT87" s="315"/>
      <c r="BU87" s="315"/>
      <c r="BV87" s="316"/>
      <c r="BW87" s="314"/>
      <c r="BX87" s="315"/>
      <c r="BY87" s="315"/>
      <c r="BZ87" s="315"/>
      <c r="CA87" s="315"/>
      <c r="CB87" s="316"/>
      <c r="CC87" s="314"/>
      <c r="CD87" s="315"/>
      <c r="CE87" s="316"/>
      <c r="CF87" s="314"/>
      <c r="CG87" s="315"/>
      <c r="CH87" s="315"/>
      <c r="CI87" s="317"/>
      <c r="CK87" s="236" t="str">
        <f t="shared" si="30"/>
        <v/>
      </c>
      <c r="CL87" s="237" t="str">
        <f t="shared" si="31"/>
        <v/>
      </c>
      <c r="CM87" s="237" t="str">
        <f t="shared" si="32"/>
        <v/>
      </c>
      <c r="CN87" s="237" t="str">
        <f t="shared" si="33"/>
        <v/>
      </c>
      <c r="CO87" s="238" t="str">
        <f t="shared" si="34"/>
        <v/>
      </c>
      <c r="CQ87" s="236" t="str">
        <f>desired_skills(C87,"Extra vaardigheden/PowerPoint","o")</f>
        <v/>
      </c>
      <c r="CR87" s="237" t="str">
        <f>desired_skills(C87,"Extra vaardigheden/PowerPoint","j")</f>
        <v/>
      </c>
      <c r="CS87" s="237" t="str">
        <f>desired_skills(C87,"Extra vaardigheden/PowerPoint","m")</f>
        <v/>
      </c>
      <c r="CT87" s="237" t="str">
        <f>desired_skills(C87,"Extra vaardigheden/PowerPoint","s")</f>
        <v/>
      </c>
      <c r="CU87" s="238" t="str">
        <f>desired_skills(C87,"Extra vaardigheden/PowerPoint","e")</f>
        <v/>
      </c>
      <c r="CW87" s="236" t="str">
        <f>calc_gap('Matrix 171007_1815'!$CK$87,'Matrix 171007_1815'!$CQ$87)</f>
        <v/>
      </c>
      <c r="CX87" s="237" t="str">
        <f>calc_gap('Matrix 171007_1815'!$CL$87,'Matrix 171007_1815'!$CR$87)</f>
        <v/>
      </c>
      <c r="CY87" s="237" t="str">
        <f>calc_gap('Matrix 171007_1815'!$CM$87,'Matrix 171007_1815'!$CS$87)</f>
        <v/>
      </c>
      <c r="CZ87" s="237" t="str">
        <f>calc_gap('Matrix 171007_1815'!$CN$87,'Matrix 171007_1815'!$CT$87)</f>
        <v/>
      </c>
      <c r="DA87" s="238" t="str">
        <f>calc_gap('Matrix 171007_1815'!$CO$87,'Matrix 171007_1815'!$CU$87)</f>
        <v/>
      </c>
    </row>
    <row r="88" spans="2:105" x14ac:dyDescent="0.25">
      <c r="B88" s="435"/>
      <c r="C88" s="291" t="s">
        <v>276</v>
      </c>
      <c r="D88" s="314"/>
      <c r="E88" s="315"/>
      <c r="F88" s="315"/>
      <c r="G88" s="315"/>
      <c r="H88" s="315"/>
      <c r="I88" s="315"/>
      <c r="J88" s="315"/>
      <c r="K88" s="316"/>
      <c r="L88" s="314"/>
      <c r="M88" s="315"/>
      <c r="N88" s="315"/>
      <c r="O88" s="316"/>
      <c r="P88" s="314"/>
      <c r="Q88" s="315"/>
      <c r="R88" s="315"/>
      <c r="S88" s="315"/>
      <c r="T88" s="315"/>
      <c r="U88" s="315"/>
      <c r="V88" s="315"/>
      <c r="W88" s="315"/>
      <c r="X88" s="315"/>
      <c r="Y88" s="315"/>
      <c r="Z88" s="315"/>
      <c r="AA88" s="315"/>
      <c r="AB88" s="315"/>
      <c r="AC88" s="315"/>
      <c r="AD88" s="315"/>
      <c r="AE88" s="315"/>
      <c r="AF88" s="315"/>
      <c r="AG88" s="315"/>
      <c r="AH88" s="315"/>
      <c r="AI88" s="316"/>
      <c r="AJ88" s="314"/>
      <c r="AK88" s="315"/>
      <c r="AL88" s="316"/>
      <c r="AM88" s="314"/>
      <c r="AN88" s="315"/>
      <c r="AO88" s="316"/>
      <c r="AP88" s="314"/>
      <c r="AQ88" s="315"/>
      <c r="AR88" s="315"/>
      <c r="AS88" s="315"/>
      <c r="AT88" s="316"/>
      <c r="AU88" s="314"/>
      <c r="AV88" s="315"/>
      <c r="AW88" s="315"/>
      <c r="AX88" s="315"/>
      <c r="AY88" s="315"/>
      <c r="AZ88" s="315"/>
      <c r="BA88" s="315"/>
      <c r="BB88" s="316"/>
      <c r="BC88" s="314"/>
      <c r="BD88" s="315"/>
      <c r="BE88" s="315"/>
      <c r="BF88" s="315"/>
      <c r="BG88" s="316"/>
      <c r="BH88" s="314"/>
      <c r="BI88" s="315"/>
      <c r="BJ88" s="316"/>
      <c r="BK88" s="314"/>
      <c r="BL88" s="315"/>
      <c r="BM88" s="315"/>
      <c r="BN88" s="316"/>
      <c r="BO88" s="314"/>
      <c r="BP88" s="315"/>
      <c r="BQ88" s="315"/>
      <c r="BR88" s="315"/>
      <c r="BS88" s="315"/>
      <c r="BT88" s="315"/>
      <c r="BU88" s="315"/>
      <c r="BV88" s="316"/>
      <c r="BW88" s="314"/>
      <c r="BX88" s="315"/>
      <c r="BY88" s="315"/>
      <c r="BZ88" s="315"/>
      <c r="CA88" s="315"/>
      <c r="CB88" s="316"/>
      <c r="CC88" s="314"/>
      <c r="CD88" s="315"/>
      <c r="CE88" s="316"/>
      <c r="CF88" s="314"/>
      <c r="CG88" s="315"/>
      <c r="CH88" s="315"/>
      <c r="CI88" s="317"/>
      <c r="CK88" s="236" t="str">
        <f t="shared" si="30"/>
        <v/>
      </c>
      <c r="CL88" s="237" t="str">
        <f t="shared" si="31"/>
        <v/>
      </c>
      <c r="CM88" s="237" t="str">
        <f t="shared" si="32"/>
        <v/>
      </c>
      <c r="CN88" s="237" t="str">
        <f t="shared" si="33"/>
        <v/>
      </c>
      <c r="CO88" s="238" t="str">
        <f t="shared" si="34"/>
        <v/>
      </c>
      <c r="CQ88" s="236" t="str">
        <f>desired_skills(C88,"Extra vaardigheden/Word","o")</f>
        <v/>
      </c>
      <c r="CR88" s="237" t="str">
        <f>desired_skills(C88,"Extra vaardigheden/Word","j")</f>
        <v/>
      </c>
      <c r="CS88" s="237" t="str">
        <f>desired_skills(C88,"Extra vaardigheden/Word","m")</f>
        <v/>
      </c>
      <c r="CT88" s="237" t="str">
        <f>desired_skills(C88,"Extra vaardigheden/Word","s")</f>
        <v/>
      </c>
      <c r="CU88" s="238" t="str">
        <f>desired_skills(C88,"Extra vaardigheden/Word","e")</f>
        <v/>
      </c>
      <c r="CW88" s="236" t="str">
        <f>calc_gap('Matrix 171007_1815'!$CK$88,'Matrix 171007_1815'!$CQ$88)</f>
        <v/>
      </c>
      <c r="CX88" s="237" t="str">
        <f>calc_gap('Matrix 171007_1815'!$CL$88,'Matrix 171007_1815'!$CR$88)</f>
        <v/>
      </c>
      <c r="CY88" s="237" t="str">
        <f>calc_gap('Matrix 171007_1815'!$CM$88,'Matrix 171007_1815'!$CS$88)</f>
        <v/>
      </c>
      <c r="CZ88" s="237" t="str">
        <f>calc_gap('Matrix 171007_1815'!$CN$88,'Matrix 171007_1815'!$CT$88)</f>
        <v/>
      </c>
      <c r="DA88" s="238" t="str">
        <f>calc_gap('Matrix 171007_1815'!$CO$88,'Matrix 171007_1815'!$CU$88)</f>
        <v/>
      </c>
    </row>
    <row r="89" spans="2:105" x14ac:dyDescent="0.25">
      <c r="B89" s="435"/>
      <c r="C89" s="291" t="s">
        <v>277</v>
      </c>
      <c r="D89" s="314"/>
      <c r="E89" s="315"/>
      <c r="F89" s="315"/>
      <c r="G89" s="315"/>
      <c r="H89" s="315"/>
      <c r="I89" s="315"/>
      <c r="J89" s="315"/>
      <c r="K89" s="316"/>
      <c r="L89" s="314"/>
      <c r="M89" s="315"/>
      <c r="N89" s="315"/>
      <c r="O89" s="316"/>
      <c r="P89" s="314"/>
      <c r="Q89" s="315"/>
      <c r="R89" s="315"/>
      <c r="S89" s="315"/>
      <c r="T89" s="315"/>
      <c r="U89" s="315"/>
      <c r="V89" s="315"/>
      <c r="W89" s="315"/>
      <c r="X89" s="315"/>
      <c r="Y89" s="315"/>
      <c r="Z89" s="315"/>
      <c r="AA89" s="315"/>
      <c r="AB89" s="315"/>
      <c r="AC89" s="315"/>
      <c r="AD89" s="315"/>
      <c r="AE89" s="315"/>
      <c r="AF89" s="315"/>
      <c r="AG89" s="315"/>
      <c r="AH89" s="315"/>
      <c r="AI89" s="316"/>
      <c r="AJ89" s="314"/>
      <c r="AK89" s="315"/>
      <c r="AL89" s="316"/>
      <c r="AM89" s="314"/>
      <c r="AN89" s="315"/>
      <c r="AO89" s="316"/>
      <c r="AP89" s="314"/>
      <c r="AQ89" s="315"/>
      <c r="AR89" s="315"/>
      <c r="AS89" s="315"/>
      <c r="AT89" s="316"/>
      <c r="AU89" s="314"/>
      <c r="AV89" s="315"/>
      <c r="AW89" s="315"/>
      <c r="AX89" s="315"/>
      <c r="AY89" s="315"/>
      <c r="AZ89" s="315"/>
      <c r="BA89" s="315"/>
      <c r="BB89" s="316"/>
      <c r="BC89" s="314"/>
      <c r="BD89" s="315"/>
      <c r="BE89" s="315"/>
      <c r="BF89" s="315"/>
      <c r="BG89" s="316"/>
      <c r="BH89" s="314"/>
      <c r="BI89" s="315"/>
      <c r="BJ89" s="316"/>
      <c r="BK89" s="314"/>
      <c r="BL89" s="315"/>
      <c r="BM89" s="315"/>
      <c r="BN89" s="316"/>
      <c r="BO89" s="314"/>
      <c r="BP89" s="315"/>
      <c r="BQ89" s="315"/>
      <c r="BR89" s="315"/>
      <c r="BS89" s="315"/>
      <c r="BT89" s="315"/>
      <c r="BU89" s="315"/>
      <c r="BV89" s="316"/>
      <c r="BW89" s="314"/>
      <c r="BX89" s="315"/>
      <c r="BY89" s="315"/>
      <c r="BZ89" s="315"/>
      <c r="CA89" s="315"/>
      <c r="CB89" s="316"/>
      <c r="CC89" s="314"/>
      <c r="CD89" s="315"/>
      <c r="CE89" s="316"/>
      <c r="CF89" s="314"/>
      <c r="CG89" s="315"/>
      <c r="CH89" s="315"/>
      <c r="CI89" s="317"/>
      <c r="CK89" s="236" t="str">
        <f t="shared" si="30"/>
        <v/>
      </c>
      <c r="CL89" s="237" t="str">
        <f t="shared" si="31"/>
        <v/>
      </c>
      <c r="CM89" s="237" t="str">
        <f t="shared" si="32"/>
        <v/>
      </c>
      <c r="CN89" s="237" t="str">
        <f t="shared" si="33"/>
        <v/>
      </c>
      <c r="CO89" s="238" t="str">
        <f t="shared" si="34"/>
        <v/>
      </c>
      <c r="CQ89" s="236" t="str">
        <f>desired_skills(C89,"Extra vaardigheden/Filmpjes maken","o")</f>
        <v/>
      </c>
      <c r="CR89" s="237" t="str">
        <f>desired_skills(C89,"Extra vaardigheden/Filmpjes maken","j")</f>
        <v/>
      </c>
      <c r="CS89" s="237" t="str">
        <f>desired_skills(C89,"Extra vaardigheden/Filmpjes maken","m")</f>
        <v/>
      </c>
      <c r="CT89" s="237" t="str">
        <f>desired_skills(C89,"Extra vaardigheden/Filmpjes maken","s")</f>
        <v/>
      </c>
      <c r="CU89" s="238" t="str">
        <f>desired_skills(C89,"Extra vaardigheden/Filmpjes maken","e")</f>
        <v/>
      </c>
      <c r="CW89" s="236" t="str">
        <f>calc_gap('Matrix 171007_1815'!$CK$89,'Matrix 171007_1815'!$CQ$89)</f>
        <v/>
      </c>
      <c r="CX89" s="237" t="str">
        <f>calc_gap('Matrix 171007_1815'!$CL$89,'Matrix 171007_1815'!$CR$89)</f>
        <v/>
      </c>
      <c r="CY89" s="237" t="str">
        <f>calc_gap('Matrix 171007_1815'!$CM$89,'Matrix 171007_1815'!$CS$89)</f>
        <v/>
      </c>
      <c r="CZ89" s="237" t="str">
        <f>calc_gap('Matrix 171007_1815'!$CN$89,'Matrix 171007_1815'!$CT$89)</f>
        <v/>
      </c>
      <c r="DA89" s="238" t="str">
        <f>calc_gap('Matrix 171007_1815'!$CO$89,'Matrix 171007_1815'!$CU$89)</f>
        <v/>
      </c>
    </row>
    <row r="90" spans="2:105" x14ac:dyDescent="0.25">
      <c r="B90" s="435"/>
      <c r="C90" s="291" t="s">
        <v>278</v>
      </c>
      <c r="D90" s="314"/>
      <c r="E90" s="315"/>
      <c r="F90" s="315"/>
      <c r="G90" s="315"/>
      <c r="H90" s="315"/>
      <c r="I90" s="315"/>
      <c r="J90" s="315"/>
      <c r="K90" s="316"/>
      <c r="L90" s="314"/>
      <c r="M90" s="315"/>
      <c r="N90" s="315"/>
      <c r="O90" s="316"/>
      <c r="P90" s="314"/>
      <c r="Q90" s="315"/>
      <c r="R90" s="315"/>
      <c r="S90" s="315"/>
      <c r="T90" s="315"/>
      <c r="U90" s="315"/>
      <c r="V90" s="315"/>
      <c r="W90" s="315"/>
      <c r="X90" s="315"/>
      <c r="Y90" s="315"/>
      <c r="Z90" s="315"/>
      <c r="AA90" s="315"/>
      <c r="AB90" s="315"/>
      <c r="AC90" s="315"/>
      <c r="AD90" s="315"/>
      <c r="AE90" s="315"/>
      <c r="AF90" s="315"/>
      <c r="AG90" s="315"/>
      <c r="AH90" s="315"/>
      <c r="AI90" s="316"/>
      <c r="AJ90" s="314"/>
      <c r="AK90" s="315"/>
      <c r="AL90" s="316"/>
      <c r="AM90" s="314"/>
      <c r="AN90" s="315"/>
      <c r="AO90" s="316"/>
      <c r="AP90" s="314"/>
      <c r="AQ90" s="315"/>
      <c r="AR90" s="315"/>
      <c r="AS90" s="315"/>
      <c r="AT90" s="316"/>
      <c r="AU90" s="314"/>
      <c r="AV90" s="315"/>
      <c r="AW90" s="315"/>
      <c r="AX90" s="315"/>
      <c r="AY90" s="315"/>
      <c r="AZ90" s="315"/>
      <c r="BA90" s="315"/>
      <c r="BB90" s="316"/>
      <c r="BC90" s="314"/>
      <c r="BD90" s="315"/>
      <c r="BE90" s="315"/>
      <c r="BF90" s="315"/>
      <c r="BG90" s="316"/>
      <c r="BH90" s="314"/>
      <c r="BI90" s="315"/>
      <c r="BJ90" s="316"/>
      <c r="BK90" s="314"/>
      <c r="BL90" s="315"/>
      <c r="BM90" s="315"/>
      <c r="BN90" s="316"/>
      <c r="BO90" s="314"/>
      <c r="BP90" s="315"/>
      <c r="BQ90" s="315"/>
      <c r="BR90" s="315"/>
      <c r="BS90" s="315"/>
      <c r="BT90" s="315"/>
      <c r="BU90" s="315"/>
      <c r="BV90" s="316"/>
      <c r="BW90" s="314"/>
      <c r="BX90" s="315"/>
      <c r="BY90" s="315"/>
      <c r="BZ90" s="315"/>
      <c r="CA90" s="315"/>
      <c r="CB90" s="316"/>
      <c r="CC90" s="314"/>
      <c r="CD90" s="315"/>
      <c r="CE90" s="316"/>
      <c r="CF90" s="314"/>
      <c r="CG90" s="315"/>
      <c r="CH90" s="315"/>
      <c r="CI90" s="317"/>
      <c r="CK90" s="236" t="str">
        <f t="shared" si="30"/>
        <v/>
      </c>
      <c r="CL90" s="237" t="str">
        <f t="shared" si="31"/>
        <v/>
      </c>
      <c r="CM90" s="237" t="str">
        <f t="shared" si="32"/>
        <v/>
      </c>
      <c r="CN90" s="237" t="str">
        <f t="shared" si="33"/>
        <v/>
      </c>
      <c r="CO90" s="238" t="str">
        <f t="shared" si="34"/>
        <v/>
      </c>
      <c r="CQ90" s="236" t="str">
        <f>desired_skills(C90,"Extra vaardigheden/Website bouwen","o")</f>
        <v/>
      </c>
      <c r="CR90" s="237" t="str">
        <f>desired_skills(C90,"Extra vaardigheden/Website bouwen","j")</f>
        <v/>
      </c>
      <c r="CS90" s="237" t="str">
        <f>desired_skills(C90,"Extra vaardigheden/Website bouwen","m")</f>
        <v/>
      </c>
      <c r="CT90" s="237" t="str">
        <f>desired_skills(C90,"Extra vaardigheden/Website bouwen","s")</f>
        <v/>
      </c>
      <c r="CU90" s="238" t="str">
        <f>desired_skills(C90,"Extra vaardigheden/Website bouwen","e")</f>
        <v/>
      </c>
      <c r="CW90" s="236" t="str">
        <f>calc_gap('Matrix 171007_1815'!$CK$90,'Matrix 171007_1815'!$CQ$90)</f>
        <v/>
      </c>
      <c r="CX90" s="237" t="str">
        <f>calc_gap('Matrix 171007_1815'!$CL$90,'Matrix 171007_1815'!$CR$90)</f>
        <v/>
      </c>
      <c r="CY90" s="237" t="str">
        <f>calc_gap('Matrix 171007_1815'!$CM$90,'Matrix 171007_1815'!$CS$90)</f>
        <v/>
      </c>
      <c r="CZ90" s="237" t="str">
        <f>calc_gap('Matrix 171007_1815'!$CN$90,'Matrix 171007_1815'!$CT$90)</f>
        <v/>
      </c>
      <c r="DA90" s="238" t="str">
        <f>calc_gap('Matrix 171007_1815'!$CO$90,'Matrix 171007_1815'!$CU$90)</f>
        <v/>
      </c>
    </row>
    <row r="91" spans="2:105" x14ac:dyDescent="0.25">
      <c r="B91" s="435"/>
      <c r="C91" s="291" t="s">
        <v>282</v>
      </c>
      <c r="D91" s="314"/>
      <c r="E91" s="315"/>
      <c r="F91" s="315"/>
      <c r="G91" s="315"/>
      <c r="H91" s="315"/>
      <c r="I91" s="315"/>
      <c r="J91" s="315"/>
      <c r="K91" s="316"/>
      <c r="L91" s="314"/>
      <c r="M91" s="315"/>
      <c r="N91" s="315"/>
      <c r="O91" s="316"/>
      <c r="P91" s="314"/>
      <c r="Q91" s="315"/>
      <c r="R91" s="315"/>
      <c r="S91" s="315"/>
      <c r="T91" s="315"/>
      <c r="U91" s="315"/>
      <c r="V91" s="315"/>
      <c r="W91" s="315"/>
      <c r="X91" s="315"/>
      <c r="Y91" s="315"/>
      <c r="Z91" s="315"/>
      <c r="AA91" s="315"/>
      <c r="AB91" s="315"/>
      <c r="AC91" s="315"/>
      <c r="AD91" s="315"/>
      <c r="AE91" s="315"/>
      <c r="AF91" s="315"/>
      <c r="AG91" s="315"/>
      <c r="AH91" s="315"/>
      <c r="AI91" s="316"/>
      <c r="AJ91" s="314"/>
      <c r="AK91" s="315"/>
      <c r="AL91" s="316"/>
      <c r="AM91" s="314"/>
      <c r="AN91" s="315"/>
      <c r="AO91" s="316"/>
      <c r="AP91" s="314"/>
      <c r="AQ91" s="315"/>
      <c r="AR91" s="315"/>
      <c r="AS91" s="315"/>
      <c r="AT91" s="316"/>
      <c r="AU91" s="314"/>
      <c r="AV91" s="315"/>
      <c r="AW91" s="315"/>
      <c r="AX91" s="315"/>
      <c r="AY91" s="315"/>
      <c r="AZ91" s="315"/>
      <c r="BA91" s="315"/>
      <c r="BB91" s="316"/>
      <c r="BC91" s="314"/>
      <c r="BD91" s="315"/>
      <c r="BE91" s="315"/>
      <c r="BF91" s="315"/>
      <c r="BG91" s="316"/>
      <c r="BH91" s="314"/>
      <c r="BI91" s="315"/>
      <c r="BJ91" s="316"/>
      <c r="BK91" s="314"/>
      <c r="BL91" s="315"/>
      <c r="BM91" s="315"/>
      <c r="BN91" s="316"/>
      <c r="BO91" s="314"/>
      <c r="BP91" s="315"/>
      <c r="BQ91" s="315"/>
      <c r="BR91" s="315"/>
      <c r="BS91" s="315"/>
      <c r="BT91" s="315"/>
      <c r="BU91" s="315"/>
      <c r="BV91" s="316"/>
      <c r="BW91" s="314"/>
      <c r="BX91" s="315"/>
      <c r="BY91" s="315"/>
      <c r="BZ91" s="315"/>
      <c r="CA91" s="315"/>
      <c r="CB91" s="316"/>
      <c r="CC91" s="314"/>
      <c r="CD91" s="315"/>
      <c r="CE91" s="316"/>
      <c r="CF91" s="314"/>
      <c r="CG91" s="315"/>
      <c r="CH91" s="315"/>
      <c r="CI91" s="317"/>
      <c r="CK91" s="236" t="str">
        <f t="shared" si="30"/>
        <v/>
      </c>
      <c r="CL91" s="237" t="str">
        <f t="shared" si="31"/>
        <v/>
      </c>
      <c r="CM91" s="237" t="str">
        <f t="shared" si="32"/>
        <v/>
      </c>
      <c r="CN91" s="237" t="str">
        <f t="shared" si="33"/>
        <v/>
      </c>
      <c r="CO91" s="238" t="str">
        <f t="shared" si="34"/>
        <v/>
      </c>
      <c r="CQ91" s="236" t="str">
        <f>desired_skills(C91,"Extra vaardigheden/Muziek maken","o")</f>
        <v/>
      </c>
      <c r="CR91" s="237" t="str">
        <f>desired_skills(C91,"Extra vaardigheden/Muziek maken","j")</f>
        <v/>
      </c>
      <c r="CS91" s="237" t="str">
        <f>desired_skills(C91,"Extra vaardigheden/Muziek maken","m")</f>
        <v/>
      </c>
      <c r="CT91" s="237" t="str">
        <f>desired_skills(C91,"Extra vaardigheden/Muziek maken","s")</f>
        <v/>
      </c>
      <c r="CU91" s="238" t="str">
        <f>desired_skills(C91,"Extra vaardigheden/Muziek maken","e")</f>
        <v/>
      </c>
      <c r="CW91" s="236" t="str">
        <f>calc_gap('Matrix 171007_1815'!$CK$91,'Matrix 171007_1815'!$CQ$91)</f>
        <v/>
      </c>
      <c r="CX91" s="237" t="str">
        <f>calc_gap('Matrix 171007_1815'!$CL$91,'Matrix 171007_1815'!$CR$91)</f>
        <v/>
      </c>
      <c r="CY91" s="237" t="str">
        <f>calc_gap('Matrix 171007_1815'!$CM$91,'Matrix 171007_1815'!$CS$91)</f>
        <v/>
      </c>
      <c r="CZ91" s="237" t="str">
        <f>calc_gap('Matrix 171007_1815'!$CN$91,'Matrix 171007_1815'!$CT$91)</f>
        <v/>
      </c>
      <c r="DA91" s="238" t="str">
        <f>calc_gap('Matrix 171007_1815'!$CO$91,'Matrix 171007_1815'!$CU$91)</f>
        <v/>
      </c>
    </row>
    <row r="92" spans="2:105" x14ac:dyDescent="0.25">
      <c r="B92" s="435"/>
      <c r="C92" s="291" t="s">
        <v>283</v>
      </c>
      <c r="D92" s="314"/>
      <c r="E92" s="315"/>
      <c r="F92" s="315"/>
      <c r="G92" s="315"/>
      <c r="H92" s="315"/>
      <c r="I92" s="315"/>
      <c r="J92" s="315"/>
      <c r="K92" s="316"/>
      <c r="L92" s="314"/>
      <c r="M92" s="315"/>
      <c r="N92" s="315"/>
      <c r="O92" s="316"/>
      <c r="P92" s="314"/>
      <c r="Q92" s="315"/>
      <c r="R92" s="315"/>
      <c r="S92" s="315"/>
      <c r="T92" s="315"/>
      <c r="U92" s="315"/>
      <c r="V92" s="315"/>
      <c r="W92" s="315"/>
      <c r="X92" s="315"/>
      <c r="Y92" s="315"/>
      <c r="Z92" s="315"/>
      <c r="AA92" s="315"/>
      <c r="AB92" s="315"/>
      <c r="AC92" s="315"/>
      <c r="AD92" s="315"/>
      <c r="AE92" s="315"/>
      <c r="AF92" s="315"/>
      <c r="AG92" s="315"/>
      <c r="AH92" s="315"/>
      <c r="AI92" s="316"/>
      <c r="AJ92" s="314"/>
      <c r="AK92" s="315"/>
      <c r="AL92" s="316"/>
      <c r="AM92" s="314"/>
      <c r="AN92" s="315"/>
      <c r="AO92" s="316"/>
      <c r="AP92" s="314"/>
      <c r="AQ92" s="315"/>
      <c r="AR92" s="315"/>
      <c r="AS92" s="315"/>
      <c r="AT92" s="316"/>
      <c r="AU92" s="314"/>
      <c r="AV92" s="315"/>
      <c r="AW92" s="315"/>
      <c r="AX92" s="315"/>
      <c r="AY92" s="315"/>
      <c r="AZ92" s="315"/>
      <c r="BA92" s="315"/>
      <c r="BB92" s="316"/>
      <c r="BC92" s="314"/>
      <c r="BD92" s="315"/>
      <c r="BE92" s="315"/>
      <c r="BF92" s="315"/>
      <c r="BG92" s="316"/>
      <c r="BH92" s="314"/>
      <c r="BI92" s="315"/>
      <c r="BJ92" s="316"/>
      <c r="BK92" s="314"/>
      <c r="BL92" s="315"/>
      <c r="BM92" s="315"/>
      <c r="BN92" s="316"/>
      <c r="BO92" s="314"/>
      <c r="BP92" s="315"/>
      <c r="BQ92" s="315"/>
      <c r="BR92" s="315"/>
      <c r="BS92" s="315"/>
      <c r="BT92" s="315"/>
      <c r="BU92" s="315"/>
      <c r="BV92" s="316"/>
      <c r="BW92" s="314"/>
      <c r="BX92" s="315"/>
      <c r="BY92" s="315"/>
      <c r="BZ92" s="315"/>
      <c r="CA92" s="315"/>
      <c r="CB92" s="316"/>
      <c r="CC92" s="314"/>
      <c r="CD92" s="315"/>
      <c r="CE92" s="316"/>
      <c r="CF92" s="314"/>
      <c r="CG92" s="315"/>
      <c r="CH92" s="315"/>
      <c r="CI92" s="317"/>
      <c r="CK92" s="236" t="str">
        <f t="shared" si="30"/>
        <v/>
      </c>
      <c r="CL92" s="237" t="str">
        <f t="shared" si="31"/>
        <v/>
      </c>
      <c r="CM92" s="237" t="str">
        <f t="shared" si="32"/>
        <v/>
      </c>
      <c r="CN92" s="237" t="str">
        <f t="shared" si="33"/>
        <v/>
      </c>
      <c r="CO92" s="238" t="str">
        <f t="shared" si="34"/>
        <v/>
      </c>
      <c r="CQ92" s="236" t="str">
        <f>desired_skills(C92,"Extra vaardigheden/Koken en/of bakken","o")</f>
        <v/>
      </c>
      <c r="CR92" s="237" t="str">
        <f>desired_skills(C92,"Extra vaardigheden/Koken en/of bakken","j")</f>
        <v/>
      </c>
      <c r="CS92" s="237" t="str">
        <f>desired_skills(C92,"Extra vaardigheden/Koken en/of bakken","m")</f>
        <v/>
      </c>
      <c r="CT92" s="237" t="str">
        <f>desired_skills(C92,"Extra vaardigheden/Koken en/of bakken","s")</f>
        <v/>
      </c>
      <c r="CU92" s="238" t="str">
        <f>desired_skills(C92,"Extra vaardigheden/Koken en/of bakken","e")</f>
        <v/>
      </c>
      <c r="CW92" s="236" t="str">
        <f>calc_gap('Matrix 171007_1815'!$CK$92,'Matrix 171007_1815'!$CQ$92)</f>
        <v/>
      </c>
      <c r="CX92" s="237" t="str">
        <f>calc_gap('Matrix 171007_1815'!$CL$92,'Matrix 171007_1815'!$CR$92)</f>
        <v/>
      </c>
      <c r="CY92" s="237" t="str">
        <f>calc_gap('Matrix 171007_1815'!$CM$92,'Matrix 171007_1815'!$CS$92)</f>
        <v/>
      </c>
      <c r="CZ92" s="237" t="str">
        <f>calc_gap('Matrix 171007_1815'!$CN$92,'Matrix 171007_1815'!$CT$92)</f>
        <v/>
      </c>
      <c r="DA92" s="238" t="str">
        <f>calc_gap('Matrix 171007_1815'!$CO$92,'Matrix 171007_1815'!$CU$92)</f>
        <v/>
      </c>
    </row>
    <row r="93" spans="2:105" x14ac:dyDescent="0.25">
      <c r="B93" s="435"/>
      <c r="C93" s="291" t="s">
        <v>279</v>
      </c>
      <c r="D93" s="314"/>
      <c r="E93" s="315"/>
      <c r="F93" s="315"/>
      <c r="G93" s="315"/>
      <c r="H93" s="315"/>
      <c r="I93" s="315"/>
      <c r="J93" s="315"/>
      <c r="K93" s="316"/>
      <c r="L93" s="314"/>
      <c r="M93" s="315"/>
      <c r="N93" s="315"/>
      <c r="O93" s="316"/>
      <c r="P93" s="314"/>
      <c r="Q93" s="315"/>
      <c r="R93" s="315"/>
      <c r="S93" s="315"/>
      <c r="T93" s="315"/>
      <c r="U93" s="315"/>
      <c r="V93" s="315"/>
      <c r="W93" s="315"/>
      <c r="X93" s="315"/>
      <c r="Y93" s="315"/>
      <c r="Z93" s="315"/>
      <c r="AA93" s="315"/>
      <c r="AB93" s="315"/>
      <c r="AC93" s="315"/>
      <c r="AD93" s="315"/>
      <c r="AE93" s="315"/>
      <c r="AF93" s="315"/>
      <c r="AG93" s="315"/>
      <c r="AH93" s="315"/>
      <c r="AI93" s="316"/>
      <c r="AJ93" s="314"/>
      <c r="AK93" s="315"/>
      <c r="AL93" s="316"/>
      <c r="AM93" s="314"/>
      <c r="AN93" s="315"/>
      <c r="AO93" s="316"/>
      <c r="AP93" s="314"/>
      <c r="AQ93" s="315"/>
      <c r="AR93" s="315"/>
      <c r="AS93" s="315"/>
      <c r="AT93" s="316"/>
      <c r="AU93" s="314"/>
      <c r="AV93" s="315"/>
      <c r="AW93" s="315"/>
      <c r="AX93" s="315"/>
      <c r="AY93" s="315"/>
      <c r="AZ93" s="315"/>
      <c r="BA93" s="315"/>
      <c r="BB93" s="316"/>
      <c r="BC93" s="314"/>
      <c r="BD93" s="315"/>
      <c r="BE93" s="315"/>
      <c r="BF93" s="315"/>
      <c r="BG93" s="316"/>
      <c r="BH93" s="314"/>
      <c r="BI93" s="315"/>
      <c r="BJ93" s="316"/>
      <c r="BK93" s="314"/>
      <c r="BL93" s="315"/>
      <c r="BM93" s="315"/>
      <c r="BN93" s="316"/>
      <c r="BO93" s="314"/>
      <c r="BP93" s="315"/>
      <c r="BQ93" s="315"/>
      <c r="BR93" s="315"/>
      <c r="BS93" s="315"/>
      <c r="BT93" s="315"/>
      <c r="BU93" s="315"/>
      <c r="BV93" s="316"/>
      <c r="BW93" s="314"/>
      <c r="BX93" s="315"/>
      <c r="BY93" s="315"/>
      <c r="BZ93" s="315"/>
      <c r="CA93" s="315"/>
      <c r="CB93" s="316"/>
      <c r="CC93" s="314"/>
      <c r="CD93" s="315"/>
      <c r="CE93" s="316"/>
      <c r="CF93" s="314"/>
      <c r="CG93" s="315"/>
      <c r="CH93" s="315"/>
      <c r="CI93" s="317"/>
      <c r="CK93" s="236" t="str">
        <f t="shared" si="30"/>
        <v/>
      </c>
      <c r="CL93" s="237" t="str">
        <f t="shared" si="31"/>
        <v/>
      </c>
      <c r="CM93" s="237" t="str">
        <f t="shared" si="32"/>
        <v/>
      </c>
      <c r="CN93" s="237" t="str">
        <f t="shared" si="33"/>
        <v/>
      </c>
      <c r="CO93" s="238" t="str">
        <f t="shared" si="34"/>
        <v/>
      </c>
      <c r="CQ93" s="236" t="str">
        <f>desired_skills(C93,"Extra vaardigheden/Lesgeven op school","o")</f>
        <v/>
      </c>
      <c r="CR93" s="237" t="str">
        <f>desired_skills(C93,"Extra vaardigheden/Lesgeven op school","j")</f>
        <v/>
      </c>
      <c r="CS93" s="237" t="str">
        <f>desired_skills(C93,"Extra vaardigheden/Lesgeven op school","m")</f>
        <v/>
      </c>
      <c r="CT93" s="237" t="str">
        <f>desired_skills(C93,"Extra vaardigheden/Lesgeven op school","s")</f>
        <v/>
      </c>
      <c r="CU93" s="238" t="str">
        <f>desired_skills(C93,"Extra vaardigheden/Lesgeven op school","e")</f>
        <v/>
      </c>
      <c r="CW93" s="236" t="str">
        <f>calc_gap('Matrix 171007_1815'!$CK$93,'Matrix 171007_1815'!$CQ$93)</f>
        <v/>
      </c>
      <c r="CX93" s="237" t="str">
        <f>calc_gap('Matrix 171007_1815'!$CL$93,'Matrix 171007_1815'!$CR$93)</f>
        <v/>
      </c>
      <c r="CY93" s="237" t="str">
        <f>calc_gap('Matrix 171007_1815'!$CM$93,'Matrix 171007_1815'!$CS$93)</f>
        <v/>
      </c>
      <c r="CZ93" s="237" t="str">
        <f>calc_gap('Matrix 171007_1815'!$CN$93,'Matrix 171007_1815'!$CT$93)</f>
        <v/>
      </c>
      <c r="DA93" s="238" t="str">
        <f>calc_gap('Matrix 171007_1815'!$CO$93,'Matrix 171007_1815'!$CU$93)</f>
        <v/>
      </c>
    </row>
    <row r="94" spans="2:105" ht="15.75" thickBot="1" x14ac:dyDescent="0.3">
      <c r="B94" s="435"/>
      <c r="C94" s="292" t="s">
        <v>280</v>
      </c>
      <c r="D94" s="318"/>
      <c r="E94" s="319"/>
      <c r="F94" s="319"/>
      <c r="G94" s="319"/>
      <c r="H94" s="319"/>
      <c r="I94" s="319"/>
      <c r="J94" s="319"/>
      <c r="K94" s="320"/>
      <c r="L94" s="318"/>
      <c r="M94" s="319"/>
      <c r="N94" s="319"/>
      <c r="O94" s="320"/>
      <c r="P94" s="318"/>
      <c r="Q94" s="319"/>
      <c r="R94" s="319"/>
      <c r="S94" s="319"/>
      <c r="T94" s="319"/>
      <c r="U94" s="319"/>
      <c r="V94" s="319"/>
      <c r="W94" s="319"/>
      <c r="X94" s="319"/>
      <c r="Y94" s="319"/>
      <c r="Z94" s="319"/>
      <c r="AA94" s="319"/>
      <c r="AB94" s="319"/>
      <c r="AC94" s="319"/>
      <c r="AD94" s="319"/>
      <c r="AE94" s="319"/>
      <c r="AF94" s="319"/>
      <c r="AG94" s="319"/>
      <c r="AH94" s="319"/>
      <c r="AI94" s="320"/>
      <c r="AJ94" s="318"/>
      <c r="AK94" s="319"/>
      <c r="AL94" s="320"/>
      <c r="AM94" s="318"/>
      <c r="AN94" s="319"/>
      <c r="AO94" s="320"/>
      <c r="AP94" s="318"/>
      <c r="AQ94" s="319"/>
      <c r="AR94" s="319"/>
      <c r="AS94" s="319"/>
      <c r="AT94" s="320"/>
      <c r="AU94" s="318"/>
      <c r="AV94" s="319"/>
      <c r="AW94" s="319"/>
      <c r="AX94" s="319"/>
      <c r="AY94" s="319"/>
      <c r="AZ94" s="319"/>
      <c r="BA94" s="319"/>
      <c r="BB94" s="320"/>
      <c r="BC94" s="318"/>
      <c r="BD94" s="319"/>
      <c r="BE94" s="319"/>
      <c r="BF94" s="319"/>
      <c r="BG94" s="320"/>
      <c r="BH94" s="318"/>
      <c r="BI94" s="319"/>
      <c r="BJ94" s="320"/>
      <c r="BK94" s="318"/>
      <c r="BL94" s="319"/>
      <c r="BM94" s="319"/>
      <c r="BN94" s="320"/>
      <c r="BO94" s="318"/>
      <c r="BP94" s="319"/>
      <c r="BQ94" s="319"/>
      <c r="BR94" s="319"/>
      <c r="BS94" s="319"/>
      <c r="BT94" s="319"/>
      <c r="BU94" s="319"/>
      <c r="BV94" s="320"/>
      <c r="BW94" s="318"/>
      <c r="BX94" s="319"/>
      <c r="BY94" s="319"/>
      <c r="BZ94" s="319"/>
      <c r="CA94" s="319"/>
      <c r="CB94" s="320"/>
      <c r="CC94" s="318"/>
      <c r="CD94" s="319"/>
      <c r="CE94" s="320"/>
      <c r="CF94" s="318"/>
      <c r="CG94" s="319"/>
      <c r="CH94" s="319"/>
      <c r="CI94" s="321"/>
      <c r="CK94" s="239" t="str">
        <f t="shared" si="30"/>
        <v/>
      </c>
      <c r="CL94" s="240" t="str">
        <f t="shared" si="31"/>
        <v/>
      </c>
      <c r="CM94" s="240" t="str">
        <f t="shared" si="32"/>
        <v/>
      </c>
      <c r="CN94" s="240" t="str">
        <f t="shared" si="33"/>
        <v/>
      </c>
      <c r="CO94" s="241" t="str">
        <f t="shared" si="34"/>
        <v/>
      </c>
      <c r="CQ94" s="239" t="str">
        <f>desired_skills(C94,"Extra vaardigheden/Coachen","o")</f>
        <v/>
      </c>
      <c r="CR94" s="240" t="str">
        <f>desired_skills(C94,"Extra vaardigheden/Coachen","j")</f>
        <v/>
      </c>
      <c r="CS94" s="240" t="str">
        <f>desired_skills(C94,"Extra vaardigheden/Coachen","m")</f>
        <v/>
      </c>
      <c r="CT94" s="240" t="str">
        <f>desired_skills(C94,"Extra vaardigheden/Coachen","s")</f>
        <v/>
      </c>
      <c r="CU94" s="241" t="str">
        <f>desired_skills(C94,"Extra vaardigheden/Coachen","e")</f>
        <v/>
      </c>
      <c r="CW94" s="239" t="str">
        <f>calc_gap('Matrix 171007_1815'!$CK$94,'Matrix 171007_1815'!$CQ$94)</f>
        <v/>
      </c>
      <c r="CX94" s="240" t="str">
        <f>calc_gap('Matrix 171007_1815'!$CL$94,'Matrix 171007_1815'!$CR$94)</f>
        <v/>
      </c>
      <c r="CY94" s="240" t="str">
        <f>calc_gap('Matrix 171007_1815'!$CM$94,'Matrix 171007_1815'!$CS$94)</f>
        <v/>
      </c>
      <c r="CZ94" s="240" t="str">
        <f>calc_gap('Matrix 171007_1815'!$CN$94,'Matrix 171007_1815'!$CT$94)</f>
        <v/>
      </c>
      <c r="DA94" s="241" t="str">
        <f>calc_gap('Matrix 171007_1815'!$CO$94,'Matrix 171007_1815'!$CU$94)</f>
        <v/>
      </c>
    </row>
    <row r="95" spans="2:105" ht="12.75" customHeight="1" thickTop="1" thickBot="1" x14ac:dyDescent="0.3">
      <c r="B95" s="436"/>
      <c r="C95" s="248"/>
      <c r="D95" s="322"/>
      <c r="E95" s="322"/>
      <c r="F95" s="322"/>
      <c r="G95" s="322"/>
      <c r="H95" s="322"/>
      <c r="I95" s="322"/>
      <c r="J95" s="322"/>
      <c r="K95" s="322"/>
      <c r="L95" s="322"/>
      <c r="M95" s="322"/>
      <c r="N95" s="322"/>
      <c r="O95" s="322"/>
      <c r="P95" s="322"/>
      <c r="Q95" s="322"/>
      <c r="R95" s="322"/>
      <c r="S95" s="322"/>
      <c r="T95" s="322"/>
      <c r="U95" s="322"/>
      <c r="V95" s="322"/>
      <c r="W95" s="322"/>
      <c r="X95" s="322"/>
      <c r="Y95" s="322"/>
      <c r="Z95" s="322"/>
      <c r="AA95" s="322"/>
      <c r="AB95" s="322"/>
      <c r="AC95" s="322"/>
      <c r="AD95" s="322"/>
      <c r="AE95" s="322"/>
      <c r="AF95" s="322"/>
      <c r="AG95" s="322"/>
      <c r="AH95" s="322"/>
      <c r="AI95" s="322"/>
      <c r="AJ95" s="322"/>
      <c r="AK95" s="322"/>
      <c r="AL95" s="322"/>
      <c r="AM95" s="322"/>
      <c r="AN95" s="322"/>
      <c r="AO95" s="322"/>
      <c r="AP95" s="322"/>
      <c r="AQ95" s="322"/>
      <c r="AR95" s="322"/>
      <c r="AS95" s="322"/>
      <c r="AT95" s="322"/>
      <c r="AU95" s="322"/>
      <c r="AV95" s="322"/>
      <c r="AW95" s="322"/>
      <c r="AX95" s="322"/>
      <c r="AY95" s="322"/>
      <c r="AZ95" s="322"/>
      <c r="BA95" s="322"/>
      <c r="BB95" s="322"/>
      <c r="BC95" s="322"/>
      <c r="BD95" s="322"/>
      <c r="BE95" s="322"/>
      <c r="BF95" s="322"/>
      <c r="BG95" s="322"/>
      <c r="BH95" s="322"/>
      <c r="BI95" s="322"/>
      <c r="BJ95" s="322"/>
      <c r="BK95" s="322"/>
      <c r="BL95" s="322"/>
      <c r="BM95" s="322"/>
      <c r="BN95" s="322"/>
      <c r="BO95" s="322"/>
      <c r="BP95" s="322"/>
      <c r="BQ95" s="322"/>
      <c r="BR95" s="322"/>
      <c r="BS95" s="322"/>
      <c r="BT95" s="322"/>
      <c r="BU95" s="322"/>
      <c r="BV95" s="322"/>
      <c r="BW95" s="322"/>
      <c r="BX95" s="322"/>
      <c r="BY95" s="322"/>
      <c r="BZ95" s="322"/>
      <c r="CA95" s="322"/>
      <c r="CB95" s="322"/>
      <c r="CC95" s="322"/>
      <c r="CD95" s="322"/>
      <c r="CE95" s="322"/>
      <c r="CF95" s="322"/>
      <c r="CG95" s="322"/>
      <c r="CH95" s="322"/>
      <c r="CI95" s="322"/>
      <c r="CK95" s="249"/>
      <c r="CL95" s="249"/>
      <c r="CM95" s="249"/>
      <c r="CN95" s="249"/>
      <c r="CO95" s="249"/>
      <c r="CQ95" s="249"/>
      <c r="CR95" s="249"/>
      <c r="CS95" s="249"/>
      <c r="CT95" s="249"/>
      <c r="CU95" s="249"/>
      <c r="CW95" s="249"/>
      <c r="CX95" s="249"/>
      <c r="CY95" s="249"/>
      <c r="CZ95" s="249"/>
      <c r="DA95" s="249"/>
    </row>
    <row r="96" spans="2:105" ht="15.75" thickTop="1" x14ac:dyDescent="0.25">
      <c r="B96" s="434" t="s">
        <v>266</v>
      </c>
      <c r="C96" s="290" t="s">
        <v>184</v>
      </c>
      <c r="D96" s="310"/>
      <c r="E96" s="311"/>
      <c r="F96" s="311"/>
      <c r="G96" s="311"/>
      <c r="H96" s="311"/>
      <c r="I96" s="311"/>
      <c r="J96" s="311"/>
      <c r="K96" s="312"/>
      <c r="L96" s="310"/>
      <c r="M96" s="311"/>
      <c r="N96" s="311"/>
      <c r="O96" s="312"/>
      <c r="P96" s="310"/>
      <c r="Q96" s="311"/>
      <c r="R96" s="311"/>
      <c r="S96" s="311"/>
      <c r="T96" s="311"/>
      <c r="U96" s="311"/>
      <c r="V96" s="311"/>
      <c r="W96" s="311"/>
      <c r="X96" s="311"/>
      <c r="Y96" s="311"/>
      <c r="Z96" s="311"/>
      <c r="AA96" s="311"/>
      <c r="AB96" s="311"/>
      <c r="AC96" s="311"/>
      <c r="AD96" s="311"/>
      <c r="AE96" s="311"/>
      <c r="AF96" s="311"/>
      <c r="AG96" s="311"/>
      <c r="AH96" s="311"/>
      <c r="AI96" s="312"/>
      <c r="AJ96" s="310"/>
      <c r="AK96" s="311"/>
      <c r="AL96" s="312"/>
      <c r="AM96" s="310"/>
      <c r="AN96" s="311"/>
      <c r="AO96" s="312"/>
      <c r="AP96" s="310"/>
      <c r="AQ96" s="311"/>
      <c r="AR96" s="311"/>
      <c r="AS96" s="311"/>
      <c r="AT96" s="312"/>
      <c r="AU96" s="310"/>
      <c r="AV96" s="311"/>
      <c r="AW96" s="311"/>
      <c r="AX96" s="311"/>
      <c r="AY96" s="311"/>
      <c r="AZ96" s="311"/>
      <c r="BA96" s="311"/>
      <c r="BB96" s="312"/>
      <c r="BC96" s="310"/>
      <c r="BD96" s="311"/>
      <c r="BE96" s="311"/>
      <c r="BF96" s="311"/>
      <c r="BG96" s="312"/>
      <c r="BH96" s="310"/>
      <c r="BI96" s="311"/>
      <c r="BJ96" s="312"/>
      <c r="BK96" s="310"/>
      <c r="BL96" s="311"/>
      <c r="BM96" s="311"/>
      <c r="BN96" s="312"/>
      <c r="BO96" s="310"/>
      <c r="BP96" s="311"/>
      <c r="BQ96" s="311"/>
      <c r="BR96" s="311"/>
      <c r="BS96" s="311"/>
      <c r="BT96" s="311"/>
      <c r="BU96" s="311"/>
      <c r="BV96" s="312"/>
      <c r="BW96" s="310"/>
      <c r="BX96" s="311"/>
      <c r="BY96" s="311"/>
      <c r="BZ96" s="311"/>
      <c r="CA96" s="311"/>
      <c r="CB96" s="312"/>
      <c r="CC96" s="310"/>
      <c r="CD96" s="311"/>
      <c r="CE96" s="312"/>
      <c r="CF96" s="310"/>
      <c r="CG96" s="311"/>
      <c r="CH96" s="311"/>
      <c r="CI96" s="313"/>
      <c r="CK96" s="233" t="str">
        <f>IF(COUNTIF(D96:CI96,"o")&gt;0,COUNTIF(D96:CI96,"o"),"")</f>
        <v/>
      </c>
      <c r="CL96" s="234" t="str">
        <f>IF(COUNTIF(D96:CI96,"j")&gt;0,COUNTIF(D96:CI96,"j"),"")</f>
        <v/>
      </c>
      <c r="CM96" s="234" t="str">
        <f>IF(COUNTIF(D96:CI96,"m")&gt;0,COUNTIF(D96:CI96,"m"),"")</f>
        <v/>
      </c>
      <c r="CN96" s="234" t="str">
        <f>IF(COUNTIF(D96:CI96,"s")&gt;0,COUNTIF(D96:CI96,"s"),"")</f>
        <v/>
      </c>
      <c r="CO96" s="235" t="str">
        <f>IF(COUNTIF(D96:CI96,"e")&gt;0,COUNTIF(D96:CI96,"e"),"")</f>
        <v/>
      </c>
      <c r="CQ96" s="233" t="str">
        <f>desired_skills(C96,"Talen/Nederlands","o")</f>
        <v/>
      </c>
      <c r="CR96" s="234" t="str">
        <f>desired_skills(C96,"Talen/Nederlands","j")</f>
        <v/>
      </c>
      <c r="CS96" s="234" t="str">
        <f>desired_skills(C96,"Talen/Nederlands","m")</f>
        <v/>
      </c>
      <c r="CT96" s="234" t="str">
        <f>desired_skills(C96,"Talen/Nederlands","s")</f>
        <v/>
      </c>
      <c r="CU96" s="235" t="str">
        <f>desired_skills(C96,"Talen/Nederlands","e")</f>
        <v/>
      </c>
      <c r="CW96" s="233" t="str">
        <f>calc_gap('Matrix 171007_1815'!$CK$96,'Matrix 171007_1815'!$CQ$96)</f>
        <v/>
      </c>
      <c r="CX96" s="234" t="str">
        <f>calc_gap('Matrix 171007_1815'!$CL$96,'Matrix 171007_1815'!$CR$96)</f>
        <v/>
      </c>
      <c r="CY96" s="234" t="str">
        <f>calc_gap('Matrix 171007_1815'!$CM$96,'Matrix 171007_1815'!$CS$96)</f>
        <v/>
      </c>
      <c r="CZ96" s="234" t="str">
        <f>calc_gap('Matrix 171007_1815'!$CN$96,'Matrix 171007_1815'!$CT$96)</f>
        <v/>
      </c>
      <c r="DA96" s="235" t="str">
        <f>calc_gap('Matrix 171007_1815'!$CO$96,'Matrix 171007_1815'!$CU$96)</f>
        <v/>
      </c>
    </row>
    <row r="97" spans="2:105" x14ac:dyDescent="0.25">
      <c r="B97" s="435"/>
      <c r="C97" s="291" t="s">
        <v>123</v>
      </c>
      <c r="D97" s="314"/>
      <c r="E97" s="315"/>
      <c r="F97" s="315"/>
      <c r="G97" s="315"/>
      <c r="H97" s="315"/>
      <c r="I97" s="315"/>
      <c r="J97" s="315"/>
      <c r="K97" s="316"/>
      <c r="L97" s="314"/>
      <c r="M97" s="315"/>
      <c r="N97" s="315"/>
      <c r="O97" s="316"/>
      <c r="P97" s="314"/>
      <c r="Q97" s="315"/>
      <c r="R97" s="315"/>
      <c r="S97" s="315"/>
      <c r="T97" s="315"/>
      <c r="U97" s="315"/>
      <c r="V97" s="315"/>
      <c r="W97" s="315"/>
      <c r="X97" s="315"/>
      <c r="Y97" s="315"/>
      <c r="Z97" s="315"/>
      <c r="AA97" s="315"/>
      <c r="AB97" s="315"/>
      <c r="AC97" s="315"/>
      <c r="AD97" s="315"/>
      <c r="AE97" s="315"/>
      <c r="AF97" s="315"/>
      <c r="AG97" s="315"/>
      <c r="AH97" s="315"/>
      <c r="AI97" s="316"/>
      <c r="AJ97" s="314"/>
      <c r="AK97" s="315"/>
      <c r="AL97" s="316"/>
      <c r="AM97" s="314"/>
      <c r="AN97" s="315"/>
      <c r="AO97" s="316"/>
      <c r="AP97" s="314"/>
      <c r="AQ97" s="315"/>
      <c r="AR97" s="315"/>
      <c r="AS97" s="315"/>
      <c r="AT97" s="316"/>
      <c r="AU97" s="314"/>
      <c r="AV97" s="315"/>
      <c r="AW97" s="315"/>
      <c r="AX97" s="315"/>
      <c r="AY97" s="315"/>
      <c r="AZ97" s="315"/>
      <c r="BA97" s="315"/>
      <c r="BB97" s="316"/>
      <c r="BC97" s="314"/>
      <c r="BD97" s="315"/>
      <c r="BE97" s="315"/>
      <c r="BF97" s="315"/>
      <c r="BG97" s="316"/>
      <c r="BH97" s="314"/>
      <c r="BI97" s="315"/>
      <c r="BJ97" s="316"/>
      <c r="BK97" s="314"/>
      <c r="BL97" s="315"/>
      <c r="BM97" s="315"/>
      <c r="BN97" s="316"/>
      <c r="BO97" s="314"/>
      <c r="BP97" s="315"/>
      <c r="BQ97" s="315"/>
      <c r="BR97" s="315"/>
      <c r="BS97" s="315"/>
      <c r="BT97" s="315"/>
      <c r="BU97" s="315"/>
      <c r="BV97" s="316"/>
      <c r="BW97" s="314"/>
      <c r="BX97" s="315"/>
      <c r="BY97" s="315"/>
      <c r="BZ97" s="315"/>
      <c r="CA97" s="315"/>
      <c r="CB97" s="316"/>
      <c r="CC97" s="314"/>
      <c r="CD97" s="315"/>
      <c r="CE97" s="316"/>
      <c r="CF97" s="314"/>
      <c r="CG97" s="315"/>
      <c r="CH97" s="315"/>
      <c r="CI97" s="317"/>
      <c r="CK97" s="236" t="str">
        <f>IF(COUNTIF(D97:CI97,"o")&gt;0,COUNTIF(D97:CI97,"o"),"")</f>
        <v/>
      </c>
      <c r="CL97" s="237" t="str">
        <f>IF(COUNTIF(D97:CI97,"j")&gt;0,COUNTIF(D97:CI97,"j"),"")</f>
        <v/>
      </c>
      <c r="CM97" s="237" t="str">
        <f>IF(COUNTIF(D97:CI97,"m")&gt;0,COUNTIF(D97:CI97,"m"),"")</f>
        <v/>
      </c>
      <c r="CN97" s="237" t="str">
        <f>IF(COUNTIF(D97:CI97,"s")&gt;0,COUNTIF(D97:CI97,"s"),"")</f>
        <v/>
      </c>
      <c r="CO97" s="238" t="str">
        <f>IF(COUNTIF(D97:CI97,"e")&gt;0,COUNTIF(D97:CI97,"e"),"")</f>
        <v/>
      </c>
      <c r="CQ97" s="236" t="str">
        <f>desired_skills(C97,"Talen/Engels","o")</f>
        <v/>
      </c>
      <c r="CR97" s="237" t="str">
        <f>desired_skills(C97,"Talen/Engels","j")</f>
        <v/>
      </c>
      <c r="CS97" s="237" t="str">
        <f>desired_skills(C97,"Talen/Engels","m")</f>
        <v/>
      </c>
      <c r="CT97" s="237" t="str">
        <f>desired_skills(C97,"Talen/Engels","s")</f>
        <v/>
      </c>
      <c r="CU97" s="238" t="str">
        <f>desired_skills(C97,"Talen/Engels","e")</f>
        <v/>
      </c>
      <c r="CW97" s="236" t="str">
        <f>calc_gap('Matrix 171007_1815'!$CK$97,'Matrix 171007_1815'!$CQ$97)</f>
        <v/>
      </c>
      <c r="CX97" s="237" t="str">
        <f>calc_gap('Matrix 171007_1815'!$CL$97,'Matrix 171007_1815'!$CR$97)</f>
        <v/>
      </c>
      <c r="CY97" s="237" t="str">
        <f>calc_gap('Matrix 171007_1815'!$CM$97,'Matrix 171007_1815'!$CS$97)</f>
        <v/>
      </c>
      <c r="CZ97" s="237" t="str">
        <f>calc_gap('Matrix 171007_1815'!$CN$97,'Matrix 171007_1815'!$CT$97)</f>
        <v/>
      </c>
      <c r="DA97" s="238" t="str">
        <f>calc_gap('Matrix 171007_1815'!$CO$97,'Matrix 171007_1815'!$CU$97)</f>
        <v/>
      </c>
    </row>
    <row r="98" spans="2:105" x14ac:dyDescent="0.25">
      <c r="B98" s="435"/>
      <c r="C98" s="291" t="s">
        <v>268</v>
      </c>
      <c r="D98" s="314"/>
      <c r="E98" s="315"/>
      <c r="F98" s="315"/>
      <c r="G98" s="315"/>
      <c r="H98" s="315"/>
      <c r="I98" s="315"/>
      <c r="J98" s="315"/>
      <c r="K98" s="316"/>
      <c r="L98" s="314"/>
      <c r="M98" s="315"/>
      <c r="N98" s="315"/>
      <c r="O98" s="316"/>
      <c r="P98" s="314"/>
      <c r="Q98" s="315"/>
      <c r="R98" s="315"/>
      <c r="S98" s="315"/>
      <c r="T98" s="315"/>
      <c r="U98" s="315"/>
      <c r="V98" s="315"/>
      <c r="W98" s="315"/>
      <c r="X98" s="315"/>
      <c r="Y98" s="315"/>
      <c r="Z98" s="315"/>
      <c r="AA98" s="315"/>
      <c r="AB98" s="315"/>
      <c r="AC98" s="315"/>
      <c r="AD98" s="315"/>
      <c r="AE98" s="315"/>
      <c r="AF98" s="315"/>
      <c r="AG98" s="315"/>
      <c r="AH98" s="315"/>
      <c r="AI98" s="316"/>
      <c r="AJ98" s="314"/>
      <c r="AK98" s="315"/>
      <c r="AL98" s="316"/>
      <c r="AM98" s="314"/>
      <c r="AN98" s="315"/>
      <c r="AO98" s="316"/>
      <c r="AP98" s="314"/>
      <c r="AQ98" s="315"/>
      <c r="AR98" s="315"/>
      <c r="AS98" s="315"/>
      <c r="AT98" s="316"/>
      <c r="AU98" s="314"/>
      <c r="AV98" s="315"/>
      <c r="AW98" s="315"/>
      <c r="AX98" s="315"/>
      <c r="AY98" s="315"/>
      <c r="AZ98" s="315"/>
      <c r="BA98" s="315"/>
      <c r="BB98" s="316"/>
      <c r="BC98" s="314"/>
      <c r="BD98" s="315"/>
      <c r="BE98" s="315"/>
      <c r="BF98" s="315"/>
      <c r="BG98" s="316"/>
      <c r="BH98" s="314"/>
      <c r="BI98" s="315"/>
      <c r="BJ98" s="316"/>
      <c r="BK98" s="314"/>
      <c r="BL98" s="315"/>
      <c r="BM98" s="315"/>
      <c r="BN98" s="316"/>
      <c r="BO98" s="314"/>
      <c r="BP98" s="315"/>
      <c r="BQ98" s="315"/>
      <c r="BR98" s="315"/>
      <c r="BS98" s="315"/>
      <c r="BT98" s="315"/>
      <c r="BU98" s="315"/>
      <c r="BV98" s="316"/>
      <c r="BW98" s="314"/>
      <c r="BX98" s="315"/>
      <c r="BY98" s="315"/>
      <c r="BZ98" s="315"/>
      <c r="CA98" s="315"/>
      <c r="CB98" s="316"/>
      <c r="CC98" s="314"/>
      <c r="CD98" s="315"/>
      <c r="CE98" s="316"/>
      <c r="CF98" s="314"/>
      <c r="CG98" s="315"/>
      <c r="CH98" s="315"/>
      <c r="CI98" s="317"/>
      <c r="CK98" s="236" t="str">
        <f>IF(COUNTIF(D98:CI98,"o")&gt;0,COUNTIF(D98:CI98,"o"),"")</f>
        <v/>
      </c>
      <c r="CL98" s="237" t="str">
        <f>IF(COUNTIF(D98:CI98,"j")&gt;0,COUNTIF(D98:CI98,"j"),"")</f>
        <v/>
      </c>
      <c r="CM98" s="237" t="str">
        <f>IF(COUNTIF(D98:CI98,"m")&gt;0,COUNTIF(D98:CI98,"m"),"")</f>
        <v/>
      </c>
      <c r="CN98" s="237" t="str">
        <f>IF(COUNTIF(D98:CI98,"s")&gt;0,COUNTIF(D98:CI98,"s"),"")</f>
        <v/>
      </c>
      <c r="CO98" s="238" t="str">
        <f>IF(COUNTIF(D98:CI98,"e")&gt;0,COUNTIF(D98:CI98,"e"),"")</f>
        <v/>
      </c>
      <c r="CQ98" s="236" t="str">
        <f>desired_skills(C98,"Talen/Duits","o")</f>
        <v/>
      </c>
      <c r="CR98" s="237" t="str">
        <f>desired_skills(C98,"Talen/Duits","j")</f>
        <v/>
      </c>
      <c r="CS98" s="237" t="str">
        <f>desired_skills(C98,"Talen/Duits","m")</f>
        <v/>
      </c>
      <c r="CT98" s="237" t="str">
        <f>desired_skills(C98,"Talen/Duits","s")</f>
        <v/>
      </c>
      <c r="CU98" s="238" t="str">
        <f>desired_skills(C98,"Talen/Duits","e")</f>
        <v/>
      </c>
      <c r="CW98" s="236" t="str">
        <f>calc_gap('Matrix 171007_1815'!$CK$98,'Matrix 171007_1815'!$CQ$98)</f>
        <v/>
      </c>
      <c r="CX98" s="237" t="str">
        <f>calc_gap('Matrix 171007_1815'!$CL$98,'Matrix 171007_1815'!$CR$98)</f>
        <v/>
      </c>
      <c r="CY98" s="237" t="str">
        <f>calc_gap('Matrix 171007_1815'!$CM$98,'Matrix 171007_1815'!$CS$98)</f>
        <v/>
      </c>
      <c r="CZ98" s="237" t="str">
        <f>calc_gap('Matrix 171007_1815'!$CN$98,'Matrix 171007_1815'!$CT$98)</f>
        <v/>
      </c>
      <c r="DA98" s="238" t="str">
        <f>calc_gap('Matrix 171007_1815'!$CO$98,'Matrix 171007_1815'!$CU$98)</f>
        <v/>
      </c>
    </row>
    <row r="99" spans="2:105" ht="15.75" thickBot="1" x14ac:dyDescent="0.3">
      <c r="B99" s="435"/>
      <c r="C99" s="292" t="s">
        <v>143</v>
      </c>
      <c r="D99" s="318"/>
      <c r="E99" s="319"/>
      <c r="F99" s="319"/>
      <c r="G99" s="319"/>
      <c r="H99" s="319"/>
      <c r="I99" s="319"/>
      <c r="J99" s="319"/>
      <c r="K99" s="320"/>
      <c r="L99" s="318"/>
      <c r="M99" s="319"/>
      <c r="N99" s="319"/>
      <c r="O99" s="320"/>
      <c r="P99" s="318"/>
      <c r="Q99" s="319"/>
      <c r="R99" s="319"/>
      <c r="S99" s="319"/>
      <c r="T99" s="319"/>
      <c r="U99" s="319"/>
      <c r="V99" s="319"/>
      <c r="W99" s="319"/>
      <c r="X99" s="319"/>
      <c r="Y99" s="319"/>
      <c r="Z99" s="319"/>
      <c r="AA99" s="319"/>
      <c r="AB99" s="319"/>
      <c r="AC99" s="319"/>
      <c r="AD99" s="319"/>
      <c r="AE99" s="319"/>
      <c r="AF99" s="319"/>
      <c r="AG99" s="319"/>
      <c r="AH99" s="319"/>
      <c r="AI99" s="320"/>
      <c r="AJ99" s="318"/>
      <c r="AK99" s="319"/>
      <c r="AL99" s="320"/>
      <c r="AM99" s="318"/>
      <c r="AN99" s="319"/>
      <c r="AO99" s="320"/>
      <c r="AP99" s="318"/>
      <c r="AQ99" s="319"/>
      <c r="AR99" s="319"/>
      <c r="AS99" s="319"/>
      <c r="AT99" s="320"/>
      <c r="AU99" s="318"/>
      <c r="AV99" s="319"/>
      <c r="AW99" s="319"/>
      <c r="AX99" s="319"/>
      <c r="AY99" s="319"/>
      <c r="AZ99" s="319"/>
      <c r="BA99" s="319"/>
      <c r="BB99" s="320"/>
      <c r="BC99" s="318"/>
      <c r="BD99" s="319"/>
      <c r="BE99" s="319"/>
      <c r="BF99" s="319"/>
      <c r="BG99" s="320"/>
      <c r="BH99" s="318"/>
      <c r="BI99" s="319"/>
      <c r="BJ99" s="320"/>
      <c r="BK99" s="318"/>
      <c r="BL99" s="319"/>
      <c r="BM99" s="319"/>
      <c r="BN99" s="320"/>
      <c r="BO99" s="318"/>
      <c r="BP99" s="319"/>
      <c r="BQ99" s="319"/>
      <c r="BR99" s="319"/>
      <c r="BS99" s="319"/>
      <c r="BT99" s="319"/>
      <c r="BU99" s="319"/>
      <c r="BV99" s="320"/>
      <c r="BW99" s="318"/>
      <c r="BX99" s="319"/>
      <c r="BY99" s="319"/>
      <c r="BZ99" s="319"/>
      <c r="CA99" s="319"/>
      <c r="CB99" s="320"/>
      <c r="CC99" s="318"/>
      <c r="CD99" s="319"/>
      <c r="CE99" s="320"/>
      <c r="CF99" s="318"/>
      <c r="CG99" s="319"/>
      <c r="CH99" s="319"/>
      <c r="CI99" s="321"/>
      <c r="CK99" s="239" t="str">
        <f>IF(COUNTIF(D99:CI99,"o")&gt;0,COUNTIF(D99:CI99,"o"),"")</f>
        <v/>
      </c>
      <c r="CL99" s="240" t="str">
        <f>IF(COUNTIF(D99:CI99,"j")&gt;0,COUNTIF(D99:CI99,"j"),"")</f>
        <v/>
      </c>
      <c r="CM99" s="240" t="str">
        <f>IF(COUNTIF(D99:CI99,"m")&gt;0,COUNTIF(D99:CI99,"m"),"")</f>
        <v/>
      </c>
      <c r="CN99" s="240" t="str">
        <f>IF(COUNTIF(D99:CI99,"s")&gt;0,COUNTIF(D99:CI99,"s"),"")</f>
        <v/>
      </c>
      <c r="CO99" s="241" t="str">
        <f>IF(COUNTIF(D99:CI99,"e")&gt;0,COUNTIF(D99:CI99,"e"),"")</f>
        <v/>
      </c>
      <c r="CQ99" s="239" t="str">
        <f>desired_skills(C99,"Talen/Frans","o")</f>
        <v/>
      </c>
      <c r="CR99" s="240" t="str">
        <f>desired_skills(C99,"Talen/Frans","j")</f>
        <v/>
      </c>
      <c r="CS99" s="240" t="str">
        <f>desired_skills(C99,"Talen/Frans","m")</f>
        <v/>
      </c>
      <c r="CT99" s="240" t="str">
        <f>desired_skills(C99,"Talen/Frans","s")</f>
        <v/>
      </c>
      <c r="CU99" s="241" t="str">
        <f>desired_skills(C99,"Talen/Frans","e")</f>
        <v/>
      </c>
      <c r="CW99" s="239" t="str">
        <f>calc_gap('Matrix 171007_1815'!$CK$99,'Matrix 171007_1815'!$CQ$99)</f>
        <v/>
      </c>
      <c r="CX99" s="240" t="str">
        <f>calc_gap('Matrix 171007_1815'!$CL$99,'Matrix 171007_1815'!$CR$99)</f>
        <v/>
      </c>
      <c r="CY99" s="240" t="str">
        <f>calc_gap('Matrix 171007_1815'!$CM$99,'Matrix 171007_1815'!$CS$99)</f>
        <v/>
      </c>
      <c r="CZ99" s="240" t="str">
        <f>calc_gap('Matrix 171007_1815'!$CN$99,'Matrix 171007_1815'!$CT$99)</f>
        <v/>
      </c>
      <c r="DA99" s="241" t="str">
        <f>calc_gap('Matrix 171007_1815'!$CO$99,'Matrix 171007_1815'!$CU$99)</f>
        <v/>
      </c>
    </row>
    <row r="100" spans="2:105" ht="12.75" customHeight="1" thickTop="1" thickBot="1" x14ac:dyDescent="0.3">
      <c r="B100" s="437"/>
      <c r="C100" s="248"/>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2"/>
      <c r="BK100" s="322"/>
      <c r="BL100" s="322"/>
      <c r="BM100" s="322"/>
      <c r="BN100" s="322"/>
      <c r="BO100" s="322"/>
      <c r="BP100" s="322"/>
      <c r="BQ100" s="322"/>
      <c r="BR100" s="322"/>
      <c r="BS100" s="322"/>
      <c r="BT100" s="322"/>
      <c r="BU100" s="322"/>
      <c r="BV100" s="322"/>
      <c r="BW100" s="322"/>
      <c r="BX100" s="322"/>
      <c r="BY100" s="322"/>
      <c r="BZ100" s="322"/>
      <c r="CA100" s="322"/>
      <c r="CB100" s="322"/>
      <c r="CC100" s="322"/>
      <c r="CD100" s="322"/>
      <c r="CE100" s="322"/>
      <c r="CF100" s="322"/>
      <c r="CG100" s="322"/>
      <c r="CH100" s="322"/>
      <c r="CI100" s="322"/>
      <c r="CK100" s="249"/>
      <c r="CL100" s="249"/>
      <c r="CM100" s="249"/>
      <c r="CN100" s="249"/>
      <c r="CO100" s="249"/>
      <c r="CQ100" s="249"/>
      <c r="CR100" s="249"/>
      <c r="CS100" s="249"/>
      <c r="CT100" s="249"/>
      <c r="CU100" s="249"/>
      <c r="CW100" s="249"/>
      <c r="CX100" s="249"/>
      <c r="CY100" s="249"/>
      <c r="CZ100" s="249"/>
      <c r="DA100" s="249"/>
    </row>
    <row r="101" spans="2:105" ht="16.5" thickTop="1" thickBot="1" x14ac:dyDescent="0.3"/>
    <row r="102" spans="2:105" ht="15.75" thickTop="1" x14ac:dyDescent="0.25">
      <c r="B102" s="434" t="s">
        <v>303</v>
      </c>
      <c r="C102" s="298" t="s">
        <v>217</v>
      </c>
      <c r="D102" s="294" t="str">
        <f t="shared" ref="D102:AI102" si="35">IF(COUNTIF(D4:D100,"o")&gt;0,COUNTIF(D4:D100,"o"),"")</f>
        <v/>
      </c>
      <c r="E102" s="234" t="str">
        <f t="shared" si="35"/>
        <v/>
      </c>
      <c r="F102" s="234" t="str">
        <f t="shared" si="35"/>
        <v/>
      </c>
      <c r="G102" s="234" t="str">
        <f t="shared" si="35"/>
        <v/>
      </c>
      <c r="H102" s="234" t="str">
        <f t="shared" si="35"/>
        <v/>
      </c>
      <c r="I102" s="234" t="str">
        <f t="shared" si="35"/>
        <v/>
      </c>
      <c r="J102" s="234" t="str">
        <f t="shared" si="35"/>
        <v/>
      </c>
      <c r="K102" s="242" t="str">
        <f t="shared" si="35"/>
        <v/>
      </c>
      <c r="L102" s="233" t="str">
        <f t="shared" si="35"/>
        <v/>
      </c>
      <c r="M102" s="234" t="str">
        <f t="shared" si="35"/>
        <v/>
      </c>
      <c r="N102" s="234" t="str">
        <f t="shared" si="35"/>
        <v/>
      </c>
      <c r="O102" s="242" t="str">
        <f t="shared" si="35"/>
        <v/>
      </c>
      <c r="P102" s="233" t="str">
        <f t="shared" si="35"/>
        <v/>
      </c>
      <c r="Q102" s="234" t="str">
        <f t="shared" si="35"/>
        <v/>
      </c>
      <c r="R102" s="234" t="str">
        <f t="shared" si="35"/>
        <v/>
      </c>
      <c r="S102" s="234" t="str">
        <f t="shared" si="35"/>
        <v/>
      </c>
      <c r="T102" s="234" t="str">
        <f t="shared" si="35"/>
        <v/>
      </c>
      <c r="U102" s="234" t="str">
        <f t="shared" si="35"/>
        <v/>
      </c>
      <c r="V102" s="234" t="str">
        <f t="shared" si="35"/>
        <v/>
      </c>
      <c r="W102" s="234" t="str">
        <f t="shared" si="35"/>
        <v/>
      </c>
      <c r="X102" s="234" t="str">
        <f t="shared" si="35"/>
        <v/>
      </c>
      <c r="Y102" s="234" t="str">
        <f t="shared" si="35"/>
        <v/>
      </c>
      <c r="Z102" s="234" t="str">
        <f t="shared" si="35"/>
        <v/>
      </c>
      <c r="AA102" s="234" t="str">
        <f t="shared" si="35"/>
        <v/>
      </c>
      <c r="AB102" s="234" t="str">
        <f t="shared" si="35"/>
        <v/>
      </c>
      <c r="AC102" s="234" t="str">
        <f t="shared" si="35"/>
        <v/>
      </c>
      <c r="AD102" s="234" t="str">
        <f t="shared" si="35"/>
        <v/>
      </c>
      <c r="AE102" s="234" t="str">
        <f t="shared" si="35"/>
        <v/>
      </c>
      <c r="AF102" s="234" t="str">
        <f t="shared" si="35"/>
        <v/>
      </c>
      <c r="AG102" s="234" t="str">
        <f t="shared" si="35"/>
        <v/>
      </c>
      <c r="AH102" s="234" t="str">
        <f t="shared" si="35"/>
        <v/>
      </c>
      <c r="AI102" s="242" t="str">
        <f t="shared" si="35"/>
        <v/>
      </c>
      <c r="AJ102" s="233" t="str">
        <f t="shared" ref="AJ102:BO102" si="36">IF(COUNTIF(AJ4:AJ100,"o")&gt;0,COUNTIF(AJ4:AJ100,"o"),"")</f>
        <v/>
      </c>
      <c r="AK102" s="234" t="str">
        <f t="shared" si="36"/>
        <v/>
      </c>
      <c r="AL102" s="242" t="str">
        <f t="shared" si="36"/>
        <v/>
      </c>
      <c r="AM102" s="233" t="str">
        <f t="shared" si="36"/>
        <v/>
      </c>
      <c r="AN102" s="234" t="str">
        <f t="shared" si="36"/>
        <v/>
      </c>
      <c r="AO102" s="242" t="str">
        <f t="shared" si="36"/>
        <v/>
      </c>
      <c r="AP102" s="233" t="str">
        <f t="shared" si="36"/>
        <v/>
      </c>
      <c r="AQ102" s="234" t="str">
        <f t="shared" si="36"/>
        <v/>
      </c>
      <c r="AR102" s="234" t="str">
        <f t="shared" si="36"/>
        <v/>
      </c>
      <c r="AS102" s="234" t="str">
        <f t="shared" si="36"/>
        <v/>
      </c>
      <c r="AT102" s="242" t="str">
        <f t="shared" si="36"/>
        <v/>
      </c>
      <c r="AU102" s="233" t="str">
        <f t="shared" si="36"/>
        <v/>
      </c>
      <c r="AV102" s="234">
        <f t="shared" si="36"/>
        <v>3</v>
      </c>
      <c r="AW102" s="234">
        <f t="shared" si="36"/>
        <v>9</v>
      </c>
      <c r="AX102" s="234" t="str">
        <f t="shared" si="36"/>
        <v/>
      </c>
      <c r="AY102" s="234" t="str">
        <f t="shared" si="36"/>
        <v/>
      </c>
      <c r="AZ102" s="234">
        <f t="shared" si="36"/>
        <v>1</v>
      </c>
      <c r="BA102" s="234">
        <f t="shared" si="36"/>
        <v>2</v>
      </c>
      <c r="BB102" s="242" t="str">
        <f t="shared" si="36"/>
        <v/>
      </c>
      <c r="BC102" s="233">
        <f t="shared" si="36"/>
        <v>20</v>
      </c>
      <c r="BD102" s="234">
        <f t="shared" si="36"/>
        <v>12</v>
      </c>
      <c r="BE102" s="234" t="str">
        <f t="shared" si="36"/>
        <v/>
      </c>
      <c r="BF102" s="234" t="str">
        <f t="shared" si="36"/>
        <v/>
      </c>
      <c r="BG102" s="242" t="str">
        <f t="shared" si="36"/>
        <v/>
      </c>
      <c r="BH102" s="233" t="str">
        <f t="shared" si="36"/>
        <v/>
      </c>
      <c r="BI102" s="234">
        <f t="shared" si="36"/>
        <v>2</v>
      </c>
      <c r="BJ102" s="242" t="str">
        <f t="shared" si="36"/>
        <v/>
      </c>
      <c r="BK102" s="233" t="str">
        <f t="shared" si="36"/>
        <v/>
      </c>
      <c r="BL102" s="234">
        <f t="shared" si="36"/>
        <v>3</v>
      </c>
      <c r="BM102" s="234" t="str">
        <f t="shared" si="36"/>
        <v/>
      </c>
      <c r="BN102" s="242">
        <f t="shared" si="36"/>
        <v>9</v>
      </c>
      <c r="BO102" s="233" t="str">
        <f t="shared" si="36"/>
        <v/>
      </c>
      <c r="BP102" s="234" t="str">
        <f t="shared" ref="BP102:CI102" si="37">IF(COUNTIF(BP4:BP100,"o")&gt;0,COUNTIF(BP4:BP100,"o"),"")</f>
        <v/>
      </c>
      <c r="BQ102" s="234" t="str">
        <f t="shared" si="37"/>
        <v/>
      </c>
      <c r="BR102" s="234" t="str">
        <f t="shared" si="37"/>
        <v/>
      </c>
      <c r="BS102" s="234">
        <f t="shared" si="37"/>
        <v>22</v>
      </c>
      <c r="BT102" s="234">
        <f t="shared" si="37"/>
        <v>1</v>
      </c>
      <c r="BU102" s="234" t="str">
        <f t="shared" si="37"/>
        <v/>
      </c>
      <c r="BV102" s="242" t="str">
        <f t="shared" si="37"/>
        <v/>
      </c>
      <c r="BW102" s="233">
        <f t="shared" si="37"/>
        <v>3</v>
      </c>
      <c r="BX102" s="234" t="str">
        <f t="shared" si="37"/>
        <v/>
      </c>
      <c r="BY102" s="234" t="str">
        <f t="shared" si="37"/>
        <v/>
      </c>
      <c r="BZ102" s="234">
        <f t="shared" si="37"/>
        <v>1</v>
      </c>
      <c r="CA102" s="234" t="str">
        <f t="shared" si="37"/>
        <v/>
      </c>
      <c r="CB102" s="242" t="str">
        <f t="shared" si="37"/>
        <v/>
      </c>
      <c r="CC102" s="233" t="str">
        <f t="shared" si="37"/>
        <v/>
      </c>
      <c r="CD102" s="234" t="str">
        <f t="shared" si="37"/>
        <v/>
      </c>
      <c r="CE102" s="242" t="str">
        <f t="shared" si="37"/>
        <v/>
      </c>
      <c r="CF102" s="233" t="str">
        <f t="shared" si="37"/>
        <v/>
      </c>
      <c r="CG102" s="234" t="str">
        <f t="shared" si="37"/>
        <v/>
      </c>
      <c r="CH102" s="234" t="str">
        <f t="shared" si="37"/>
        <v/>
      </c>
      <c r="CI102" s="235" t="str">
        <f t="shared" si="37"/>
        <v/>
      </c>
    </row>
    <row r="103" spans="2:105" x14ac:dyDescent="0.25">
      <c r="B103" s="435"/>
      <c r="C103" s="299" t="s">
        <v>218</v>
      </c>
      <c r="D103" s="295" t="str">
        <f t="shared" ref="D103:AI103" si="38">IF(COUNTIF(D4:D100,"j")&gt;0,COUNTIF(D4:D100,"j"),"")</f>
        <v/>
      </c>
      <c r="E103" s="237" t="str">
        <f t="shared" si="38"/>
        <v/>
      </c>
      <c r="F103" s="237" t="str">
        <f t="shared" si="38"/>
        <v/>
      </c>
      <c r="G103" s="237" t="str">
        <f t="shared" si="38"/>
        <v/>
      </c>
      <c r="H103" s="237" t="str">
        <f t="shared" si="38"/>
        <v/>
      </c>
      <c r="I103" s="237" t="str">
        <f t="shared" si="38"/>
        <v/>
      </c>
      <c r="J103" s="237" t="str">
        <f t="shared" si="38"/>
        <v/>
      </c>
      <c r="K103" s="243" t="str">
        <f t="shared" si="38"/>
        <v/>
      </c>
      <c r="L103" s="236" t="str">
        <f t="shared" si="38"/>
        <v/>
      </c>
      <c r="M103" s="237" t="str">
        <f t="shared" si="38"/>
        <v/>
      </c>
      <c r="N103" s="237" t="str">
        <f t="shared" si="38"/>
        <v/>
      </c>
      <c r="O103" s="243" t="str">
        <f t="shared" si="38"/>
        <v/>
      </c>
      <c r="P103" s="236" t="str">
        <f t="shared" si="38"/>
        <v/>
      </c>
      <c r="Q103" s="237" t="str">
        <f t="shared" si="38"/>
        <v/>
      </c>
      <c r="R103" s="237" t="str">
        <f t="shared" si="38"/>
        <v/>
      </c>
      <c r="S103" s="237" t="str">
        <f t="shared" si="38"/>
        <v/>
      </c>
      <c r="T103" s="237" t="str">
        <f t="shared" si="38"/>
        <v/>
      </c>
      <c r="U103" s="237" t="str">
        <f t="shared" si="38"/>
        <v/>
      </c>
      <c r="V103" s="237" t="str">
        <f t="shared" si="38"/>
        <v/>
      </c>
      <c r="W103" s="237" t="str">
        <f t="shared" si="38"/>
        <v/>
      </c>
      <c r="X103" s="237" t="str">
        <f t="shared" si="38"/>
        <v/>
      </c>
      <c r="Y103" s="237" t="str">
        <f t="shared" si="38"/>
        <v/>
      </c>
      <c r="Z103" s="237" t="str">
        <f t="shared" si="38"/>
        <v/>
      </c>
      <c r="AA103" s="237" t="str">
        <f t="shared" si="38"/>
        <v/>
      </c>
      <c r="AB103" s="237" t="str">
        <f t="shared" si="38"/>
        <v/>
      </c>
      <c r="AC103" s="237" t="str">
        <f t="shared" si="38"/>
        <v/>
      </c>
      <c r="AD103" s="237" t="str">
        <f t="shared" si="38"/>
        <v/>
      </c>
      <c r="AE103" s="237" t="str">
        <f t="shared" si="38"/>
        <v/>
      </c>
      <c r="AF103" s="237" t="str">
        <f t="shared" si="38"/>
        <v/>
      </c>
      <c r="AG103" s="237" t="str">
        <f t="shared" si="38"/>
        <v/>
      </c>
      <c r="AH103" s="237" t="str">
        <f t="shared" si="38"/>
        <v/>
      </c>
      <c r="AI103" s="243" t="str">
        <f t="shared" si="38"/>
        <v/>
      </c>
      <c r="AJ103" s="236" t="str">
        <f t="shared" ref="AJ103:BO103" si="39">IF(COUNTIF(AJ4:AJ100,"j")&gt;0,COUNTIF(AJ4:AJ100,"j"),"")</f>
        <v/>
      </c>
      <c r="AK103" s="237" t="str">
        <f t="shared" si="39"/>
        <v/>
      </c>
      <c r="AL103" s="243" t="str">
        <f t="shared" si="39"/>
        <v/>
      </c>
      <c r="AM103" s="236" t="str">
        <f t="shared" si="39"/>
        <v/>
      </c>
      <c r="AN103" s="237" t="str">
        <f t="shared" si="39"/>
        <v/>
      </c>
      <c r="AO103" s="243" t="str">
        <f t="shared" si="39"/>
        <v/>
      </c>
      <c r="AP103" s="236" t="str">
        <f t="shared" si="39"/>
        <v/>
      </c>
      <c r="AQ103" s="237" t="str">
        <f t="shared" si="39"/>
        <v/>
      </c>
      <c r="AR103" s="237" t="str">
        <f t="shared" si="39"/>
        <v/>
      </c>
      <c r="AS103" s="237" t="str">
        <f t="shared" si="39"/>
        <v/>
      </c>
      <c r="AT103" s="243" t="str">
        <f t="shared" si="39"/>
        <v/>
      </c>
      <c r="AU103" s="236">
        <f t="shared" si="39"/>
        <v>12</v>
      </c>
      <c r="AV103" s="237">
        <f t="shared" si="39"/>
        <v>9</v>
      </c>
      <c r="AW103" s="237">
        <f t="shared" si="39"/>
        <v>15</v>
      </c>
      <c r="AX103" s="237">
        <f t="shared" si="39"/>
        <v>7</v>
      </c>
      <c r="AY103" s="237">
        <f t="shared" si="39"/>
        <v>14</v>
      </c>
      <c r="AZ103" s="237">
        <f t="shared" si="39"/>
        <v>7</v>
      </c>
      <c r="BA103" s="237">
        <f t="shared" si="39"/>
        <v>5</v>
      </c>
      <c r="BB103" s="243">
        <f t="shared" si="39"/>
        <v>14</v>
      </c>
      <c r="BC103" s="236">
        <f t="shared" si="39"/>
        <v>18</v>
      </c>
      <c r="BD103" s="237">
        <f t="shared" si="39"/>
        <v>22</v>
      </c>
      <c r="BE103" s="237" t="str">
        <f t="shared" si="39"/>
        <v/>
      </c>
      <c r="BF103" s="237">
        <f t="shared" si="39"/>
        <v>17</v>
      </c>
      <c r="BG103" s="243" t="str">
        <f t="shared" si="39"/>
        <v/>
      </c>
      <c r="BH103" s="236" t="str">
        <f t="shared" si="39"/>
        <v/>
      </c>
      <c r="BI103" s="237">
        <f t="shared" si="39"/>
        <v>6</v>
      </c>
      <c r="BJ103" s="243" t="str">
        <f t="shared" si="39"/>
        <v/>
      </c>
      <c r="BK103" s="236">
        <f t="shared" si="39"/>
        <v>14</v>
      </c>
      <c r="BL103" s="237">
        <f t="shared" si="39"/>
        <v>6</v>
      </c>
      <c r="BM103" s="237" t="str">
        <f t="shared" si="39"/>
        <v/>
      </c>
      <c r="BN103" s="243">
        <f t="shared" si="39"/>
        <v>8</v>
      </c>
      <c r="BO103" s="236">
        <f t="shared" si="39"/>
        <v>13</v>
      </c>
      <c r="BP103" s="237">
        <f t="shared" ref="BP103:CI103" si="40">IF(COUNTIF(BP4:BP100,"j")&gt;0,COUNTIF(BP4:BP100,"j"),"")</f>
        <v>3</v>
      </c>
      <c r="BQ103" s="237">
        <f t="shared" si="40"/>
        <v>9</v>
      </c>
      <c r="BR103" s="237" t="str">
        <f t="shared" si="40"/>
        <v/>
      </c>
      <c r="BS103" s="237">
        <f t="shared" si="40"/>
        <v>15</v>
      </c>
      <c r="BT103" s="237">
        <f t="shared" si="40"/>
        <v>8</v>
      </c>
      <c r="BU103" s="237">
        <f t="shared" si="40"/>
        <v>2</v>
      </c>
      <c r="BV103" s="243" t="str">
        <f t="shared" si="40"/>
        <v/>
      </c>
      <c r="BW103" s="236">
        <f t="shared" si="40"/>
        <v>9</v>
      </c>
      <c r="BX103" s="237">
        <f t="shared" si="40"/>
        <v>3</v>
      </c>
      <c r="BY103" s="237">
        <f t="shared" si="40"/>
        <v>12</v>
      </c>
      <c r="BZ103" s="237">
        <f t="shared" si="40"/>
        <v>7</v>
      </c>
      <c r="CA103" s="237">
        <f t="shared" si="40"/>
        <v>18</v>
      </c>
      <c r="CB103" s="243">
        <f t="shared" si="40"/>
        <v>15</v>
      </c>
      <c r="CC103" s="236">
        <f t="shared" si="40"/>
        <v>8</v>
      </c>
      <c r="CD103" s="237">
        <f t="shared" si="40"/>
        <v>18</v>
      </c>
      <c r="CE103" s="243" t="str">
        <f t="shared" si="40"/>
        <v/>
      </c>
      <c r="CF103" s="236" t="str">
        <f t="shared" si="40"/>
        <v/>
      </c>
      <c r="CG103" s="237" t="str">
        <f t="shared" si="40"/>
        <v/>
      </c>
      <c r="CH103" s="237" t="str">
        <f t="shared" si="40"/>
        <v/>
      </c>
      <c r="CI103" s="238" t="str">
        <f t="shared" si="40"/>
        <v/>
      </c>
    </row>
    <row r="104" spans="2:105" x14ac:dyDescent="0.25">
      <c r="B104" s="435"/>
      <c r="C104" s="300" t="s">
        <v>219</v>
      </c>
      <c r="D104" s="295" t="str">
        <f t="shared" ref="D104:AI104" si="41">IF(COUNTIF(D4:D100,"m")&gt;0,COUNTIF(D4:D100,"m"),"")</f>
        <v/>
      </c>
      <c r="E104" s="237" t="str">
        <f t="shared" si="41"/>
        <v/>
      </c>
      <c r="F104" s="237" t="str">
        <f t="shared" si="41"/>
        <v/>
      </c>
      <c r="G104" s="237" t="str">
        <f t="shared" si="41"/>
        <v/>
      </c>
      <c r="H104" s="237" t="str">
        <f t="shared" si="41"/>
        <v/>
      </c>
      <c r="I104" s="237" t="str">
        <f t="shared" si="41"/>
        <v/>
      </c>
      <c r="J104" s="237" t="str">
        <f t="shared" si="41"/>
        <v/>
      </c>
      <c r="K104" s="243" t="str">
        <f t="shared" si="41"/>
        <v/>
      </c>
      <c r="L104" s="236" t="str">
        <f t="shared" si="41"/>
        <v/>
      </c>
      <c r="M104" s="237" t="str">
        <f t="shared" si="41"/>
        <v/>
      </c>
      <c r="N104" s="237" t="str">
        <f t="shared" si="41"/>
        <v/>
      </c>
      <c r="O104" s="243" t="str">
        <f t="shared" si="41"/>
        <v/>
      </c>
      <c r="P104" s="236" t="str">
        <f t="shared" si="41"/>
        <v/>
      </c>
      <c r="Q104" s="237" t="str">
        <f t="shared" si="41"/>
        <v/>
      </c>
      <c r="R104" s="237" t="str">
        <f t="shared" si="41"/>
        <v/>
      </c>
      <c r="S104" s="237" t="str">
        <f t="shared" si="41"/>
        <v/>
      </c>
      <c r="T104" s="237" t="str">
        <f t="shared" si="41"/>
        <v/>
      </c>
      <c r="U104" s="237" t="str">
        <f t="shared" si="41"/>
        <v/>
      </c>
      <c r="V104" s="237" t="str">
        <f t="shared" si="41"/>
        <v/>
      </c>
      <c r="W104" s="237" t="str">
        <f t="shared" si="41"/>
        <v/>
      </c>
      <c r="X104" s="237" t="str">
        <f t="shared" si="41"/>
        <v/>
      </c>
      <c r="Y104" s="237" t="str">
        <f t="shared" si="41"/>
        <v/>
      </c>
      <c r="Z104" s="237" t="str">
        <f t="shared" si="41"/>
        <v/>
      </c>
      <c r="AA104" s="237" t="str">
        <f t="shared" si="41"/>
        <v/>
      </c>
      <c r="AB104" s="237" t="str">
        <f t="shared" si="41"/>
        <v/>
      </c>
      <c r="AC104" s="237" t="str">
        <f t="shared" si="41"/>
        <v/>
      </c>
      <c r="AD104" s="237" t="str">
        <f t="shared" si="41"/>
        <v/>
      </c>
      <c r="AE104" s="237" t="str">
        <f t="shared" si="41"/>
        <v/>
      </c>
      <c r="AF104" s="237" t="str">
        <f t="shared" si="41"/>
        <v/>
      </c>
      <c r="AG104" s="237" t="str">
        <f t="shared" si="41"/>
        <v/>
      </c>
      <c r="AH104" s="237" t="str">
        <f t="shared" si="41"/>
        <v/>
      </c>
      <c r="AI104" s="243" t="str">
        <f t="shared" si="41"/>
        <v/>
      </c>
      <c r="AJ104" s="236" t="str">
        <f t="shared" ref="AJ104:BO104" si="42">IF(COUNTIF(AJ4:AJ100,"m")&gt;0,COUNTIF(AJ4:AJ100,"m"),"")</f>
        <v/>
      </c>
      <c r="AK104" s="237" t="str">
        <f t="shared" si="42"/>
        <v/>
      </c>
      <c r="AL104" s="243" t="str">
        <f t="shared" si="42"/>
        <v/>
      </c>
      <c r="AM104" s="236" t="str">
        <f t="shared" si="42"/>
        <v/>
      </c>
      <c r="AN104" s="237" t="str">
        <f t="shared" si="42"/>
        <v/>
      </c>
      <c r="AO104" s="243" t="str">
        <f t="shared" si="42"/>
        <v/>
      </c>
      <c r="AP104" s="236" t="str">
        <f t="shared" si="42"/>
        <v/>
      </c>
      <c r="AQ104" s="237" t="str">
        <f t="shared" si="42"/>
        <v/>
      </c>
      <c r="AR104" s="237" t="str">
        <f t="shared" si="42"/>
        <v/>
      </c>
      <c r="AS104" s="237" t="str">
        <f t="shared" si="42"/>
        <v/>
      </c>
      <c r="AT104" s="243" t="str">
        <f t="shared" si="42"/>
        <v/>
      </c>
      <c r="AU104" s="236">
        <f t="shared" si="42"/>
        <v>28</v>
      </c>
      <c r="AV104" s="237">
        <f t="shared" si="42"/>
        <v>27</v>
      </c>
      <c r="AW104" s="237">
        <f t="shared" si="42"/>
        <v>14</v>
      </c>
      <c r="AX104" s="237">
        <f t="shared" si="42"/>
        <v>15</v>
      </c>
      <c r="AY104" s="237">
        <f t="shared" si="42"/>
        <v>22</v>
      </c>
      <c r="AZ104" s="237">
        <f t="shared" si="42"/>
        <v>6</v>
      </c>
      <c r="BA104" s="237">
        <f t="shared" si="42"/>
        <v>7</v>
      </c>
      <c r="BB104" s="243">
        <f t="shared" si="42"/>
        <v>24</v>
      </c>
      <c r="BC104" s="236">
        <f t="shared" si="42"/>
        <v>13</v>
      </c>
      <c r="BD104" s="237">
        <f t="shared" si="42"/>
        <v>22</v>
      </c>
      <c r="BE104" s="237" t="str">
        <f t="shared" si="42"/>
        <v/>
      </c>
      <c r="BF104" s="237">
        <f t="shared" si="42"/>
        <v>6</v>
      </c>
      <c r="BG104" s="243" t="str">
        <f t="shared" si="42"/>
        <v/>
      </c>
      <c r="BH104" s="236" t="str">
        <f t="shared" si="42"/>
        <v/>
      </c>
      <c r="BI104" s="237">
        <f t="shared" si="42"/>
        <v>16</v>
      </c>
      <c r="BJ104" s="243" t="str">
        <f t="shared" si="42"/>
        <v/>
      </c>
      <c r="BK104" s="236">
        <f t="shared" si="42"/>
        <v>13</v>
      </c>
      <c r="BL104" s="237">
        <f t="shared" si="42"/>
        <v>17</v>
      </c>
      <c r="BM104" s="237" t="str">
        <f t="shared" si="42"/>
        <v/>
      </c>
      <c r="BN104" s="243">
        <f t="shared" si="42"/>
        <v>8</v>
      </c>
      <c r="BO104" s="236">
        <f t="shared" si="42"/>
        <v>23</v>
      </c>
      <c r="BP104" s="237">
        <f t="shared" ref="BP104:CI104" si="43">IF(COUNTIF(BP4:BP100,"m")&gt;0,COUNTIF(BP4:BP100,"m"),"")</f>
        <v>14</v>
      </c>
      <c r="BQ104" s="237">
        <f t="shared" si="43"/>
        <v>17</v>
      </c>
      <c r="BR104" s="237" t="str">
        <f t="shared" si="43"/>
        <v/>
      </c>
      <c r="BS104" s="237">
        <f t="shared" si="43"/>
        <v>2</v>
      </c>
      <c r="BT104" s="237">
        <f t="shared" si="43"/>
        <v>15</v>
      </c>
      <c r="BU104" s="237">
        <f t="shared" si="43"/>
        <v>20</v>
      </c>
      <c r="BV104" s="243" t="str">
        <f t="shared" si="43"/>
        <v/>
      </c>
      <c r="BW104" s="236">
        <f t="shared" si="43"/>
        <v>30</v>
      </c>
      <c r="BX104" s="237">
        <f t="shared" si="43"/>
        <v>21</v>
      </c>
      <c r="BY104" s="237">
        <f t="shared" si="43"/>
        <v>7</v>
      </c>
      <c r="BZ104" s="237">
        <f t="shared" si="43"/>
        <v>16</v>
      </c>
      <c r="CA104" s="237">
        <f t="shared" si="43"/>
        <v>4</v>
      </c>
      <c r="CB104" s="243">
        <f t="shared" si="43"/>
        <v>8</v>
      </c>
      <c r="CC104" s="236">
        <f t="shared" si="43"/>
        <v>4</v>
      </c>
      <c r="CD104" s="237">
        <f t="shared" si="43"/>
        <v>18</v>
      </c>
      <c r="CE104" s="243" t="str">
        <f t="shared" si="43"/>
        <v/>
      </c>
      <c r="CF104" s="236" t="str">
        <f t="shared" si="43"/>
        <v/>
      </c>
      <c r="CG104" s="237" t="str">
        <f t="shared" si="43"/>
        <v/>
      </c>
      <c r="CH104" s="237" t="str">
        <f t="shared" si="43"/>
        <v/>
      </c>
      <c r="CI104" s="238" t="str">
        <f t="shared" si="43"/>
        <v/>
      </c>
    </row>
    <row r="105" spans="2:105" x14ac:dyDescent="0.25">
      <c r="B105" s="435"/>
      <c r="C105" s="301" t="s">
        <v>220</v>
      </c>
      <c r="D105" s="295" t="str">
        <f t="shared" ref="D105:AI105" si="44">IF(COUNTIF(D4:D100,"s")&gt;0,COUNTIF(D4:D100,"s"),"")</f>
        <v/>
      </c>
      <c r="E105" s="237" t="str">
        <f t="shared" si="44"/>
        <v/>
      </c>
      <c r="F105" s="237" t="str">
        <f t="shared" si="44"/>
        <v/>
      </c>
      <c r="G105" s="237" t="str">
        <f t="shared" si="44"/>
        <v/>
      </c>
      <c r="H105" s="237" t="str">
        <f t="shared" si="44"/>
        <v/>
      </c>
      <c r="I105" s="237" t="str">
        <f t="shared" si="44"/>
        <v/>
      </c>
      <c r="J105" s="237" t="str">
        <f t="shared" si="44"/>
        <v/>
      </c>
      <c r="K105" s="243" t="str">
        <f t="shared" si="44"/>
        <v/>
      </c>
      <c r="L105" s="236" t="str">
        <f t="shared" si="44"/>
        <v/>
      </c>
      <c r="M105" s="237" t="str">
        <f t="shared" si="44"/>
        <v/>
      </c>
      <c r="N105" s="237" t="str">
        <f t="shared" si="44"/>
        <v/>
      </c>
      <c r="O105" s="243" t="str">
        <f t="shared" si="44"/>
        <v/>
      </c>
      <c r="P105" s="236" t="str">
        <f t="shared" si="44"/>
        <v/>
      </c>
      <c r="Q105" s="237" t="str">
        <f t="shared" si="44"/>
        <v/>
      </c>
      <c r="R105" s="237" t="str">
        <f t="shared" si="44"/>
        <v/>
      </c>
      <c r="S105" s="237" t="str">
        <f t="shared" si="44"/>
        <v/>
      </c>
      <c r="T105" s="237" t="str">
        <f t="shared" si="44"/>
        <v/>
      </c>
      <c r="U105" s="237" t="str">
        <f t="shared" si="44"/>
        <v/>
      </c>
      <c r="V105" s="237" t="str">
        <f t="shared" si="44"/>
        <v/>
      </c>
      <c r="W105" s="237" t="str">
        <f t="shared" si="44"/>
        <v/>
      </c>
      <c r="X105" s="237" t="str">
        <f t="shared" si="44"/>
        <v/>
      </c>
      <c r="Y105" s="237" t="str">
        <f t="shared" si="44"/>
        <v/>
      </c>
      <c r="Z105" s="237" t="str">
        <f t="shared" si="44"/>
        <v/>
      </c>
      <c r="AA105" s="237" t="str">
        <f t="shared" si="44"/>
        <v/>
      </c>
      <c r="AB105" s="237" t="str">
        <f t="shared" si="44"/>
        <v/>
      </c>
      <c r="AC105" s="237" t="str">
        <f t="shared" si="44"/>
        <v/>
      </c>
      <c r="AD105" s="237" t="str">
        <f t="shared" si="44"/>
        <v/>
      </c>
      <c r="AE105" s="237" t="str">
        <f t="shared" si="44"/>
        <v/>
      </c>
      <c r="AF105" s="237" t="str">
        <f t="shared" si="44"/>
        <v/>
      </c>
      <c r="AG105" s="237" t="str">
        <f t="shared" si="44"/>
        <v/>
      </c>
      <c r="AH105" s="237" t="str">
        <f t="shared" si="44"/>
        <v/>
      </c>
      <c r="AI105" s="243" t="str">
        <f t="shared" si="44"/>
        <v/>
      </c>
      <c r="AJ105" s="236" t="str">
        <f t="shared" ref="AJ105:BO105" si="45">IF(COUNTIF(AJ4:AJ100,"s")&gt;0,COUNTIF(AJ4:AJ100,"s"),"")</f>
        <v/>
      </c>
      <c r="AK105" s="237" t="str">
        <f t="shared" si="45"/>
        <v/>
      </c>
      <c r="AL105" s="243" t="str">
        <f t="shared" si="45"/>
        <v/>
      </c>
      <c r="AM105" s="236" t="str">
        <f t="shared" si="45"/>
        <v/>
      </c>
      <c r="AN105" s="237" t="str">
        <f t="shared" si="45"/>
        <v/>
      </c>
      <c r="AO105" s="243" t="str">
        <f t="shared" si="45"/>
        <v/>
      </c>
      <c r="AP105" s="236" t="str">
        <f t="shared" si="45"/>
        <v/>
      </c>
      <c r="AQ105" s="237" t="str">
        <f t="shared" si="45"/>
        <v/>
      </c>
      <c r="AR105" s="237" t="str">
        <f t="shared" si="45"/>
        <v/>
      </c>
      <c r="AS105" s="237" t="str">
        <f t="shared" si="45"/>
        <v/>
      </c>
      <c r="AT105" s="243" t="str">
        <f t="shared" si="45"/>
        <v/>
      </c>
      <c r="AU105" s="236">
        <f t="shared" si="45"/>
        <v>16</v>
      </c>
      <c r="AV105" s="237">
        <f t="shared" si="45"/>
        <v>19</v>
      </c>
      <c r="AW105" s="237">
        <f t="shared" si="45"/>
        <v>27</v>
      </c>
      <c r="AX105" s="237">
        <f t="shared" si="45"/>
        <v>38</v>
      </c>
      <c r="AY105" s="237">
        <f t="shared" si="45"/>
        <v>25</v>
      </c>
      <c r="AZ105" s="237">
        <f t="shared" si="45"/>
        <v>11</v>
      </c>
      <c r="BA105" s="237">
        <f t="shared" si="45"/>
        <v>13</v>
      </c>
      <c r="BB105" s="243">
        <f t="shared" si="45"/>
        <v>19</v>
      </c>
      <c r="BC105" s="236">
        <f t="shared" si="45"/>
        <v>11</v>
      </c>
      <c r="BD105" s="237">
        <f t="shared" si="45"/>
        <v>4</v>
      </c>
      <c r="BE105" s="237" t="str">
        <f t="shared" si="45"/>
        <v/>
      </c>
      <c r="BF105" s="237">
        <f t="shared" si="45"/>
        <v>15</v>
      </c>
      <c r="BG105" s="243" t="str">
        <f t="shared" si="45"/>
        <v/>
      </c>
      <c r="BH105" s="236" t="str">
        <f t="shared" si="45"/>
        <v/>
      </c>
      <c r="BI105" s="237">
        <f t="shared" si="45"/>
        <v>2</v>
      </c>
      <c r="BJ105" s="243" t="str">
        <f t="shared" si="45"/>
        <v/>
      </c>
      <c r="BK105" s="236">
        <f t="shared" si="45"/>
        <v>2</v>
      </c>
      <c r="BL105" s="237">
        <f t="shared" si="45"/>
        <v>9</v>
      </c>
      <c r="BM105" s="237" t="str">
        <f t="shared" si="45"/>
        <v/>
      </c>
      <c r="BN105" s="243">
        <f t="shared" si="45"/>
        <v>5</v>
      </c>
      <c r="BO105" s="236">
        <f t="shared" si="45"/>
        <v>9</v>
      </c>
      <c r="BP105" s="237">
        <f t="shared" ref="BP105:CI105" si="46">IF(COUNTIF(BP4:BP100,"s")&gt;0,COUNTIF(BP4:BP100,"s"),"")</f>
        <v>22</v>
      </c>
      <c r="BQ105" s="237">
        <f t="shared" si="46"/>
        <v>10</v>
      </c>
      <c r="BR105" s="237" t="str">
        <f t="shared" si="46"/>
        <v/>
      </c>
      <c r="BS105" s="237" t="str">
        <f t="shared" si="46"/>
        <v/>
      </c>
      <c r="BT105" s="237">
        <f t="shared" si="46"/>
        <v>12</v>
      </c>
      <c r="BU105" s="237">
        <f t="shared" si="46"/>
        <v>42</v>
      </c>
      <c r="BV105" s="243" t="str">
        <f t="shared" si="46"/>
        <v/>
      </c>
      <c r="BW105" s="236">
        <f t="shared" si="46"/>
        <v>16</v>
      </c>
      <c r="BX105" s="237">
        <f t="shared" si="46"/>
        <v>4</v>
      </c>
      <c r="BY105" s="237">
        <f t="shared" si="46"/>
        <v>22</v>
      </c>
      <c r="BZ105" s="237">
        <f t="shared" si="46"/>
        <v>27</v>
      </c>
      <c r="CA105" s="237">
        <f t="shared" si="46"/>
        <v>25</v>
      </c>
      <c r="CB105" s="243">
        <f t="shared" si="46"/>
        <v>22</v>
      </c>
      <c r="CC105" s="236">
        <f t="shared" si="46"/>
        <v>3</v>
      </c>
      <c r="CD105" s="237">
        <f t="shared" si="46"/>
        <v>9</v>
      </c>
      <c r="CE105" s="243" t="str">
        <f t="shared" si="46"/>
        <v/>
      </c>
      <c r="CF105" s="236" t="str">
        <f t="shared" si="46"/>
        <v/>
      </c>
      <c r="CG105" s="237" t="str">
        <f t="shared" si="46"/>
        <v/>
      </c>
      <c r="CH105" s="237" t="str">
        <f t="shared" si="46"/>
        <v/>
      </c>
      <c r="CI105" s="238" t="str">
        <f t="shared" si="46"/>
        <v/>
      </c>
    </row>
    <row r="106" spans="2:105" ht="15.75" thickBot="1" x14ac:dyDescent="0.3">
      <c r="B106" s="435"/>
      <c r="C106" s="302" t="s">
        <v>221</v>
      </c>
      <c r="D106" s="296" t="str">
        <f t="shared" ref="D106:AI106" si="47">IF(COUNTIF(D4:D100,"e")&gt;0,COUNTIF(D4:D100,"e"),"")</f>
        <v/>
      </c>
      <c r="E106" s="240" t="str">
        <f t="shared" si="47"/>
        <v/>
      </c>
      <c r="F106" s="240" t="str">
        <f t="shared" si="47"/>
        <v/>
      </c>
      <c r="G106" s="240" t="str">
        <f t="shared" si="47"/>
        <v/>
      </c>
      <c r="H106" s="240" t="str">
        <f t="shared" si="47"/>
        <v/>
      </c>
      <c r="I106" s="240" t="str">
        <f t="shared" si="47"/>
        <v/>
      </c>
      <c r="J106" s="240" t="str">
        <f t="shared" si="47"/>
        <v/>
      </c>
      <c r="K106" s="250" t="str">
        <f t="shared" si="47"/>
        <v/>
      </c>
      <c r="L106" s="239" t="str">
        <f t="shared" si="47"/>
        <v/>
      </c>
      <c r="M106" s="240" t="str">
        <f t="shared" si="47"/>
        <v/>
      </c>
      <c r="N106" s="240" t="str">
        <f t="shared" si="47"/>
        <v/>
      </c>
      <c r="O106" s="250" t="str">
        <f t="shared" si="47"/>
        <v/>
      </c>
      <c r="P106" s="239" t="str">
        <f t="shared" si="47"/>
        <v/>
      </c>
      <c r="Q106" s="240" t="str">
        <f t="shared" si="47"/>
        <v/>
      </c>
      <c r="R106" s="240" t="str">
        <f t="shared" si="47"/>
        <v/>
      </c>
      <c r="S106" s="240" t="str">
        <f t="shared" si="47"/>
        <v/>
      </c>
      <c r="T106" s="240" t="str">
        <f t="shared" si="47"/>
        <v/>
      </c>
      <c r="U106" s="240" t="str">
        <f t="shared" si="47"/>
        <v/>
      </c>
      <c r="V106" s="240" t="str">
        <f t="shared" si="47"/>
        <v/>
      </c>
      <c r="W106" s="240" t="str">
        <f t="shared" si="47"/>
        <v/>
      </c>
      <c r="X106" s="240" t="str">
        <f t="shared" si="47"/>
        <v/>
      </c>
      <c r="Y106" s="240" t="str">
        <f t="shared" si="47"/>
        <v/>
      </c>
      <c r="Z106" s="240" t="str">
        <f t="shared" si="47"/>
        <v/>
      </c>
      <c r="AA106" s="240" t="str">
        <f t="shared" si="47"/>
        <v/>
      </c>
      <c r="AB106" s="240" t="str">
        <f t="shared" si="47"/>
        <v/>
      </c>
      <c r="AC106" s="240" t="str">
        <f t="shared" si="47"/>
        <v/>
      </c>
      <c r="AD106" s="240" t="str">
        <f t="shared" si="47"/>
        <v/>
      </c>
      <c r="AE106" s="240" t="str">
        <f t="shared" si="47"/>
        <v/>
      </c>
      <c r="AF106" s="240" t="str">
        <f t="shared" si="47"/>
        <v/>
      </c>
      <c r="AG106" s="240" t="str">
        <f t="shared" si="47"/>
        <v/>
      </c>
      <c r="AH106" s="240" t="str">
        <f t="shared" si="47"/>
        <v/>
      </c>
      <c r="AI106" s="250" t="str">
        <f t="shared" si="47"/>
        <v/>
      </c>
      <c r="AJ106" s="239" t="str">
        <f t="shared" ref="AJ106:BO106" si="48">IF(COUNTIF(AJ4:AJ100,"e")&gt;0,COUNTIF(AJ4:AJ100,"e"),"")</f>
        <v/>
      </c>
      <c r="AK106" s="240" t="str">
        <f t="shared" si="48"/>
        <v/>
      </c>
      <c r="AL106" s="250" t="str">
        <f t="shared" si="48"/>
        <v/>
      </c>
      <c r="AM106" s="239" t="str">
        <f t="shared" si="48"/>
        <v/>
      </c>
      <c r="AN106" s="240" t="str">
        <f t="shared" si="48"/>
        <v/>
      </c>
      <c r="AO106" s="250" t="str">
        <f t="shared" si="48"/>
        <v/>
      </c>
      <c r="AP106" s="239" t="str">
        <f t="shared" si="48"/>
        <v/>
      </c>
      <c r="AQ106" s="240" t="str">
        <f t="shared" si="48"/>
        <v/>
      </c>
      <c r="AR106" s="240" t="str">
        <f t="shared" si="48"/>
        <v/>
      </c>
      <c r="AS106" s="240" t="str">
        <f t="shared" si="48"/>
        <v/>
      </c>
      <c r="AT106" s="250" t="str">
        <f t="shared" si="48"/>
        <v/>
      </c>
      <c r="AU106" s="239">
        <f t="shared" si="48"/>
        <v>6</v>
      </c>
      <c r="AV106" s="240">
        <f t="shared" si="48"/>
        <v>7</v>
      </c>
      <c r="AW106" s="240" t="str">
        <f t="shared" si="48"/>
        <v/>
      </c>
      <c r="AX106" s="240">
        <f t="shared" si="48"/>
        <v>5</v>
      </c>
      <c r="AY106" s="240">
        <f t="shared" si="48"/>
        <v>4</v>
      </c>
      <c r="AZ106" s="240">
        <f t="shared" si="48"/>
        <v>2</v>
      </c>
      <c r="BA106" s="240">
        <f t="shared" si="48"/>
        <v>2</v>
      </c>
      <c r="BB106" s="250">
        <f t="shared" si="48"/>
        <v>2</v>
      </c>
      <c r="BC106" s="239">
        <f t="shared" si="48"/>
        <v>3</v>
      </c>
      <c r="BD106" s="240" t="str">
        <f t="shared" si="48"/>
        <v/>
      </c>
      <c r="BE106" s="240" t="str">
        <f t="shared" si="48"/>
        <v/>
      </c>
      <c r="BF106" s="240">
        <f t="shared" si="48"/>
        <v>2</v>
      </c>
      <c r="BG106" s="250" t="str">
        <f t="shared" si="48"/>
        <v/>
      </c>
      <c r="BH106" s="239" t="str">
        <f t="shared" si="48"/>
        <v/>
      </c>
      <c r="BI106" s="240">
        <f t="shared" si="48"/>
        <v>1</v>
      </c>
      <c r="BJ106" s="250" t="str">
        <f t="shared" si="48"/>
        <v/>
      </c>
      <c r="BK106" s="239">
        <f t="shared" si="48"/>
        <v>1</v>
      </c>
      <c r="BL106" s="240" t="str">
        <f t="shared" si="48"/>
        <v/>
      </c>
      <c r="BM106" s="240" t="str">
        <f t="shared" si="48"/>
        <v/>
      </c>
      <c r="BN106" s="250">
        <f t="shared" si="48"/>
        <v>1</v>
      </c>
      <c r="BO106" s="239" t="str">
        <f t="shared" si="48"/>
        <v/>
      </c>
      <c r="BP106" s="240">
        <f t="shared" ref="BP106:CI106" si="49">IF(COUNTIF(BP4:BP100,"e")&gt;0,COUNTIF(BP4:BP100,"e"),"")</f>
        <v>4</v>
      </c>
      <c r="BQ106" s="240" t="str">
        <f t="shared" si="49"/>
        <v/>
      </c>
      <c r="BR106" s="240" t="str">
        <f t="shared" si="49"/>
        <v/>
      </c>
      <c r="BS106" s="240" t="str">
        <f t="shared" si="49"/>
        <v/>
      </c>
      <c r="BT106" s="240">
        <f t="shared" si="49"/>
        <v>2</v>
      </c>
      <c r="BU106" s="240">
        <f t="shared" si="49"/>
        <v>1</v>
      </c>
      <c r="BV106" s="250" t="str">
        <f t="shared" si="49"/>
        <v/>
      </c>
      <c r="BW106" s="239">
        <f t="shared" si="49"/>
        <v>5</v>
      </c>
      <c r="BX106" s="240" t="str">
        <f t="shared" si="49"/>
        <v/>
      </c>
      <c r="BY106" s="240">
        <f t="shared" si="49"/>
        <v>7</v>
      </c>
      <c r="BZ106" s="240">
        <f t="shared" si="49"/>
        <v>5</v>
      </c>
      <c r="CA106" s="240">
        <f t="shared" si="49"/>
        <v>13</v>
      </c>
      <c r="CB106" s="250">
        <f t="shared" si="49"/>
        <v>9</v>
      </c>
      <c r="CC106" s="239" t="str">
        <f t="shared" si="49"/>
        <v/>
      </c>
      <c r="CD106" s="240">
        <f t="shared" si="49"/>
        <v>2</v>
      </c>
      <c r="CE106" s="250" t="str">
        <f t="shared" si="49"/>
        <v/>
      </c>
      <c r="CF106" s="239" t="str">
        <f t="shared" si="49"/>
        <v/>
      </c>
      <c r="CG106" s="240" t="str">
        <f t="shared" si="49"/>
        <v/>
      </c>
      <c r="CH106" s="240" t="str">
        <f t="shared" si="49"/>
        <v/>
      </c>
      <c r="CI106" s="241" t="str">
        <f t="shared" si="49"/>
        <v/>
      </c>
    </row>
    <row r="107" spans="2:105" ht="12.75" customHeight="1" thickTop="1" thickBot="1" x14ac:dyDescent="0.3">
      <c r="B107" s="437"/>
      <c r="C107" s="248"/>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c r="AD107" s="249"/>
      <c r="AE107" s="249"/>
      <c r="AF107" s="249"/>
      <c r="AG107" s="249"/>
      <c r="AH107" s="249"/>
      <c r="AI107" s="249"/>
      <c r="AJ107" s="249"/>
      <c r="AK107" s="249"/>
      <c r="AL107" s="249"/>
      <c r="AM107" s="249"/>
      <c r="AN107" s="249"/>
      <c r="AO107" s="249"/>
      <c r="AP107" s="249"/>
      <c r="AQ107" s="249"/>
      <c r="AR107" s="249"/>
      <c r="AS107" s="249"/>
      <c r="AT107" s="249"/>
      <c r="AU107" s="249"/>
      <c r="AV107" s="249"/>
      <c r="AW107" s="249"/>
      <c r="AX107" s="249"/>
      <c r="AY107" s="249"/>
      <c r="AZ107" s="249"/>
      <c r="BA107" s="249"/>
      <c r="BB107" s="249"/>
      <c r="BC107" s="249"/>
      <c r="BD107" s="249"/>
      <c r="BE107" s="249"/>
      <c r="BF107" s="249"/>
      <c r="BG107" s="249"/>
      <c r="BH107" s="249"/>
      <c r="BI107" s="249"/>
      <c r="BJ107" s="249"/>
      <c r="BK107" s="249"/>
      <c r="BL107" s="249"/>
      <c r="BM107" s="249"/>
      <c r="BN107" s="249"/>
      <c r="BO107" s="249"/>
      <c r="BP107" s="249"/>
      <c r="BQ107" s="249"/>
      <c r="BR107" s="249"/>
      <c r="BS107" s="249"/>
      <c r="BT107" s="249"/>
      <c r="BU107" s="249"/>
      <c r="BV107" s="249"/>
      <c r="BW107" s="249"/>
      <c r="BX107" s="249"/>
      <c r="BY107" s="249"/>
      <c r="BZ107" s="249"/>
      <c r="CA107" s="249"/>
      <c r="CB107" s="249"/>
      <c r="CC107" s="249"/>
      <c r="CD107" s="249"/>
      <c r="CE107" s="249"/>
      <c r="CF107" s="249"/>
      <c r="CG107" s="249"/>
      <c r="CH107" s="249"/>
      <c r="CI107" s="249"/>
    </row>
    <row r="108" spans="2:105" ht="16.5" thickTop="1" thickBot="1" x14ac:dyDescent="0.3"/>
    <row r="109" spans="2:105" ht="16.5" thickTop="1" thickBot="1" x14ac:dyDescent="0.3">
      <c r="C109" s="297" t="s">
        <v>222</v>
      </c>
      <c r="D109" s="232">
        <f t="shared" ref="D109:AI109" si="50">SUM(D102:D106)</f>
        <v>0</v>
      </c>
      <c r="E109" s="246">
        <f t="shared" si="50"/>
        <v>0</v>
      </c>
      <c r="F109" s="246">
        <f t="shared" si="50"/>
        <v>0</v>
      </c>
      <c r="G109" s="246">
        <f t="shared" si="50"/>
        <v>0</v>
      </c>
      <c r="H109" s="246">
        <f t="shared" si="50"/>
        <v>0</v>
      </c>
      <c r="I109" s="246">
        <f t="shared" si="50"/>
        <v>0</v>
      </c>
      <c r="J109" s="246">
        <f t="shared" si="50"/>
        <v>0</v>
      </c>
      <c r="K109" s="244">
        <f t="shared" si="50"/>
        <v>0</v>
      </c>
      <c r="L109" s="245">
        <f t="shared" si="50"/>
        <v>0</v>
      </c>
      <c r="M109" s="246">
        <f t="shared" si="50"/>
        <v>0</v>
      </c>
      <c r="N109" s="246">
        <f t="shared" si="50"/>
        <v>0</v>
      </c>
      <c r="O109" s="244">
        <f t="shared" si="50"/>
        <v>0</v>
      </c>
      <c r="P109" s="245">
        <f t="shared" si="50"/>
        <v>0</v>
      </c>
      <c r="Q109" s="246">
        <f t="shared" si="50"/>
        <v>0</v>
      </c>
      <c r="R109" s="246">
        <f t="shared" si="50"/>
        <v>0</v>
      </c>
      <c r="S109" s="246">
        <f t="shared" si="50"/>
        <v>0</v>
      </c>
      <c r="T109" s="246">
        <f t="shared" si="50"/>
        <v>0</v>
      </c>
      <c r="U109" s="246">
        <f t="shared" si="50"/>
        <v>0</v>
      </c>
      <c r="V109" s="246">
        <f t="shared" si="50"/>
        <v>0</v>
      </c>
      <c r="W109" s="246">
        <f t="shared" si="50"/>
        <v>0</v>
      </c>
      <c r="X109" s="246">
        <f t="shared" si="50"/>
        <v>0</v>
      </c>
      <c r="Y109" s="246">
        <f t="shared" si="50"/>
        <v>0</v>
      </c>
      <c r="Z109" s="246">
        <f t="shared" si="50"/>
        <v>0</v>
      </c>
      <c r="AA109" s="246">
        <f t="shared" si="50"/>
        <v>0</v>
      </c>
      <c r="AB109" s="246">
        <f t="shared" si="50"/>
        <v>0</v>
      </c>
      <c r="AC109" s="246">
        <f t="shared" si="50"/>
        <v>0</v>
      </c>
      <c r="AD109" s="246">
        <f t="shared" si="50"/>
        <v>0</v>
      </c>
      <c r="AE109" s="246">
        <f t="shared" si="50"/>
        <v>0</v>
      </c>
      <c r="AF109" s="246">
        <f t="shared" si="50"/>
        <v>0</v>
      </c>
      <c r="AG109" s="246">
        <f t="shared" si="50"/>
        <v>0</v>
      </c>
      <c r="AH109" s="246">
        <f t="shared" si="50"/>
        <v>0</v>
      </c>
      <c r="AI109" s="244">
        <f t="shared" si="50"/>
        <v>0</v>
      </c>
      <c r="AJ109" s="245">
        <f t="shared" ref="AJ109:BO109" si="51">SUM(AJ102:AJ106)</f>
        <v>0</v>
      </c>
      <c r="AK109" s="246">
        <f t="shared" si="51"/>
        <v>0</v>
      </c>
      <c r="AL109" s="244">
        <f t="shared" si="51"/>
        <v>0</v>
      </c>
      <c r="AM109" s="245">
        <f t="shared" si="51"/>
        <v>0</v>
      </c>
      <c r="AN109" s="246">
        <f t="shared" si="51"/>
        <v>0</v>
      </c>
      <c r="AO109" s="244">
        <f t="shared" si="51"/>
        <v>0</v>
      </c>
      <c r="AP109" s="245">
        <f t="shared" si="51"/>
        <v>0</v>
      </c>
      <c r="AQ109" s="246">
        <f t="shared" si="51"/>
        <v>0</v>
      </c>
      <c r="AR109" s="246">
        <f t="shared" si="51"/>
        <v>0</v>
      </c>
      <c r="AS109" s="246">
        <f t="shared" si="51"/>
        <v>0</v>
      </c>
      <c r="AT109" s="244">
        <f t="shared" si="51"/>
        <v>0</v>
      </c>
      <c r="AU109" s="245">
        <f t="shared" si="51"/>
        <v>62</v>
      </c>
      <c r="AV109" s="246">
        <f t="shared" si="51"/>
        <v>65</v>
      </c>
      <c r="AW109" s="246">
        <f t="shared" si="51"/>
        <v>65</v>
      </c>
      <c r="AX109" s="246">
        <f t="shared" si="51"/>
        <v>65</v>
      </c>
      <c r="AY109" s="246">
        <f t="shared" si="51"/>
        <v>65</v>
      </c>
      <c r="AZ109" s="246">
        <f t="shared" si="51"/>
        <v>27</v>
      </c>
      <c r="BA109" s="246">
        <f t="shared" si="51"/>
        <v>29</v>
      </c>
      <c r="BB109" s="244">
        <f t="shared" si="51"/>
        <v>59</v>
      </c>
      <c r="BC109" s="245">
        <f t="shared" si="51"/>
        <v>65</v>
      </c>
      <c r="BD109" s="246">
        <f t="shared" si="51"/>
        <v>60</v>
      </c>
      <c r="BE109" s="246">
        <f t="shared" si="51"/>
        <v>0</v>
      </c>
      <c r="BF109" s="246">
        <f t="shared" si="51"/>
        <v>40</v>
      </c>
      <c r="BG109" s="244">
        <f t="shared" si="51"/>
        <v>0</v>
      </c>
      <c r="BH109" s="245">
        <f t="shared" si="51"/>
        <v>0</v>
      </c>
      <c r="BI109" s="246">
        <f t="shared" si="51"/>
        <v>27</v>
      </c>
      <c r="BJ109" s="244">
        <f t="shared" si="51"/>
        <v>0</v>
      </c>
      <c r="BK109" s="245">
        <f t="shared" si="51"/>
        <v>30</v>
      </c>
      <c r="BL109" s="246">
        <f t="shared" si="51"/>
        <v>35</v>
      </c>
      <c r="BM109" s="246">
        <f t="shared" si="51"/>
        <v>0</v>
      </c>
      <c r="BN109" s="244">
        <f t="shared" si="51"/>
        <v>31</v>
      </c>
      <c r="BO109" s="245">
        <f t="shared" si="51"/>
        <v>45</v>
      </c>
      <c r="BP109" s="246">
        <f t="shared" ref="BP109:CI109" si="52">SUM(BP102:BP106)</f>
        <v>43</v>
      </c>
      <c r="BQ109" s="246">
        <f t="shared" si="52"/>
        <v>36</v>
      </c>
      <c r="BR109" s="246">
        <f t="shared" si="52"/>
        <v>0</v>
      </c>
      <c r="BS109" s="246">
        <f t="shared" si="52"/>
        <v>39</v>
      </c>
      <c r="BT109" s="246">
        <f t="shared" si="52"/>
        <v>38</v>
      </c>
      <c r="BU109" s="246">
        <f t="shared" si="52"/>
        <v>65</v>
      </c>
      <c r="BV109" s="244">
        <f t="shared" si="52"/>
        <v>0</v>
      </c>
      <c r="BW109" s="245">
        <f t="shared" si="52"/>
        <v>63</v>
      </c>
      <c r="BX109" s="246">
        <f t="shared" si="52"/>
        <v>28</v>
      </c>
      <c r="BY109" s="246">
        <f t="shared" si="52"/>
        <v>48</v>
      </c>
      <c r="BZ109" s="246">
        <f t="shared" si="52"/>
        <v>56</v>
      </c>
      <c r="CA109" s="246">
        <f t="shared" si="52"/>
        <v>60</v>
      </c>
      <c r="CB109" s="244">
        <f t="shared" si="52"/>
        <v>54</v>
      </c>
      <c r="CC109" s="245">
        <f t="shared" si="52"/>
        <v>15</v>
      </c>
      <c r="CD109" s="246">
        <f t="shared" si="52"/>
        <v>47</v>
      </c>
      <c r="CE109" s="244">
        <f t="shared" si="52"/>
        <v>0</v>
      </c>
      <c r="CF109" s="245">
        <f t="shared" si="52"/>
        <v>0</v>
      </c>
      <c r="CG109" s="246">
        <f t="shared" si="52"/>
        <v>0</v>
      </c>
      <c r="CH109" s="246">
        <f t="shared" si="52"/>
        <v>0</v>
      </c>
      <c r="CI109" s="247">
        <f t="shared" si="52"/>
        <v>0</v>
      </c>
    </row>
    <row r="110" spans="2:105" ht="15.75" thickTop="1" x14ac:dyDescent="0.25"/>
  </sheetData>
  <mergeCells count="27">
    <mergeCell ref="B39:B51"/>
    <mergeCell ref="B52:B60"/>
    <mergeCell ref="B61:B79"/>
    <mergeCell ref="B102:B107"/>
    <mergeCell ref="B80:B95"/>
    <mergeCell ref="B96:B100"/>
    <mergeCell ref="AU1:BB1"/>
    <mergeCell ref="BC1:BG1"/>
    <mergeCell ref="BH1:BJ1"/>
    <mergeCell ref="BK1:BN1"/>
    <mergeCell ref="B28:B38"/>
    <mergeCell ref="B18:B27"/>
    <mergeCell ref="CQ1:CU1"/>
    <mergeCell ref="CW1:DA1"/>
    <mergeCell ref="A1:C1"/>
    <mergeCell ref="BO1:BV1"/>
    <mergeCell ref="BW1:CB1"/>
    <mergeCell ref="CC1:CE1"/>
    <mergeCell ref="CF1:CI1"/>
    <mergeCell ref="D1:K1"/>
    <mergeCell ref="L1:O1"/>
    <mergeCell ref="P1:AI1"/>
    <mergeCell ref="AJ1:AL1"/>
    <mergeCell ref="B4:B17"/>
    <mergeCell ref="CK1:CO1"/>
    <mergeCell ref="AM1:AO1"/>
    <mergeCell ref="AP1:AT1"/>
  </mergeCells>
  <conditionalFormatting sqref="D4:K16">
    <cfRule type="cellIs" dxfId="4497" priority="1" stopIfTrue="1" operator="equal">
      <formula>"E"</formula>
    </cfRule>
    <cfRule type="cellIs" dxfId="4496" priority="2" stopIfTrue="1" operator="equal">
      <formula>"S"</formula>
    </cfRule>
    <cfRule type="cellIs" dxfId="4495" priority="3" stopIfTrue="1" operator="equal">
      <formula>"M"</formula>
    </cfRule>
    <cfRule type="cellIs" dxfId="4494" priority="4" stopIfTrue="1" operator="equal">
      <formula>"J"</formula>
    </cfRule>
    <cfRule type="cellIs" dxfId="4493" priority="5" stopIfTrue="1" operator="equal">
      <formula>"O"</formula>
    </cfRule>
    <cfRule type="expression" dxfId="4492" priority="6" stopIfTrue="1">
      <formula>LEN(TRIM(D4))=0</formula>
    </cfRule>
  </conditionalFormatting>
  <conditionalFormatting sqref="D18:K26">
    <cfRule type="cellIs" dxfId="4491" priority="7" stopIfTrue="1" operator="equal">
      <formula>"E"</formula>
    </cfRule>
    <cfRule type="cellIs" dxfId="4490" priority="8" stopIfTrue="1" operator="equal">
      <formula>"S"</formula>
    </cfRule>
    <cfRule type="cellIs" dxfId="4489" priority="9" stopIfTrue="1" operator="equal">
      <formula>"M"</formula>
    </cfRule>
    <cfRule type="cellIs" dxfId="4488" priority="10" stopIfTrue="1" operator="equal">
      <formula>"J"</formula>
    </cfRule>
    <cfRule type="cellIs" dxfId="4487" priority="11" stopIfTrue="1" operator="equal">
      <formula>"O"</formula>
    </cfRule>
    <cfRule type="expression" dxfId="4486" priority="12" stopIfTrue="1">
      <formula>LEN(TRIM(D18))=0</formula>
    </cfRule>
  </conditionalFormatting>
  <conditionalFormatting sqref="D28:K37">
    <cfRule type="cellIs" dxfId="4485" priority="13" stopIfTrue="1" operator="equal">
      <formula>"E"</formula>
    </cfRule>
    <cfRule type="cellIs" dxfId="4484" priority="14" stopIfTrue="1" operator="equal">
      <formula>"S"</formula>
    </cfRule>
    <cfRule type="cellIs" dxfId="4483" priority="15" stopIfTrue="1" operator="equal">
      <formula>"M"</formula>
    </cfRule>
    <cfRule type="cellIs" dxfId="4482" priority="16" stopIfTrue="1" operator="equal">
      <formula>"J"</formula>
    </cfRule>
    <cfRule type="cellIs" dxfId="4481" priority="17" stopIfTrue="1" operator="equal">
      <formula>"O"</formula>
    </cfRule>
    <cfRule type="expression" dxfId="4480" priority="18" stopIfTrue="1">
      <formula>LEN(TRIM(D28))=0</formula>
    </cfRule>
  </conditionalFormatting>
  <conditionalFormatting sqref="D39:K50">
    <cfRule type="cellIs" dxfId="4479" priority="19" stopIfTrue="1" operator="equal">
      <formula>"E"</formula>
    </cfRule>
    <cfRule type="cellIs" dxfId="4478" priority="20" stopIfTrue="1" operator="equal">
      <formula>"S"</formula>
    </cfRule>
    <cfRule type="cellIs" dxfId="4477" priority="21" stopIfTrue="1" operator="equal">
      <formula>"M"</formula>
    </cfRule>
    <cfRule type="cellIs" dxfId="4476" priority="22" stopIfTrue="1" operator="equal">
      <formula>"J"</formula>
    </cfRule>
    <cfRule type="cellIs" dxfId="4475" priority="23" stopIfTrue="1" operator="equal">
      <formula>"O"</formula>
    </cfRule>
    <cfRule type="expression" dxfId="4474" priority="24" stopIfTrue="1">
      <formula>LEN(TRIM(D39))=0</formula>
    </cfRule>
  </conditionalFormatting>
  <conditionalFormatting sqref="D52:K59">
    <cfRule type="cellIs" dxfId="4473" priority="25" stopIfTrue="1" operator="equal">
      <formula>"E"</formula>
    </cfRule>
    <cfRule type="cellIs" dxfId="4472" priority="26" stopIfTrue="1" operator="equal">
      <formula>"S"</formula>
    </cfRule>
    <cfRule type="cellIs" dxfId="4471" priority="27" stopIfTrue="1" operator="equal">
      <formula>"M"</formula>
    </cfRule>
    <cfRule type="cellIs" dxfId="4470" priority="28" stopIfTrue="1" operator="equal">
      <formula>"J"</formula>
    </cfRule>
    <cfRule type="cellIs" dxfId="4469" priority="29" stopIfTrue="1" operator="equal">
      <formula>"O"</formula>
    </cfRule>
    <cfRule type="expression" dxfId="4468" priority="30" stopIfTrue="1">
      <formula>LEN(TRIM(D52))=0</formula>
    </cfRule>
  </conditionalFormatting>
  <conditionalFormatting sqref="D61:K78">
    <cfRule type="cellIs" dxfId="4467" priority="31" stopIfTrue="1" operator="equal">
      <formula>"E"</formula>
    </cfRule>
    <cfRule type="cellIs" dxfId="4466" priority="32" stopIfTrue="1" operator="equal">
      <formula>"S"</formula>
    </cfRule>
    <cfRule type="cellIs" dxfId="4465" priority="33" stopIfTrue="1" operator="equal">
      <formula>"M"</formula>
    </cfRule>
    <cfRule type="cellIs" dxfId="4464" priority="34" stopIfTrue="1" operator="equal">
      <formula>"J"</formula>
    </cfRule>
    <cfRule type="cellIs" dxfId="4463" priority="35" stopIfTrue="1" operator="equal">
      <formula>"O"</formula>
    </cfRule>
    <cfRule type="expression" dxfId="4462" priority="36" stopIfTrue="1">
      <formula>LEN(TRIM(D61))=0</formula>
    </cfRule>
  </conditionalFormatting>
  <conditionalFormatting sqref="D80:K94">
    <cfRule type="cellIs" dxfId="4461" priority="37" stopIfTrue="1" operator="equal">
      <formula>"E"</formula>
    </cfRule>
    <cfRule type="cellIs" dxfId="4460" priority="38" stopIfTrue="1" operator="equal">
      <formula>"S"</formula>
    </cfRule>
    <cfRule type="cellIs" dxfId="4459" priority="39" stopIfTrue="1" operator="equal">
      <formula>"M"</formula>
    </cfRule>
    <cfRule type="cellIs" dxfId="4458" priority="40" stopIfTrue="1" operator="equal">
      <formula>"J"</formula>
    </cfRule>
    <cfRule type="cellIs" dxfId="4457" priority="41" stopIfTrue="1" operator="equal">
      <formula>"O"</formula>
    </cfRule>
    <cfRule type="expression" dxfId="4456" priority="42" stopIfTrue="1">
      <formula>LEN(TRIM(D80))=0</formula>
    </cfRule>
  </conditionalFormatting>
  <conditionalFormatting sqref="D96:K99">
    <cfRule type="cellIs" dxfId="4455" priority="43" stopIfTrue="1" operator="equal">
      <formula>"E"</formula>
    </cfRule>
    <cfRule type="cellIs" dxfId="4454" priority="44" stopIfTrue="1" operator="equal">
      <formula>"S"</formula>
    </cfRule>
    <cfRule type="cellIs" dxfId="4453" priority="45" stopIfTrue="1" operator="equal">
      <formula>"M"</formula>
    </cfRule>
    <cfRule type="cellIs" dxfId="4452" priority="46" stopIfTrue="1" operator="equal">
      <formula>"J"</formula>
    </cfRule>
    <cfRule type="cellIs" dxfId="4451" priority="47" stopIfTrue="1" operator="equal">
      <formula>"O"</formula>
    </cfRule>
    <cfRule type="expression" dxfId="4450" priority="48" stopIfTrue="1">
      <formula>LEN(TRIM(D96))=0</formula>
    </cfRule>
  </conditionalFormatting>
  <conditionalFormatting sqref="D102:K106">
    <cfRule type="cellIs" dxfId="4449" priority="49" stopIfTrue="1" operator="equal">
      <formula>"E"</formula>
    </cfRule>
    <cfRule type="cellIs" dxfId="4448" priority="50" stopIfTrue="1" operator="equal">
      <formula>"S"</formula>
    </cfRule>
    <cfRule type="cellIs" dxfId="4447" priority="51" stopIfTrue="1" operator="equal">
      <formula>"M"</formula>
    </cfRule>
    <cfRule type="cellIs" dxfId="4446" priority="52" stopIfTrue="1" operator="equal">
      <formula>"J"</formula>
    </cfRule>
    <cfRule type="cellIs" dxfId="4445" priority="53" stopIfTrue="1" operator="equal">
      <formula>"O"</formula>
    </cfRule>
    <cfRule type="expression" dxfId="4444" priority="54" stopIfTrue="1">
      <formula>LEN(TRIM(D102))=0</formula>
    </cfRule>
  </conditionalFormatting>
  <conditionalFormatting sqref="D109:K109">
    <cfRule type="cellIs" dxfId="4443" priority="55" stopIfTrue="1" operator="equal">
      <formula>"E"</formula>
    </cfRule>
    <cfRule type="cellIs" dxfId="4442" priority="56" stopIfTrue="1" operator="equal">
      <formula>"S"</formula>
    </cfRule>
    <cfRule type="cellIs" dxfId="4441" priority="57" stopIfTrue="1" operator="equal">
      <formula>"M"</formula>
    </cfRule>
    <cfRule type="cellIs" dxfId="4440" priority="58" stopIfTrue="1" operator="equal">
      <formula>"J"</formula>
    </cfRule>
    <cfRule type="cellIs" dxfId="4439" priority="59" stopIfTrue="1" operator="equal">
      <formula>"O"</formula>
    </cfRule>
    <cfRule type="expression" dxfId="4438" priority="60" stopIfTrue="1">
      <formula>LEN(TRIM(D109))=0</formula>
    </cfRule>
  </conditionalFormatting>
  <conditionalFormatting sqref="L4:O16">
    <cfRule type="cellIs" dxfId="4437" priority="61" stopIfTrue="1" operator="equal">
      <formula>"E"</formula>
    </cfRule>
    <cfRule type="cellIs" dxfId="4436" priority="62" stopIfTrue="1" operator="equal">
      <formula>"S"</formula>
    </cfRule>
    <cfRule type="cellIs" dxfId="4435" priority="63" stopIfTrue="1" operator="equal">
      <formula>"M"</formula>
    </cfRule>
    <cfRule type="cellIs" dxfId="4434" priority="64" stopIfTrue="1" operator="equal">
      <formula>"J"</formula>
    </cfRule>
    <cfRule type="cellIs" dxfId="4433" priority="65" stopIfTrue="1" operator="equal">
      <formula>"O"</formula>
    </cfRule>
    <cfRule type="expression" dxfId="4432" priority="66" stopIfTrue="1">
      <formula>LEN(TRIM(L4))=0</formula>
    </cfRule>
  </conditionalFormatting>
  <conditionalFormatting sqref="L18:O26">
    <cfRule type="cellIs" dxfId="4431" priority="67" stopIfTrue="1" operator="equal">
      <formula>"E"</formula>
    </cfRule>
    <cfRule type="cellIs" dxfId="4430" priority="68" stopIfTrue="1" operator="equal">
      <formula>"S"</formula>
    </cfRule>
    <cfRule type="cellIs" dxfId="4429" priority="69" stopIfTrue="1" operator="equal">
      <formula>"M"</formula>
    </cfRule>
    <cfRule type="cellIs" dxfId="4428" priority="70" stopIfTrue="1" operator="equal">
      <formula>"J"</formula>
    </cfRule>
    <cfRule type="cellIs" dxfId="4427" priority="71" stopIfTrue="1" operator="equal">
      <formula>"O"</formula>
    </cfRule>
    <cfRule type="expression" dxfId="4426" priority="72" stopIfTrue="1">
      <formula>LEN(TRIM(L18))=0</formula>
    </cfRule>
  </conditionalFormatting>
  <conditionalFormatting sqref="L28:O37">
    <cfRule type="cellIs" dxfId="4425" priority="73" stopIfTrue="1" operator="equal">
      <formula>"E"</formula>
    </cfRule>
    <cfRule type="cellIs" dxfId="4424" priority="74" stopIfTrue="1" operator="equal">
      <formula>"S"</formula>
    </cfRule>
    <cfRule type="cellIs" dxfId="4423" priority="75" stopIfTrue="1" operator="equal">
      <formula>"M"</formula>
    </cfRule>
    <cfRule type="cellIs" dxfId="4422" priority="76" stopIfTrue="1" operator="equal">
      <formula>"J"</formula>
    </cfRule>
    <cfRule type="cellIs" dxfId="4421" priority="77" stopIfTrue="1" operator="equal">
      <formula>"O"</formula>
    </cfRule>
    <cfRule type="expression" dxfId="4420" priority="78" stopIfTrue="1">
      <formula>LEN(TRIM(L28))=0</formula>
    </cfRule>
  </conditionalFormatting>
  <conditionalFormatting sqref="L39:O50">
    <cfRule type="cellIs" dxfId="4419" priority="79" stopIfTrue="1" operator="equal">
      <formula>"E"</formula>
    </cfRule>
    <cfRule type="cellIs" dxfId="4418" priority="80" stopIfTrue="1" operator="equal">
      <formula>"S"</formula>
    </cfRule>
    <cfRule type="cellIs" dxfId="4417" priority="81" stopIfTrue="1" operator="equal">
      <formula>"M"</formula>
    </cfRule>
    <cfRule type="cellIs" dxfId="4416" priority="82" stopIfTrue="1" operator="equal">
      <formula>"J"</formula>
    </cfRule>
    <cfRule type="cellIs" dxfId="4415" priority="83" stopIfTrue="1" operator="equal">
      <formula>"O"</formula>
    </cfRule>
    <cfRule type="expression" dxfId="4414" priority="84" stopIfTrue="1">
      <formula>LEN(TRIM(L39))=0</formula>
    </cfRule>
  </conditionalFormatting>
  <conditionalFormatting sqref="L52:O59">
    <cfRule type="cellIs" dxfId="4413" priority="85" stopIfTrue="1" operator="equal">
      <formula>"E"</formula>
    </cfRule>
    <cfRule type="cellIs" dxfId="4412" priority="86" stopIfTrue="1" operator="equal">
      <formula>"S"</formula>
    </cfRule>
    <cfRule type="cellIs" dxfId="4411" priority="87" stopIfTrue="1" operator="equal">
      <formula>"M"</formula>
    </cfRule>
    <cfRule type="cellIs" dxfId="4410" priority="88" stopIfTrue="1" operator="equal">
      <formula>"J"</formula>
    </cfRule>
    <cfRule type="cellIs" dxfId="4409" priority="89" stopIfTrue="1" operator="equal">
      <formula>"O"</formula>
    </cfRule>
    <cfRule type="expression" dxfId="4408" priority="90" stopIfTrue="1">
      <formula>LEN(TRIM(L52))=0</formula>
    </cfRule>
  </conditionalFormatting>
  <conditionalFormatting sqref="L61:O78">
    <cfRule type="cellIs" dxfId="4407" priority="91" stopIfTrue="1" operator="equal">
      <formula>"E"</formula>
    </cfRule>
    <cfRule type="cellIs" dxfId="4406" priority="92" stopIfTrue="1" operator="equal">
      <formula>"S"</formula>
    </cfRule>
    <cfRule type="cellIs" dxfId="4405" priority="93" stopIfTrue="1" operator="equal">
      <formula>"M"</formula>
    </cfRule>
    <cfRule type="cellIs" dxfId="4404" priority="94" stopIfTrue="1" operator="equal">
      <formula>"J"</formula>
    </cfRule>
    <cfRule type="cellIs" dxfId="4403" priority="95" stopIfTrue="1" operator="equal">
      <formula>"O"</formula>
    </cfRule>
    <cfRule type="expression" dxfId="4402" priority="96" stopIfTrue="1">
      <formula>LEN(TRIM(L61))=0</formula>
    </cfRule>
  </conditionalFormatting>
  <conditionalFormatting sqref="L80:O94">
    <cfRule type="cellIs" dxfId="4401" priority="97" stopIfTrue="1" operator="equal">
      <formula>"E"</formula>
    </cfRule>
    <cfRule type="cellIs" dxfId="4400" priority="98" stopIfTrue="1" operator="equal">
      <formula>"S"</formula>
    </cfRule>
    <cfRule type="cellIs" dxfId="4399" priority="99" stopIfTrue="1" operator="equal">
      <formula>"M"</formula>
    </cfRule>
    <cfRule type="cellIs" dxfId="4398" priority="100" stopIfTrue="1" operator="equal">
      <formula>"J"</formula>
    </cfRule>
    <cfRule type="cellIs" dxfId="4397" priority="101" stopIfTrue="1" operator="equal">
      <formula>"O"</formula>
    </cfRule>
    <cfRule type="expression" dxfId="4396" priority="102" stopIfTrue="1">
      <formula>LEN(TRIM(L80))=0</formula>
    </cfRule>
  </conditionalFormatting>
  <conditionalFormatting sqref="L96:O99">
    <cfRule type="cellIs" dxfId="4395" priority="103" stopIfTrue="1" operator="equal">
      <formula>"E"</formula>
    </cfRule>
    <cfRule type="cellIs" dxfId="4394" priority="104" stopIfTrue="1" operator="equal">
      <formula>"S"</formula>
    </cfRule>
    <cfRule type="cellIs" dxfId="4393" priority="105" stopIfTrue="1" operator="equal">
      <formula>"M"</formula>
    </cfRule>
    <cfRule type="cellIs" dxfId="4392" priority="106" stopIfTrue="1" operator="equal">
      <formula>"J"</formula>
    </cfRule>
    <cfRule type="cellIs" dxfId="4391" priority="107" stopIfTrue="1" operator="equal">
      <formula>"O"</formula>
    </cfRule>
    <cfRule type="expression" dxfId="4390" priority="108" stopIfTrue="1">
      <formula>LEN(TRIM(L96))=0</formula>
    </cfRule>
  </conditionalFormatting>
  <conditionalFormatting sqref="L102:O106">
    <cfRule type="cellIs" dxfId="4389" priority="109" stopIfTrue="1" operator="equal">
      <formula>"E"</formula>
    </cfRule>
    <cfRule type="cellIs" dxfId="4388" priority="110" stopIfTrue="1" operator="equal">
      <formula>"S"</formula>
    </cfRule>
    <cfRule type="cellIs" dxfId="4387" priority="111" stopIfTrue="1" operator="equal">
      <formula>"M"</formula>
    </cfRule>
    <cfRule type="cellIs" dxfId="4386" priority="112" stopIfTrue="1" operator="equal">
      <formula>"J"</formula>
    </cfRule>
    <cfRule type="cellIs" dxfId="4385" priority="113" stopIfTrue="1" operator="equal">
      <formula>"O"</formula>
    </cfRule>
    <cfRule type="expression" dxfId="4384" priority="114" stopIfTrue="1">
      <formula>LEN(TRIM(L102))=0</formula>
    </cfRule>
  </conditionalFormatting>
  <conditionalFormatting sqref="L109:O109">
    <cfRule type="cellIs" dxfId="4383" priority="115" stopIfTrue="1" operator="equal">
      <formula>"E"</formula>
    </cfRule>
    <cfRule type="cellIs" dxfId="4382" priority="116" stopIfTrue="1" operator="equal">
      <formula>"S"</formula>
    </cfRule>
    <cfRule type="cellIs" dxfId="4381" priority="117" stopIfTrue="1" operator="equal">
      <formula>"M"</formula>
    </cfRule>
    <cfRule type="cellIs" dxfId="4380" priority="118" stopIfTrue="1" operator="equal">
      <formula>"J"</formula>
    </cfRule>
    <cfRule type="cellIs" dxfId="4379" priority="119" stopIfTrue="1" operator="equal">
      <formula>"O"</formula>
    </cfRule>
    <cfRule type="expression" dxfId="4378" priority="120" stopIfTrue="1">
      <formula>LEN(TRIM(L109))=0</formula>
    </cfRule>
  </conditionalFormatting>
  <conditionalFormatting sqref="P4:AI16">
    <cfRule type="cellIs" dxfId="4377" priority="121" stopIfTrue="1" operator="equal">
      <formula>"E"</formula>
    </cfRule>
    <cfRule type="cellIs" dxfId="4376" priority="122" stopIfTrue="1" operator="equal">
      <formula>"S"</formula>
    </cfRule>
    <cfRule type="cellIs" dxfId="4375" priority="123" stopIfTrue="1" operator="equal">
      <formula>"M"</formula>
    </cfRule>
    <cfRule type="cellIs" dxfId="4374" priority="124" stopIfTrue="1" operator="equal">
      <formula>"J"</formula>
    </cfRule>
    <cfRule type="cellIs" dxfId="4373" priority="125" stopIfTrue="1" operator="equal">
      <formula>"O"</formula>
    </cfRule>
    <cfRule type="expression" dxfId="4372" priority="126" stopIfTrue="1">
      <formula>LEN(TRIM(P4))=0</formula>
    </cfRule>
  </conditionalFormatting>
  <conditionalFormatting sqref="P18:AI26">
    <cfRule type="cellIs" dxfId="4371" priority="127" stopIfTrue="1" operator="equal">
      <formula>"E"</formula>
    </cfRule>
    <cfRule type="cellIs" dxfId="4370" priority="128" stopIfTrue="1" operator="equal">
      <formula>"S"</formula>
    </cfRule>
    <cfRule type="cellIs" dxfId="4369" priority="129" stopIfTrue="1" operator="equal">
      <formula>"M"</formula>
    </cfRule>
    <cfRule type="cellIs" dxfId="4368" priority="130" stopIfTrue="1" operator="equal">
      <formula>"J"</formula>
    </cfRule>
    <cfRule type="cellIs" dxfId="4367" priority="131" stopIfTrue="1" operator="equal">
      <formula>"O"</formula>
    </cfRule>
    <cfRule type="expression" dxfId="4366" priority="132" stopIfTrue="1">
      <formula>LEN(TRIM(P18))=0</formula>
    </cfRule>
  </conditionalFormatting>
  <conditionalFormatting sqref="P28:AI37">
    <cfRule type="cellIs" dxfId="4365" priority="133" stopIfTrue="1" operator="equal">
      <formula>"E"</formula>
    </cfRule>
    <cfRule type="cellIs" dxfId="4364" priority="134" stopIfTrue="1" operator="equal">
      <formula>"S"</formula>
    </cfRule>
    <cfRule type="cellIs" dxfId="4363" priority="135" stopIfTrue="1" operator="equal">
      <formula>"M"</formula>
    </cfRule>
    <cfRule type="cellIs" dxfId="4362" priority="136" stopIfTrue="1" operator="equal">
      <formula>"J"</formula>
    </cfRule>
    <cfRule type="cellIs" dxfId="4361" priority="137" stopIfTrue="1" operator="equal">
      <formula>"O"</formula>
    </cfRule>
    <cfRule type="expression" dxfId="4360" priority="138" stopIfTrue="1">
      <formula>LEN(TRIM(P28))=0</formula>
    </cfRule>
  </conditionalFormatting>
  <conditionalFormatting sqref="P39:AI50">
    <cfRule type="cellIs" dxfId="4359" priority="139" stopIfTrue="1" operator="equal">
      <formula>"E"</formula>
    </cfRule>
    <cfRule type="cellIs" dxfId="4358" priority="140" stopIfTrue="1" operator="equal">
      <formula>"S"</formula>
    </cfRule>
    <cfRule type="cellIs" dxfId="4357" priority="141" stopIfTrue="1" operator="equal">
      <formula>"M"</formula>
    </cfRule>
    <cfRule type="cellIs" dxfId="4356" priority="142" stopIfTrue="1" operator="equal">
      <formula>"J"</formula>
    </cfRule>
    <cfRule type="cellIs" dxfId="4355" priority="143" stopIfTrue="1" operator="equal">
      <formula>"O"</formula>
    </cfRule>
    <cfRule type="expression" dxfId="4354" priority="144" stopIfTrue="1">
      <formula>LEN(TRIM(P39))=0</formula>
    </cfRule>
  </conditionalFormatting>
  <conditionalFormatting sqref="P52:AI59">
    <cfRule type="cellIs" dxfId="4353" priority="145" stopIfTrue="1" operator="equal">
      <formula>"E"</formula>
    </cfRule>
    <cfRule type="cellIs" dxfId="4352" priority="146" stopIfTrue="1" operator="equal">
      <formula>"S"</formula>
    </cfRule>
    <cfRule type="cellIs" dxfId="4351" priority="147" stopIfTrue="1" operator="equal">
      <formula>"M"</formula>
    </cfRule>
    <cfRule type="cellIs" dxfId="4350" priority="148" stopIfTrue="1" operator="equal">
      <formula>"J"</formula>
    </cfRule>
    <cfRule type="cellIs" dxfId="4349" priority="149" stopIfTrue="1" operator="equal">
      <formula>"O"</formula>
    </cfRule>
    <cfRule type="expression" dxfId="4348" priority="150" stopIfTrue="1">
      <formula>LEN(TRIM(P52))=0</formula>
    </cfRule>
  </conditionalFormatting>
  <conditionalFormatting sqref="P61:AI78">
    <cfRule type="cellIs" dxfId="4347" priority="151" stopIfTrue="1" operator="equal">
      <formula>"E"</formula>
    </cfRule>
  </conditionalFormatting>
  <conditionalFormatting sqref="P61:AI78">
    <cfRule type="cellIs" dxfId="4346" priority="152" stopIfTrue="1" operator="equal">
      <formula>"S"</formula>
    </cfRule>
  </conditionalFormatting>
  <conditionalFormatting sqref="P61:AI78">
    <cfRule type="cellIs" dxfId="4345" priority="153" stopIfTrue="1" operator="equal">
      <formula>"M"</formula>
    </cfRule>
  </conditionalFormatting>
  <conditionalFormatting sqref="P61:AI78">
    <cfRule type="cellIs" dxfId="4344" priority="154" stopIfTrue="1" operator="equal">
      <formula>"J"</formula>
    </cfRule>
  </conditionalFormatting>
  <conditionalFormatting sqref="P61:AI78">
    <cfRule type="cellIs" dxfId="4343" priority="155" stopIfTrue="1" operator="equal">
      <formula>"O"</formula>
    </cfRule>
  </conditionalFormatting>
  <conditionalFormatting sqref="P61:AI78">
    <cfRule type="expression" dxfId="4342" priority="156" stopIfTrue="1">
      <formula>LEN(TRIM(P61))=0</formula>
    </cfRule>
  </conditionalFormatting>
  <conditionalFormatting sqref="P80:AI94">
    <cfRule type="cellIs" dxfId="4341" priority="157" stopIfTrue="1" operator="equal">
      <formula>"E"</formula>
    </cfRule>
  </conditionalFormatting>
  <conditionalFormatting sqref="P80:AI94">
    <cfRule type="cellIs" dxfId="4340" priority="158" stopIfTrue="1" operator="equal">
      <formula>"S"</formula>
    </cfRule>
  </conditionalFormatting>
  <conditionalFormatting sqref="P80:AI94">
    <cfRule type="cellIs" dxfId="4339" priority="159" stopIfTrue="1" operator="equal">
      <formula>"M"</formula>
    </cfRule>
  </conditionalFormatting>
  <conditionalFormatting sqref="P80:AI94">
    <cfRule type="cellIs" dxfId="4338" priority="160" stopIfTrue="1" operator="equal">
      <formula>"J"</formula>
    </cfRule>
  </conditionalFormatting>
  <conditionalFormatting sqref="P80:AI94">
    <cfRule type="cellIs" dxfId="4337" priority="161" stopIfTrue="1" operator="equal">
      <formula>"O"</formula>
    </cfRule>
  </conditionalFormatting>
  <conditionalFormatting sqref="P80:AI94">
    <cfRule type="expression" dxfId="4336" priority="162" stopIfTrue="1">
      <formula>LEN(TRIM(P80))=0</formula>
    </cfRule>
  </conditionalFormatting>
  <conditionalFormatting sqref="P96:AI99">
    <cfRule type="cellIs" dxfId="4335" priority="163" stopIfTrue="1" operator="equal">
      <formula>"E"</formula>
    </cfRule>
  </conditionalFormatting>
  <conditionalFormatting sqref="P96:AI99">
    <cfRule type="cellIs" dxfId="4334" priority="164" stopIfTrue="1" operator="equal">
      <formula>"S"</formula>
    </cfRule>
  </conditionalFormatting>
  <conditionalFormatting sqref="P96:AI99">
    <cfRule type="cellIs" dxfId="4333" priority="165" stopIfTrue="1" operator="equal">
      <formula>"M"</formula>
    </cfRule>
  </conditionalFormatting>
  <conditionalFormatting sqref="P96:AI99">
    <cfRule type="cellIs" dxfId="4332" priority="166" stopIfTrue="1" operator="equal">
      <formula>"J"</formula>
    </cfRule>
  </conditionalFormatting>
  <conditionalFormatting sqref="P96:AI99">
    <cfRule type="cellIs" dxfId="4331" priority="167" stopIfTrue="1" operator="equal">
      <formula>"O"</formula>
    </cfRule>
  </conditionalFormatting>
  <conditionalFormatting sqref="P96:AI99">
    <cfRule type="expression" dxfId="4330" priority="168" stopIfTrue="1">
      <formula>LEN(TRIM(P96))=0</formula>
    </cfRule>
  </conditionalFormatting>
  <conditionalFormatting sqref="P102:AI106">
    <cfRule type="cellIs" dxfId="4329" priority="169" stopIfTrue="1" operator="equal">
      <formula>"E"</formula>
    </cfRule>
  </conditionalFormatting>
  <conditionalFormatting sqref="P102:AI106">
    <cfRule type="cellIs" dxfId="4328" priority="170" stopIfTrue="1" operator="equal">
      <formula>"S"</formula>
    </cfRule>
  </conditionalFormatting>
  <conditionalFormatting sqref="P102:AI106">
    <cfRule type="cellIs" dxfId="4327" priority="171" stopIfTrue="1" operator="equal">
      <formula>"M"</formula>
    </cfRule>
  </conditionalFormatting>
  <conditionalFormatting sqref="P102:AI106">
    <cfRule type="cellIs" dxfId="4326" priority="172" stopIfTrue="1" operator="equal">
      <formula>"J"</formula>
    </cfRule>
  </conditionalFormatting>
  <conditionalFormatting sqref="P102:AI106">
    <cfRule type="cellIs" dxfId="4325" priority="173" stopIfTrue="1" operator="equal">
      <formula>"O"</formula>
    </cfRule>
  </conditionalFormatting>
  <conditionalFormatting sqref="P102:AI106">
    <cfRule type="expression" dxfId="4324" priority="174" stopIfTrue="1">
      <formula>LEN(TRIM(P102))=0</formula>
    </cfRule>
  </conditionalFormatting>
  <conditionalFormatting sqref="P109:AI109">
    <cfRule type="cellIs" dxfId="4323" priority="175" stopIfTrue="1" operator="equal">
      <formula>"E"</formula>
    </cfRule>
  </conditionalFormatting>
  <conditionalFormatting sqref="P109:AI109">
    <cfRule type="cellIs" dxfId="4322" priority="176" stopIfTrue="1" operator="equal">
      <formula>"S"</formula>
    </cfRule>
  </conditionalFormatting>
  <conditionalFormatting sqref="P109:AI109">
    <cfRule type="cellIs" dxfId="4321" priority="177" stopIfTrue="1" operator="equal">
      <formula>"M"</formula>
    </cfRule>
  </conditionalFormatting>
  <conditionalFormatting sqref="P109:AI109">
    <cfRule type="cellIs" dxfId="4320" priority="178" stopIfTrue="1" operator="equal">
      <formula>"J"</formula>
    </cfRule>
  </conditionalFormatting>
  <conditionalFormatting sqref="P109:AI109">
    <cfRule type="cellIs" dxfId="4319" priority="179" stopIfTrue="1" operator="equal">
      <formula>"O"</formula>
    </cfRule>
  </conditionalFormatting>
  <conditionalFormatting sqref="P109:AI109">
    <cfRule type="expression" dxfId="4318" priority="180" stopIfTrue="1">
      <formula>LEN(TRIM(P109))=0</formula>
    </cfRule>
  </conditionalFormatting>
  <conditionalFormatting sqref="AJ4:AL16">
    <cfRule type="cellIs" dxfId="4317" priority="181" stopIfTrue="1" operator="equal">
      <formula>"E"</formula>
    </cfRule>
    <cfRule type="cellIs" dxfId="4316" priority="182" stopIfTrue="1" operator="equal">
      <formula>"S"</formula>
    </cfRule>
    <cfRule type="cellIs" dxfId="4315" priority="183" stopIfTrue="1" operator="equal">
      <formula>"M"</formula>
    </cfRule>
    <cfRule type="cellIs" dxfId="4314" priority="184" stopIfTrue="1" operator="equal">
      <formula>"J"</formula>
    </cfRule>
    <cfRule type="cellIs" dxfId="4313" priority="185" stopIfTrue="1" operator="equal">
      <formula>"O"</formula>
    </cfRule>
    <cfRule type="expression" dxfId="4312" priority="186" stopIfTrue="1">
      <formula>LEN(TRIM(AJ4))=0</formula>
    </cfRule>
  </conditionalFormatting>
  <conditionalFormatting sqref="AJ18:AL26">
    <cfRule type="cellIs" dxfId="4311" priority="187" stopIfTrue="1" operator="equal">
      <formula>"E"</formula>
    </cfRule>
    <cfRule type="cellIs" dxfId="4310" priority="188" stopIfTrue="1" operator="equal">
      <formula>"S"</formula>
    </cfRule>
    <cfRule type="cellIs" dxfId="4309" priority="189" stopIfTrue="1" operator="equal">
      <formula>"M"</formula>
    </cfRule>
    <cfRule type="cellIs" dxfId="4308" priority="190" stopIfTrue="1" operator="equal">
      <formula>"J"</formula>
    </cfRule>
    <cfRule type="cellIs" dxfId="4307" priority="191" stopIfTrue="1" operator="equal">
      <formula>"O"</formula>
    </cfRule>
    <cfRule type="expression" dxfId="4306" priority="192" stopIfTrue="1">
      <formula>LEN(TRIM(AJ18))=0</formula>
    </cfRule>
  </conditionalFormatting>
  <conditionalFormatting sqref="AJ28:AL37">
    <cfRule type="cellIs" dxfId="4305" priority="193" stopIfTrue="1" operator="equal">
      <formula>"E"</formula>
    </cfRule>
    <cfRule type="cellIs" dxfId="4304" priority="194" stopIfTrue="1" operator="equal">
      <formula>"S"</formula>
    </cfRule>
    <cfRule type="cellIs" dxfId="4303" priority="195" stopIfTrue="1" operator="equal">
      <formula>"M"</formula>
    </cfRule>
    <cfRule type="cellIs" dxfId="4302" priority="196" stopIfTrue="1" operator="equal">
      <formula>"J"</formula>
    </cfRule>
    <cfRule type="cellIs" dxfId="4301" priority="197" stopIfTrue="1" operator="equal">
      <formula>"O"</formula>
    </cfRule>
    <cfRule type="expression" dxfId="4300" priority="198" stopIfTrue="1">
      <formula>LEN(TRIM(AJ28))=0</formula>
    </cfRule>
  </conditionalFormatting>
  <conditionalFormatting sqref="AJ39:AL50">
    <cfRule type="cellIs" dxfId="4299" priority="199" stopIfTrue="1" operator="equal">
      <formula>"E"</formula>
    </cfRule>
    <cfRule type="cellIs" dxfId="4298" priority="200" stopIfTrue="1" operator="equal">
      <formula>"S"</formula>
    </cfRule>
    <cfRule type="cellIs" dxfId="4297" priority="201" stopIfTrue="1" operator="equal">
      <formula>"M"</formula>
    </cfRule>
    <cfRule type="cellIs" dxfId="4296" priority="202" stopIfTrue="1" operator="equal">
      <formula>"J"</formula>
    </cfRule>
    <cfRule type="cellIs" dxfId="4295" priority="203" stopIfTrue="1" operator="equal">
      <formula>"O"</formula>
    </cfRule>
    <cfRule type="expression" dxfId="4294" priority="204" stopIfTrue="1">
      <formula>LEN(TRIM(AJ39))=0</formula>
    </cfRule>
  </conditionalFormatting>
  <conditionalFormatting sqref="AJ52:AL59">
    <cfRule type="cellIs" dxfId="4293" priority="205" stopIfTrue="1" operator="equal">
      <formula>"E"</formula>
    </cfRule>
    <cfRule type="cellIs" dxfId="4292" priority="206" stopIfTrue="1" operator="equal">
      <formula>"S"</formula>
    </cfRule>
    <cfRule type="cellIs" dxfId="4291" priority="207" stopIfTrue="1" operator="equal">
      <formula>"M"</formula>
    </cfRule>
    <cfRule type="cellIs" dxfId="4290" priority="208" stopIfTrue="1" operator="equal">
      <formula>"J"</formula>
    </cfRule>
    <cfRule type="cellIs" dxfId="4289" priority="209" stopIfTrue="1" operator="equal">
      <formula>"O"</formula>
    </cfRule>
    <cfRule type="expression" dxfId="4288" priority="210" stopIfTrue="1">
      <formula>LEN(TRIM(AJ52))=0</formula>
    </cfRule>
  </conditionalFormatting>
  <conditionalFormatting sqref="AJ61:AL78">
    <cfRule type="cellIs" dxfId="4287" priority="211" stopIfTrue="1" operator="equal">
      <formula>"E"</formula>
    </cfRule>
  </conditionalFormatting>
  <conditionalFormatting sqref="AJ61:AL78">
    <cfRule type="cellIs" dxfId="4286" priority="212" stopIfTrue="1" operator="equal">
      <formula>"S"</formula>
    </cfRule>
  </conditionalFormatting>
  <conditionalFormatting sqref="AJ61:AL78">
    <cfRule type="cellIs" dxfId="4285" priority="213" stopIfTrue="1" operator="equal">
      <formula>"M"</formula>
    </cfRule>
  </conditionalFormatting>
  <conditionalFormatting sqref="AJ61:AL78">
    <cfRule type="cellIs" dxfId="4284" priority="214" stopIfTrue="1" operator="equal">
      <formula>"J"</formula>
    </cfRule>
  </conditionalFormatting>
  <conditionalFormatting sqref="AJ61:AL78">
    <cfRule type="cellIs" dxfId="4283" priority="215" stopIfTrue="1" operator="equal">
      <formula>"O"</formula>
    </cfRule>
  </conditionalFormatting>
  <conditionalFormatting sqref="AJ61:AL78">
    <cfRule type="expression" dxfId="4282" priority="216" stopIfTrue="1">
      <formula>LEN(TRIM(AJ61))=0</formula>
    </cfRule>
  </conditionalFormatting>
  <conditionalFormatting sqref="AJ80:AL94">
    <cfRule type="cellIs" dxfId="4281" priority="217" stopIfTrue="1" operator="equal">
      <formula>"E"</formula>
    </cfRule>
  </conditionalFormatting>
  <conditionalFormatting sqref="AJ80:AL94">
    <cfRule type="cellIs" dxfId="4280" priority="218" stopIfTrue="1" operator="equal">
      <formula>"S"</formula>
    </cfRule>
  </conditionalFormatting>
  <conditionalFormatting sqref="AJ80:AL94">
    <cfRule type="cellIs" dxfId="4279" priority="219" stopIfTrue="1" operator="equal">
      <formula>"M"</formula>
    </cfRule>
  </conditionalFormatting>
  <conditionalFormatting sqref="AJ80:AL94">
    <cfRule type="cellIs" dxfId="4278" priority="220" stopIfTrue="1" operator="equal">
      <formula>"J"</formula>
    </cfRule>
  </conditionalFormatting>
  <conditionalFormatting sqref="AJ80:AL94">
    <cfRule type="cellIs" dxfId="4277" priority="221" stopIfTrue="1" operator="equal">
      <formula>"O"</formula>
    </cfRule>
  </conditionalFormatting>
  <conditionalFormatting sqref="AJ80:AL94">
    <cfRule type="expression" dxfId="4276" priority="222" stopIfTrue="1">
      <formula>LEN(TRIM(AJ80))=0</formula>
    </cfRule>
  </conditionalFormatting>
  <conditionalFormatting sqref="AJ96:AL99">
    <cfRule type="cellIs" dxfId="4275" priority="223" stopIfTrue="1" operator="equal">
      <formula>"E"</formula>
    </cfRule>
  </conditionalFormatting>
  <conditionalFormatting sqref="AJ96:AL99">
    <cfRule type="cellIs" dxfId="4274" priority="224" stopIfTrue="1" operator="equal">
      <formula>"S"</formula>
    </cfRule>
  </conditionalFormatting>
  <conditionalFormatting sqref="AJ96:AL99">
    <cfRule type="cellIs" dxfId="4273" priority="225" stopIfTrue="1" operator="equal">
      <formula>"M"</formula>
    </cfRule>
  </conditionalFormatting>
  <conditionalFormatting sqref="AJ96:AL99">
    <cfRule type="cellIs" dxfId="4272" priority="226" stopIfTrue="1" operator="equal">
      <formula>"J"</formula>
    </cfRule>
  </conditionalFormatting>
  <conditionalFormatting sqref="AJ96:AL99">
    <cfRule type="cellIs" dxfId="4271" priority="227" stopIfTrue="1" operator="equal">
      <formula>"O"</formula>
    </cfRule>
  </conditionalFormatting>
  <conditionalFormatting sqref="AJ96:AL99">
    <cfRule type="expression" dxfId="4270" priority="228" stopIfTrue="1">
      <formula>LEN(TRIM(AJ96))=0</formula>
    </cfRule>
  </conditionalFormatting>
  <conditionalFormatting sqref="AJ102:AL106">
    <cfRule type="cellIs" dxfId="4269" priority="229" stopIfTrue="1" operator="equal">
      <formula>"E"</formula>
    </cfRule>
  </conditionalFormatting>
  <conditionalFormatting sqref="AJ102:AL106">
    <cfRule type="cellIs" dxfId="4268" priority="230" stopIfTrue="1" operator="equal">
      <formula>"S"</formula>
    </cfRule>
  </conditionalFormatting>
  <conditionalFormatting sqref="AJ102:AL106">
    <cfRule type="cellIs" dxfId="4267" priority="231" stopIfTrue="1" operator="equal">
      <formula>"M"</formula>
    </cfRule>
  </conditionalFormatting>
  <conditionalFormatting sqref="AJ102:AL106">
    <cfRule type="cellIs" dxfId="4266" priority="232" stopIfTrue="1" operator="equal">
      <formula>"J"</formula>
    </cfRule>
  </conditionalFormatting>
  <conditionalFormatting sqref="AJ102:AL106">
    <cfRule type="cellIs" dxfId="4265" priority="233" stopIfTrue="1" operator="equal">
      <formula>"O"</formula>
    </cfRule>
  </conditionalFormatting>
  <conditionalFormatting sqref="AJ102:AL106">
    <cfRule type="expression" dxfId="4264" priority="234" stopIfTrue="1">
      <formula>LEN(TRIM(AJ102))=0</formula>
    </cfRule>
  </conditionalFormatting>
  <conditionalFormatting sqref="AJ109:AL109">
    <cfRule type="cellIs" dxfId="4263" priority="235" stopIfTrue="1" operator="equal">
      <formula>"E"</formula>
    </cfRule>
  </conditionalFormatting>
  <conditionalFormatting sqref="AJ109:AL109">
    <cfRule type="cellIs" dxfId="4262" priority="236" stopIfTrue="1" operator="equal">
      <formula>"S"</formula>
    </cfRule>
  </conditionalFormatting>
  <conditionalFormatting sqref="AJ109:AL109">
    <cfRule type="cellIs" dxfId="4261" priority="237" stopIfTrue="1" operator="equal">
      <formula>"M"</formula>
    </cfRule>
  </conditionalFormatting>
  <conditionalFormatting sqref="AJ109:AL109">
    <cfRule type="cellIs" dxfId="4260" priority="238" stopIfTrue="1" operator="equal">
      <formula>"J"</formula>
    </cfRule>
  </conditionalFormatting>
  <conditionalFormatting sqref="AJ109:AL109">
    <cfRule type="cellIs" dxfId="4259" priority="239" stopIfTrue="1" operator="equal">
      <formula>"O"</formula>
    </cfRule>
  </conditionalFormatting>
  <conditionalFormatting sqref="AJ109:AL109">
    <cfRule type="expression" dxfId="4258" priority="240" stopIfTrue="1">
      <formula>LEN(TRIM(AJ109))=0</formula>
    </cfRule>
  </conditionalFormatting>
  <conditionalFormatting sqref="AM4:AO16">
    <cfRule type="cellIs" dxfId="4257" priority="241" stopIfTrue="1" operator="equal">
      <formula>"E"</formula>
    </cfRule>
    <cfRule type="cellIs" dxfId="4256" priority="242" stopIfTrue="1" operator="equal">
      <formula>"S"</formula>
    </cfRule>
    <cfRule type="cellIs" dxfId="4255" priority="243" stopIfTrue="1" operator="equal">
      <formula>"M"</formula>
    </cfRule>
    <cfRule type="cellIs" dxfId="4254" priority="244" stopIfTrue="1" operator="equal">
      <formula>"J"</formula>
    </cfRule>
    <cfRule type="cellIs" dxfId="4253" priority="245" stopIfTrue="1" operator="equal">
      <formula>"O"</formula>
    </cfRule>
    <cfRule type="expression" dxfId="4252" priority="246" stopIfTrue="1">
      <formula>LEN(TRIM(AM4))=0</formula>
    </cfRule>
  </conditionalFormatting>
  <conditionalFormatting sqref="AM18:AO26">
    <cfRule type="cellIs" dxfId="4251" priority="247" stopIfTrue="1" operator="equal">
      <formula>"E"</formula>
    </cfRule>
    <cfRule type="cellIs" dxfId="4250" priority="248" stopIfTrue="1" operator="equal">
      <formula>"S"</formula>
    </cfRule>
    <cfRule type="cellIs" dxfId="4249" priority="249" stopIfTrue="1" operator="equal">
      <formula>"M"</formula>
    </cfRule>
    <cfRule type="cellIs" dxfId="4248" priority="250" stopIfTrue="1" operator="equal">
      <formula>"J"</formula>
    </cfRule>
    <cfRule type="cellIs" dxfId="4247" priority="251" stopIfTrue="1" operator="equal">
      <formula>"O"</formula>
    </cfRule>
    <cfRule type="expression" dxfId="4246" priority="252" stopIfTrue="1">
      <formula>LEN(TRIM(AM18))=0</formula>
    </cfRule>
  </conditionalFormatting>
  <conditionalFormatting sqref="AM28:AO37">
    <cfRule type="cellIs" dxfId="4245" priority="253" stopIfTrue="1" operator="equal">
      <formula>"E"</formula>
    </cfRule>
    <cfRule type="cellIs" dxfId="4244" priority="254" stopIfTrue="1" operator="equal">
      <formula>"S"</formula>
    </cfRule>
    <cfRule type="cellIs" dxfId="4243" priority="255" stopIfTrue="1" operator="equal">
      <formula>"M"</formula>
    </cfRule>
    <cfRule type="cellIs" dxfId="4242" priority="256" stopIfTrue="1" operator="equal">
      <formula>"J"</formula>
    </cfRule>
    <cfRule type="cellIs" dxfId="4241" priority="257" stopIfTrue="1" operator="equal">
      <formula>"O"</formula>
    </cfRule>
    <cfRule type="expression" dxfId="4240" priority="258" stopIfTrue="1">
      <formula>LEN(TRIM(AM28))=0</formula>
    </cfRule>
  </conditionalFormatting>
  <conditionalFormatting sqref="AM39:AO50">
    <cfRule type="cellIs" dxfId="4239" priority="259" stopIfTrue="1" operator="equal">
      <formula>"E"</formula>
    </cfRule>
  </conditionalFormatting>
  <conditionalFormatting sqref="AM39:AO50">
    <cfRule type="cellIs" dxfId="4238" priority="260" stopIfTrue="1" operator="equal">
      <formula>"S"</formula>
    </cfRule>
  </conditionalFormatting>
  <conditionalFormatting sqref="AM39:AO50">
    <cfRule type="cellIs" dxfId="4237" priority="261" stopIfTrue="1" operator="equal">
      <formula>"M"</formula>
    </cfRule>
  </conditionalFormatting>
  <conditionalFormatting sqref="AM39:AO50">
    <cfRule type="cellIs" dxfId="4236" priority="262" stopIfTrue="1" operator="equal">
      <formula>"J"</formula>
    </cfRule>
  </conditionalFormatting>
  <conditionalFormatting sqref="AM39:AO50">
    <cfRule type="cellIs" dxfId="4235" priority="263" stopIfTrue="1" operator="equal">
      <formula>"O"</formula>
    </cfRule>
  </conditionalFormatting>
  <conditionalFormatting sqref="AM39:AO50">
    <cfRule type="expression" dxfId="4234" priority="264" stopIfTrue="1">
      <formula>LEN(TRIM(AM39))=0</formula>
    </cfRule>
  </conditionalFormatting>
  <conditionalFormatting sqref="AM52:AO59">
    <cfRule type="cellIs" dxfId="4233" priority="265" stopIfTrue="1" operator="equal">
      <formula>"E"</formula>
    </cfRule>
  </conditionalFormatting>
  <conditionalFormatting sqref="AM52:AO59">
    <cfRule type="cellIs" dxfId="4232" priority="266" stopIfTrue="1" operator="equal">
      <formula>"S"</formula>
    </cfRule>
  </conditionalFormatting>
  <conditionalFormatting sqref="AM52:AO59">
    <cfRule type="cellIs" dxfId="4231" priority="267" stopIfTrue="1" operator="equal">
      <formula>"M"</formula>
    </cfRule>
  </conditionalFormatting>
  <conditionalFormatting sqref="AM52:AO59">
    <cfRule type="cellIs" dxfId="4230" priority="268" stopIfTrue="1" operator="equal">
      <formula>"J"</formula>
    </cfRule>
  </conditionalFormatting>
  <conditionalFormatting sqref="AM52:AO59">
    <cfRule type="cellIs" dxfId="4229" priority="269" stopIfTrue="1" operator="equal">
      <formula>"O"</formula>
    </cfRule>
  </conditionalFormatting>
  <conditionalFormatting sqref="AM52:AO59">
    <cfRule type="expression" dxfId="4228" priority="270" stopIfTrue="1">
      <formula>LEN(TRIM(AM52))=0</formula>
    </cfRule>
  </conditionalFormatting>
  <conditionalFormatting sqref="AM61:AO78">
    <cfRule type="cellIs" dxfId="4227" priority="271" stopIfTrue="1" operator="equal">
      <formula>"E"</formula>
    </cfRule>
  </conditionalFormatting>
  <conditionalFormatting sqref="AM61:AO78">
    <cfRule type="cellIs" dxfId="4226" priority="272" stopIfTrue="1" operator="equal">
      <formula>"S"</formula>
    </cfRule>
  </conditionalFormatting>
  <conditionalFormatting sqref="AM61:AO78">
    <cfRule type="cellIs" dxfId="4225" priority="273" stopIfTrue="1" operator="equal">
      <formula>"M"</formula>
    </cfRule>
  </conditionalFormatting>
  <conditionalFormatting sqref="AM61:AO78">
    <cfRule type="cellIs" dxfId="4224" priority="274" stopIfTrue="1" operator="equal">
      <formula>"J"</formula>
    </cfRule>
  </conditionalFormatting>
  <conditionalFormatting sqref="AM61:AO78">
    <cfRule type="cellIs" dxfId="4223" priority="275" stopIfTrue="1" operator="equal">
      <formula>"O"</formula>
    </cfRule>
  </conditionalFormatting>
  <conditionalFormatting sqref="AM61:AO78">
    <cfRule type="expression" dxfId="4222" priority="276" stopIfTrue="1">
      <formula>LEN(TRIM(AM61))=0</formula>
    </cfRule>
  </conditionalFormatting>
  <conditionalFormatting sqref="AM80:AO94">
    <cfRule type="cellIs" dxfId="4221" priority="277" stopIfTrue="1" operator="equal">
      <formula>"E"</formula>
    </cfRule>
  </conditionalFormatting>
  <conditionalFormatting sqref="AM80:AO94">
    <cfRule type="cellIs" dxfId="4220" priority="278" stopIfTrue="1" operator="equal">
      <formula>"S"</formula>
    </cfRule>
  </conditionalFormatting>
  <conditionalFormatting sqref="AM80:AO94">
    <cfRule type="cellIs" dxfId="4219" priority="279" stopIfTrue="1" operator="equal">
      <formula>"M"</formula>
    </cfRule>
  </conditionalFormatting>
  <conditionalFormatting sqref="AM80:AO94">
    <cfRule type="cellIs" dxfId="4218" priority="280" stopIfTrue="1" operator="equal">
      <formula>"J"</formula>
    </cfRule>
  </conditionalFormatting>
  <conditionalFormatting sqref="AM80:AO94">
    <cfRule type="cellIs" dxfId="4217" priority="281" stopIfTrue="1" operator="equal">
      <formula>"O"</formula>
    </cfRule>
  </conditionalFormatting>
  <conditionalFormatting sqref="AM80:AO94">
    <cfRule type="expression" dxfId="4216" priority="282" stopIfTrue="1">
      <formula>LEN(TRIM(AM80))=0</formula>
    </cfRule>
  </conditionalFormatting>
  <conditionalFormatting sqref="AM96:AO99">
    <cfRule type="cellIs" dxfId="4215" priority="283" stopIfTrue="1" operator="equal">
      <formula>"E"</formula>
    </cfRule>
  </conditionalFormatting>
  <conditionalFormatting sqref="AM96:AO99">
    <cfRule type="cellIs" dxfId="4214" priority="284" stopIfTrue="1" operator="equal">
      <formula>"S"</formula>
    </cfRule>
  </conditionalFormatting>
  <conditionalFormatting sqref="AM96:AO99">
    <cfRule type="cellIs" dxfId="4213" priority="285" stopIfTrue="1" operator="equal">
      <formula>"M"</formula>
    </cfRule>
  </conditionalFormatting>
  <conditionalFormatting sqref="AM96:AO99">
    <cfRule type="cellIs" dxfId="4212" priority="286" stopIfTrue="1" operator="equal">
      <formula>"J"</formula>
    </cfRule>
  </conditionalFormatting>
  <conditionalFormatting sqref="AM96:AO99">
    <cfRule type="cellIs" dxfId="4211" priority="287" stopIfTrue="1" operator="equal">
      <formula>"O"</formula>
    </cfRule>
  </conditionalFormatting>
  <conditionalFormatting sqref="AM96:AO99">
    <cfRule type="expression" dxfId="4210" priority="288" stopIfTrue="1">
      <formula>LEN(TRIM(AM96))=0</formula>
    </cfRule>
  </conditionalFormatting>
  <conditionalFormatting sqref="AM102:AO106">
    <cfRule type="cellIs" dxfId="4209" priority="289" stopIfTrue="1" operator="equal">
      <formula>"E"</formula>
    </cfRule>
  </conditionalFormatting>
  <conditionalFormatting sqref="AM102:AO106">
    <cfRule type="cellIs" dxfId="4208" priority="290" stopIfTrue="1" operator="equal">
      <formula>"S"</formula>
    </cfRule>
  </conditionalFormatting>
  <conditionalFormatting sqref="AM102:AO106">
    <cfRule type="cellIs" dxfId="4207" priority="291" stopIfTrue="1" operator="equal">
      <formula>"M"</formula>
    </cfRule>
  </conditionalFormatting>
  <conditionalFormatting sqref="AM102:AO106">
    <cfRule type="cellIs" dxfId="4206" priority="292" stopIfTrue="1" operator="equal">
      <formula>"J"</formula>
    </cfRule>
  </conditionalFormatting>
  <conditionalFormatting sqref="AM102:AO106">
    <cfRule type="cellIs" dxfId="4205" priority="293" stopIfTrue="1" operator="equal">
      <formula>"O"</formula>
    </cfRule>
  </conditionalFormatting>
  <conditionalFormatting sqref="AM102:AO106">
    <cfRule type="expression" dxfId="4204" priority="294" stopIfTrue="1">
      <formula>LEN(TRIM(AM102))=0</formula>
    </cfRule>
  </conditionalFormatting>
  <conditionalFormatting sqref="AM109:AO109">
    <cfRule type="cellIs" dxfId="4203" priority="295" stopIfTrue="1" operator="equal">
      <formula>"E"</formula>
    </cfRule>
  </conditionalFormatting>
  <conditionalFormatting sqref="AM109:AO109">
    <cfRule type="cellIs" dxfId="4202" priority="296" stopIfTrue="1" operator="equal">
      <formula>"S"</formula>
    </cfRule>
  </conditionalFormatting>
  <conditionalFormatting sqref="AM109:AO109">
    <cfRule type="cellIs" dxfId="4201" priority="297" stopIfTrue="1" operator="equal">
      <formula>"M"</formula>
    </cfRule>
  </conditionalFormatting>
  <conditionalFormatting sqref="AM109:AO109">
    <cfRule type="cellIs" dxfId="4200" priority="298" stopIfTrue="1" operator="equal">
      <formula>"J"</formula>
    </cfRule>
  </conditionalFormatting>
  <conditionalFormatting sqref="AM109:AO109">
    <cfRule type="cellIs" dxfId="4199" priority="299" stopIfTrue="1" operator="equal">
      <formula>"O"</formula>
    </cfRule>
  </conditionalFormatting>
  <conditionalFormatting sqref="AM109:AO109">
    <cfRule type="expression" dxfId="4198" priority="300" stopIfTrue="1">
      <formula>LEN(TRIM(AM109))=0</formula>
    </cfRule>
  </conditionalFormatting>
  <conditionalFormatting sqref="AP4:AT16">
    <cfRule type="cellIs" dxfId="4197" priority="301" stopIfTrue="1" operator="equal">
      <formula>"E"</formula>
    </cfRule>
    <cfRule type="cellIs" dxfId="4196" priority="302" stopIfTrue="1" operator="equal">
      <formula>"S"</formula>
    </cfRule>
    <cfRule type="cellIs" dxfId="4195" priority="303" stopIfTrue="1" operator="equal">
      <formula>"M"</formula>
    </cfRule>
    <cfRule type="cellIs" dxfId="4194" priority="304" stopIfTrue="1" operator="equal">
      <formula>"J"</formula>
    </cfRule>
    <cfRule type="cellIs" dxfId="4193" priority="305" stopIfTrue="1" operator="equal">
      <formula>"O"</formula>
    </cfRule>
    <cfRule type="expression" dxfId="4192" priority="306" stopIfTrue="1">
      <formula>LEN(TRIM(AP4))=0</formula>
    </cfRule>
  </conditionalFormatting>
  <conditionalFormatting sqref="AP18:AT26">
    <cfRule type="cellIs" dxfId="4191" priority="307" stopIfTrue="1" operator="equal">
      <formula>"E"</formula>
    </cfRule>
    <cfRule type="cellIs" dxfId="4190" priority="308" stopIfTrue="1" operator="equal">
      <formula>"S"</formula>
    </cfRule>
    <cfRule type="cellIs" dxfId="4189" priority="309" stopIfTrue="1" operator="equal">
      <formula>"M"</formula>
    </cfRule>
    <cfRule type="cellIs" dxfId="4188" priority="310" stopIfTrue="1" operator="equal">
      <formula>"J"</formula>
    </cfRule>
    <cfRule type="cellIs" dxfId="4187" priority="311" stopIfTrue="1" operator="equal">
      <formula>"O"</formula>
    </cfRule>
    <cfRule type="expression" dxfId="4186" priority="312" stopIfTrue="1">
      <formula>LEN(TRIM(AP18))=0</formula>
    </cfRule>
  </conditionalFormatting>
  <conditionalFormatting sqref="AP28:AT37">
    <cfRule type="cellIs" dxfId="4185" priority="313" stopIfTrue="1" operator="equal">
      <formula>"E"</formula>
    </cfRule>
    <cfRule type="cellIs" dxfId="4184" priority="314" stopIfTrue="1" operator="equal">
      <formula>"S"</formula>
    </cfRule>
    <cfRule type="cellIs" dxfId="4183" priority="315" stopIfTrue="1" operator="equal">
      <formula>"M"</formula>
    </cfRule>
    <cfRule type="cellIs" dxfId="4182" priority="316" stopIfTrue="1" operator="equal">
      <formula>"J"</formula>
    </cfRule>
    <cfRule type="cellIs" dxfId="4181" priority="317" stopIfTrue="1" operator="equal">
      <formula>"O"</formula>
    </cfRule>
    <cfRule type="expression" dxfId="4180" priority="318" stopIfTrue="1">
      <formula>LEN(TRIM(AP28))=0</formula>
    </cfRule>
  </conditionalFormatting>
  <conditionalFormatting sqref="AP39:AT50">
    <cfRule type="cellIs" dxfId="4179" priority="319" stopIfTrue="1" operator="equal">
      <formula>"E"</formula>
    </cfRule>
  </conditionalFormatting>
  <conditionalFormatting sqref="AP39:AT50">
    <cfRule type="cellIs" dxfId="4178" priority="320" stopIfTrue="1" operator="equal">
      <formula>"S"</formula>
    </cfRule>
  </conditionalFormatting>
  <conditionalFormatting sqref="AP39:AT50">
    <cfRule type="cellIs" dxfId="4177" priority="321" stopIfTrue="1" operator="equal">
      <formula>"M"</formula>
    </cfRule>
  </conditionalFormatting>
  <conditionalFormatting sqref="AP39:AT50">
    <cfRule type="cellIs" dxfId="4176" priority="322" stopIfTrue="1" operator="equal">
      <formula>"J"</formula>
    </cfRule>
  </conditionalFormatting>
  <conditionalFormatting sqref="AP39:AT50">
    <cfRule type="cellIs" dxfId="4175" priority="323" stopIfTrue="1" operator="equal">
      <formula>"O"</formula>
    </cfRule>
  </conditionalFormatting>
  <conditionalFormatting sqref="AP39:AT50">
    <cfRule type="expression" dxfId="4174" priority="324" stopIfTrue="1">
      <formula>LEN(TRIM(AP39))=0</formula>
    </cfRule>
  </conditionalFormatting>
  <conditionalFormatting sqref="AP52:AT59">
    <cfRule type="cellIs" dxfId="4173" priority="325" stopIfTrue="1" operator="equal">
      <formula>"E"</formula>
    </cfRule>
  </conditionalFormatting>
  <conditionalFormatting sqref="AP52:AT59">
    <cfRule type="cellIs" dxfId="4172" priority="326" stopIfTrue="1" operator="equal">
      <formula>"S"</formula>
    </cfRule>
  </conditionalFormatting>
  <conditionalFormatting sqref="AP52:AT59">
    <cfRule type="cellIs" dxfId="4171" priority="327" stopIfTrue="1" operator="equal">
      <formula>"M"</formula>
    </cfRule>
  </conditionalFormatting>
  <conditionalFormatting sqref="AP52:AT59">
    <cfRule type="cellIs" dxfId="4170" priority="328" stopIfTrue="1" operator="equal">
      <formula>"J"</formula>
    </cfRule>
  </conditionalFormatting>
  <conditionalFormatting sqref="AP52:AT59">
    <cfRule type="cellIs" dxfId="4169" priority="329" stopIfTrue="1" operator="equal">
      <formula>"O"</formula>
    </cfRule>
  </conditionalFormatting>
  <conditionalFormatting sqref="AP52:AT59">
    <cfRule type="expression" dxfId="4168" priority="330" stopIfTrue="1">
      <formula>LEN(TRIM(AP52))=0</formula>
    </cfRule>
  </conditionalFormatting>
  <conditionalFormatting sqref="AP61:AT78">
    <cfRule type="cellIs" dxfId="4167" priority="331" stopIfTrue="1" operator="equal">
      <formula>"E"</formula>
    </cfRule>
  </conditionalFormatting>
  <conditionalFormatting sqref="AP61:AT78">
    <cfRule type="cellIs" dxfId="4166" priority="332" stopIfTrue="1" operator="equal">
      <formula>"S"</formula>
    </cfRule>
  </conditionalFormatting>
  <conditionalFormatting sqref="AP61:AT78">
    <cfRule type="cellIs" dxfId="4165" priority="333" stopIfTrue="1" operator="equal">
      <formula>"M"</formula>
    </cfRule>
  </conditionalFormatting>
  <conditionalFormatting sqref="AP61:AT78">
    <cfRule type="cellIs" dxfId="4164" priority="334" stopIfTrue="1" operator="equal">
      <formula>"J"</formula>
    </cfRule>
  </conditionalFormatting>
  <conditionalFormatting sqref="AP61:AT78">
    <cfRule type="cellIs" dxfId="4163" priority="335" stopIfTrue="1" operator="equal">
      <formula>"O"</formula>
    </cfRule>
  </conditionalFormatting>
  <conditionalFormatting sqref="AP61:AT78">
    <cfRule type="expression" dxfId="4162" priority="336" stopIfTrue="1">
      <formula>LEN(TRIM(AP61))=0</formula>
    </cfRule>
  </conditionalFormatting>
  <conditionalFormatting sqref="AP80:AT94">
    <cfRule type="cellIs" dxfId="4161" priority="337" stopIfTrue="1" operator="equal">
      <formula>"E"</formula>
    </cfRule>
  </conditionalFormatting>
  <conditionalFormatting sqref="AP80:AT94">
    <cfRule type="cellIs" dxfId="4160" priority="338" stopIfTrue="1" operator="equal">
      <formula>"S"</formula>
    </cfRule>
  </conditionalFormatting>
  <conditionalFormatting sqref="AP80:AT94">
    <cfRule type="cellIs" dxfId="4159" priority="339" stopIfTrue="1" operator="equal">
      <formula>"M"</formula>
    </cfRule>
  </conditionalFormatting>
  <conditionalFormatting sqref="AP80:AT94">
    <cfRule type="cellIs" dxfId="4158" priority="340" stopIfTrue="1" operator="equal">
      <formula>"J"</formula>
    </cfRule>
  </conditionalFormatting>
  <conditionalFormatting sqref="AP80:AT94">
    <cfRule type="cellIs" dxfId="4157" priority="341" stopIfTrue="1" operator="equal">
      <formula>"O"</formula>
    </cfRule>
  </conditionalFormatting>
  <conditionalFormatting sqref="AP80:AT94">
    <cfRule type="expression" dxfId="4156" priority="342" stopIfTrue="1">
      <formula>LEN(TRIM(AP80))=0</formula>
    </cfRule>
  </conditionalFormatting>
  <conditionalFormatting sqref="AP96:AT99">
    <cfRule type="cellIs" dxfId="4155" priority="343" stopIfTrue="1" operator="equal">
      <formula>"E"</formula>
    </cfRule>
  </conditionalFormatting>
  <conditionalFormatting sqref="AP96:AT99">
    <cfRule type="cellIs" dxfId="4154" priority="344" stopIfTrue="1" operator="equal">
      <formula>"S"</formula>
    </cfRule>
  </conditionalFormatting>
  <conditionalFormatting sqref="AP96:AT99">
    <cfRule type="cellIs" dxfId="4153" priority="345" stopIfTrue="1" operator="equal">
      <formula>"M"</formula>
    </cfRule>
  </conditionalFormatting>
  <conditionalFormatting sqref="AP96:AT99">
    <cfRule type="cellIs" dxfId="4152" priority="346" stopIfTrue="1" operator="equal">
      <formula>"J"</formula>
    </cfRule>
  </conditionalFormatting>
  <conditionalFormatting sqref="AP96:AT99">
    <cfRule type="cellIs" dxfId="4151" priority="347" stopIfTrue="1" operator="equal">
      <formula>"O"</formula>
    </cfRule>
  </conditionalFormatting>
  <conditionalFormatting sqref="AP96:AT99">
    <cfRule type="expression" dxfId="4150" priority="348" stopIfTrue="1">
      <formula>LEN(TRIM(AP96))=0</formula>
    </cfRule>
  </conditionalFormatting>
  <conditionalFormatting sqref="AP102:AT106">
    <cfRule type="cellIs" dxfId="4149" priority="349" stopIfTrue="1" operator="equal">
      <formula>"E"</formula>
    </cfRule>
  </conditionalFormatting>
  <conditionalFormatting sqref="AP102:AT106">
    <cfRule type="cellIs" dxfId="4148" priority="350" stopIfTrue="1" operator="equal">
      <formula>"S"</formula>
    </cfRule>
  </conditionalFormatting>
  <conditionalFormatting sqref="AP102:AT106">
    <cfRule type="cellIs" dxfId="4147" priority="351" stopIfTrue="1" operator="equal">
      <formula>"M"</formula>
    </cfRule>
  </conditionalFormatting>
  <conditionalFormatting sqref="AP102:AT106">
    <cfRule type="cellIs" dxfId="4146" priority="352" stopIfTrue="1" operator="equal">
      <formula>"J"</formula>
    </cfRule>
  </conditionalFormatting>
  <conditionalFormatting sqref="AP102:AT106">
    <cfRule type="cellIs" dxfId="4145" priority="353" stopIfTrue="1" operator="equal">
      <formula>"O"</formula>
    </cfRule>
  </conditionalFormatting>
  <conditionalFormatting sqref="AP102:AT106">
    <cfRule type="expression" dxfId="4144" priority="354" stopIfTrue="1">
      <formula>LEN(TRIM(AP102))=0</formula>
    </cfRule>
  </conditionalFormatting>
  <conditionalFormatting sqref="AP109:AT109">
    <cfRule type="cellIs" dxfId="4143" priority="355" stopIfTrue="1" operator="equal">
      <formula>"E"</formula>
    </cfRule>
  </conditionalFormatting>
  <conditionalFormatting sqref="AP109:AT109">
    <cfRule type="cellIs" dxfId="4142" priority="356" stopIfTrue="1" operator="equal">
      <formula>"S"</formula>
    </cfRule>
  </conditionalFormatting>
  <conditionalFormatting sqref="AP109:AT109">
    <cfRule type="cellIs" dxfId="4141" priority="357" stopIfTrue="1" operator="equal">
      <formula>"M"</formula>
    </cfRule>
  </conditionalFormatting>
  <conditionalFormatting sqref="AP109:AT109">
    <cfRule type="cellIs" dxfId="4140" priority="358" stopIfTrue="1" operator="equal">
      <formula>"J"</formula>
    </cfRule>
  </conditionalFormatting>
  <conditionalFormatting sqref="AP109:AT109">
    <cfRule type="cellIs" dxfId="4139" priority="359" stopIfTrue="1" operator="equal">
      <formula>"O"</formula>
    </cfRule>
  </conditionalFormatting>
  <conditionalFormatting sqref="AP109:AT109">
    <cfRule type="expression" dxfId="4138" priority="360" stopIfTrue="1">
      <formula>LEN(TRIM(AP109))=0</formula>
    </cfRule>
  </conditionalFormatting>
  <conditionalFormatting sqref="AU4:BB16">
    <cfRule type="cellIs" dxfId="4137" priority="361" stopIfTrue="1" operator="equal">
      <formula>"E"</formula>
    </cfRule>
    <cfRule type="cellIs" dxfId="4136" priority="362" stopIfTrue="1" operator="equal">
      <formula>"S"</formula>
    </cfRule>
    <cfRule type="cellIs" dxfId="4135" priority="363" stopIfTrue="1" operator="equal">
      <formula>"M"</formula>
    </cfRule>
    <cfRule type="cellIs" dxfId="4134" priority="364" stopIfTrue="1" operator="equal">
      <formula>"J"</formula>
    </cfRule>
    <cfRule type="cellIs" dxfId="4133" priority="365" stopIfTrue="1" operator="equal">
      <formula>"O"</formula>
    </cfRule>
    <cfRule type="expression" dxfId="4132" priority="366" stopIfTrue="1">
      <formula>LEN(TRIM(AU4))=0</formula>
    </cfRule>
  </conditionalFormatting>
  <conditionalFormatting sqref="AU18:BB26">
    <cfRule type="cellIs" dxfId="4131" priority="367" stopIfTrue="1" operator="equal">
      <formula>"E"</formula>
    </cfRule>
    <cfRule type="cellIs" dxfId="4130" priority="368" stopIfTrue="1" operator="equal">
      <formula>"S"</formula>
    </cfRule>
    <cfRule type="cellIs" dxfId="4129" priority="369" stopIfTrue="1" operator="equal">
      <formula>"M"</formula>
    </cfRule>
    <cfRule type="cellIs" dxfId="4128" priority="370" stopIfTrue="1" operator="equal">
      <formula>"J"</formula>
    </cfRule>
    <cfRule type="cellIs" dxfId="4127" priority="371" stopIfTrue="1" operator="equal">
      <formula>"O"</formula>
    </cfRule>
    <cfRule type="expression" dxfId="4126" priority="372" stopIfTrue="1">
      <formula>LEN(TRIM(AU18))=0</formula>
    </cfRule>
  </conditionalFormatting>
  <conditionalFormatting sqref="AU28:BB37">
    <cfRule type="cellIs" dxfId="4125" priority="373" stopIfTrue="1" operator="equal">
      <formula>"E"</formula>
    </cfRule>
    <cfRule type="cellIs" dxfId="4124" priority="374" stopIfTrue="1" operator="equal">
      <formula>"S"</formula>
    </cfRule>
    <cfRule type="cellIs" dxfId="4123" priority="375" stopIfTrue="1" operator="equal">
      <formula>"M"</formula>
    </cfRule>
    <cfRule type="cellIs" dxfId="4122" priority="376" stopIfTrue="1" operator="equal">
      <formula>"J"</formula>
    </cfRule>
    <cfRule type="cellIs" dxfId="4121" priority="377" stopIfTrue="1" operator="equal">
      <formula>"O"</formula>
    </cfRule>
    <cfRule type="expression" dxfId="4120" priority="378" stopIfTrue="1">
      <formula>LEN(TRIM(AU28))=0</formula>
    </cfRule>
  </conditionalFormatting>
  <conditionalFormatting sqref="AU39:BB50">
    <cfRule type="cellIs" dxfId="4119" priority="379" stopIfTrue="1" operator="equal">
      <formula>"E"</formula>
    </cfRule>
  </conditionalFormatting>
  <conditionalFormatting sqref="AU39:BB50">
    <cfRule type="cellIs" dxfId="4118" priority="380" stopIfTrue="1" operator="equal">
      <formula>"S"</formula>
    </cfRule>
  </conditionalFormatting>
  <conditionalFormatting sqref="AU39:BB50">
    <cfRule type="cellIs" dxfId="4117" priority="381" stopIfTrue="1" operator="equal">
      <formula>"M"</formula>
    </cfRule>
  </conditionalFormatting>
  <conditionalFormatting sqref="AU39:BB50">
    <cfRule type="cellIs" dxfId="4116" priority="382" stopIfTrue="1" operator="equal">
      <formula>"J"</formula>
    </cfRule>
  </conditionalFormatting>
  <conditionalFormatting sqref="AU39:BB50">
    <cfRule type="cellIs" dxfId="4115" priority="383" stopIfTrue="1" operator="equal">
      <formula>"O"</formula>
    </cfRule>
  </conditionalFormatting>
  <conditionalFormatting sqref="AU39:BB50">
    <cfRule type="expression" dxfId="4114" priority="384" stopIfTrue="1">
      <formula>LEN(TRIM(AU39))=0</formula>
    </cfRule>
  </conditionalFormatting>
  <conditionalFormatting sqref="AU52:BB59">
    <cfRule type="cellIs" dxfId="4113" priority="385" stopIfTrue="1" operator="equal">
      <formula>"E"</formula>
    </cfRule>
  </conditionalFormatting>
  <conditionalFormatting sqref="AU52:BB59">
    <cfRule type="cellIs" dxfId="4112" priority="386" stopIfTrue="1" operator="equal">
      <formula>"S"</formula>
    </cfRule>
  </conditionalFormatting>
  <conditionalFormatting sqref="AU52:BB59">
    <cfRule type="cellIs" dxfId="4111" priority="387" stopIfTrue="1" operator="equal">
      <formula>"M"</formula>
    </cfRule>
  </conditionalFormatting>
  <conditionalFormatting sqref="AU52:BB59">
    <cfRule type="cellIs" dxfId="4110" priority="388" stopIfTrue="1" operator="equal">
      <formula>"J"</formula>
    </cfRule>
  </conditionalFormatting>
  <conditionalFormatting sqref="AU52:BB59">
    <cfRule type="cellIs" dxfId="4109" priority="389" stopIfTrue="1" operator="equal">
      <formula>"O"</formula>
    </cfRule>
  </conditionalFormatting>
  <conditionalFormatting sqref="AU52:BB59">
    <cfRule type="expression" dxfId="4108" priority="390" stopIfTrue="1">
      <formula>LEN(TRIM(AU52))=0</formula>
    </cfRule>
  </conditionalFormatting>
  <conditionalFormatting sqref="AU61:BB78">
    <cfRule type="cellIs" dxfId="4107" priority="391" stopIfTrue="1" operator="equal">
      <formula>"E"</formula>
    </cfRule>
  </conditionalFormatting>
  <conditionalFormatting sqref="AU61:BB78">
    <cfRule type="cellIs" dxfId="4106" priority="392" stopIfTrue="1" operator="equal">
      <formula>"S"</formula>
    </cfRule>
  </conditionalFormatting>
  <conditionalFormatting sqref="AU61:BB78">
    <cfRule type="cellIs" dxfId="4105" priority="393" stopIfTrue="1" operator="equal">
      <formula>"M"</formula>
    </cfRule>
  </conditionalFormatting>
  <conditionalFormatting sqref="AU61:BB78">
    <cfRule type="cellIs" dxfId="4104" priority="394" stopIfTrue="1" operator="equal">
      <formula>"J"</formula>
    </cfRule>
  </conditionalFormatting>
  <conditionalFormatting sqref="AU61:BB78">
    <cfRule type="cellIs" dxfId="4103" priority="395" stopIfTrue="1" operator="equal">
      <formula>"O"</formula>
    </cfRule>
  </conditionalFormatting>
  <conditionalFormatting sqref="AU61:BB78">
    <cfRule type="expression" dxfId="4102" priority="396" stopIfTrue="1">
      <formula>LEN(TRIM(AU61))=0</formula>
    </cfRule>
  </conditionalFormatting>
  <conditionalFormatting sqref="AU80:BB94">
    <cfRule type="cellIs" dxfId="4101" priority="397" stopIfTrue="1" operator="equal">
      <formula>"E"</formula>
    </cfRule>
  </conditionalFormatting>
  <conditionalFormatting sqref="AU80:BB94">
    <cfRule type="cellIs" dxfId="4100" priority="398" stopIfTrue="1" operator="equal">
      <formula>"S"</formula>
    </cfRule>
  </conditionalFormatting>
  <conditionalFormatting sqref="AU80:BB94">
    <cfRule type="cellIs" dxfId="4099" priority="399" stopIfTrue="1" operator="equal">
      <formula>"M"</formula>
    </cfRule>
  </conditionalFormatting>
  <conditionalFormatting sqref="AU80:BB94">
    <cfRule type="cellIs" dxfId="4098" priority="400" stopIfTrue="1" operator="equal">
      <formula>"J"</formula>
    </cfRule>
  </conditionalFormatting>
  <conditionalFormatting sqref="AU80:BB94">
    <cfRule type="cellIs" dxfId="4097" priority="401" stopIfTrue="1" operator="equal">
      <formula>"O"</formula>
    </cfRule>
  </conditionalFormatting>
  <conditionalFormatting sqref="AU80:BB94">
    <cfRule type="expression" dxfId="4096" priority="402" stopIfTrue="1">
      <formula>LEN(TRIM(AU80))=0</formula>
    </cfRule>
  </conditionalFormatting>
  <conditionalFormatting sqref="AU96:BB99">
    <cfRule type="cellIs" dxfId="4095" priority="403" stopIfTrue="1" operator="equal">
      <formula>"E"</formula>
    </cfRule>
  </conditionalFormatting>
  <conditionalFormatting sqref="AU96:BB99">
    <cfRule type="cellIs" dxfId="4094" priority="404" stopIfTrue="1" operator="equal">
      <formula>"S"</formula>
    </cfRule>
  </conditionalFormatting>
  <conditionalFormatting sqref="AU96:BB99">
    <cfRule type="cellIs" dxfId="4093" priority="405" stopIfTrue="1" operator="equal">
      <formula>"M"</formula>
    </cfRule>
  </conditionalFormatting>
  <conditionalFormatting sqref="AU96:BB99">
    <cfRule type="cellIs" dxfId="4092" priority="406" stopIfTrue="1" operator="equal">
      <formula>"J"</formula>
    </cfRule>
  </conditionalFormatting>
  <conditionalFormatting sqref="AU96:BB99">
    <cfRule type="cellIs" dxfId="4091" priority="407" stopIfTrue="1" operator="equal">
      <formula>"O"</formula>
    </cfRule>
  </conditionalFormatting>
  <conditionalFormatting sqref="AU96:BB99">
    <cfRule type="expression" dxfId="4090" priority="408" stopIfTrue="1">
      <formula>LEN(TRIM(AU96))=0</formula>
    </cfRule>
  </conditionalFormatting>
  <conditionalFormatting sqref="AU102:BB106">
    <cfRule type="cellIs" dxfId="4089" priority="409" stopIfTrue="1" operator="equal">
      <formula>"E"</formula>
    </cfRule>
  </conditionalFormatting>
  <conditionalFormatting sqref="AU102:BB106">
    <cfRule type="cellIs" dxfId="4088" priority="410" stopIfTrue="1" operator="equal">
      <formula>"S"</formula>
    </cfRule>
  </conditionalFormatting>
  <conditionalFormatting sqref="AU102:BB106">
    <cfRule type="cellIs" dxfId="4087" priority="411" stopIfTrue="1" operator="equal">
      <formula>"M"</formula>
    </cfRule>
  </conditionalFormatting>
  <conditionalFormatting sqref="AU102:BB106">
    <cfRule type="cellIs" dxfId="4086" priority="412" stopIfTrue="1" operator="equal">
      <formula>"J"</formula>
    </cfRule>
  </conditionalFormatting>
  <conditionalFormatting sqref="AU102:BB106">
    <cfRule type="cellIs" dxfId="4085" priority="413" stopIfTrue="1" operator="equal">
      <formula>"O"</formula>
    </cfRule>
  </conditionalFormatting>
  <conditionalFormatting sqref="AU102:BB106">
    <cfRule type="expression" dxfId="4084" priority="414" stopIfTrue="1">
      <formula>LEN(TRIM(AU102))=0</formula>
    </cfRule>
  </conditionalFormatting>
  <conditionalFormatting sqref="AU109:BB109">
    <cfRule type="cellIs" dxfId="4083" priority="415" stopIfTrue="1" operator="equal">
      <formula>"E"</formula>
    </cfRule>
  </conditionalFormatting>
  <conditionalFormatting sqref="AU109:BB109">
    <cfRule type="cellIs" dxfId="4082" priority="416" stopIfTrue="1" operator="equal">
      <formula>"S"</formula>
    </cfRule>
  </conditionalFormatting>
  <conditionalFormatting sqref="AU109:BB109">
    <cfRule type="cellIs" dxfId="4081" priority="417" stopIfTrue="1" operator="equal">
      <formula>"M"</formula>
    </cfRule>
  </conditionalFormatting>
  <conditionalFormatting sqref="AU109:BB109">
    <cfRule type="cellIs" dxfId="4080" priority="418" stopIfTrue="1" operator="equal">
      <formula>"J"</formula>
    </cfRule>
  </conditionalFormatting>
  <conditionalFormatting sqref="AU109:BB109">
    <cfRule type="cellIs" dxfId="4079" priority="419" stopIfTrue="1" operator="equal">
      <formula>"O"</formula>
    </cfRule>
  </conditionalFormatting>
  <conditionalFormatting sqref="AU109:BB109">
    <cfRule type="expression" dxfId="4078" priority="420" stopIfTrue="1">
      <formula>LEN(TRIM(AU109))=0</formula>
    </cfRule>
  </conditionalFormatting>
  <conditionalFormatting sqref="BC4:BG16">
    <cfRule type="cellIs" dxfId="4077" priority="421" stopIfTrue="1" operator="equal">
      <formula>"E"</formula>
    </cfRule>
    <cfRule type="cellIs" dxfId="4076" priority="422" stopIfTrue="1" operator="equal">
      <formula>"S"</formula>
    </cfRule>
    <cfRule type="cellIs" dxfId="4075" priority="423" stopIfTrue="1" operator="equal">
      <formula>"M"</formula>
    </cfRule>
    <cfRule type="cellIs" dxfId="4074" priority="424" stopIfTrue="1" operator="equal">
      <formula>"J"</formula>
    </cfRule>
    <cfRule type="cellIs" dxfId="4073" priority="425" stopIfTrue="1" operator="equal">
      <formula>"O"</formula>
    </cfRule>
    <cfRule type="expression" dxfId="4072" priority="426" stopIfTrue="1">
      <formula>LEN(TRIM(BC4))=0</formula>
    </cfRule>
  </conditionalFormatting>
  <conditionalFormatting sqref="BC18:BG26">
    <cfRule type="cellIs" dxfId="4071" priority="427" stopIfTrue="1" operator="equal">
      <formula>"E"</formula>
    </cfRule>
    <cfRule type="cellIs" dxfId="4070" priority="428" stopIfTrue="1" operator="equal">
      <formula>"S"</formula>
    </cfRule>
    <cfRule type="cellIs" dxfId="4069" priority="429" stopIfTrue="1" operator="equal">
      <formula>"M"</formula>
    </cfRule>
    <cfRule type="cellIs" dxfId="4068" priority="430" stopIfTrue="1" operator="equal">
      <formula>"J"</formula>
    </cfRule>
    <cfRule type="cellIs" dxfId="4067" priority="431" stopIfTrue="1" operator="equal">
      <formula>"O"</formula>
    </cfRule>
    <cfRule type="expression" dxfId="4066" priority="432" stopIfTrue="1">
      <formula>LEN(TRIM(BC18))=0</formula>
    </cfRule>
  </conditionalFormatting>
  <conditionalFormatting sqref="BC28:BG37">
    <cfRule type="cellIs" dxfId="4065" priority="433" stopIfTrue="1" operator="equal">
      <formula>"E"</formula>
    </cfRule>
  </conditionalFormatting>
  <conditionalFormatting sqref="BC28:BG37">
    <cfRule type="cellIs" dxfId="4064" priority="434" stopIfTrue="1" operator="equal">
      <formula>"S"</formula>
    </cfRule>
  </conditionalFormatting>
  <conditionalFormatting sqref="BC28:BG37">
    <cfRule type="cellIs" dxfId="4063" priority="435" stopIfTrue="1" operator="equal">
      <formula>"M"</formula>
    </cfRule>
  </conditionalFormatting>
  <conditionalFormatting sqref="BC28:BG37">
    <cfRule type="cellIs" dxfId="4062" priority="436" stopIfTrue="1" operator="equal">
      <formula>"J"</formula>
    </cfRule>
  </conditionalFormatting>
  <conditionalFormatting sqref="BC28:BG37">
    <cfRule type="cellIs" dxfId="4061" priority="437" stopIfTrue="1" operator="equal">
      <formula>"O"</formula>
    </cfRule>
  </conditionalFormatting>
  <conditionalFormatting sqref="BC28:BG37">
    <cfRule type="expression" dxfId="4060" priority="438" stopIfTrue="1">
      <formula>LEN(TRIM(BC28))=0</formula>
    </cfRule>
  </conditionalFormatting>
  <conditionalFormatting sqref="BC39:BG50">
    <cfRule type="cellIs" dxfId="4059" priority="439" stopIfTrue="1" operator="equal">
      <formula>"E"</formula>
    </cfRule>
  </conditionalFormatting>
  <conditionalFormatting sqref="BC39:BG50">
    <cfRule type="cellIs" dxfId="4058" priority="440" stopIfTrue="1" operator="equal">
      <formula>"S"</formula>
    </cfRule>
  </conditionalFormatting>
  <conditionalFormatting sqref="BC39:BG50">
    <cfRule type="cellIs" dxfId="4057" priority="441" stopIfTrue="1" operator="equal">
      <formula>"M"</formula>
    </cfRule>
  </conditionalFormatting>
  <conditionalFormatting sqref="BC39:BG50">
    <cfRule type="cellIs" dxfId="4056" priority="442" stopIfTrue="1" operator="equal">
      <formula>"J"</formula>
    </cfRule>
  </conditionalFormatting>
  <conditionalFormatting sqref="BC39:BG50">
    <cfRule type="cellIs" dxfId="4055" priority="443" stopIfTrue="1" operator="equal">
      <formula>"O"</formula>
    </cfRule>
  </conditionalFormatting>
  <conditionalFormatting sqref="BC39:BG50">
    <cfRule type="expression" dxfId="4054" priority="444" stopIfTrue="1">
      <formula>LEN(TRIM(BC39))=0</formula>
    </cfRule>
  </conditionalFormatting>
  <conditionalFormatting sqref="BC52:BG59">
    <cfRule type="cellIs" dxfId="4053" priority="445" stopIfTrue="1" operator="equal">
      <formula>"E"</formula>
    </cfRule>
  </conditionalFormatting>
  <conditionalFormatting sqref="BC52:BG59">
    <cfRule type="cellIs" dxfId="4052" priority="446" stopIfTrue="1" operator="equal">
      <formula>"S"</formula>
    </cfRule>
  </conditionalFormatting>
  <conditionalFormatting sqref="BC52:BG59">
    <cfRule type="cellIs" dxfId="4051" priority="447" stopIfTrue="1" operator="equal">
      <formula>"M"</formula>
    </cfRule>
  </conditionalFormatting>
  <conditionalFormatting sqref="BC52:BG59">
    <cfRule type="cellIs" dxfId="4050" priority="448" stopIfTrue="1" operator="equal">
      <formula>"J"</formula>
    </cfRule>
  </conditionalFormatting>
  <conditionalFormatting sqref="BC52:BG59">
    <cfRule type="cellIs" dxfId="4049" priority="449" stopIfTrue="1" operator="equal">
      <formula>"O"</formula>
    </cfRule>
  </conditionalFormatting>
  <conditionalFormatting sqref="BC52:BG59">
    <cfRule type="expression" dxfId="4048" priority="450" stopIfTrue="1">
      <formula>LEN(TRIM(BC52))=0</formula>
    </cfRule>
  </conditionalFormatting>
  <conditionalFormatting sqref="BC61:BG78">
    <cfRule type="cellIs" dxfId="4047" priority="451" stopIfTrue="1" operator="equal">
      <formula>"E"</formula>
    </cfRule>
  </conditionalFormatting>
  <conditionalFormatting sqref="BC61:BG78">
    <cfRule type="cellIs" dxfId="4046" priority="452" stopIfTrue="1" operator="equal">
      <formula>"S"</formula>
    </cfRule>
  </conditionalFormatting>
  <conditionalFormatting sqref="BC61:BG78">
    <cfRule type="cellIs" dxfId="4045" priority="453" stopIfTrue="1" operator="equal">
      <formula>"M"</formula>
    </cfRule>
  </conditionalFormatting>
  <conditionalFormatting sqref="BC61:BG78">
    <cfRule type="cellIs" dxfId="4044" priority="454" stopIfTrue="1" operator="equal">
      <formula>"J"</formula>
    </cfRule>
  </conditionalFormatting>
  <conditionalFormatting sqref="BC61:BG78">
    <cfRule type="cellIs" dxfId="4043" priority="455" stopIfTrue="1" operator="equal">
      <formula>"O"</formula>
    </cfRule>
  </conditionalFormatting>
  <conditionalFormatting sqref="BC61:BG78">
    <cfRule type="expression" dxfId="4042" priority="456" stopIfTrue="1">
      <formula>LEN(TRIM(BC61))=0</formula>
    </cfRule>
  </conditionalFormatting>
  <conditionalFormatting sqref="BC80:BG94">
    <cfRule type="cellIs" dxfId="4041" priority="457" stopIfTrue="1" operator="equal">
      <formula>"E"</formula>
    </cfRule>
  </conditionalFormatting>
  <conditionalFormatting sqref="BC80:BG94">
    <cfRule type="cellIs" dxfId="4040" priority="458" stopIfTrue="1" operator="equal">
      <formula>"S"</formula>
    </cfRule>
  </conditionalFormatting>
  <conditionalFormatting sqref="BC80:BG94">
    <cfRule type="cellIs" dxfId="4039" priority="459" stopIfTrue="1" operator="equal">
      <formula>"M"</formula>
    </cfRule>
  </conditionalFormatting>
  <conditionalFormatting sqref="BC80:BG94">
    <cfRule type="cellIs" dxfId="4038" priority="460" stopIfTrue="1" operator="equal">
      <formula>"J"</formula>
    </cfRule>
  </conditionalFormatting>
  <conditionalFormatting sqref="BC80:BG94">
    <cfRule type="cellIs" dxfId="4037" priority="461" stopIfTrue="1" operator="equal">
      <formula>"O"</formula>
    </cfRule>
  </conditionalFormatting>
  <conditionalFormatting sqref="BC80:BG94">
    <cfRule type="expression" dxfId="4036" priority="462" stopIfTrue="1">
      <formula>LEN(TRIM(BC80))=0</formula>
    </cfRule>
  </conditionalFormatting>
  <conditionalFormatting sqref="BC96:BG99">
    <cfRule type="cellIs" dxfId="4035" priority="463" stopIfTrue="1" operator="equal">
      <formula>"E"</formula>
    </cfRule>
  </conditionalFormatting>
  <conditionalFormatting sqref="BC96:BG99">
    <cfRule type="cellIs" dxfId="4034" priority="464" stopIfTrue="1" operator="equal">
      <formula>"S"</formula>
    </cfRule>
  </conditionalFormatting>
  <conditionalFormatting sqref="BC96:BG99">
    <cfRule type="cellIs" dxfId="4033" priority="465" stopIfTrue="1" operator="equal">
      <formula>"M"</formula>
    </cfRule>
  </conditionalFormatting>
  <conditionalFormatting sqref="BC96:BG99">
    <cfRule type="cellIs" dxfId="4032" priority="466" stopIfTrue="1" operator="equal">
      <formula>"J"</formula>
    </cfRule>
  </conditionalFormatting>
  <conditionalFormatting sqref="BC96:BG99">
    <cfRule type="cellIs" dxfId="4031" priority="467" stopIfTrue="1" operator="equal">
      <formula>"O"</formula>
    </cfRule>
  </conditionalFormatting>
  <conditionalFormatting sqref="BC96:BG99">
    <cfRule type="expression" dxfId="4030" priority="468" stopIfTrue="1">
      <formula>LEN(TRIM(BC96))=0</formula>
    </cfRule>
  </conditionalFormatting>
  <conditionalFormatting sqref="BC102:BG106">
    <cfRule type="cellIs" dxfId="4029" priority="469" stopIfTrue="1" operator="equal">
      <formula>"E"</formula>
    </cfRule>
  </conditionalFormatting>
  <conditionalFormatting sqref="BC102:BG106">
    <cfRule type="cellIs" dxfId="4028" priority="470" stopIfTrue="1" operator="equal">
      <formula>"S"</formula>
    </cfRule>
  </conditionalFormatting>
  <conditionalFormatting sqref="BC102:BG106">
    <cfRule type="cellIs" dxfId="4027" priority="471" stopIfTrue="1" operator="equal">
      <formula>"M"</formula>
    </cfRule>
  </conditionalFormatting>
  <conditionalFormatting sqref="BC102:BG106">
    <cfRule type="cellIs" dxfId="4026" priority="472" stopIfTrue="1" operator="equal">
      <formula>"J"</formula>
    </cfRule>
  </conditionalFormatting>
  <conditionalFormatting sqref="BC102:BG106">
    <cfRule type="cellIs" dxfId="4025" priority="473" stopIfTrue="1" operator="equal">
      <formula>"O"</formula>
    </cfRule>
  </conditionalFormatting>
  <conditionalFormatting sqref="BC102:BG106">
    <cfRule type="expression" dxfId="4024" priority="474" stopIfTrue="1">
      <formula>LEN(TRIM(BC102))=0</formula>
    </cfRule>
  </conditionalFormatting>
  <conditionalFormatting sqref="BC109:BG109">
    <cfRule type="cellIs" dxfId="4023" priority="475" stopIfTrue="1" operator="equal">
      <formula>"E"</formula>
    </cfRule>
  </conditionalFormatting>
  <conditionalFormatting sqref="BC109:BG109">
    <cfRule type="cellIs" dxfId="4022" priority="476" stopIfTrue="1" operator="equal">
      <formula>"S"</formula>
    </cfRule>
  </conditionalFormatting>
  <conditionalFormatting sqref="BC109:BG109">
    <cfRule type="cellIs" dxfId="4021" priority="477" stopIfTrue="1" operator="equal">
      <formula>"M"</formula>
    </cfRule>
  </conditionalFormatting>
  <conditionalFormatting sqref="BC109:BG109">
    <cfRule type="cellIs" dxfId="4020" priority="478" stopIfTrue="1" operator="equal">
      <formula>"J"</formula>
    </cfRule>
  </conditionalFormatting>
  <conditionalFormatting sqref="BC109:BG109">
    <cfRule type="cellIs" dxfId="4019" priority="479" stopIfTrue="1" operator="equal">
      <formula>"O"</formula>
    </cfRule>
  </conditionalFormatting>
  <conditionalFormatting sqref="BC109:BG109">
    <cfRule type="expression" dxfId="4018" priority="480" stopIfTrue="1">
      <formula>LEN(TRIM(BC109))=0</formula>
    </cfRule>
  </conditionalFormatting>
  <conditionalFormatting sqref="BH4:BJ16">
    <cfRule type="cellIs" dxfId="4017" priority="481" stopIfTrue="1" operator="equal">
      <formula>"E"</formula>
    </cfRule>
  </conditionalFormatting>
  <conditionalFormatting sqref="BH4:BJ16">
    <cfRule type="cellIs" dxfId="4016" priority="482" stopIfTrue="1" operator="equal">
      <formula>"S"</formula>
    </cfRule>
  </conditionalFormatting>
  <conditionalFormatting sqref="BH4:BJ16">
    <cfRule type="cellIs" dxfId="4015" priority="483" stopIfTrue="1" operator="equal">
      <formula>"M"</formula>
    </cfRule>
  </conditionalFormatting>
  <conditionalFormatting sqref="BH4:BJ16">
    <cfRule type="cellIs" dxfId="4014" priority="484" stopIfTrue="1" operator="equal">
      <formula>"J"</formula>
    </cfRule>
  </conditionalFormatting>
  <conditionalFormatting sqref="BH4:BJ16">
    <cfRule type="cellIs" dxfId="4013" priority="485" stopIfTrue="1" operator="equal">
      <formula>"O"</formula>
    </cfRule>
  </conditionalFormatting>
  <conditionalFormatting sqref="BH4:BJ16">
    <cfRule type="expression" dxfId="4012" priority="486" stopIfTrue="1">
      <formula>LEN(TRIM(BH4))=0</formula>
    </cfRule>
  </conditionalFormatting>
  <conditionalFormatting sqref="BH18:BJ26">
    <cfRule type="cellIs" dxfId="4011" priority="487" stopIfTrue="1" operator="equal">
      <formula>"E"</formula>
    </cfRule>
  </conditionalFormatting>
  <conditionalFormatting sqref="BH18:BJ26">
    <cfRule type="cellIs" dxfId="4010" priority="488" stopIfTrue="1" operator="equal">
      <formula>"S"</formula>
    </cfRule>
  </conditionalFormatting>
  <conditionalFormatting sqref="BH18:BJ26">
    <cfRule type="cellIs" dxfId="4009" priority="489" stopIfTrue="1" operator="equal">
      <formula>"M"</formula>
    </cfRule>
  </conditionalFormatting>
  <conditionalFormatting sqref="BH18:BJ26">
    <cfRule type="cellIs" dxfId="4008" priority="490" stopIfTrue="1" operator="equal">
      <formula>"J"</formula>
    </cfRule>
  </conditionalFormatting>
  <conditionalFormatting sqref="BH18:BJ26">
    <cfRule type="cellIs" dxfId="4007" priority="491" stopIfTrue="1" operator="equal">
      <formula>"O"</formula>
    </cfRule>
  </conditionalFormatting>
  <conditionalFormatting sqref="BH18:BJ26">
    <cfRule type="expression" dxfId="4006" priority="492" stopIfTrue="1">
      <formula>LEN(TRIM(BH18))=0</formula>
    </cfRule>
  </conditionalFormatting>
  <conditionalFormatting sqref="BH28:BJ37">
    <cfRule type="cellIs" dxfId="4005" priority="493" stopIfTrue="1" operator="equal">
      <formula>"E"</formula>
    </cfRule>
  </conditionalFormatting>
  <conditionalFormatting sqref="BH28:BJ37">
    <cfRule type="cellIs" dxfId="4004" priority="494" stopIfTrue="1" operator="equal">
      <formula>"S"</formula>
    </cfRule>
  </conditionalFormatting>
  <conditionalFormatting sqref="BH28:BJ37">
    <cfRule type="cellIs" dxfId="4003" priority="495" stopIfTrue="1" operator="equal">
      <formula>"M"</formula>
    </cfRule>
  </conditionalFormatting>
  <conditionalFormatting sqref="BH28:BJ37">
    <cfRule type="cellIs" dxfId="4002" priority="496" stopIfTrue="1" operator="equal">
      <formula>"J"</formula>
    </cfRule>
  </conditionalFormatting>
  <conditionalFormatting sqref="BH28:BJ37">
    <cfRule type="cellIs" dxfId="4001" priority="497" stopIfTrue="1" operator="equal">
      <formula>"O"</formula>
    </cfRule>
  </conditionalFormatting>
  <conditionalFormatting sqref="BH28:BJ37">
    <cfRule type="expression" dxfId="4000" priority="498" stopIfTrue="1">
      <formula>LEN(TRIM(BH28))=0</formula>
    </cfRule>
  </conditionalFormatting>
  <conditionalFormatting sqref="BH39:BJ50">
    <cfRule type="cellIs" dxfId="3999" priority="499" stopIfTrue="1" operator="equal">
      <formula>"E"</formula>
    </cfRule>
  </conditionalFormatting>
  <conditionalFormatting sqref="BH39:BJ50">
    <cfRule type="cellIs" dxfId="3998" priority="500" stopIfTrue="1" operator="equal">
      <formula>"S"</formula>
    </cfRule>
  </conditionalFormatting>
  <conditionalFormatting sqref="BH39:BJ50">
    <cfRule type="cellIs" dxfId="3997" priority="501" stopIfTrue="1" operator="equal">
      <formula>"M"</formula>
    </cfRule>
  </conditionalFormatting>
  <conditionalFormatting sqref="BH39:BJ50">
    <cfRule type="cellIs" dxfId="3996" priority="502" stopIfTrue="1" operator="equal">
      <formula>"J"</formula>
    </cfRule>
  </conditionalFormatting>
  <conditionalFormatting sqref="BH39:BJ50">
    <cfRule type="cellIs" dxfId="3995" priority="503" stopIfTrue="1" operator="equal">
      <formula>"O"</formula>
    </cfRule>
  </conditionalFormatting>
  <conditionalFormatting sqref="BH39:BJ50">
    <cfRule type="expression" dxfId="3994" priority="504" stopIfTrue="1">
      <formula>LEN(TRIM(BH39))=0</formula>
    </cfRule>
  </conditionalFormatting>
  <conditionalFormatting sqref="BH52:BJ59">
    <cfRule type="cellIs" dxfId="3993" priority="505" stopIfTrue="1" operator="equal">
      <formula>"E"</formula>
    </cfRule>
  </conditionalFormatting>
  <conditionalFormatting sqref="BH52:BJ59">
    <cfRule type="cellIs" dxfId="3992" priority="506" stopIfTrue="1" operator="equal">
      <formula>"S"</formula>
    </cfRule>
  </conditionalFormatting>
  <conditionalFormatting sqref="BH52:BJ59">
    <cfRule type="cellIs" dxfId="3991" priority="507" stopIfTrue="1" operator="equal">
      <formula>"M"</formula>
    </cfRule>
  </conditionalFormatting>
  <conditionalFormatting sqref="BH52:BJ59">
    <cfRule type="cellIs" dxfId="3990" priority="508" stopIfTrue="1" operator="equal">
      <formula>"J"</formula>
    </cfRule>
  </conditionalFormatting>
  <conditionalFormatting sqref="BH52:BJ59">
    <cfRule type="cellIs" dxfId="3989" priority="509" stopIfTrue="1" operator="equal">
      <formula>"O"</formula>
    </cfRule>
  </conditionalFormatting>
  <conditionalFormatting sqref="BH52:BJ59">
    <cfRule type="expression" dxfId="3988" priority="510" stopIfTrue="1">
      <formula>LEN(TRIM(BH52))=0</formula>
    </cfRule>
  </conditionalFormatting>
  <conditionalFormatting sqref="BH61:BJ78">
    <cfRule type="cellIs" dxfId="3987" priority="511" stopIfTrue="1" operator="equal">
      <formula>"E"</formula>
    </cfRule>
  </conditionalFormatting>
  <conditionalFormatting sqref="BH61:BJ78">
    <cfRule type="cellIs" dxfId="3986" priority="512" stopIfTrue="1" operator="equal">
      <formula>"S"</formula>
    </cfRule>
  </conditionalFormatting>
  <conditionalFormatting sqref="BH61:BJ78">
    <cfRule type="cellIs" dxfId="3985" priority="513" stopIfTrue="1" operator="equal">
      <formula>"M"</formula>
    </cfRule>
  </conditionalFormatting>
  <conditionalFormatting sqref="BH61:BJ78">
    <cfRule type="cellIs" dxfId="3984" priority="514" stopIfTrue="1" operator="equal">
      <formula>"J"</formula>
    </cfRule>
  </conditionalFormatting>
  <conditionalFormatting sqref="BH61:BJ78">
    <cfRule type="cellIs" dxfId="3983" priority="515" stopIfTrue="1" operator="equal">
      <formula>"O"</formula>
    </cfRule>
  </conditionalFormatting>
  <conditionalFormatting sqref="BH61:BJ78">
    <cfRule type="expression" dxfId="3982" priority="516" stopIfTrue="1">
      <formula>LEN(TRIM(BH61))=0</formula>
    </cfRule>
  </conditionalFormatting>
  <conditionalFormatting sqref="BH80:BJ94">
    <cfRule type="cellIs" dxfId="3981" priority="517" stopIfTrue="1" operator="equal">
      <formula>"E"</formula>
    </cfRule>
  </conditionalFormatting>
  <conditionalFormatting sqref="BH80:BJ94">
    <cfRule type="cellIs" dxfId="3980" priority="518" stopIfTrue="1" operator="equal">
      <formula>"S"</formula>
    </cfRule>
  </conditionalFormatting>
  <conditionalFormatting sqref="BH80:BJ94">
    <cfRule type="cellIs" dxfId="3979" priority="519" stopIfTrue="1" operator="equal">
      <formula>"M"</formula>
    </cfRule>
  </conditionalFormatting>
  <conditionalFormatting sqref="BH80:BJ94">
    <cfRule type="cellIs" dxfId="3978" priority="520" stopIfTrue="1" operator="equal">
      <formula>"J"</formula>
    </cfRule>
  </conditionalFormatting>
  <conditionalFormatting sqref="BH80:BJ94">
    <cfRule type="cellIs" dxfId="3977" priority="521" stopIfTrue="1" operator="equal">
      <formula>"O"</formula>
    </cfRule>
  </conditionalFormatting>
  <conditionalFormatting sqref="BH80:BJ94">
    <cfRule type="expression" dxfId="3976" priority="522" stopIfTrue="1">
      <formula>LEN(TRIM(BH80))=0</formula>
    </cfRule>
  </conditionalFormatting>
  <conditionalFormatting sqref="BH96:BJ99">
    <cfRule type="cellIs" dxfId="3975" priority="523" stopIfTrue="1" operator="equal">
      <formula>"E"</formula>
    </cfRule>
  </conditionalFormatting>
  <conditionalFormatting sqref="BH96:BJ99">
    <cfRule type="cellIs" dxfId="3974" priority="524" stopIfTrue="1" operator="equal">
      <formula>"S"</formula>
    </cfRule>
  </conditionalFormatting>
  <conditionalFormatting sqref="BH96:BJ99">
    <cfRule type="cellIs" dxfId="3973" priority="525" stopIfTrue="1" operator="equal">
      <formula>"M"</formula>
    </cfRule>
  </conditionalFormatting>
  <conditionalFormatting sqref="BH96:BJ99">
    <cfRule type="cellIs" dxfId="3972" priority="526" stopIfTrue="1" operator="equal">
      <formula>"J"</formula>
    </cfRule>
  </conditionalFormatting>
  <conditionalFormatting sqref="BH96:BJ99">
    <cfRule type="cellIs" dxfId="3971" priority="527" stopIfTrue="1" operator="equal">
      <formula>"O"</formula>
    </cfRule>
  </conditionalFormatting>
  <conditionalFormatting sqref="BH96:BJ99">
    <cfRule type="expression" dxfId="3970" priority="528" stopIfTrue="1">
      <formula>LEN(TRIM(BH96))=0</formula>
    </cfRule>
  </conditionalFormatting>
  <conditionalFormatting sqref="BH102:BJ106">
    <cfRule type="cellIs" dxfId="3969" priority="529" stopIfTrue="1" operator="equal">
      <formula>"E"</formula>
    </cfRule>
  </conditionalFormatting>
  <conditionalFormatting sqref="BH102:BJ106">
    <cfRule type="cellIs" dxfId="3968" priority="530" stopIfTrue="1" operator="equal">
      <formula>"S"</formula>
    </cfRule>
  </conditionalFormatting>
  <conditionalFormatting sqref="BH102:BJ106">
    <cfRule type="cellIs" dxfId="3967" priority="531" stopIfTrue="1" operator="equal">
      <formula>"M"</formula>
    </cfRule>
  </conditionalFormatting>
  <conditionalFormatting sqref="BH102:BJ106">
    <cfRule type="cellIs" dxfId="3966" priority="532" stopIfTrue="1" operator="equal">
      <formula>"J"</formula>
    </cfRule>
  </conditionalFormatting>
  <conditionalFormatting sqref="BH102:BJ106">
    <cfRule type="cellIs" dxfId="3965" priority="533" stopIfTrue="1" operator="equal">
      <formula>"O"</formula>
    </cfRule>
  </conditionalFormatting>
  <conditionalFormatting sqref="BH102:BJ106">
    <cfRule type="expression" dxfId="3964" priority="534" stopIfTrue="1">
      <formula>LEN(TRIM(BH102))=0</formula>
    </cfRule>
  </conditionalFormatting>
  <conditionalFormatting sqref="BH109:BJ109">
    <cfRule type="cellIs" dxfId="3963" priority="535" stopIfTrue="1" operator="equal">
      <formula>"E"</formula>
    </cfRule>
  </conditionalFormatting>
  <conditionalFormatting sqref="BH109:BJ109">
    <cfRule type="cellIs" dxfId="3962" priority="536" stopIfTrue="1" operator="equal">
      <formula>"S"</formula>
    </cfRule>
  </conditionalFormatting>
  <conditionalFormatting sqref="BH109:BJ109">
    <cfRule type="cellIs" dxfId="3961" priority="537" stopIfTrue="1" operator="equal">
      <formula>"M"</formula>
    </cfRule>
  </conditionalFormatting>
  <conditionalFormatting sqref="BH109:BJ109">
    <cfRule type="cellIs" dxfId="3960" priority="538" stopIfTrue="1" operator="equal">
      <formula>"J"</formula>
    </cfRule>
  </conditionalFormatting>
  <conditionalFormatting sqref="BH109:BJ109">
    <cfRule type="cellIs" dxfId="3959" priority="539" stopIfTrue="1" operator="equal">
      <formula>"O"</formula>
    </cfRule>
  </conditionalFormatting>
  <conditionalFormatting sqref="BH109:BJ109">
    <cfRule type="expression" dxfId="3958" priority="540" stopIfTrue="1">
      <formula>LEN(TRIM(BH109))=0</formula>
    </cfRule>
  </conditionalFormatting>
  <conditionalFormatting sqref="BK4:BN16">
    <cfRule type="cellIs" dxfId="3957" priority="541" stopIfTrue="1" operator="equal">
      <formula>"E"</formula>
    </cfRule>
    <cfRule type="cellIs" dxfId="3956" priority="542" stopIfTrue="1" operator="equal">
      <formula>"S"</formula>
    </cfRule>
    <cfRule type="cellIs" dxfId="3955" priority="543" stopIfTrue="1" operator="equal">
      <formula>"M"</formula>
    </cfRule>
    <cfRule type="cellIs" dxfId="3954" priority="544" stopIfTrue="1" operator="equal">
      <formula>"J"</formula>
    </cfRule>
    <cfRule type="cellIs" dxfId="3953" priority="545" stopIfTrue="1" operator="equal">
      <formula>"O"</formula>
    </cfRule>
    <cfRule type="expression" dxfId="3952" priority="546" stopIfTrue="1">
      <formula>LEN(TRIM(BK4))=0</formula>
    </cfRule>
  </conditionalFormatting>
  <conditionalFormatting sqref="BK18:BN26">
    <cfRule type="cellIs" dxfId="3951" priority="547" stopIfTrue="1" operator="equal">
      <formula>"E"</formula>
    </cfRule>
    <cfRule type="cellIs" dxfId="3950" priority="548" stopIfTrue="1" operator="equal">
      <formula>"S"</formula>
    </cfRule>
    <cfRule type="cellIs" dxfId="3949" priority="549" stopIfTrue="1" operator="equal">
      <formula>"M"</formula>
    </cfRule>
    <cfRule type="cellIs" dxfId="3948" priority="550" stopIfTrue="1" operator="equal">
      <formula>"J"</formula>
    </cfRule>
    <cfRule type="cellIs" dxfId="3947" priority="551" stopIfTrue="1" operator="equal">
      <formula>"O"</formula>
    </cfRule>
    <cfRule type="expression" dxfId="3946" priority="552" stopIfTrue="1">
      <formula>LEN(TRIM(BK18))=0</formula>
    </cfRule>
  </conditionalFormatting>
  <conditionalFormatting sqref="BK28:BN37">
    <cfRule type="cellIs" dxfId="3945" priority="553" stopIfTrue="1" operator="equal">
      <formula>"E"</formula>
    </cfRule>
  </conditionalFormatting>
  <conditionalFormatting sqref="BK28:BN37">
    <cfRule type="cellIs" dxfId="3944" priority="554" stopIfTrue="1" operator="equal">
      <formula>"S"</formula>
    </cfRule>
  </conditionalFormatting>
  <conditionalFormatting sqref="BK28:BN37">
    <cfRule type="cellIs" dxfId="3943" priority="555" stopIfTrue="1" operator="equal">
      <formula>"M"</formula>
    </cfRule>
  </conditionalFormatting>
  <conditionalFormatting sqref="BK28:BN37">
    <cfRule type="cellIs" dxfId="3942" priority="556" stopIfTrue="1" operator="equal">
      <formula>"J"</formula>
    </cfRule>
  </conditionalFormatting>
  <conditionalFormatting sqref="BK28:BN37">
    <cfRule type="cellIs" dxfId="3941" priority="557" stopIfTrue="1" operator="equal">
      <formula>"O"</formula>
    </cfRule>
  </conditionalFormatting>
  <conditionalFormatting sqref="BK28:BN37">
    <cfRule type="expression" dxfId="3940" priority="558" stopIfTrue="1">
      <formula>LEN(TRIM(BK28))=0</formula>
    </cfRule>
  </conditionalFormatting>
  <conditionalFormatting sqref="BK39:BN50">
    <cfRule type="cellIs" dxfId="3939" priority="559" stopIfTrue="1" operator="equal">
      <formula>"E"</formula>
    </cfRule>
  </conditionalFormatting>
  <conditionalFormatting sqref="BK39:BN50">
    <cfRule type="cellIs" dxfId="3938" priority="560" stopIfTrue="1" operator="equal">
      <formula>"S"</formula>
    </cfRule>
  </conditionalFormatting>
  <conditionalFormatting sqref="BK39:BN50">
    <cfRule type="cellIs" dxfId="3937" priority="561" stopIfTrue="1" operator="equal">
      <formula>"M"</formula>
    </cfRule>
  </conditionalFormatting>
  <conditionalFormatting sqref="BK39:BN50">
    <cfRule type="cellIs" dxfId="3936" priority="562" stopIfTrue="1" operator="equal">
      <formula>"J"</formula>
    </cfRule>
  </conditionalFormatting>
  <conditionalFormatting sqref="BK39:BN50">
    <cfRule type="cellIs" dxfId="3935" priority="563" stopIfTrue="1" operator="equal">
      <formula>"O"</formula>
    </cfRule>
  </conditionalFormatting>
  <conditionalFormatting sqref="BK39:BN50">
    <cfRule type="expression" dxfId="3934" priority="564" stopIfTrue="1">
      <formula>LEN(TRIM(BK39))=0</formula>
    </cfRule>
  </conditionalFormatting>
  <conditionalFormatting sqref="BK52:BN59">
    <cfRule type="cellIs" dxfId="3933" priority="565" stopIfTrue="1" operator="equal">
      <formula>"E"</formula>
    </cfRule>
  </conditionalFormatting>
  <conditionalFormatting sqref="BK52:BN59">
    <cfRule type="cellIs" dxfId="3932" priority="566" stopIfTrue="1" operator="equal">
      <formula>"S"</formula>
    </cfRule>
  </conditionalFormatting>
  <conditionalFormatting sqref="BK52:BN59">
    <cfRule type="cellIs" dxfId="3931" priority="567" stopIfTrue="1" operator="equal">
      <formula>"M"</formula>
    </cfRule>
  </conditionalFormatting>
  <conditionalFormatting sqref="BK52:BN59">
    <cfRule type="cellIs" dxfId="3930" priority="568" stopIfTrue="1" operator="equal">
      <formula>"J"</formula>
    </cfRule>
  </conditionalFormatting>
  <conditionalFormatting sqref="BK52:BN59">
    <cfRule type="cellIs" dxfId="3929" priority="569" stopIfTrue="1" operator="equal">
      <formula>"O"</formula>
    </cfRule>
  </conditionalFormatting>
  <conditionalFormatting sqref="BK52:BN59">
    <cfRule type="expression" dxfId="3928" priority="570" stopIfTrue="1">
      <formula>LEN(TRIM(BK52))=0</formula>
    </cfRule>
  </conditionalFormatting>
  <conditionalFormatting sqref="BK61:BN78">
    <cfRule type="cellIs" dxfId="3927" priority="571" stopIfTrue="1" operator="equal">
      <formula>"E"</formula>
    </cfRule>
  </conditionalFormatting>
  <conditionalFormatting sqref="BK61:BN78">
    <cfRule type="cellIs" dxfId="3926" priority="572" stopIfTrue="1" operator="equal">
      <formula>"S"</formula>
    </cfRule>
  </conditionalFormatting>
  <conditionalFormatting sqref="BK61:BN78">
    <cfRule type="cellIs" dxfId="3925" priority="573" stopIfTrue="1" operator="equal">
      <formula>"M"</formula>
    </cfRule>
  </conditionalFormatting>
  <conditionalFormatting sqref="BK61:BN78">
    <cfRule type="cellIs" dxfId="3924" priority="574" stopIfTrue="1" operator="equal">
      <formula>"J"</formula>
    </cfRule>
  </conditionalFormatting>
  <conditionalFormatting sqref="BK61:BN78">
    <cfRule type="cellIs" dxfId="3923" priority="575" stopIfTrue="1" operator="equal">
      <formula>"O"</formula>
    </cfRule>
  </conditionalFormatting>
  <conditionalFormatting sqref="BK61:BN78">
    <cfRule type="expression" dxfId="3922" priority="576" stopIfTrue="1">
      <formula>LEN(TRIM(BK61))=0</formula>
    </cfRule>
  </conditionalFormatting>
  <conditionalFormatting sqref="BK80:BN94">
    <cfRule type="cellIs" dxfId="3921" priority="577" stopIfTrue="1" operator="equal">
      <formula>"E"</formula>
    </cfRule>
  </conditionalFormatting>
  <conditionalFormatting sqref="BK80:BN94">
    <cfRule type="cellIs" dxfId="3920" priority="578" stopIfTrue="1" operator="equal">
      <formula>"S"</formula>
    </cfRule>
  </conditionalFormatting>
  <conditionalFormatting sqref="BK80:BN94">
    <cfRule type="cellIs" dxfId="3919" priority="579" stopIfTrue="1" operator="equal">
      <formula>"M"</formula>
    </cfRule>
  </conditionalFormatting>
  <conditionalFormatting sqref="BK80:BN94">
    <cfRule type="cellIs" dxfId="3918" priority="580" stopIfTrue="1" operator="equal">
      <formula>"J"</formula>
    </cfRule>
  </conditionalFormatting>
  <conditionalFormatting sqref="BK80:BN94">
    <cfRule type="cellIs" dxfId="3917" priority="581" stopIfTrue="1" operator="equal">
      <formula>"O"</formula>
    </cfRule>
  </conditionalFormatting>
  <conditionalFormatting sqref="BK80:BN94">
    <cfRule type="expression" dxfId="3916" priority="582" stopIfTrue="1">
      <formula>LEN(TRIM(BK80))=0</formula>
    </cfRule>
  </conditionalFormatting>
  <conditionalFormatting sqref="BK96:BN99">
    <cfRule type="cellIs" dxfId="3915" priority="583" stopIfTrue="1" operator="equal">
      <formula>"E"</formula>
    </cfRule>
  </conditionalFormatting>
  <conditionalFormatting sqref="BK96:BN99">
    <cfRule type="cellIs" dxfId="3914" priority="584" stopIfTrue="1" operator="equal">
      <formula>"S"</formula>
    </cfRule>
  </conditionalFormatting>
  <conditionalFormatting sqref="BK96:BN99">
    <cfRule type="cellIs" dxfId="3913" priority="585" stopIfTrue="1" operator="equal">
      <formula>"M"</formula>
    </cfRule>
  </conditionalFormatting>
  <conditionalFormatting sqref="BK96:BN99">
    <cfRule type="cellIs" dxfId="3912" priority="586" stopIfTrue="1" operator="equal">
      <formula>"J"</formula>
    </cfRule>
  </conditionalFormatting>
  <conditionalFormatting sqref="BK96:BN99">
    <cfRule type="cellIs" dxfId="3911" priority="587" stopIfTrue="1" operator="equal">
      <formula>"O"</formula>
    </cfRule>
  </conditionalFormatting>
  <conditionalFormatting sqref="BK96:BN99">
    <cfRule type="expression" dxfId="3910" priority="588" stopIfTrue="1">
      <formula>LEN(TRIM(BK96))=0</formula>
    </cfRule>
  </conditionalFormatting>
  <conditionalFormatting sqref="BK102:BN106">
    <cfRule type="cellIs" dxfId="3909" priority="589" stopIfTrue="1" operator="equal">
      <formula>"E"</formula>
    </cfRule>
  </conditionalFormatting>
  <conditionalFormatting sqref="BK102:BN106">
    <cfRule type="cellIs" dxfId="3908" priority="590" stopIfTrue="1" operator="equal">
      <formula>"S"</formula>
    </cfRule>
  </conditionalFormatting>
  <conditionalFormatting sqref="BK102:BN106">
    <cfRule type="cellIs" dxfId="3907" priority="591" stopIfTrue="1" operator="equal">
      <formula>"M"</formula>
    </cfRule>
  </conditionalFormatting>
  <conditionalFormatting sqref="BK102:BN106">
    <cfRule type="cellIs" dxfId="3906" priority="592" stopIfTrue="1" operator="equal">
      <formula>"J"</formula>
    </cfRule>
  </conditionalFormatting>
  <conditionalFormatting sqref="BK102:BN106">
    <cfRule type="cellIs" dxfId="3905" priority="593" stopIfTrue="1" operator="equal">
      <formula>"O"</formula>
    </cfRule>
  </conditionalFormatting>
  <conditionalFormatting sqref="BK102:BN106">
    <cfRule type="expression" dxfId="3904" priority="594" stopIfTrue="1">
      <formula>LEN(TRIM(BK102))=0</formula>
    </cfRule>
  </conditionalFormatting>
  <conditionalFormatting sqref="BK109:BN109">
    <cfRule type="cellIs" dxfId="3903" priority="595" stopIfTrue="1" operator="equal">
      <formula>"E"</formula>
    </cfRule>
  </conditionalFormatting>
  <conditionalFormatting sqref="BK109:BN109">
    <cfRule type="cellIs" dxfId="3902" priority="596" stopIfTrue="1" operator="equal">
      <formula>"S"</formula>
    </cfRule>
  </conditionalFormatting>
  <conditionalFormatting sqref="BK109:BN109">
    <cfRule type="cellIs" dxfId="3901" priority="597" stopIfTrue="1" operator="equal">
      <formula>"M"</formula>
    </cfRule>
  </conditionalFormatting>
  <conditionalFormatting sqref="BK109:BN109">
    <cfRule type="cellIs" dxfId="3900" priority="598" stopIfTrue="1" operator="equal">
      <formula>"J"</formula>
    </cfRule>
  </conditionalFormatting>
  <conditionalFormatting sqref="BK109:BN109">
    <cfRule type="cellIs" dxfId="3899" priority="599" stopIfTrue="1" operator="equal">
      <formula>"O"</formula>
    </cfRule>
  </conditionalFormatting>
  <conditionalFormatting sqref="BK109:BN109">
    <cfRule type="expression" dxfId="3898" priority="600" stopIfTrue="1">
      <formula>LEN(TRIM(BK109))=0</formula>
    </cfRule>
  </conditionalFormatting>
  <conditionalFormatting sqref="BO4:BV16">
    <cfRule type="cellIs" dxfId="3897" priority="601" stopIfTrue="1" operator="equal">
      <formula>"E"</formula>
    </cfRule>
    <cfRule type="cellIs" dxfId="3896" priority="602" stopIfTrue="1" operator="equal">
      <formula>"S"</formula>
    </cfRule>
    <cfRule type="cellIs" dxfId="3895" priority="603" stopIfTrue="1" operator="equal">
      <formula>"M"</formula>
    </cfRule>
    <cfRule type="cellIs" dxfId="3894" priority="604" stopIfTrue="1" operator="equal">
      <formula>"J"</formula>
    </cfRule>
    <cfRule type="cellIs" dxfId="3893" priority="605" stopIfTrue="1" operator="equal">
      <formula>"O"</formula>
    </cfRule>
    <cfRule type="expression" dxfId="3892" priority="606" stopIfTrue="1">
      <formula>LEN(TRIM(BO4))=0</formula>
    </cfRule>
  </conditionalFormatting>
  <conditionalFormatting sqref="BO18:BV26">
    <cfRule type="cellIs" dxfId="3891" priority="607" stopIfTrue="1" operator="equal">
      <formula>"E"</formula>
    </cfRule>
    <cfRule type="cellIs" dxfId="3890" priority="608" stopIfTrue="1" operator="equal">
      <formula>"S"</formula>
    </cfRule>
    <cfRule type="cellIs" dxfId="3889" priority="609" stopIfTrue="1" operator="equal">
      <formula>"M"</formula>
    </cfRule>
    <cfRule type="cellIs" dxfId="3888" priority="610" stopIfTrue="1" operator="equal">
      <formula>"J"</formula>
    </cfRule>
    <cfRule type="cellIs" dxfId="3887" priority="611" stopIfTrue="1" operator="equal">
      <formula>"O"</formula>
    </cfRule>
    <cfRule type="expression" dxfId="3886" priority="612" stopIfTrue="1">
      <formula>LEN(TRIM(BO18))=0</formula>
    </cfRule>
  </conditionalFormatting>
  <conditionalFormatting sqref="BO28:BV37">
    <cfRule type="cellIs" dxfId="3885" priority="613" stopIfTrue="1" operator="equal">
      <formula>"E"</formula>
    </cfRule>
  </conditionalFormatting>
  <conditionalFormatting sqref="BO28:BV37">
    <cfRule type="cellIs" dxfId="3884" priority="614" stopIfTrue="1" operator="equal">
      <formula>"S"</formula>
    </cfRule>
  </conditionalFormatting>
  <conditionalFormatting sqref="BO28:BV37">
    <cfRule type="cellIs" dxfId="3883" priority="615" stopIfTrue="1" operator="equal">
      <formula>"M"</formula>
    </cfRule>
  </conditionalFormatting>
  <conditionalFormatting sqref="BO28:BV37">
    <cfRule type="cellIs" dxfId="3882" priority="616" stopIfTrue="1" operator="equal">
      <formula>"J"</formula>
    </cfRule>
  </conditionalFormatting>
  <conditionalFormatting sqref="BO28:BV37">
    <cfRule type="cellIs" dxfId="3881" priority="617" stopIfTrue="1" operator="equal">
      <formula>"O"</formula>
    </cfRule>
  </conditionalFormatting>
  <conditionalFormatting sqref="BO28:BV37">
    <cfRule type="expression" dxfId="3880" priority="618" stopIfTrue="1">
      <formula>LEN(TRIM(BO28))=0</formula>
    </cfRule>
  </conditionalFormatting>
  <conditionalFormatting sqref="BO39:BV50">
    <cfRule type="cellIs" dxfId="3879" priority="619" stopIfTrue="1" operator="equal">
      <formula>"E"</formula>
    </cfRule>
  </conditionalFormatting>
  <conditionalFormatting sqref="BO39:BV50">
    <cfRule type="cellIs" dxfId="3878" priority="620" stopIfTrue="1" operator="equal">
      <formula>"S"</formula>
    </cfRule>
  </conditionalFormatting>
  <conditionalFormatting sqref="BO39:BV50">
    <cfRule type="cellIs" dxfId="3877" priority="621" stopIfTrue="1" operator="equal">
      <formula>"M"</formula>
    </cfRule>
  </conditionalFormatting>
  <conditionalFormatting sqref="BO39:BV50">
    <cfRule type="cellIs" dxfId="3876" priority="622" stopIfTrue="1" operator="equal">
      <formula>"J"</formula>
    </cfRule>
  </conditionalFormatting>
  <conditionalFormatting sqref="BO39:BV50">
    <cfRule type="cellIs" dxfId="3875" priority="623" stopIfTrue="1" operator="equal">
      <formula>"O"</formula>
    </cfRule>
  </conditionalFormatting>
  <conditionalFormatting sqref="BO39:BV50">
    <cfRule type="expression" dxfId="3874" priority="624" stopIfTrue="1">
      <formula>LEN(TRIM(BO39))=0</formula>
    </cfRule>
  </conditionalFormatting>
  <conditionalFormatting sqref="BO52:BV59">
    <cfRule type="cellIs" dxfId="3873" priority="625" stopIfTrue="1" operator="equal">
      <formula>"E"</formula>
    </cfRule>
  </conditionalFormatting>
  <conditionalFormatting sqref="BO52:BV59">
    <cfRule type="cellIs" dxfId="3872" priority="626" stopIfTrue="1" operator="equal">
      <formula>"S"</formula>
    </cfRule>
  </conditionalFormatting>
  <conditionalFormatting sqref="BO52:BV59">
    <cfRule type="cellIs" dxfId="3871" priority="627" stopIfTrue="1" operator="equal">
      <formula>"M"</formula>
    </cfRule>
  </conditionalFormatting>
  <conditionalFormatting sqref="BO52:BV59">
    <cfRule type="cellIs" dxfId="3870" priority="628" stopIfTrue="1" operator="equal">
      <formula>"J"</formula>
    </cfRule>
  </conditionalFormatting>
  <conditionalFormatting sqref="BO52:BV59">
    <cfRule type="cellIs" dxfId="3869" priority="629" stopIfTrue="1" operator="equal">
      <formula>"O"</formula>
    </cfRule>
  </conditionalFormatting>
  <conditionalFormatting sqref="BO52:BV59">
    <cfRule type="expression" dxfId="3868" priority="630" stopIfTrue="1">
      <formula>LEN(TRIM(BO52))=0</formula>
    </cfRule>
  </conditionalFormatting>
  <conditionalFormatting sqref="BO61:BV78">
    <cfRule type="cellIs" dxfId="3867" priority="631" stopIfTrue="1" operator="equal">
      <formula>"E"</formula>
    </cfRule>
  </conditionalFormatting>
  <conditionalFormatting sqref="BO61:BV78">
    <cfRule type="cellIs" dxfId="3866" priority="632" stopIfTrue="1" operator="equal">
      <formula>"S"</formula>
    </cfRule>
  </conditionalFormatting>
  <conditionalFormatting sqref="BO61:BV78">
    <cfRule type="cellIs" dxfId="3865" priority="633" stopIfTrue="1" operator="equal">
      <formula>"M"</formula>
    </cfRule>
  </conditionalFormatting>
  <conditionalFormatting sqref="BO61:BV78">
    <cfRule type="cellIs" dxfId="3864" priority="634" stopIfTrue="1" operator="equal">
      <formula>"J"</formula>
    </cfRule>
  </conditionalFormatting>
  <conditionalFormatting sqref="BO61:BV78">
    <cfRule type="cellIs" dxfId="3863" priority="635" stopIfTrue="1" operator="equal">
      <formula>"O"</formula>
    </cfRule>
  </conditionalFormatting>
  <conditionalFormatting sqref="BO61:BV78">
    <cfRule type="expression" dxfId="3862" priority="636" stopIfTrue="1">
      <formula>LEN(TRIM(BO61))=0</formula>
    </cfRule>
  </conditionalFormatting>
  <conditionalFormatting sqref="BO80:BV94">
    <cfRule type="cellIs" dxfId="3861" priority="637" stopIfTrue="1" operator="equal">
      <formula>"E"</formula>
    </cfRule>
  </conditionalFormatting>
  <conditionalFormatting sqref="BO80:BV94">
    <cfRule type="cellIs" dxfId="3860" priority="638" stopIfTrue="1" operator="equal">
      <formula>"S"</formula>
    </cfRule>
  </conditionalFormatting>
  <conditionalFormatting sqref="BO80:BV94">
    <cfRule type="cellIs" dxfId="3859" priority="639" stopIfTrue="1" operator="equal">
      <formula>"M"</formula>
    </cfRule>
  </conditionalFormatting>
  <conditionalFormatting sqref="BO80:BV94">
    <cfRule type="cellIs" dxfId="3858" priority="640" stopIfTrue="1" operator="equal">
      <formula>"J"</formula>
    </cfRule>
  </conditionalFormatting>
  <conditionalFormatting sqref="BO80:BV94">
    <cfRule type="cellIs" dxfId="3857" priority="641" stopIfTrue="1" operator="equal">
      <formula>"O"</formula>
    </cfRule>
  </conditionalFormatting>
  <conditionalFormatting sqref="BO80:BV94">
    <cfRule type="expression" dxfId="3856" priority="642" stopIfTrue="1">
      <formula>LEN(TRIM(BO80))=0</formula>
    </cfRule>
  </conditionalFormatting>
  <conditionalFormatting sqref="BO96:BV99">
    <cfRule type="cellIs" dxfId="3855" priority="643" stopIfTrue="1" operator="equal">
      <formula>"E"</formula>
    </cfRule>
  </conditionalFormatting>
  <conditionalFormatting sqref="BO96:BV99">
    <cfRule type="cellIs" dxfId="3854" priority="644" stopIfTrue="1" operator="equal">
      <formula>"S"</formula>
    </cfRule>
  </conditionalFormatting>
  <conditionalFormatting sqref="BO96:BV99">
    <cfRule type="cellIs" dxfId="3853" priority="645" stopIfTrue="1" operator="equal">
      <formula>"M"</formula>
    </cfRule>
  </conditionalFormatting>
  <conditionalFormatting sqref="BO96:BV99">
    <cfRule type="cellIs" dxfId="3852" priority="646" stopIfTrue="1" operator="equal">
      <formula>"J"</formula>
    </cfRule>
  </conditionalFormatting>
  <conditionalFormatting sqref="BO96:BV99">
    <cfRule type="cellIs" dxfId="3851" priority="647" stopIfTrue="1" operator="equal">
      <formula>"O"</formula>
    </cfRule>
  </conditionalFormatting>
  <conditionalFormatting sqref="BO96:BV99">
    <cfRule type="expression" dxfId="3850" priority="648" stopIfTrue="1">
      <formula>LEN(TRIM(BO96))=0</formula>
    </cfRule>
  </conditionalFormatting>
  <conditionalFormatting sqref="BO102:BV106">
    <cfRule type="cellIs" dxfId="3849" priority="649" stopIfTrue="1" operator="equal">
      <formula>"E"</formula>
    </cfRule>
  </conditionalFormatting>
  <conditionalFormatting sqref="BO102:BV106">
    <cfRule type="cellIs" dxfId="3848" priority="650" stopIfTrue="1" operator="equal">
      <formula>"S"</formula>
    </cfRule>
  </conditionalFormatting>
  <conditionalFormatting sqref="BO102:BV106">
    <cfRule type="cellIs" dxfId="3847" priority="651" stopIfTrue="1" operator="equal">
      <formula>"M"</formula>
    </cfRule>
  </conditionalFormatting>
  <conditionalFormatting sqref="BO102:BV106">
    <cfRule type="cellIs" dxfId="3846" priority="652" stopIfTrue="1" operator="equal">
      <formula>"J"</formula>
    </cfRule>
  </conditionalFormatting>
  <conditionalFormatting sqref="BO102:BV106">
    <cfRule type="cellIs" dxfId="3845" priority="653" stopIfTrue="1" operator="equal">
      <formula>"O"</formula>
    </cfRule>
  </conditionalFormatting>
  <conditionalFormatting sqref="BO102:BV106">
    <cfRule type="expression" dxfId="3844" priority="654" stopIfTrue="1">
      <formula>LEN(TRIM(BO102))=0</formula>
    </cfRule>
  </conditionalFormatting>
  <conditionalFormatting sqref="BO109:BV109">
    <cfRule type="cellIs" dxfId="3843" priority="655" stopIfTrue="1" operator="equal">
      <formula>"E"</formula>
    </cfRule>
  </conditionalFormatting>
  <conditionalFormatting sqref="BO109:BV109">
    <cfRule type="cellIs" dxfId="3842" priority="656" stopIfTrue="1" operator="equal">
      <formula>"S"</formula>
    </cfRule>
  </conditionalFormatting>
  <conditionalFormatting sqref="BO109:BV109">
    <cfRule type="cellIs" dxfId="3841" priority="657" stopIfTrue="1" operator="equal">
      <formula>"M"</formula>
    </cfRule>
  </conditionalFormatting>
  <conditionalFormatting sqref="BO109:BV109">
    <cfRule type="cellIs" dxfId="3840" priority="658" stopIfTrue="1" operator="equal">
      <formula>"J"</formula>
    </cfRule>
  </conditionalFormatting>
  <conditionalFormatting sqref="BO109:BV109">
    <cfRule type="cellIs" dxfId="3839" priority="659" stopIfTrue="1" operator="equal">
      <formula>"O"</formula>
    </cfRule>
  </conditionalFormatting>
  <conditionalFormatting sqref="BO109:BV109">
    <cfRule type="expression" dxfId="3838" priority="660" stopIfTrue="1">
      <formula>LEN(TRIM(BO109))=0</formula>
    </cfRule>
  </conditionalFormatting>
  <conditionalFormatting sqref="BW4:CB16">
    <cfRule type="cellIs" dxfId="3837" priority="661" stopIfTrue="1" operator="equal">
      <formula>"E"</formula>
    </cfRule>
    <cfRule type="cellIs" dxfId="3836" priority="662" stopIfTrue="1" operator="equal">
      <formula>"S"</formula>
    </cfRule>
    <cfRule type="cellIs" dxfId="3835" priority="663" stopIfTrue="1" operator="equal">
      <formula>"M"</formula>
    </cfRule>
    <cfRule type="cellIs" dxfId="3834" priority="664" stopIfTrue="1" operator="equal">
      <formula>"J"</formula>
    </cfRule>
    <cfRule type="cellIs" dxfId="3833" priority="665" stopIfTrue="1" operator="equal">
      <formula>"O"</formula>
    </cfRule>
    <cfRule type="expression" dxfId="3832" priority="666" stopIfTrue="1">
      <formula>LEN(TRIM(BW4))=0</formula>
    </cfRule>
  </conditionalFormatting>
  <conditionalFormatting sqref="BW18:CB26">
    <cfRule type="cellIs" dxfId="3831" priority="667" stopIfTrue="1" operator="equal">
      <formula>"E"</formula>
    </cfRule>
    <cfRule type="cellIs" dxfId="3830" priority="668" stopIfTrue="1" operator="equal">
      <formula>"S"</formula>
    </cfRule>
    <cfRule type="cellIs" dxfId="3829" priority="669" stopIfTrue="1" operator="equal">
      <formula>"M"</formula>
    </cfRule>
    <cfRule type="cellIs" dxfId="3828" priority="670" stopIfTrue="1" operator="equal">
      <formula>"J"</formula>
    </cfRule>
    <cfRule type="cellIs" dxfId="3827" priority="671" stopIfTrue="1" operator="equal">
      <formula>"O"</formula>
    </cfRule>
    <cfRule type="expression" dxfId="3826" priority="672" stopIfTrue="1">
      <formula>LEN(TRIM(BW18))=0</formula>
    </cfRule>
  </conditionalFormatting>
  <conditionalFormatting sqref="BW28:CB37">
    <cfRule type="cellIs" dxfId="3825" priority="673" stopIfTrue="1" operator="equal">
      <formula>"E"</formula>
    </cfRule>
  </conditionalFormatting>
  <conditionalFormatting sqref="BW28:CB37">
    <cfRule type="cellIs" dxfId="3824" priority="674" stopIfTrue="1" operator="equal">
      <formula>"S"</formula>
    </cfRule>
  </conditionalFormatting>
  <conditionalFormatting sqref="BW28:CB37">
    <cfRule type="cellIs" dxfId="3823" priority="675" stopIfTrue="1" operator="equal">
      <formula>"M"</formula>
    </cfRule>
  </conditionalFormatting>
  <conditionalFormatting sqref="BW28:CB37">
    <cfRule type="cellIs" dxfId="3822" priority="676" stopIfTrue="1" operator="equal">
      <formula>"J"</formula>
    </cfRule>
  </conditionalFormatting>
  <conditionalFormatting sqref="BW28:CB37">
    <cfRule type="cellIs" dxfId="3821" priority="677" stopIfTrue="1" operator="equal">
      <formula>"O"</formula>
    </cfRule>
  </conditionalFormatting>
  <conditionalFormatting sqref="BW28:CB37">
    <cfRule type="expression" dxfId="3820" priority="678" stopIfTrue="1">
      <formula>LEN(TRIM(BW28))=0</formula>
    </cfRule>
  </conditionalFormatting>
  <conditionalFormatting sqref="BW39:CB50">
    <cfRule type="cellIs" dxfId="3819" priority="679" stopIfTrue="1" operator="equal">
      <formula>"E"</formula>
    </cfRule>
  </conditionalFormatting>
  <conditionalFormatting sqref="BW39:CB50">
    <cfRule type="cellIs" dxfId="3818" priority="680" stopIfTrue="1" operator="equal">
      <formula>"S"</formula>
    </cfRule>
  </conditionalFormatting>
  <conditionalFormatting sqref="BW39:CB50">
    <cfRule type="cellIs" dxfId="3817" priority="681" stopIfTrue="1" operator="equal">
      <formula>"M"</formula>
    </cfRule>
  </conditionalFormatting>
  <conditionalFormatting sqref="BW39:CB50">
    <cfRule type="cellIs" dxfId="3816" priority="682" stopIfTrue="1" operator="equal">
      <formula>"J"</formula>
    </cfRule>
  </conditionalFormatting>
  <conditionalFormatting sqref="BW39:CB50">
    <cfRule type="cellIs" dxfId="3815" priority="683" stopIfTrue="1" operator="equal">
      <formula>"O"</formula>
    </cfRule>
  </conditionalFormatting>
  <conditionalFormatting sqref="BW39:CB50">
    <cfRule type="expression" dxfId="3814" priority="684" stopIfTrue="1">
      <formula>LEN(TRIM(BW39))=0</formula>
    </cfRule>
  </conditionalFormatting>
  <conditionalFormatting sqref="BW52:CB59">
    <cfRule type="cellIs" dxfId="3813" priority="685" stopIfTrue="1" operator="equal">
      <formula>"E"</formula>
    </cfRule>
  </conditionalFormatting>
  <conditionalFormatting sqref="BW52:CB59">
    <cfRule type="cellIs" dxfId="3812" priority="686" stopIfTrue="1" operator="equal">
      <formula>"S"</formula>
    </cfRule>
  </conditionalFormatting>
  <conditionalFormatting sqref="BW52:CB59">
    <cfRule type="cellIs" dxfId="3811" priority="687" stopIfTrue="1" operator="equal">
      <formula>"M"</formula>
    </cfRule>
  </conditionalFormatting>
  <conditionalFormatting sqref="BW52:CB59">
    <cfRule type="cellIs" dxfId="3810" priority="688" stopIfTrue="1" operator="equal">
      <formula>"J"</formula>
    </cfRule>
  </conditionalFormatting>
  <conditionalFormatting sqref="BW52:CB59">
    <cfRule type="cellIs" dxfId="3809" priority="689" stopIfTrue="1" operator="equal">
      <formula>"O"</formula>
    </cfRule>
  </conditionalFormatting>
  <conditionalFormatting sqref="BW52:CB59">
    <cfRule type="expression" dxfId="3808" priority="690" stopIfTrue="1">
      <formula>LEN(TRIM(BW52))=0</formula>
    </cfRule>
  </conditionalFormatting>
  <conditionalFormatting sqref="BW61:CB78">
    <cfRule type="cellIs" dxfId="3807" priority="691" stopIfTrue="1" operator="equal">
      <formula>"E"</formula>
    </cfRule>
  </conditionalFormatting>
  <conditionalFormatting sqref="BW61:CB78">
    <cfRule type="cellIs" dxfId="3806" priority="692" stopIfTrue="1" operator="equal">
      <formula>"S"</formula>
    </cfRule>
  </conditionalFormatting>
  <conditionalFormatting sqref="BW61:CB78">
    <cfRule type="cellIs" dxfId="3805" priority="693" stopIfTrue="1" operator="equal">
      <formula>"M"</formula>
    </cfRule>
  </conditionalFormatting>
  <conditionalFormatting sqref="BW61:CB78">
    <cfRule type="cellIs" dxfId="3804" priority="694" stopIfTrue="1" operator="equal">
      <formula>"J"</formula>
    </cfRule>
  </conditionalFormatting>
  <conditionalFormatting sqref="BW61:CB78">
    <cfRule type="cellIs" dxfId="3803" priority="695" stopIfTrue="1" operator="equal">
      <formula>"O"</formula>
    </cfRule>
  </conditionalFormatting>
  <conditionalFormatting sqref="BW61:CB78">
    <cfRule type="expression" dxfId="3802" priority="696" stopIfTrue="1">
      <formula>LEN(TRIM(BW61))=0</formula>
    </cfRule>
  </conditionalFormatting>
  <conditionalFormatting sqref="BW80:CB94">
    <cfRule type="cellIs" dxfId="3801" priority="697" stopIfTrue="1" operator="equal">
      <formula>"E"</formula>
    </cfRule>
  </conditionalFormatting>
  <conditionalFormatting sqref="BW80:CB94">
    <cfRule type="cellIs" dxfId="3800" priority="698" stopIfTrue="1" operator="equal">
      <formula>"S"</formula>
    </cfRule>
  </conditionalFormatting>
  <conditionalFormatting sqref="BW80:CB94">
    <cfRule type="cellIs" dxfId="3799" priority="699" stopIfTrue="1" operator="equal">
      <formula>"M"</formula>
    </cfRule>
  </conditionalFormatting>
  <conditionalFormatting sqref="BW80:CB94">
    <cfRule type="cellIs" dxfId="3798" priority="700" stopIfTrue="1" operator="equal">
      <formula>"J"</formula>
    </cfRule>
  </conditionalFormatting>
  <conditionalFormatting sqref="BW80:CB94">
    <cfRule type="cellIs" dxfId="3797" priority="701" stopIfTrue="1" operator="equal">
      <formula>"O"</formula>
    </cfRule>
  </conditionalFormatting>
  <conditionalFormatting sqref="BW80:CB94">
    <cfRule type="expression" dxfId="3796" priority="702" stopIfTrue="1">
      <formula>LEN(TRIM(BW80))=0</formula>
    </cfRule>
  </conditionalFormatting>
  <conditionalFormatting sqref="BW96:CB99">
    <cfRule type="cellIs" dxfId="3795" priority="703" stopIfTrue="1" operator="equal">
      <formula>"E"</formula>
    </cfRule>
  </conditionalFormatting>
  <conditionalFormatting sqref="BW96:CB99">
    <cfRule type="cellIs" dxfId="3794" priority="704" stopIfTrue="1" operator="equal">
      <formula>"S"</formula>
    </cfRule>
  </conditionalFormatting>
  <conditionalFormatting sqref="BW96:CB99">
    <cfRule type="cellIs" dxfId="3793" priority="705" stopIfTrue="1" operator="equal">
      <formula>"M"</formula>
    </cfRule>
  </conditionalFormatting>
  <conditionalFormatting sqref="BW96:CB99">
    <cfRule type="cellIs" dxfId="3792" priority="706" stopIfTrue="1" operator="equal">
      <formula>"J"</formula>
    </cfRule>
  </conditionalFormatting>
  <conditionalFormatting sqref="BW96:CB99">
    <cfRule type="cellIs" dxfId="3791" priority="707" stopIfTrue="1" operator="equal">
      <formula>"O"</formula>
    </cfRule>
  </conditionalFormatting>
  <conditionalFormatting sqref="BW96:CB99">
    <cfRule type="expression" dxfId="3790" priority="708" stopIfTrue="1">
      <formula>LEN(TRIM(BW96))=0</formula>
    </cfRule>
  </conditionalFormatting>
  <conditionalFormatting sqref="BW102:CB106">
    <cfRule type="cellIs" dxfId="3789" priority="709" stopIfTrue="1" operator="equal">
      <formula>"E"</formula>
    </cfRule>
  </conditionalFormatting>
  <conditionalFormatting sqref="BW102:CB106">
    <cfRule type="cellIs" dxfId="3788" priority="710" stopIfTrue="1" operator="equal">
      <formula>"S"</formula>
    </cfRule>
  </conditionalFormatting>
  <conditionalFormatting sqref="BW102:CB106">
    <cfRule type="cellIs" dxfId="3787" priority="711" stopIfTrue="1" operator="equal">
      <formula>"M"</formula>
    </cfRule>
  </conditionalFormatting>
  <conditionalFormatting sqref="BW102:CB106">
    <cfRule type="cellIs" dxfId="3786" priority="712" stopIfTrue="1" operator="equal">
      <formula>"J"</formula>
    </cfRule>
  </conditionalFormatting>
  <conditionalFormatting sqref="BW102:CB106">
    <cfRule type="cellIs" dxfId="3785" priority="713" stopIfTrue="1" operator="equal">
      <formula>"O"</formula>
    </cfRule>
  </conditionalFormatting>
  <conditionalFormatting sqref="BW102:CB106">
    <cfRule type="expression" dxfId="3784" priority="714" stopIfTrue="1">
      <formula>LEN(TRIM(BW102))=0</formula>
    </cfRule>
  </conditionalFormatting>
  <conditionalFormatting sqref="BW109:CB109">
    <cfRule type="cellIs" dxfId="3783" priority="715" stopIfTrue="1" operator="equal">
      <formula>"E"</formula>
    </cfRule>
  </conditionalFormatting>
  <conditionalFormatting sqref="BW109:CB109">
    <cfRule type="cellIs" dxfId="3782" priority="716" stopIfTrue="1" operator="equal">
      <formula>"S"</formula>
    </cfRule>
  </conditionalFormatting>
  <conditionalFormatting sqref="BW109:CB109">
    <cfRule type="cellIs" dxfId="3781" priority="717" stopIfTrue="1" operator="equal">
      <formula>"M"</formula>
    </cfRule>
  </conditionalFormatting>
  <conditionalFormatting sqref="BW109:CB109">
    <cfRule type="cellIs" dxfId="3780" priority="718" stopIfTrue="1" operator="equal">
      <formula>"J"</formula>
    </cfRule>
  </conditionalFormatting>
  <conditionalFormatting sqref="BW109:CB109">
    <cfRule type="cellIs" dxfId="3779" priority="719" stopIfTrue="1" operator="equal">
      <formula>"O"</formula>
    </cfRule>
  </conditionalFormatting>
  <conditionalFormatting sqref="BW109:CB109">
    <cfRule type="expression" dxfId="3778" priority="720" stopIfTrue="1">
      <formula>LEN(TRIM(BW109))=0</formula>
    </cfRule>
  </conditionalFormatting>
  <conditionalFormatting sqref="CC4:CE16">
    <cfRule type="cellIs" dxfId="3777" priority="721" stopIfTrue="1" operator="equal">
      <formula>"E"</formula>
    </cfRule>
    <cfRule type="cellIs" dxfId="3776" priority="722" stopIfTrue="1" operator="equal">
      <formula>"S"</formula>
    </cfRule>
    <cfRule type="cellIs" dxfId="3775" priority="723" stopIfTrue="1" operator="equal">
      <formula>"M"</formula>
    </cfRule>
    <cfRule type="cellIs" dxfId="3774" priority="724" stopIfTrue="1" operator="equal">
      <formula>"J"</formula>
    </cfRule>
    <cfRule type="cellIs" dxfId="3773" priority="725" stopIfTrue="1" operator="equal">
      <formula>"O"</formula>
    </cfRule>
    <cfRule type="expression" dxfId="3772" priority="726" stopIfTrue="1">
      <formula>LEN(TRIM(CC4))=0</formula>
    </cfRule>
  </conditionalFormatting>
  <conditionalFormatting sqref="CC18:CE26">
    <cfRule type="cellIs" dxfId="3771" priority="727" stopIfTrue="1" operator="equal">
      <formula>"E"</formula>
    </cfRule>
  </conditionalFormatting>
  <conditionalFormatting sqref="CC18:CE26">
    <cfRule type="cellIs" dxfId="3770" priority="728" stopIfTrue="1" operator="equal">
      <formula>"S"</formula>
    </cfRule>
  </conditionalFormatting>
  <conditionalFormatting sqref="CC18:CE26">
    <cfRule type="cellIs" dxfId="3769" priority="729" stopIfTrue="1" operator="equal">
      <formula>"M"</formula>
    </cfRule>
  </conditionalFormatting>
  <conditionalFormatting sqref="CC18:CE26">
    <cfRule type="cellIs" dxfId="3768" priority="730" stopIfTrue="1" operator="equal">
      <formula>"J"</formula>
    </cfRule>
  </conditionalFormatting>
  <conditionalFormatting sqref="CC18:CE26">
    <cfRule type="cellIs" dxfId="3767" priority="731" stopIfTrue="1" operator="equal">
      <formula>"O"</formula>
    </cfRule>
  </conditionalFormatting>
  <conditionalFormatting sqref="CC18:CE26">
    <cfRule type="expression" dxfId="3766" priority="732" stopIfTrue="1">
      <formula>LEN(TRIM(CC18))=0</formula>
    </cfRule>
  </conditionalFormatting>
  <conditionalFormatting sqref="CC28:CE37">
    <cfRule type="cellIs" dxfId="3765" priority="733" stopIfTrue="1" operator="equal">
      <formula>"E"</formula>
    </cfRule>
  </conditionalFormatting>
  <conditionalFormatting sqref="CC28:CE37">
    <cfRule type="cellIs" dxfId="3764" priority="734" stopIfTrue="1" operator="equal">
      <formula>"S"</formula>
    </cfRule>
  </conditionalFormatting>
  <conditionalFormatting sqref="CC28:CE37">
    <cfRule type="cellIs" dxfId="3763" priority="735" stopIfTrue="1" operator="equal">
      <formula>"M"</formula>
    </cfRule>
  </conditionalFormatting>
  <conditionalFormatting sqref="CC28:CE37">
    <cfRule type="cellIs" dxfId="3762" priority="736" stopIfTrue="1" operator="equal">
      <formula>"J"</formula>
    </cfRule>
  </conditionalFormatting>
  <conditionalFormatting sqref="CC28:CE37">
    <cfRule type="cellIs" dxfId="3761" priority="737" stopIfTrue="1" operator="equal">
      <formula>"O"</formula>
    </cfRule>
  </conditionalFormatting>
  <conditionalFormatting sqref="CC28:CE37">
    <cfRule type="expression" dxfId="3760" priority="738" stopIfTrue="1">
      <formula>LEN(TRIM(CC28))=0</formula>
    </cfRule>
  </conditionalFormatting>
  <conditionalFormatting sqref="CC39:CE50">
    <cfRule type="cellIs" dxfId="3759" priority="739" stopIfTrue="1" operator="equal">
      <formula>"E"</formula>
    </cfRule>
  </conditionalFormatting>
  <conditionalFormatting sqref="CC39:CE50">
    <cfRule type="cellIs" dxfId="3758" priority="740" stopIfTrue="1" operator="equal">
      <formula>"S"</formula>
    </cfRule>
  </conditionalFormatting>
  <conditionalFormatting sqref="CC39:CE50">
    <cfRule type="cellIs" dxfId="3757" priority="741" stopIfTrue="1" operator="equal">
      <formula>"M"</formula>
    </cfRule>
  </conditionalFormatting>
  <conditionalFormatting sqref="CC39:CE50">
    <cfRule type="cellIs" dxfId="3756" priority="742" stopIfTrue="1" operator="equal">
      <formula>"J"</formula>
    </cfRule>
  </conditionalFormatting>
  <conditionalFormatting sqref="CC39:CE50">
    <cfRule type="cellIs" dxfId="3755" priority="743" stopIfTrue="1" operator="equal">
      <formula>"O"</formula>
    </cfRule>
  </conditionalFormatting>
  <conditionalFormatting sqref="CC39:CE50">
    <cfRule type="expression" dxfId="3754" priority="744" stopIfTrue="1">
      <formula>LEN(TRIM(CC39))=0</formula>
    </cfRule>
  </conditionalFormatting>
  <conditionalFormatting sqref="CC52:CE59">
    <cfRule type="cellIs" dxfId="3753" priority="745" stopIfTrue="1" operator="equal">
      <formula>"E"</formula>
    </cfRule>
  </conditionalFormatting>
  <conditionalFormatting sqref="CC52:CE59">
    <cfRule type="cellIs" dxfId="3752" priority="746" stopIfTrue="1" operator="equal">
      <formula>"S"</formula>
    </cfRule>
  </conditionalFormatting>
  <conditionalFormatting sqref="CC52:CE59">
    <cfRule type="cellIs" dxfId="3751" priority="747" stopIfTrue="1" operator="equal">
      <formula>"M"</formula>
    </cfRule>
  </conditionalFormatting>
  <conditionalFormatting sqref="CC52:CE59">
    <cfRule type="cellIs" dxfId="3750" priority="748" stopIfTrue="1" operator="equal">
      <formula>"J"</formula>
    </cfRule>
  </conditionalFormatting>
  <conditionalFormatting sqref="CC52:CE59">
    <cfRule type="cellIs" dxfId="3749" priority="749" stopIfTrue="1" operator="equal">
      <formula>"O"</formula>
    </cfRule>
  </conditionalFormatting>
  <conditionalFormatting sqref="CC52:CE59">
    <cfRule type="expression" dxfId="3748" priority="750" stopIfTrue="1">
      <formula>LEN(TRIM(CC52))=0</formula>
    </cfRule>
  </conditionalFormatting>
  <conditionalFormatting sqref="CC61:CE78">
    <cfRule type="cellIs" dxfId="3747" priority="751" stopIfTrue="1" operator="equal">
      <formula>"E"</formula>
    </cfRule>
  </conditionalFormatting>
  <conditionalFormatting sqref="CC61:CE78">
    <cfRule type="cellIs" dxfId="3746" priority="752" stopIfTrue="1" operator="equal">
      <formula>"S"</formula>
    </cfRule>
  </conditionalFormatting>
  <conditionalFormatting sqref="CC61:CE78">
    <cfRule type="cellIs" dxfId="3745" priority="753" stopIfTrue="1" operator="equal">
      <formula>"M"</formula>
    </cfRule>
  </conditionalFormatting>
  <conditionalFormatting sqref="CC61:CE78">
    <cfRule type="cellIs" dxfId="3744" priority="754" stopIfTrue="1" operator="equal">
      <formula>"J"</formula>
    </cfRule>
  </conditionalFormatting>
  <conditionalFormatting sqref="CC61:CE78">
    <cfRule type="cellIs" dxfId="3743" priority="755" stopIfTrue="1" operator="equal">
      <formula>"O"</formula>
    </cfRule>
  </conditionalFormatting>
  <conditionalFormatting sqref="CC61:CE78">
    <cfRule type="expression" dxfId="3742" priority="756" stopIfTrue="1">
      <formula>LEN(TRIM(CC61))=0</formula>
    </cfRule>
  </conditionalFormatting>
  <conditionalFormatting sqref="CC80:CE94">
    <cfRule type="cellIs" dxfId="3741" priority="757" stopIfTrue="1" operator="equal">
      <formula>"E"</formula>
    </cfRule>
  </conditionalFormatting>
  <conditionalFormatting sqref="CC80:CE94">
    <cfRule type="cellIs" dxfId="3740" priority="758" stopIfTrue="1" operator="equal">
      <formula>"S"</formula>
    </cfRule>
  </conditionalFormatting>
  <conditionalFormatting sqref="CC80:CE94">
    <cfRule type="cellIs" dxfId="3739" priority="759" stopIfTrue="1" operator="equal">
      <formula>"M"</formula>
    </cfRule>
  </conditionalFormatting>
  <conditionalFormatting sqref="CC80:CE94">
    <cfRule type="cellIs" dxfId="3738" priority="760" stopIfTrue="1" operator="equal">
      <formula>"J"</formula>
    </cfRule>
  </conditionalFormatting>
  <conditionalFormatting sqref="CC80:CE94">
    <cfRule type="cellIs" dxfId="3737" priority="761" stopIfTrue="1" operator="equal">
      <formula>"O"</formula>
    </cfRule>
  </conditionalFormatting>
  <conditionalFormatting sqref="CC80:CE94">
    <cfRule type="expression" dxfId="3736" priority="762" stopIfTrue="1">
      <formula>LEN(TRIM(CC80))=0</formula>
    </cfRule>
  </conditionalFormatting>
  <conditionalFormatting sqref="CC96:CE99">
    <cfRule type="cellIs" dxfId="3735" priority="763" stopIfTrue="1" operator="equal">
      <formula>"E"</formula>
    </cfRule>
  </conditionalFormatting>
  <conditionalFormatting sqref="CC96:CE99">
    <cfRule type="cellIs" dxfId="3734" priority="764" stopIfTrue="1" operator="equal">
      <formula>"S"</formula>
    </cfRule>
  </conditionalFormatting>
  <conditionalFormatting sqref="CC96:CE99">
    <cfRule type="cellIs" dxfId="3733" priority="765" stopIfTrue="1" operator="equal">
      <formula>"M"</formula>
    </cfRule>
  </conditionalFormatting>
  <conditionalFormatting sqref="CC96:CE99">
    <cfRule type="cellIs" dxfId="3732" priority="766" stopIfTrue="1" operator="equal">
      <formula>"J"</formula>
    </cfRule>
  </conditionalFormatting>
  <conditionalFormatting sqref="CC96:CE99">
    <cfRule type="cellIs" dxfId="3731" priority="767" stopIfTrue="1" operator="equal">
      <formula>"O"</formula>
    </cfRule>
  </conditionalFormatting>
  <conditionalFormatting sqref="CC96:CE99">
    <cfRule type="expression" dxfId="3730" priority="768" stopIfTrue="1">
      <formula>LEN(TRIM(CC96))=0</formula>
    </cfRule>
  </conditionalFormatting>
  <conditionalFormatting sqref="CC102:CE106">
    <cfRule type="cellIs" dxfId="3729" priority="769" stopIfTrue="1" operator="equal">
      <formula>"E"</formula>
    </cfRule>
  </conditionalFormatting>
  <conditionalFormatting sqref="CC102:CE106">
    <cfRule type="cellIs" dxfId="3728" priority="770" stopIfTrue="1" operator="equal">
      <formula>"S"</formula>
    </cfRule>
  </conditionalFormatting>
  <conditionalFormatting sqref="CC102:CE106">
    <cfRule type="cellIs" dxfId="3727" priority="771" stopIfTrue="1" operator="equal">
      <formula>"M"</formula>
    </cfRule>
  </conditionalFormatting>
  <conditionalFormatting sqref="CC102:CE106">
    <cfRule type="cellIs" dxfId="3726" priority="772" stopIfTrue="1" operator="equal">
      <formula>"J"</formula>
    </cfRule>
  </conditionalFormatting>
  <conditionalFormatting sqref="CC102:CE106">
    <cfRule type="cellIs" dxfId="3725" priority="773" stopIfTrue="1" operator="equal">
      <formula>"O"</formula>
    </cfRule>
  </conditionalFormatting>
  <conditionalFormatting sqref="CC102:CE106">
    <cfRule type="expression" dxfId="3724" priority="774" stopIfTrue="1">
      <formula>LEN(TRIM(CC102))=0</formula>
    </cfRule>
  </conditionalFormatting>
  <conditionalFormatting sqref="CC109:CE109">
    <cfRule type="cellIs" dxfId="3723" priority="775" stopIfTrue="1" operator="equal">
      <formula>"E"</formula>
    </cfRule>
  </conditionalFormatting>
  <conditionalFormatting sqref="CC109:CE109">
    <cfRule type="cellIs" dxfId="3722" priority="776" stopIfTrue="1" operator="equal">
      <formula>"S"</formula>
    </cfRule>
  </conditionalFormatting>
  <conditionalFormatting sqref="CC109:CE109">
    <cfRule type="cellIs" dxfId="3721" priority="777" stopIfTrue="1" operator="equal">
      <formula>"M"</formula>
    </cfRule>
  </conditionalFormatting>
  <conditionalFormatting sqref="CC109:CE109">
    <cfRule type="cellIs" dxfId="3720" priority="778" stopIfTrue="1" operator="equal">
      <formula>"J"</formula>
    </cfRule>
  </conditionalFormatting>
  <conditionalFormatting sqref="CC109:CE109">
    <cfRule type="cellIs" dxfId="3719" priority="779" stopIfTrue="1" operator="equal">
      <formula>"O"</formula>
    </cfRule>
  </conditionalFormatting>
  <conditionalFormatting sqref="CC109:CE109">
    <cfRule type="expression" dxfId="3718" priority="780" stopIfTrue="1">
      <formula>LEN(TRIM(CC109))=0</formula>
    </cfRule>
  </conditionalFormatting>
  <conditionalFormatting sqref="CF4:CI16">
    <cfRule type="cellIs" dxfId="3717" priority="781" stopIfTrue="1" operator="equal">
      <formula>"E"</formula>
    </cfRule>
  </conditionalFormatting>
  <conditionalFormatting sqref="CF4:CI16">
    <cfRule type="cellIs" dxfId="3716" priority="782" stopIfTrue="1" operator="equal">
      <formula>"S"</formula>
    </cfRule>
  </conditionalFormatting>
  <conditionalFormatting sqref="CF4:CI16">
    <cfRule type="cellIs" dxfId="3715" priority="783" stopIfTrue="1" operator="equal">
      <formula>"M"</formula>
    </cfRule>
  </conditionalFormatting>
  <conditionalFormatting sqref="CF4:CI16">
    <cfRule type="cellIs" dxfId="3714" priority="784" stopIfTrue="1" operator="equal">
      <formula>"J"</formula>
    </cfRule>
  </conditionalFormatting>
  <conditionalFormatting sqref="CF4:CI16">
    <cfRule type="cellIs" dxfId="3713" priority="785" stopIfTrue="1" operator="equal">
      <formula>"O"</formula>
    </cfRule>
  </conditionalFormatting>
  <conditionalFormatting sqref="CF4:CI16">
    <cfRule type="expression" dxfId="3712" priority="786" stopIfTrue="1">
      <formula>LEN(TRIM(CF4))=0</formula>
    </cfRule>
  </conditionalFormatting>
  <conditionalFormatting sqref="CF18:CI26">
    <cfRule type="cellIs" dxfId="3711" priority="787" stopIfTrue="1" operator="equal">
      <formula>"E"</formula>
    </cfRule>
  </conditionalFormatting>
  <conditionalFormatting sqref="CF18:CI26">
    <cfRule type="cellIs" dxfId="3710" priority="788" stopIfTrue="1" operator="equal">
      <formula>"S"</formula>
    </cfRule>
  </conditionalFormatting>
  <conditionalFormatting sqref="CF18:CI26">
    <cfRule type="cellIs" dxfId="3709" priority="789" stopIfTrue="1" operator="equal">
      <formula>"M"</formula>
    </cfRule>
  </conditionalFormatting>
  <conditionalFormatting sqref="CF18:CI26">
    <cfRule type="cellIs" dxfId="3708" priority="790" stopIfTrue="1" operator="equal">
      <formula>"J"</formula>
    </cfRule>
  </conditionalFormatting>
  <conditionalFormatting sqref="CF18:CI26">
    <cfRule type="cellIs" dxfId="3707" priority="791" stopIfTrue="1" operator="equal">
      <formula>"O"</formula>
    </cfRule>
  </conditionalFormatting>
  <conditionalFormatting sqref="CF18:CI26">
    <cfRule type="expression" dxfId="3706" priority="792" stopIfTrue="1">
      <formula>LEN(TRIM(CF18))=0</formula>
    </cfRule>
  </conditionalFormatting>
  <conditionalFormatting sqref="CF28:CI37">
    <cfRule type="cellIs" dxfId="3705" priority="793" stopIfTrue="1" operator="equal">
      <formula>"E"</formula>
    </cfRule>
  </conditionalFormatting>
  <conditionalFormatting sqref="CF28:CI37">
    <cfRule type="cellIs" dxfId="3704" priority="794" stopIfTrue="1" operator="equal">
      <formula>"S"</formula>
    </cfRule>
  </conditionalFormatting>
  <conditionalFormatting sqref="CF28:CI37">
    <cfRule type="cellIs" dxfId="3703" priority="795" stopIfTrue="1" operator="equal">
      <formula>"M"</formula>
    </cfRule>
  </conditionalFormatting>
  <conditionalFormatting sqref="CF28:CI37">
    <cfRule type="cellIs" dxfId="3702" priority="796" stopIfTrue="1" operator="equal">
      <formula>"J"</formula>
    </cfRule>
  </conditionalFormatting>
  <conditionalFormatting sqref="CF28:CI37">
    <cfRule type="cellIs" dxfId="3701" priority="797" stopIfTrue="1" operator="equal">
      <formula>"O"</formula>
    </cfRule>
  </conditionalFormatting>
  <conditionalFormatting sqref="CF28:CI37">
    <cfRule type="expression" dxfId="3700" priority="798" stopIfTrue="1">
      <formula>LEN(TRIM(CF28))=0</formula>
    </cfRule>
  </conditionalFormatting>
  <conditionalFormatting sqref="CF39:CI50">
    <cfRule type="cellIs" dxfId="3699" priority="799" stopIfTrue="1" operator="equal">
      <formula>"E"</formula>
    </cfRule>
  </conditionalFormatting>
  <conditionalFormatting sqref="CF39:CI50">
    <cfRule type="cellIs" dxfId="3698" priority="800" stopIfTrue="1" operator="equal">
      <formula>"S"</formula>
    </cfRule>
  </conditionalFormatting>
  <conditionalFormatting sqref="CF39:CI50">
    <cfRule type="cellIs" dxfId="3697" priority="801" stopIfTrue="1" operator="equal">
      <formula>"M"</formula>
    </cfRule>
  </conditionalFormatting>
  <conditionalFormatting sqref="CF39:CI50">
    <cfRule type="cellIs" dxfId="3696" priority="802" stopIfTrue="1" operator="equal">
      <formula>"J"</formula>
    </cfRule>
  </conditionalFormatting>
  <conditionalFormatting sqref="CF39:CI50">
    <cfRule type="cellIs" dxfId="3695" priority="803" stopIfTrue="1" operator="equal">
      <formula>"O"</formula>
    </cfRule>
  </conditionalFormatting>
  <conditionalFormatting sqref="CF39:CI50">
    <cfRule type="expression" dxfId="3694" priority="804" stopIfTrue="1">
      <formula>LEN(TRIM(CF39))=0</formula>
    </cfRule>
  </conditionalFormatting>
  <conditionalFormatting sqref="CF52:CI59">
    <cfRule type="cellIs" dxfId="3693" priority="805" stopIfTrue="1" operator="equal">
      <formula>"E"</formula>
    </cfRule>
  </conditionalFormatting>
  <conditionalFormatting sqref="CF52:CI59">
    <cfRule type="cellIs" dxfId="3692" priority="806" stopIfTrue="1" operator="equal">
      <formula>"S"</formula>
    </cfRule>
  </conditionalFormatting>
  <conditionalFormatting sqref="CF52:CI59">
    <cfRule type="cellIs" dxfId="3691" priority="807" stopIfTrue="1" operator="equal">
      <formula>"M"</formula>
    </cfRule>
  </conditionalFormatting>
  <conditionalFormatting sqref="CF52:CI59">
    <cfRule type="cellIs" dxfId="3690" priority="808" stopIfTrue="1" operator="equal">
      <formula>"J"</formula>
    </cfRule>
  </conditionalFormatting>
  <conditionalFormatting sqref="CF52:CI59">
    <cfRule type="cellIs" dxfId="3689" priority="809" stopIfTrue="1" operator="equal">
      <formula>"O"</formula>
    </cfRule>
  </conditionalFormatting>
  <conditionalFormatting sqref="CF52:CI59">
    <cfRule type="expression" dxfId="3688" priority="810" stopIfTrue="1">
      <formula>LEN(TRIM(CF52))=0</formula>
    </cfRule>
  </conditionalFormatting>
  <conditionalFormatting sqref="CF61:CI78">
    <cfRule type="cellIs" dxfId="3687" priority="811" stopIfTrue="1" operator="equal">
      <formula>"E"</formula>
    </cfRule>
  </conditionalFormatting>
  <conditionalFormatting sqref="CF61:CI78">
    <cfRule type="cellIs" dxfId="3686" priority="812" stopIfTrue="1" operator="equal">
      <formula>"S"</formula>
    </cfRule>
  </conditionalFormatting>
  <conditionalFormatting sqref="CF61:CI78">
    <cfRule type="cellIs" dxfId="3685" priority="813" stopIfTrue="1" operator="equal">
      <formula>"M"</formula>
    </cfRule>
  </conditionalFormatting>
  <conditionalFormatting sqref="CF61:CI78">
    <cfRule type="cellIs" dxfId="3684" priority="814" stopIfTrue="1" operator="equal">
      <formula>"J"</formula>
    </cfRule>
  </conditionalFormatting>
  <conditionalFormatting sqref="CF61:CI78">
    <cfRule type="cellIs" dxfId="3683" priority="815" stopIfTrue="1" operator="equal">
      <formula>"O"</formula>
    </cfRule>
  </conditionalFormatting>
  <conditionalFormatting sqref="CF61:CI78">
    <cfRule type="expression" dxfId="3682" priority="816" stopIfTrue="1">
      <formula>LEN(TRIM(CF61))=0</formula>
    </cfRule>
  </conditionalFormatting>
  <conditionalFormatting sqref="CF80:CI94">
    <cfRule type="cellIs" dxfId="3681" priority="817" stopIfTrue="1" operator="equal">
      <formula>"E"</formula>
    </cfRule>
  </conditionalFormatting>
  <conditionalFormatting sqref="CF80:CI94">
    <cfRule type="cellIs" dxfId="3680" priority="818" stopIfTrue="1" operator="equal">
      <formula>"S"</formula>
    </cfRule>
  </conditionalFormatting>
  <conditionalFormatting sqref="CF80:CI94">
    <cfRule type="cellIs" dxfId="3679" priority="819" stopIfTrue="1" operator="equal">
      <formula>"M"</formula>
    </cfRule>
  </conditionalFormatting>
  <conditionalFormatting sqref="CF80:CI94">
    <cfRule type="cellIs" dxfId="3678" priority="820" stopIfTrue="1" operator="equal">
      <formula>"J"</formula>
    </cfRule>
  </conditionalFormatting>
  <conditionalFormatting sqref="CF80:CI94">
    <cfRule type="cellIs" dxfId="3677" priority="821" stopIfTrue="1" operator="equal">
      <formula>"O"</formula>
    </cfRule>
  </conditionalFormatting>
  <conditionalFormatting sqref="CF80:CI94">
    <cfRule type="expression" dxfId="3676" priority="822" stopIfTrue="1">
      <formula>LEN(TRIM(CF80))=0</formula>
    </cfRule>
  </conditionalFormatting>
  <conditionalFormatting sqref="CF96:CI99">
    <cfRule type="cellIs" dxfId="3675" priority="823" stopIfTrue="1" operator="equal">
      <formula>"E"</formula>
    </cfRule>
  </conditionalFormatting>
  <conditionalFormatting sqref="CF96:CI99">
    <cfRule type="cellIs" dxfId="3674" priority="824" stopIfTrue="1" operator="equal">
      <formula>"S"</formula>
    </cfRule>
  </conditionalFormatting>
  <conditionalFormatting sqref="CF96:CI99">
    <cfRule type="cellIs" dxfId="3673" priority="825" stopIfTrue="1" operator="equal">
      <formula>"M"</formula>
    </cfRule>
  </conditionalFormatting>
  <conditionalFormatting sqref="CF96:CI99">
    <cfRule type="cellIs" dxfId="3672" priority="826" stopIfTrue="1" operator="equal">
      <formula>"J"</formula>
    </cfRule>
  </conditionalFormatting>
  <conditionalFormatting sqref="CF96:CI99">
    <cfRule type="cellIs" dxfId="3671" priority="827" stopIfTrue="1" operator="equal">
      <formula>"O"</formula>
    </cfRule>
  </conditionalFormatting>
  <conditionalFormatting sqref="CF96:CI99">
    <cfRule type="expression" dxfId="3670" priority="828" stopIfTrue="1">
      <formula>LEN(TRIM(CF96))=0</formula>
    </cfRule>
  </conditionalFormatting>
  <conditionalFormatting sqref="CF102:CI106">
    <cfRule type="cellIs" dxfId="3669" priority="829" stopIfTrue="1" operator="equal">
      <formula>"E"</formula>
    </cfRule>
  </conditionalFormatting>
  <conditionalFormatting sqref="CF102:CI106">
    <cfRule type="cellIs" dxfId="3668" priority="830" stopIfTrue="1" operator="equal">
      <formula>"S"</formula>
    </cfRule>
  </conditionalFormatting>
  <conditionalFormatting sqref="CF102:CI106">
    <cfRule type="cellIs" dxfId="3667" priority="831" stopIfTrue="1" operator="equal">
      <formula>"M"</formula>
    </cfRule>
  </conditionalFormatting>
  <conditionalFormatting sqref="CF102:CI106">
    <cfRule type="cellIs" dxfId="3666" priority="832" stopIfTrue="1" operator="equal">
      <formula>"J"</formula>
    </cfRule>
  </conditionalFormatting>
  <conditionalFormatting sqref="CF102:CI106">
    <cfRule type="cellIs" dxfId="3665" priority="833" stopIfTrue="1" operator="equal">
      <formula>"O"</formula>
    </cfRule>
  </conditionalFormatting>
  <conditionalFormatting sqref="CF102:CI106">
    <cfRule type="expression" dxfId="3664" priority="834" stopIfTrue="1">
      <formula>LEN(TRIM(CF102))=0</formula>
    </cfRule>
  </conditionalFormatting>
  <conditionalFormatting sqref="CF109:CI109">
    <cfRule type="cellIs" dxfId="3663" priority="835" stopIfTrue="1" operator="equal">
      <formula>"E"</formula>
    </cfRule>
  </conditionalFormatting>
  <conditionalFormatting sqref="CF109:CI109">
    <cfRule type="cellIs" dxfId="3662" priority="836" stopIfTrue="1" operator="equal">
      <formula>"S"</formula>
    </cfRule>
  </conditionalFormatting>
  <conditionalFormatting sqref="CF109:CI109">
    <cfRule type="cellIs" dxfId="3661" priority="837" stopIfTrue="1" operator="equal">
      <formula>"M"</formula>
    </cfRule>
  </conditionalFormatting>
  <conditionalFormatting sqref="CF109:CI109">
    <cfRule type="cellIs" dxfId="3660" priority="838" stopIfTrue="1" operator="equal">
      <formula>"J"</formula>
    </cfRule>
  </conditionalFormatting>
  <conditionalFormatting sqref="CF109:CI109">
    <cfRule type="cellIs" dxfId="3659" priority="839" stopIfTrue="1" operator="equal">
      <formula>"O"</formula>
    </cfRule>
  </conditionalFormatting>
  <conditionalFormatting sqref="CF109:CI109">
    <cfRule type="expression" dxfId="3658" priority="840" stopIfTrue="1">
      <formula>LEN(TRIM(CF109))=0</formula>
    </cfRule>
  </conditionalFormatting>
  <conditionalFormatting sqref="CK4:CO16">
    <cfRule type="cellIs" dxfId="3657" priority="841" stopIfTrue="1" operator="equal">
      <formula>"E"</formula>
    </cfRule>
  </conditionalFormatting>
  <conditionalFormatting sqref="CK4:CO16">
    <cfRule type="cellIs" dxfId="3656" priority="842" stopIfTrue="1" operator="equal">
      <formula>"S"</formula>
    </cfRule>
  </conditionalFormatting>
  <conditionalFormatting sqref="CK4:CO16">
    <cfRule type="cellIs" dxfId="3655" priority="843" stopIfTrue="1" operator="equal">
      <formula>"M"</formula>
    </cfRule>
  </conditionalFormatting>
  <conditionalFormatting sqref="CK4:CO16">
    <cfRule type="cellIs" dxfId="3654" priority="844" stopIfTrue="1" operator="equal">
      <formula>"J"</formula>
    </cfRule>
  </conditionalFormatting>
  <conditionalFormatting sqref="CK4:CO16">
    <cfRule type="cellIs" dxfId="3653" priority="845" stopIfTrue="1" operator="equal">
      <formula>"O"</formula>
    </cfRule>
  </conditionalFormatting>
  <conditionalFormatting sqref="CK4:CO16">
    <cfRule type="expression" dxfId="3652" priority="846" stopIfTrue="1">
      <formula>LEN(TRIM(CK4))=0</formula>
    </cfRule>
  </conditionalFormatting>
  <conditionalFormatting sqref="CK18:CO26">
    <cfRule type="cellIs" dxfId="3651" priority="847" stopIfTrue="1" operator="equal">
      <formula>"E"</formula>
    </cfRule>
  </conditionalFormatting>
  <conditionalFormatting sqref="CK18:CO26">
    <cfRule type="cellIs" dxfId="3650" priority="848" stopIfTrue="1" operator="equal">
      <formula>"S"</formula>
    </cfRule>
  </conditionalFormatting>
  <conditionalFormatting sqref="CK18:CO26">
    <cfRule type="cellIs" dxfId="3649" priority="849" stopIfTrue="1" operator="equal">
      <formula>"M"</formula>
    </cfRule>
  </conditionalFormatting>
  <conditionalFormatting sqref="CK18:CO26">
    <cfRule type="cellIs" dxfId="3648" priority="850" stopIfTrue="1" operator="equal">
      <formula>"J"</formula>
    </cfRule>
  </conditionalFormatting>
  <conditionalFormatting sqref="CK18:CO26">
    <cfRule type="cellIs" dxfId="3647" priority="851" stopIfTrue="1" operator="equal">
      <formula>"O"</formula>
    </cfRule>
  </conditionalFormatting>
  <conditionalFormatting sqref="CK18:CO26">
    <cfRule type="expression" dxfId="3646" priority="852" stopIfTrue="1">
      <formula>LEN(TRIM(CK18))=0</formula>
    </cfRule>
  </conditionalFormatting>
  <conditionalFormatting sqref="CK28:CO37">
    <cfRule type="cellIs" dxfId="3645" priority="853" stopIfTrue="1" operator="equal">
      <formula>"E"</formula>
    </cfRule>
  </conditionalFormatting>
  <conditionalFormatting sqref="CK28:CO37">
    <cfRule type="cellIs" dxfId="3644" priority="854" stopIfTrue="1" operator="equal">
      <formula>"S"</formula>
    </cfRule>
  </conditionalFormatting>
  <conditionalFormatting sqref="CK28:CO37">
    <cfRule type="cellIs" dxfId="3643" priority="855" stopIfTrue="1" operator="equal">
      <formula>"M"</formula>
    </cfRule>
  </conditionalFormatting>
  <conditionalFormatting sqref="CK28:CO37">
    <cfRule type="cellIs" dxfId="3642" priority="856" stopIfTrue="1" operator="equal">
      <formula>"J"</formula>
    </cfRule>
  </conditionalFormatting>
  <conditionalFormatting sqref="CK28:CO37">
    <cfRule type="cellIs" dxfId="3641" priority="857" stopIfTrue="1" operator="equal">
      <formula>"O"</formula>
    </cfRule>
  </conditionalFormatting>
  <conditionalFormatting sqref="CK28:CO37">
    <cfRule type="expression" dxfId="3640" priority="858" stopIfTrue="1">
      <formula>LEN(TRIM(CK28))=0</formula>
    </cfRule>
  </conditionalFormatting>
  <conditionalFormatting sqref="CK39:CO50">
    <cfRule type="cellIs" dxfId="3639" priority="859" stopIfTrue="1" operator="equal">
      <formula>"E"</formula>
    </cfRule>
  </conditionalFormatting>
  <conditionalFormatting sqref="CK39:CO50">
    <cfRule type="cellIs" dxfId="3638" priority="860" stopIfTrue="1" operator="equal">
      <formula>"S"</formula>
    </cfRule>
  </conditionalFormatting>
  <conditionalFormatting sqref="CK39:CO50">
    <cfRule type="cellIs" dxfId="3637" priority="861" stopIfTrue="1" operator="equal">
      <formula>"M"</formula>
    </cfRule>
  </conditionalFormatting>
  <conditionalFormatting sqref="CK39:CO50">
    <cfRule type="cellIs" dxfId="3636" priority="862" stopIfTrue="1" operator="equal">
      <formula>"J"</formula>
    </cfRule>
  </conditionalFormatting>
  <conditionalFormatting sqref="CK39:CO50">
    <cfRule type="cellIs" dxfId="3635" priority="863" stopIfTrue="1" operator="equal">
      <formula>"O"</formula>
    </cfRule>
  </conditionalFormatting>
  <conditionalFormatting sqref="CK39:CO50">
    <cfRule type="expression" dxfId="3634" priority="864" stopIfTrue="1">
      <formula>LEN(TRIM(CK39))=0</formula>
    </cfRule>
  </conditionalFormatting>
  <conditionalFormatting sqref="CK52:CO59">
    <cfRule type="cellIs" dxfId="3633" priority="865" stopIfTrue="1" operator="equal">
      <formula>"E"</formula>
    </cfRule>
  </conditionalFormatting>
  <conditionalFormatting sqref="CK52:CO59">
    <cfRule type="cellIs" dxfId="3632" priority="866" stopIfTrue="1" operator="equal">
      <formula>"S"</formula>
    </cfRule>
  </conditionalFormatting>
  <conditionalFormatting sqref="CK52:CO59">
    <cfRule type="cellIs" dxfId="3631" priority="867" stopIfTrue="1" operator="equal">
      <formula>"M"</formula>
    </cfRule>
  </conditionalFormatting>
  <conditionalFormatting sqref="CK52:CO59">
    <cfRule type="cellIs" dxfId="3630" priority="868" stopIfTrue="1" operator="equal">
      <formula>"J"</formula>
    </cfRule>
  </conditionalFormatting>
  <conditionalFormatting sqref="CK52:CO59">
    <cfRule type="cellIs" dxfId="3629" priority="869" stopIfTrue="1" operator="equal">
      <formula>"O"</formula>
    </cfRule>
  </conditionalFormatting>
  <conditionalFormatting sqref="CK52:CO59">
    <cfRule type="expression" dxfId="3628" priority="870" stopIfTrue="1">
      <formula>LEN(TRIM(CK52))=0</formula>
    </cfRule>
  </conditionalFormatting>
  <conditionalFormatting sqref="CK61:CO78">
    <cfRule type="cellIs" dxfId="3627" priority="871" stopIfTrue="1" operator="equal">
      <formula>"E"</formula>
    </cfRule>
  </conditionalFormatting>
  <conditionalFormatting sqref="CK61:CO78">
    <cfRule type="cellIs" dxfId="3626" priority="872" stopIfTrue="1" operator="equal">
      <formula>"S"</formula>
    </cfRule>
  </conditionalFormatting>
  <conditionalFormatting sqref="CK61:CO78">
    <cfRule type="cellIs" dxfId="3625" priority="873" stopIfTrue="1" operator="equal">
      <formula>"M"</formula>
    </cfRule>
  </conditionalFormatting>
  <conditionalFormatting sqref="CK61:CO78">
    <cfRule type="cellIs" dxfId="3624" priority="874" stopIfTrue="1" operator="equal">
      <formula>"J"</formula>
    </cfRule>
  </conditionalFormatting>
  <conditionalFormatting sqref="CK61:CO78">
    <cfRule type="cellIs" dxfId="3623" priority="875" stopIfTrue="1" operator="equal">
      <formula>"O"</formula>
    </cfRule>
  </conditionalFormatting>
  <conditionalFormatting sqref="CK61:CO78">
    <cfRule type="expression" dxfId="3622" priority="876" stopIfTrue="1">
      <formula>LEN(TRIM(CK61))=0</formula>
    </cfRule>
  </conditionalFormatting>
  <conditionalFormatting sqref="CK80:CO94">
    <cfRule type="cellIs" dxfId="3621" priority="877" stopIfTrue="1" operator="equal">
      <formula>"E"</formula>
    </cfRule>
  </conditionalFormatting>
  <conditionalFormatting sqref="CK80:CO94">
    <cfRule type="cellIs" dxfId="3620" priority="878" stopIfTrue="1" operator="equal">
      <formula>"S"</formula>
    </cfRule>
  </conditionalFormatting>
  <conditionalFormatting sqref="CK80:CO94">
    <cfRule type="cellIs" dxfId="3619" priority="879" stopIfTrue="1" operator="equal">
      <formula>"M"</formula>
    </cfRule>
  </conditionalFormatting>
  <conditionalFormatting sqref="CK80:CO94">
    <cfRule type="cellIs" dxfId="3618" priority="880" stopIfTrue="1" operator="equal">
      <formula>"J"</formula>
    </cfRule>
  </conditionalFormatting>
  <conditionalFormatting sqref="CK80:CO94">
    <cfRule type="cellIs" dxfId="3617" priority="881" stopIfTrue="1" operator="equal">
      <formula>"O"</formula>
    </cfRule>
  </conditionalFormatting>
  <conditionalFormatting sqref="CK80:CO94">
    <cfRule type="expression" dxfId="3616" priority="882" stopIfTrue="1">
      <formula>LEN(TRIM(CK80))=0</formula>
    </cfRule>
  </conditionalFormatting>
  <conditionalFormatting sqref="CK96:CO99">
    <cfRule type="cellIs" dxfId="3615" priority="883" stopIfTrue="1" operator="equal">
      <formula>"E"</formula>
    </cfRule>
  </conditionalFormatting>
  <conditionalFormatting sqref="CK96:CO99">
    <cfRule type="cellIs" dxfId="3614" priority="884" stopIfTrue="1" operator="equal">
      <formula>"S"</formula>
    </cfRule>
  </conditionalFormatting>
  <conditionalFormatting sqref="CK96:CO99">
    <cfRule type="cellIs" dxfId="3613" priority="885" stopIfTrue="1" operator="equal">
      <formula>"M"</formula>
    </cfRule>
  </conditionalFormatting>
  <conditionalFormatting sqref="CK96:CO99">
    <cfRule type="cellIs" dxfId="3612" priority="886" stopIfTrue="1" operator="equal">
      <formula>"J"</formula>
    </cfRule>
  </conditionalFormatting>
  <conditionalFormatting sqref="CK96:CO99">
    <cfRule type="cellIs" dxfId="3611" priority="887" stopIfTrue="1" operator="equal">
      <formula>"O"</formula>
    </cfRule>
  </conditionalFormatting>
  <conditionalFormatting sqref="CK96:CO99">
    <cfRule type="expression" dxfId="3610" priority="888" stopIfTrue="1">
      <formula>LEN(TRIM(CK96))=0</formula>
    </cfRule>
  </conditionalFormatting>
  <conditionalFormatting sqref="CQ4:CU16">
    <cfRule type="cellIs" dxfId="3609" priority="889" stopIfTrue="1" operator="equal">
      <formula>"E"</formula>
    </cfRule>
  </conditionalFormatting>
  <conditionalFormatting sqref="CQ4:CU16">
    <cfRule type="cellIs" dxfId="3608" priority="890" stopIfTrue="1" operator="equal">
      <formula>"S"</formula>
    </cfRule>
  </conditionalFormatting>
  <conditionalFormatting sqref="CQ4:CU16">
    <cfRule type="cellIs" dxfId="3607" priority="891" stopIfTrue="1" operator="equal">
      <formula>"M"</formula>
    </cfRule>
  </conditionalFormatting>
  <conditionalFormatting sqref="CQ4:CU16">
    <cfRule type="cellIs" dxfId="3606" priority="892" stopIfTrue="1" operator="equal">
      <formula>"J"</formula>
    </cfRule>
  </conditionalFormatting>
  <conditionalFormatting sqref="CQ4:CU16">
    <cfRule type="cellIs" dxfId="3605" priority="893" stopIfTrue="1" operator="equal">
      <formula>"O"</formula>
    </cfRule>
  </conditionalFormatting>
  <conditionalFormatting sqref="CQ4:CU16">
    <cfRule type="expression" dxfId="3604" priority="894" stopIfTrue="1">
      <formula>LEN(TRIM(CQ4))=0</formula>
    </cfRule>
  </conditionalFormatting>
  <conditionalFormatting sqref="CQ18:CU26">
    <cfRule type="cellIs" dxfId="3603" priority="895" stopIfTrue="1" operator="equal">
      <formula>"E"</formula>
    </cfRule>
  </conditionalFormatting>
  <conditionalFormatting sqref="CQ18:CU26">
    <cfRule type="cellIs" dxfId="3602" priority="896" stopIfTrue="1" operator="equal">
      <formula>"S"</formula>
    </cfRule>
  </conditionalFormatting>
  <conditionalFormatting sqref="CQ18:CU26">
    <cfRule type="cellIs" dxfId="3601" priority="897" stopIfTrue="1" operator="equal">
      <formula>"M"</formula>
    </cfRule>
  </conditionalFormatting>
  <conditionalFormatting sqref="CQ18:CU26">
    <cfRule type="cellIs" dxfId="3600" priority="898" stopIfTrue="1" operator="equal">
      <formula>"J"</formula>
    </cfRule>
  </conditionalFormatting>
  <conditionalFormatting sqref="CQ18:CU26">
    <cfRule type="cellIs" dxfId="3599" priority="899" stopIfTrue="1" operator="equal">
      <formula>"O"</formula>
    </cfRule>
  </conditionalFormatting>
  <conditionalFormatting sqref="CQ18:CU26">
    <cfRule type="expression" dxfId="3598" priority="900" stopIfTrue="1">
      <formula>LEN(TRIM(CQ18))=0</formula>
    </cfRule>
  </conditionalFormatting>
  <conditionalFormatting sqref="CQ28:CU37">
    <cfRule type="cellIs" dxfId="3597" priority="901" stopIfTrue="1" operator="equal">
      <formula>"E"</formula>
    </cfRule>
  </conditionalFormatting>
  <conditionalFormatting sqref="CQ28:CU37">
    <cfRule type="cellIs" dxfId="3596" priority="902" stopIfTrue="1" operator="equal">
      <formula>"S"</formula>
    </cfRule>
  </conditionalFormatting>
  <conditionalFormatting sqref="CQ28:CU37">
    <cfRule type="cellIs" dxfId="3595" priority="903" stopIfTrue="1" operator="equal">
      <formula>"M"</formula>
    </cfRule>
  </conditionalFormatting>
  <conditionalFormatting sqref="CQ28:CU37">
    <cfRule type="cellIs" dxfId="3594" priority="904" stopIfTrue="1" operator="equal">
      <formula>"J"</formula>
    </cfRule>
  </conditionalFormatting>
  <conditionalFormatting sqref="CQ28:CU37">
    <cfRule type="cellIs" dxfId="3593" priority="905" stopIfTrue="1" operator="equal">
      <formula>"O"</formula>
    </cfRule>
  </conditionalFormatting>
  <conditionalFormatting sqref="CQ28:CU37">
    <cfRule type="expression" dxfId="3592" priority="906" stopIfTrue="1">
      <formula>LEN(TRIM(CQ28))=0</formula>
    </cfRule>
  </conditionalFormatting>
  <conditionalFormatting sqref="CQ39:CU50">
    <cfRule type="cellIs" dxfId="3591" priority="907" stopIfTrue="1" operator="equal">
      <formula>"E"</formula>
    </cfRule>
  </conditionalFormatting>
  <conditionalFormatting sqref="CQ39:CU50">
    <cfRule type="cellIs" dxfId="3590" priority="908" stopIfTrue="1" operator="equal">
      <formula>"S"</formula>
    </cfRule>
  </conditionalFormatting>
  <conditionalFormatting sqref="CQ39:CU50">
    <cfRule type="cellIs" dxfId="3589" priority="909" stopIfTrue="1" operator="equal">
      <formula>"M"</formula>
    </cfRule>
  </conditionalFormatting>
  <conditionalFormatting sqref="CQ39:CU50">
    <cfRule type="cellIs" dxfId="3588" priority="910" stopIfTrue="1" operator="equal">
      <formula>"J"</formula>
    </cfRule>
  </conditionalFormatting>
  <conditionalFormatting sqref="CQ39:CU50">
    <cfRule type="cellIs" dxfId="3587" priority="911" stopIfTrue="1" operator="equal">
      <formula>"O"</formula>
    </cfRule>
  </conditionalFormatting>
  <conditionalFormatting sqref="CQ39:CU50">
    <cfRule type="expression" dxfId="3586" priority="912" stopIfTrue="1">
      <formula>LEN(TRIM(CQ39))=0</formula>
    </cfRule>
  </conditionalFormatting>
  <conditionalFormatting sqref="CQ52:CU59">
    <cfRule type="cellIs" dxfId="3585" priority="913" stopIfTrue="1" operator="equal">
      <formula>"E"</formula>
    </cfRule>
  </conditionalFormatting>
  <conditionalFormatting sqref="CQ52:CU59">
    <cfRule type="cellIs" dxfId="3584" priority="914" stopIfTrue="1" operator="equal">
      <formula>"S"</formula>
    </cfRule>
  </conditionalFormatting>
  <conditionalFormatting sqref="CQ52:CU59">
    <cfRule type="cellIs" dxfId="3583" priority="915" stopIfTrue="1" operator="equal">
      <formula>"M"</formula>
    </cfRule>
  </conditionalFormatting>
  <conditionalFormatting sqref="CQ52:CU59">
    <cfRule type="cellIs" dxfId="3582" priority="916" stopIfTrue="1" operator="equal">
      <formula>"J"</formula>
    </cfRule>
  </conditionalFormatting>
  <conditionalFormatting sqref="CQ52:CU59">
    <cfRule type="cellIs" dxfId="3581" priority="917" stopIfTrue="1" operator="equal">
      <formula>"O"</formula>
    </cfRule>
  </conditionalFormatting>
  <conditionalFormatting sqref="CQ52:CU59">
    <cfRule type="expression" dxfId="3580" priority="918" stopIfTrue="1">
      <formula>LEN(TRIM(CQ52))=0</formula>
    </cfRule>
  </conditionalFormatting>
  <conditionalFormatting sqref="CQ61:CU78">
    <cfRule type="cellIs" dxfId="3579" priority="919" stopIfTrue="1" operator="equal">
      <formula>"E"</formula>
    </cfRule>
  </conditionalFormatting>
  <conditionalFormatting sqref="CQ61:CU78">
    <cfRule type="cellIs" dxfId="3578" priority="920" stopIfTrue="1" operator="equal">
      <formula>"S"</formula>
    </cfRule>
  </conditionalFormatting>
  <conditionalFormatting sqref="CQ61:CU78">
    <cfRule type="cellIs" dxfId="3577" priority="921" stopIfTrue="1" operator="equal">
      <formula>"M"</formula>
    </cfRule>
  </conditionalFormatting>
  <conditionalFormatting sqref="CQ61:CU78">
    <cfRule type="cellIs" dxfId="3576" priority="922" stopIfTrue="1" operator="equal">
      <formula>"J"</formula>
    </cfRule>
  </conditionalFormatting>
  <conditionalFormatting sqref="CQ61:CU78">
    <cfRule type="cellIs" dxfId="3575" priority="923" stopIfTrue="1" operator="equal">
      <formula>"O"</formula>
    </cfRule>
  </conditionalFormatting>
  <conditionalFormatting sqref="CQ61:CU78">
    <cfRule type="expression" dxfId="3574" priority="924" stopIfTrue="1">
      <formula>LEN(TRIM(CQ61))=0</formula>
    </cfRule>
  </conditionalFormatting>
  <conditionalFormatting sqref="CQ80:CU94">
    <cfRule type="cellIs" dxfId="3573" priority="925" stopIfTrue="1" operator="equal">
      <formula>"E"</formula>
    </cfRule>
  </conditionalFormatting>
  <conditionalFormatting sqref="CQ80:CU94">
    <cfRule type="cellIs" dxfId="3572" priority="926" stopIfTrue="1" operator="equal">
      <formula>"S"</formula>
    </cfRule>
  </conditionalFormatting>
  <conditionalFormatting sqref="CQ80:CU94">
    <cfRule type="cellIs" dxfId="3571" priority="927" stopIfTrue="1" operator="equal">
      <formula>"M"</formula>
    </cfRule>
  </conditionalFormatting>
  <conditionalFormatting sqref="CQ80:CU94">
    <cfRule type="cellIs" dxfId="3570" priority="928" stopIfTrue="1" operator="equal">
      <formula>"J"</formula>
    </cfRule>
  </conditionalFormatting>
  <conditionalFormatting sqref="CQ80:CU94">
    <cfRule type="cellIs" dxfId="3569" priority="929" stopIfTrue="1" operator="equal">
      <formula>"O"</formula>
    </cfRule>
  </conditionalFormatting>
  <conditionalFormatting sqref="CQ80:CU94">
    <cfRule type="expression" dxfId="3568" priority="930" stopIfTrue="1">
      <formula>LEN(TRIM(CQ80))=0</formula>
    </cfRule>
  </conditionalFormatting>
  <conditionalFormatting sqref="CQ96:CU99">
    <cfRule type="cellIs" dxfId="3567" priority="931" stopIfTrue="1" operator="equal">
      <formula>"E"</formula>
    </cfRule>
  </conditionalFormatting>
  <conditionalFormatting sqref="CQ96:CU99">
    <cfRule type="cellIs" dxfId="3566" priority="932" stopIfTrue="1" operator="equal">
      <formula>"S"</formula>
    </cfRule>
  </conditionalFormatting>
  <conditionalFormatting sqref="CQ96:CU99">
    <cfRule type="cellIs" dxfId="3565" priority="933" stopIfTrue="1" operator="equal">
      <formula>"M"</formula>
    </cfRule>
  </conditionalFormatting>
  <conditionalFormatting sqref="CQ96:CU99">
    <cfRule type="cellIs" dxfId="3564" priority="934" stopIfTrue="1" operator="equal">
      <formula>"J"</formula>
    </cfRule>
  </conditionalFormatting>
  <conditionalFormatting sqref="CQ96:CU99">
    <cfRule type="cellIs" dxfId="3563" priority="935" stopIfTrue="1" operator="equal">
      <formula>"O"</formula>
    </cfRule>
  </conditionalFormatting>
  <conditionalFormatting sqref="CQ96:CU99">
    <cfRule type="expression" dxfId="3562" priority="936" stopIfTrue="1">
      <formula>LEN(TRIM(CQ96))=0</formula>
    </cfRule>
  </conditionalFormatting>
  <conditionalFormatting sqref="CW4:DA16">
    <cfRule type="cellIs" dxfId="3561" priority="937" stopIfTrue="1" operator="equal">
      <formula>"E"</formula>
    </cfRule>
  </conditionalFormatting>
  <conditionalFormatting sqref="CW4:DA16">
    <cfRule type="cellIs" dxfId="3560" priority="938" stopIfTrue="1" operator="equal">
      <formula>"S"</formula>
    </cfRule>
  </conditionalFormatting>
  <conditionalFormatting sqref="CW4:DA16">
    <cfRule type="cellIs" dxfId="3559" priority="939" stopIfTrue="1" operator="equal">
      <formula>"M"</formula>
    </cfRule>
  </conditionalFormatting>
  <conditionalFormatting sqref="CW4:DA16">
    <cfRule type="cellIs" dxfId="3558" priority="940" stopIfTrue="1" operator="equal">
      <formula>"J"</formula>
    </cfRule>
  </conditionalFormatting>
  <conditionalFormatting sqref="CW4:DA16">
    <cfRule type="cellIs" dxfId="3557" priority="941" stopIfTrue="1" operator="equal">
      <formula>"O"</formula>
    </cfRule>
  </conditionalFormatting>
  <conditionalFormatting sqref="CW4:DA16">
    <cfRule type="expression" dxfId="3556" priority="942" stopIfTrue="1">
      <formula>LEN(TRIM(CW4))=0</formula>
    </cfRule>
  </conditionalFormatting>
  <conditionalFormatting sqref="CW18:DA26">
    <cfRule type="cellIs" dxfId="3555" priority="943" stopIfTrue="1" operator="equal">
      <formula>"E"</formula>
    </cfRule>
  </conditionalFormatting>
  <conditionalFormatting sqref="CW18:DA26">
    <cfRule type="cellIs" dxfId="3554" priority="944" stopIfTrue="1" operator="equal">
      <formula>"S"</formula>
    </cfRule>
  </conditionalFormatting>
  <conditionalFormatting sqref="CW18:DA26">
    <cfRule type="cellIs" dxfId="3553" priority="945" stopIfTrue="1" operator="equal">
      <formula>"M"</formula>
    </cfRule>
  </conditionalFormatting>
  <conditionalFormatting sqref="CW18:DA26">
    <cfRule type="cellIs" dxfId="3552" priority="946" stopIfTrue="1" operator="equal">
      <formula>"J"</formula>
    </cfRule>
  </conditionalFormatting>
  <conditionalFormatting sqref="CW18:DA26">
    <cfRule type="cellIs" dxfId="3551" priority="947" stopIfTrue="1" operator="equal">
      <formula>"O"</formula>
    </cfRule>
  </conditionalFormatting>
  <conditionalFormatting sqref="CW18:DA26">
    <cfRule type="expression" dxfId="3550" priority="948" stopIfTrue="1">
      <formula>LEN(TRIM(CW18))=0</formula>
    </cfRule>
  </conditionalFormatting>
  <conditionalFormatting sqref="CW28:DA37">
    <cfRule type="cellIs" dxfId="3549" priority="949" stopIfTrue="1" operator="equal">
      <formula>"E"</formula>
    </cfRule>
  </conditionalFormatting>
  <conditionalFormatting sqref="CW28:DA37">
    <cfRule type="cellIs" dxfId="3548" priority="950" stopIfTrue="1" operator="equal">
      <formula>"S"</formula>
    </cfRule>
  </conditionalFormatting>
  <conditionalFormatting sqref="CW28:DA37">
    <cfRule type="cellIs" dxfId="3547" priority="951" stopIfTrue="1" operator="equal">
      <formula>"M"</formula>
    </cfRule>
  </conditionalFormatting>
  <conditionalFormatting sqref="CW28:DA37">
    <cfRule type="cellIs" dxfId="3546" priority="952" stopIfTrue="1" operator="equal">
      <formula>"J"</formula>
    </cfRule>
  </conditionalFormatting>
  <conditionalFormatting sqref="CW28:DA37">
    <cfRule type="cellIs" dxfId="3545" priority="953" stopIfTrue="1" operator="equal">
      <formula>"O"</formula>
    </cfRule>
  </conditionalFormatting>
  <conditionalFormatting sqref="CW28:DA37">
    <cfRule type="expression" dxfId="3544" priority="954" stopIfTrue="1">
      <formula>LEN(TRIM(CW28))=0</formula>
    </cfRule>
  </conditionalFormatting>
  <conditionalFormatting sqref="CW39:DA50">
    <cfRule type="cellIs" dxfId="3543" priority="955" stopIfTrue="1" operator="equal">
      <formula>"E"</formula>
    </cfRule>
  </conditionalFormatting>
  <conditionalFormatting sqref="CW39:DA50">
    <cfRule type="cellIs" dxfId="3542" priority="956" stopIfTrue="1" operator="equal">
      <formula>"S"</formula>
    </cfRule>
  </conditionalFormatting>
  <conditionalFormatting sqref="CW39:DA50">
    <cfRule type="cellIs" dxfId="3541" priority="957" stopIfTrue="1" operator="equal">
      <formula>"M"</formula>
    </cfRule>
  </conditionalFormatting>
  <conditionalFormatting sqref="CW39:DA50">
    <cfRule type="cellIs" dxfId="3540" priority="958" stopIfTrue="1" operator="equal">
      <formula>"J"</formula>
    </cfRule>
  </conditionalFormatting>
  <conditionalFormatting sqref="CW39:DA50">
    <cfRule type="cellIs" dxfId="3539" priority="959" stopIfTrue="1" operator="equal">
      <formula>"O"</formula>
    </cfRule>
  </conditionalFormatting>
  <conditionalFormatting sqref="CW39:DA50">
    <cfRule type="expression" dxfId="3538" priority="960" stopIfTrue="1">
      <formula>LEN(TRIM(CW39))=0</formula>
    </cfRule>
  </conditionalFormatting>
  <conditionalFormatting sqref="CW52:DA59">
    <cfRule type="cellIs" dxfId="3537" priority="961" stopIfTrue="1" operator="equal">
      <formula>"E"</formula>
    </cfRule>
  </conditionalFormatting>
  <conditionalFormatting sqref="CW52:DA59">
    <cfRule type="cellIs" dxfId="3536" priority="962" stopIfTrue="1" operator="equal">
      <formula>"S"</formula>
    </cfRule>
  </conditionalFormatting>
  <conditionalFormatting sqref="CW52:DA59">
    <cfRule type="cellIs" dxfId="3535" priority="963" stopIfTrue="1" operator="equal">
      <formula>"M"</formula>
    </cfRule>
  </conditionalFormatting>
  <conditionalFormatting sqref="CW52:DA59">
    <cfRule type="cellIs" dxfId="3534" priority="964" stopIfTrue="1" operator="equal">
      <formula>"J"</formula>
    </cfRule>
  </conditionalFormatting>
  <conditionalFormatting sqref="CW52:DA59">
    <cfRule type="cellIs" dxfId="3533" priority="965" stopIfTrue="1" operator="equal">
      <formula>"O"</formula>
    </cfRule>
  </conditionalFormatting>
  <conditionalFormatting sqref="CW52:DA59">
    <cfRule type="expression" dxfId="3532" priority="966" stopIfTrue="1">
      <formula>LEN(TRIM(CW52))=0</formula>
    </cfRule>
  </conditionalFormatting>
  <conditionalFormatting sqref="CW61:DA78">
    <cfRule type="cellIs" dxfId="3531" priority="967" stopIfTrue="1" operator="equal">
      <formula>"E"</formula>
    </cfRule>
  </conditionalFormatting>
  <conditionalFormatting sqref="CW61:DA78">
    <cfRule type="cellIs" dxfId="3530" priority="968" stopIfTrue="1" operator="equal">
      <formula>"S"</formula>
    </cfRule>
  </conditionalFormatting>
  <conditionalFormatting sqref="CW61:DA78">
    <cfRule type="cellIs" dxfId="3529" priority="969" stopIfTrue="1" operator="equal">
      <formula>"M"</formula>
    </cfRule>
  </conditionalFormatting>
  <conditionalFormatting sqref="CW61:DA78">
    <cfRule type="cellIs" dxfId="3528" priority="970" stopIfTrue="1" operator="equal">
      <formula>"J"</formula>
    </cfRule>
  </conditionalFormatting>
  <conditionalFormatting sqref="CW61:DA78">
    <cfRule type="cellIs" dxfId="3527" priority="971" stopIfTrue="1" operator="equal">
      <formula>"O"</formula>
    </cfRule>
  </conditionalFormatting>
  <conditionalFormatting sqref="CW61:DA78">
    <cfRule type="expression" dxfId="3526" priority="972" stopIfTrue="1">
      <formula>LEN(TRIM(CW61))=0</formula>
    </cfRule>
  </conditionalFormatting>
  <conditionalFormatting sqref="CW80:DA94">
    <cfRule type="cellIs" dxfId="3525" priority="973" stopIfTrue="1" operator="equal">
      <formula>"E"</formula>
    </cfRule>
  </conditionalFormatting>
  <conditionalFormatting sqref="CW80:DA94">
    <cfRule type="cellIs" dxfId="3524" priority="974" stopIfTrue="1" operator="equal">
      <formula>"S"</formula>
    </cfRule>
  </conditionalFormatting>
  <conditionalFormatting sqref="CW80:DA94">
    <cfRule type="cellIs" dxfId="3523" priority="975" stopIfTrue="1" operator="equal">
      <formula>"M"</formula>
    </cfRule>
  </conditionalFormatting>
  <conditionalFormatting sqref="CW80:DA94">
    <cfRule type="cellIs" dxfId="3522" priority="976" stopIfTrue="1" operator="equal">
      <formula>"J"</formula>
    </cfRule>
  </conditionalFormatting>
  <conditionalFormatting sqref="CW80:DA94">
    <cfRule type="cellIs" dxfId="3521" priority="977" stopIfTrue="1" operator="equal">
      <formula>"O"</formula>
    </cfRule>
  </conditionalFormatting>
  <conditionalFormatting sqref="CW80:DA94">
    <cfRule type="expression" dxfId="3520" priority="978" stopIfTrue="1">
      <formula>LEN(TRIM(CW80))=0</formula>
    </cfRule>
  </conditionalFormatting>
  <conditionalFormatting sqref="CW96:DA99">
    <cfRule type="cellIs" dxfId="3519" priority="979" stopIfTrue="1" operator="equal">
      <formula>"E"</formula>
    </cfRule>
  </conditionalFormatting>
  <conditionalFormatting sqref="CW96:DA99">
    <cfRule type="cellIs" dxfId="3518" priority="980" stopIfTrue="1" operator="equal">
      <formula>"S"</formula>
    </cfRule>
  </conditionalFormatting>
  <conditionalFormatting sqref="CW96:DA99">
    <cfRule type="cellIs" dxfId="3517" priority="981" stopIfTrue="1" operator="equal">
      <formula>"M"</formula>
    </cfRule>
  </conditionalFormatting>
  <conditionalFormatting sqref="CW96:DA99">
    <cfRule type="cellIs" dxfId="3516" priority="982" stopIfTrue="1" operator="equal">
      <formula>"J"</formula>
    </cfRule>
  </conditionalFormatting>
  <conditionalFormatting sqref="CW96:DA99">
    <cfRule type="cellIs" dxfId="3515" priority="983" stopIfTrue="1" operator="equal">
      <formula>"O"</formula>
    </cfRule>
  </conditionalFormatting>
  <conditionalFormatting sqref="CW96:DA99">
    <cfRule type="expression" dxfId="3514" priority="984" stopIfTrue="1">
      <formula>LEN(TRIM(CW96))=0</formula>
    </cfRule>
  </conditionalFormatting>
  <conditionalFormatting sqref="D3:CI3">
    <cfRule type="cellIs" dxfId="3513" priority="985" stopIfTrue="1" operator="equal">
      <formula>"e"</formula>
    </cfRule>
  </conditionalFormatting>
  <conditionalFormatting sqref="D3:CI3">
    <cfRule type="cellIs" dxfId="3512" priority="986" stopIfTrue="1" operator="equal">
      <formula>"i"</formula>
    </cfRule>
  </conditionalFormatting>
  <pageMargins left="0.7" right="0.7" top="0.75" bottom="0.75" header="0.3" footer="0.3"/>
  <drawing r:id="rId1"/>
  <legacyDrawing r:id="rId2"/>
  <controls>
    <mc:AlternateContent xmlns:mc="http://schemas.openxmlformats.org/markup-compatibility/2006">
      <mc:Choice Requires="x14">
        <control shapeId="40961" r:id="rId3" name="butEdit">
          <controlPr defaultSize="0" autoLine="0" r:id="rId4">
            <anchor moveWithCells="1">
              <from>
                <xdr:col>2</xdr:col>
                <xdr:colOff>66675</xdr:colOff>
                <xdr:row>1</xdr:row>
                <xdr:rowOff>1143000</xdr:rowOff>
              </from>
              <to>
                <xdr:col>2</xdr:col>
                <xdr:colOff>1714500</xdr:colOff>
                <xdr:row>1</xdr:row>
                <xdr:rowOff>1600200</xdr:rowOff>
              </to>
            </anchor>
          </controlPr>
        </control>
      </mc:Choice>
      <mc:Fallback>
        <control shapeId="40961" r:id="rId3" name="butEdi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A102"/>
  <sheetViews>
    <sheetView showGridLines="0" zoomScale="110" zoomScaleNormal="110" workbookViewId="0">
      <pane xSplit="3" ySplit="2" topLeftCell="D3" activePane="bottomRight" state="frozenSplit"/>
      <selection pane="topRight" activeCell="D1" sqref="D1"/>
      <selection pane="bottomLeft" activeCell="A3" sqref="A3"/>
      <selection pane="bottomRight" activeCell="D3" sqref="D3"/>
    </sheetView>
  </sheetViews>
  <sheetFormatPr defaultRowHeight="15" x14ac:dyDescent="0.25"/>
  <cols>
    <col min="2" max="2" width="6.5703125" customWidth="1"/>
    <col min="3" max="3" width="31.7109375" customWidth="1"/>
    <col min="4" max="73" width="3.85546875" customWidth="1"/>
    <col min="74" max="74" width="2.5703125" customWidth="1"/>
    <col min="75" max="79" width="3.85546875" customWidth="1"/>
  </cols>
  <sheetData>
    <row r="1" spans="1:79" ht="37.5" customHeight="1" thickTop="1" thickBot="1" x14ac:dyDescent="0.3">
      <c r="A1" s="424" t="s">
        <v>224</v>
      </c>
      <c r="B1" s="424"/>
      <c r="C1" s="425"/>
      <c r="D1" s="431" t="s">
        <v>230</v>
      </c>
      <c r="E1" s="432"/>
      <c r="F1" s="432"/>
      <c r="G1" s="432"/>
      <c r="H1" s="432"/>
      <c r="I1" s="431" t="s">
        <v>231</v>
      </c>
      <c r="J1" s="432"/>
      <c r="K1" s="432"/>
      <c r="L1" s="432"/>
      <c r="M1" s="432"/>
      <c r="N1" s="431" t="s">
        <v>232</v>
      </c>
      <c r="O1" s="432"/>
      <c r="P1" s="432"/>
      <c r="Q1" s="432"/>
      <c r="R1" s="432"/>
      <c r="S1" s="431" t="s">
        <v>233</v>
      </c>
      <c r="T1" s="432"/>
      <c r="U1" s="432"/>
      <c r="V1" s="432"/>
      <c r="W1" s="432"/>
      <c r="X1" s="431" t="s">
        <v>234</v>
      </c>
      <c r="Y1" s="432"/>
      <c r="Z1" s="432"/>
      <c r="AA1" s="432"/>
      <c r="AB1" s="432"/>
      <c r="AC1" s="431" t="s">
        <v>235</v>
      </c>
      <c r="AD1" s="432"/>
      <c r="AE1" s="432"/>
      <c r="AF1" s="432"/>
      <c r="AG1" s="432"/>
      <c r="AH1" s="431" t="s">
        <v>1</v>
      </c>
      <c r="AI1" s="432"/>
      <c r="AJ1" s="432"/>
      <c r="AK1" s="432"/>
      <c r="AL1" s="432"/>
      <c r="AM1" s="431" t="s">
        <v>131</v>
      </c>
      <c r="AN1" s="432"/>
      <c r="AO1" s="432"/>
      <c r="AP1" s="432"/>
      <c r="AQ1" s="432"/>
      <c r="AR1" s="431" t="s">
        <v>3</v>
      </c>
      <c r="AS1" s="432"/>
      <c r="AT1" s="432"/>
      <c r="AU1" s="432"/>
      <c r="AV1" s="432"/>
      <c r="AW1" s="431" t="s">
        <v>4</v>
      </c>
      <c r="AX1" s="432"/>
      <c r="AY1" s="432"/>
      <c r="AZ1" s="432"/>
      <c r="BA1" s="432"/>
      <c r="BB1" s="431" t="s">
        <v>5</v>
      </c>
      <c r="BC1" s="432"/>
      <c r="BD1" s="432"/>
      <c r="BE1" s="432"/>
      <c r="BF1" s="432"/>
      <c r="BG1" s="431" t="s">
        <v>6</v>
      </c>
      <c r="BH1" s="432"/>
      <c r="BI1" s="432"/>
      <c r="BJ1" s="432"/>
      <c r="BK1" s="432"/>
      <c r="BL1" s="431" t="s">
        <v>135</v>
      </c>
      <c r="BM1" s="432"/>
      <c r="BN1" s="432"/>
      <c r="BO1" s="432"/>
      <c r="BP1" s="432"/>
      <c r="BQ1" s="431" t="s">
        <v>236</v>
      </c>
      <c r="BR1" s="432"/>
      <c r="BS1" s="432"/>
      <c r="BT1" s="432"/>
      <c r="BU1" s="433"/>
      <c r="BW1" s="431" t="s">
        <v>306</v>
      </c>
      <c r="BX1" s="432"/>
      <c r="BY1" s="432"/>
      <c r="BZ1" s="432"/>
      <c r="CA1" s="433"/>
    </row>
    <row r="2" spans="1:79" ht="128.1" customHeight="1" thickTop="1" thickBot="1" x14ac:dyDescent="0.3">
      <c r="A2" s="124"/>
      <c r="B2" s="5"/>
      <c r="C2" s="231" t="s">
        <v>216</v>
      </c>
      <c r="D2" s="323" t="s">
        <v>217</v>
      </c>
      <c r="E2" s="324" t="s">
        <v>218</v>
      </c>
      <c r="F2" s="325" t="s">
        <v>219</v>
      </c>
      <c r="G2" s="326" t="s">
        <v>220</v>
      </c>
      <c r="H2" s="328" t="s">
        <v>221</v>
      </c>
      <c r="I2" s="323" t="s">
        <v>217</v>
      </c>
      <c r="J2" s="324" t="s">
        <v>218</v>
      </c>
      <c r="K2" s="325" t="s">
        <v>219</v>
      </c>
      <c r="L2" s="326" t="s">
        <v>220</v>
      </c>
      <c r="M2" s="328" t="s">
        <v>221</v>
      </c>
      <c r="N2" s="323" t="s">
        <v>217</v>
      </c>
      <c r="O2" s="324" t="s">
        <v>218</v>
      </c>
      <c r="P2" s="325" t="s">
        <v>219</v>
      </c>
      <c r="Q2" s="326" t="s">
        <v>220</v>
      </c>
      <c r="R2" s="328" t="s">
        <v>221</v>
      </c>
      <c r="S2" s="323" t="s">
        <v>217</v>
      </c>
      <c r="T2" s="324" t="s">
        <v>218</v>
      </c>
      <c r="U2" s="325" t="s">
        <v>219</v>
      </c>
      <c r="V2" s="326" t="s">
        <v>220</v>
      </c>
      <c r="W2" s="328" t="s">
        <v>221</v>
      </c>
      <c r="X2" s="323" t="s">
        <v>217</v>
      </c>
      <c r="Y2" s="324" t="s">
        <v>218</v>
      </c>
      <c r="Z2" s="325" t="s">
        <v>219</v>
      </c>
      <c r="AA2" s="326" t="s">
        <v>220</v>
      </c>
      <c r="AB2" s="328" t="s">
        <v>221</v>
      </c>
      <c r="AC2" s="323" t="s">
        <v>217</v>
      </c>
      <c r="AD2" s="324" t="s">
        <v>218</v>
      </c>
      <c r="AE2" s="325" t="s">
        <v>219</v>
      </c>
      <c r="AF2" s="326" t="s">
        <v>220</v>
      </c>
      <c r="AG2" s="328" t="s">
        <v>221</v>
      </c>
      <c r="AH2" s="323" t="s">
        <v>217</v>
      </c>
      <c r="AI2" s="324" t="s">
        <v>218</v>
      </c>
      <c r="AJ2" s="325" t="s">
        <v>219</v>
      </c>
      <c r="AK2" s="326" t="s">
        <v>220</v>
      </c>
      <c r="AL2" s="328" t="s">
        <v>221</v>
      </c>
      <c r="AM2" s="323" t="s">
        <v>217</v>
      </c>
      <c r="AN2" s="324" t="s">
        <v>218</v>
      </c>
      <c r="AO2" s="325" t="s">
        <v>219</v>
      </c>
      <c r="AP2" s="326" t="s">
        <v>220</v>
      </c>
      <c r="AQ2" s="328" t="s">
        <v>221</v>
      </c>
      <c r="AR2" s="323" t="s">
        <v>217</v>
      </c>
      <c r="AS2" s="324" t="s">
        <v>218</v>
      </c>
      <c r="AT2" s="325" t="s">
        <v>219</v>
      </c>
      <c r="AU2" s="326" t="s">
        <v>220</v>
      </c>
      <c r="AV2" s="328" t="s">
        <v>221</v>
      </c>
      <c r="AW2" s="323" t="s">
        <v>217</v>
      </c>
      <c r="AX2" s="324" t="s">
        <v>218</v>
      </c>
      <c r="AY2" s="325" t="s">
        <v>219</v>
      </c>
      <c r="AZ2" s="326" t="s">
        <v>220</v>
      </c>
      <c r="BA2" s="328" t="s">
        <v>221</v>
      </c>
      <c r="BB2" s="323" t="s">
        <v>217</v>
      </c>
      <c r="BC2" s="324" t="s">
        <v>218</v>
      </c>
      <c r="BD2" s="325" t="s">
        <v>219</v>
      </c>
      <c r="BE2" s="326" t="s">
        <v>220</v>
      </c>
      <c r="BF2" s="328" t="s">
        <v>221</v>
      </c>
      <c r="BG2" s="323" t="s">
        <v>217</v>
      </c>
      <c r="BH2" s="324" t="s">
        <v>218</v>
      </c>
      <c r="BI2" s="325" t="s">
        <v>219</v>
      </c>
      <c r="BJ2" s="326" t="s">
        <v>220</v>
      </c>
      <c r="BK2" s="328" t="s">
        <v>221</v>
      </c>
      <c r="BL2" s="323" t="s">
        <v>217</v>
      </c>
      <c r="BM2" s="324" t="s">
        <v>218</v>
      </c>
      <c r="BN2" s="325" t="s">
        <v>219</v>
      </c>
      <c r="BO2" s="326" t="s">
        <v>220</v>
      </c>
      <c r="BP2" s="328" t="s">
        <v>221</v>
      </c>
      <c r="BQ2" s="323" t="s">
        <v>217</v>
      </c>
      <c r="BR2" s="324" t="s">
        <v>218</v>
      </c>
      <c r="BS2" s="325" t="s">
        <v>219</v>
      </c>
      <c r="BT2" s="326" t="s">
        <v>220</v>
      </c>
      <c r="BU2" s="327" t="s">
        <v>221</v>
      </c>
      <c r="BW2" s="304" t="s">
        <v>217</v>
      </c>
      <c r="BX2" s="305" t="s">
        <v>218</v>
      </c>
      <c r="BY2" s="306" t="s">
        <v>219</v>
      </c>
      <c r="BZ2" s="307" t="s">
        <v>220</v>
      </c>
      <c r="CA2" s="308" t="s">
        <v>221</v>
      </c>
    </row>
    <row r="3" spans="1:79" ht="15.75" thickTop="1" x14ac:dyDescent="0.25">
      <c r="B3" s="434" t="s">
        <v>48</v>
      </c>
      <c r="C3" s="290" t="s">
        <v>49</v>
      </c>
      <c r="D3" s="332"/>
      <c r="E3" s="333"/>
      <c r="F3" s="333"/>
      <c r="G3" s="333"/>
      <c r="H3" s="334"/>
      <c r="I3" s="332"/>
      <c r="J3" s="333"/>
      <c r="K3" s="333"/>
      <c r="L3" s="333"/>
      <c r="M3" s="334"/>
      <c r="N3" s="332"/>
      <c r="O3" s="333"/>
      <c r="P3" s="333"/>
      <c r="Q3" s="333"/>
      <c r="R3" s="334"/>
      <c r="S3" s="332"/>
      <c r="T3" s="333"/>
      <c r="U3" s="333"/>
      <c r="V3" s="333"/>
      <c r="W3" s="334"/>
      <c r="X3" s="332"/>
      <c r="Y3" s="333"/>
      <c r="Z3" s="333"/>
      <c r="AA3" s="333"/>
      <c r="AB3" s="334"/>
      <c r="AC3" s="332"/>
      <c r="AD3" s="333"/>
      <c r="AE3" s="333"/>
      <c r="AF3" s="333"/>
      <c r="AG3" s="334"/>
      <c r="AH3" s="332">
        <v>1</v>
      </c>
      <c r="AI3" s="333"/>
      <c r="AJ3" s="333"/>
      <c r="AK3" s="333"/>
      <c r="AL3" s="334"/>
      <c r="AM3" s="332"/>
      <c r="AN3" s="333"/>
      <c r="AO3" s="333"/>
      <c r="AP3" s="333"/>
      <c r="AQ3" s="334"/>
      <c r="AR3" s="332"/>
      <c r="AS3" s="333"/>
      <c r="AT3" s="333"/>
      <c r="AU3" s="333"/>
      <c r="AV3" s="334"/>
      <c r="AW3" s="332"/>
      <c r="AX3" s="333"/>
      <c r="AY3" s="333"/>
      <c r="AZ3" s="333"/>
      <c r="BA3" s="334"/>
      <c r="BB3" s="332"/>
      <c r="BC3" s="333"/>
      <c r="BD3" s="333"/>
      <c r="BE3" s="333"/>
      <c r="BF3" s="334"/>
      <c r="BG3" s="332"/>
      <c r="BH3" s="333"/>
      <c r="BI3" s="333"/>
      <c r="BJ3" s="333"/>
      <c r="BK3" s="334"/>
      <c r="BL3" s="332"/>
      <c r="BM3" s="333"/>
      <c r="BN3" s="333"/>
      <c r="BO3" s="333"/>
      <c r="BP3" s="334"/>
      <c r="BQ3" s="332"/>
      <c r="BR3" s="333"/>
      <c r="BS3" s="333"/>
      <c r="BT3" s="333"/>
      <c r="BU3" s="335"/>
      <c r="BW3" s="329" t="str">
        <f>sum_level("o",'Needs 171007_1815'!D3:BU3)</f>
        <v>1</v>
      </c>
      <c r="BX3" s="330" t="str">
        <f>sum_level("j",'Needs 171007_1815'!D3:BU3)</f>
        <v/>
      </c>
      <c r="BY3" s="330" t="str">
        <f>sum_level("m",'Needs 171007_1815'!D3:BU3)</f>
        <v/>
      </c>
      <c r="BZ3" s="330" t="str">
        <f>sum_level("s",'Needs 171007_1815'!D3:BU3)</f>
        <v/>
      </c>
      <c r="CA3" s="331" t="str">
        <f>sum_level("e",'Needs 171007_1815'!D3:BU3)</f>
        <v/>
      </c>
    </row>
    <row r="4" spans="1:79" x14ac:dyDescent="0.25">
      <c r="B4" s="435"/>
      <c r="C4" s="291" t="s">
        <v>54</v>
      </c>
      <c r="D4" s="336"/>
      <c r="E4" s="337"/>
      <c r="F4" s="337"/>
      <c r="G4" s="337"/>
      <c r="H4" s="338"/>
      <c r="I4" s="336"/>
      <c r="J4" s="337"/>
      <c r="K4" s="337"/>
      <c r="L4" s="337"/>
      <c r="M4" s="338"/>
      <c r="N4" s="336"/>
      <c r="O4" s="337"/>
      <c r="P4" s="337"/>
      <c r="Q4" s="337"/>
      <c r="R4" s="338"/>
      <c r="S4" s="336"/>
      <c r="T4" s="337"/>
      <c r="U4" s="337"/>
      <c r="V4" s="337"/>
      <c r="W4" s="338"/>
      <c r="X4" s="336"/>
      <c r="Y4" s="337"/>
      <c r="Z4" s="337"/>
      <c r="AA4" s="337"/>
      <c r="AB4" s="338"/>
      <c r="AC4" s="336"/>
      <c r="AD4" s="337"/>
      <c r="AE4" s="337"/>
      <c r="AF4" s="337"/>
      <c r="AG4" s="338"/>
      <c r="AH4" s="336"/>
      <c r="AI4" s="337">
        <v>2</v>
      </c>
      <c r="AJ4" s="337"/>
      <c r="AK4" s="337"/>
      <c r="AL4" s="338"/>
      <c r="AM4" s="336"/>
      <c r="AN4" s="337"/>
      <c r="AO4" s="337"/>
      <c r="AP4" s="337"/>
      <c r="AQ4" s="338"/>
      <c r="AR4" s="336"/>
      <c r="AS4" s="337"/>
      <c r="AT4" s="337"/>
      <c r="AU4" s="337"/>
      <c r="AV4" s="338"/>
      <c r="AW4" s="336"/>
      <c r="AX4" s="337"/>
      <c r="AY4" s="337"/>
      <c r="AZ4" s="337"/>
      <c r="BA4" s="338"/>
      <c r="BB4" s="336"/>
      <c r="BC4" s="337"/>
      <c r="BD4" s="337"/>
      <c r="BE4" s="337"/>
      <c r="BF4" s="338"/>
      <c r="BG4" s="336"/>
      <c r="BH4" s="337"/>
      <c r="BI4" s="337"/>
      <c r="BJ4" s="337"/>
      <c r="BK4" s="338"/>
      <c r="BL4" s="336"/>
      <c r="BM4" s="337"/>
      <c r="BN4" s="337"/>
      <c r="BO4" s="337"/>
      <c r="BP4" s="338"/>
      <c r="BQ4" s="336"/>
      <c r="BR4" s="337"/>
      <c r="BS4" s="337"/>
      <c r="BT4" s="337"/>
      <c r="BU4" s="339"/>
      <c r="BW4" s="236" t="str">
        <f>sum_level("o",'Needs 171007_1815'!D4:BU4)</f>
        <v/>
      </c>
      <c r="BX4" s="237" t="str">
        <f>sum_level("j",'Needs 171007_1815'!D4:BU4)</f>
        <v>2</v>
      </c>
      <c r="BY4" s="237" t="str">
        <f>sum_level("m",'Needs 171007_1815'!D4:BU4)</f>
        <v/>
      </c>
      <c r="BZ4" s="237" t="str">
        <f>sum_level("s",'Needs 171007_1815'!D4:BU4)</f>
        <v/>
      </c>
      <c r="CA4" s="238" t="str">
        <f>sum_level("e",'Needs 171007_1815'!D4:BU4)</f>
        <v/>
      </c>
    </row>
    <row r="5" spans="1:79" x14ac:dyDescent="0.25">
      <c r="B5" s="435"/>
      <c r="C5" s="291" t="s">
        <v>51</v>
      </c>
      <c r="D5" s="336"/>
      <c r="E5" s="337"/>
      <c r="F5" s="337"/>
      <c r="G5" s="337"/>
      <c r="H5" s="338"/>
      <c r="I5" s="336"/>
      <c r="J5" s="337"/>
      <c r="K5" s="337"/>
      <c r="L5" s="337"/>
      <c r="M5" s="338"/>
      <c r="N5" s="336"/>
      <c r="O5" s="337"/>
      <c r="P5" s="337"/>
      <c r="Q5" s="337"/>
      <c r="R5" s="338"/>
      <c r="S5" s="336"/>
      <c r="T5" s="337"/>
      <c r="U5" s="337"/>
      <c r="V5" s="337"/>
      <c r="W5" s="338"/>
      <c r="X5" s="336"/>
      <c r="Y5" s="337"/>
      <c r="Z5" s="337"/>
      <c r="AA5" s="337"/>
      <c r="AB5" s="338"/>
      <c r="AC5" s="336"/>
      <c r="AD5" s="337"/>
      <c r="AE5" s="337"/>
      <c r="AF5" s="337"/>
      <c r="AG5" s="338"/>
      <c r="AH5" s="336"/>
      <c r="AI5" s="337"/>
      <c r="AJ5" s="337">
        <v>3</v>
      </c>
      <c r="AK5" s="337"/>
      <c r="AL5" s="338"/>
      <c r="AM5" s="336"/>
      <c r="AN5" s="337"/>
      <c r="AO5" s="337"/>
      <c r="AP5" s="337"/>
      <c r="AQ5" s="338"/>
      <c r="AR5" s="336"/>
      <c r="AS5" s="337"/>
      <c r="AT5" s="337"/>
      <c r="AU5" s="337"/>
      <c r="AV5" s="338"/>
      <c r="AW5" s="336"/>
      <c r="AX5" s="337"/>
      <c r="AY5" s="337"/>
      <c r="AZ5" s="337"/>
      <c r="BA5" s="338"/>
      <c r="BB5" s="336"/>
      <c r="BC5" s="337"/>
      <c r="BD5" s="337"/>
      <c r="BE5" s="337"/>
      <c r="BF5" s="338"/>
      <c r="BG5" s="336"/>
      <c r="BH5" s="337"/>
      <c r="BI5" s="337"/>
      <c r="BJ5" s="337"/>
      <c r="BK5" s="338"/>
      <c r="BL5" s="336"/>
      <c r="BM5" s="337"/>
      <c r="BN5" s="337"/>
      <c r="BO5" s="337"/>
      <c r="BP5" s="338"/>
      <c r="BQ5" s="336"/>
      <c r="BR5" s="337"/>
      <c r="BS5" s="337"/>
      <c r="BT5" s="337"/>
      <c r="BU5" s="339"/>
      <c r="BW5" s="236" t="str">
        <f>sum_level("o",'Needs 171007_1815'!D5:BU5)</f>
        <v/>
      </c>
      <c r="BX5" s="237" t="str">
        <f>sum_level("j",'Needs 171007_1815'!D5:BU5)</f>
        <v/>
      </c>
      <c r="BY5" s="237" t="str">
        <f>sum_level("m",'Needs 171007_1815'!D5:BU5)</f>
        <v>3</v>
      </c>
      <c r="BZ5" s="237" t="str">
        <f>sum_level("s",'Needs 171007_1815'!D5:BU5)</f>
        <v/>
      </c>
      <c r="CA5" s="238" t="str">
        <f>sum_level("e",'Needs 171007_1815'!D5:BU5)</f>
        <v/>
      </c>
    </row>
    <row r="6" spans="1:79" x14ac:dyDescent="0.25">
      <c r="B6" s="435"/>
      <c r="C6" s="291" t="s">
        <v>52</v>
      </c>
      <c r="D6" s="336"/>
      <c r="E6" s="337"/>
      <c r="F6" s="337"/>
      <c r="G6" s="337"/>
      <c r="H6" s="338"/>
      <c r="I6" s="336"/>
      <c r="J6" s="337"/>
      <c r="K6" s="337"/>
      <c r="L6" s="337"/>
      <c r="M6" s="338"/>
      <c r="N6" s="336"/>
      <c r="O6" s="337"/>
      <c r="P6" s="337"/>
      <c r="Q6" s="337"/>
      <c r="R6" s="338"/>
      <c r="S6" s="336"/>
      <c r="T6" s="337"/>
      <c r="U6" s="337"/>
      <c r="V6" s="337"/>
      <c r="W6" s="338"/>
      <c r="X6" s="336"/>
      <c r="Y6" s="337"/>
      <c r="Z6" s="337"/>
      <c r="AA6" s="337"/>
      <c r="AB6" s="338"/>
      <c r="AC6" s="336"/>
      <c r="AD6" s="337"/>
      <c r="AE6" s="337"/>
      <c r="AF6" s="337"/>
      <c r="AG6" s="338"/>
      <c r="AH6" s="336"/>
      <c r="AI6" s="337"/>
      <c r="AJ6" s="337"/>
      <c r="AK6" s="337">
        <v>4</v>
      </c>
      <c r="AL6" s="338"/>
      <c r="AM6" s="336"/>
      <c r="AN6" s="337"/>
      <c r="AO6" s="337"/>
      <c r="AP6" s="337"/>
      <c r="AQ6" s="338"/>
      <c r="AR6" s="336"/>
      <c r="AS6" s="337"/>
      <c r="AT6" s="337"/>
      <c r="AU6" s="337"/>
      <c r="AV6" s="338"/>
      <c r="AW6" s="336"/>
      <c r="AX6" s="337"/>
      <c r="AY6" s="337"/>
      <c r="AZ6" s="337"/>
      <c r="BA6" s="338"/>
      <c r="BB6" s="336"/>
      <c r="BC6" s="337"/>
      <c r="BD6" s="337"/>
      <c r="BE6" s="337"/>
      <c r="BF6" s="338"/>
      <c r="BG6" s="336"/>
      <c r="BH6" s="337"/>
      <c r="BI6" s="337"/>
      <c r="BJ6" s="337"/>
      <c r="BK6" s="338"/>
      <c r="BL6" s="336"/>
      <c r="BM6" s="337"/>
      <c r="BN6" s="337"/>
      <c r="BO6" s="337"/>
      <c r="BP6" s="338"/>
      <c r="BQ6" s="336"/>
      <c r="BR6" s="337"/>
      <c r="BS6" s="337"/>
      <c r="BT6" s="337"/>
      <c r="BU6" s="339"/>
      <c r="BW6" s="236" t="str">
        <f>sum_level("o",'Needs 171007_1815'!D6:BU6)</f>
        <v/>
      </c>
      <c r="BX6" s="237" t="str">
        <f>sum_level("j",'Needs 171007_1815'!D6:BU6)</f>
        <v/>
      </c>
      <c r="BY6" s="237" t="str">
        <f>sum_level("m",'Needs 171007_1815'!D6:BU6)</f>
        <v/>
      </c>
      <c r="BZ6" s="237" t="str">
        <f>sum_level("s",'Needs 171007_1815'!D6:BU6)</f>
        <v>4</v>
      </c>
      <c r="CA6" s="238" t="str">
        <f>sum_level("e",'Needs 171007_1815'!D6:BU6)</f>
        <v/>
      </c>
    </row>
    <row r="7" spans="1:79" x14ac:dyDescent="0.25">
      <c r="B7" s="435"/>
      <c r="C7" s="291" t="s">
        <v>53</v>
      </c>
      <c r="D7" s="336"/>
      <c r="E7" s="337"/>
      <c r="F7" s="337"/>
      <c r="G7" s="337"/>
      <c r="H7" s="338"/>
      <c r="I7" s="336"/>
      <c r="J7" s="337"/>
      <c r="K7" s="337"/>
      <c r="L7" s="337"/>
      <c r="M7" s="338"/>
      <c r="N7" s="336"/>
      <c r="O7" s="337"/>
      <c r="P7" s="337"/>
      <c r="Q7" s="337"/>
      <c r="R7" s="338"/>
      <c r="S7" s="336"/>
      <c r="T7" s="337"/>
      <c r="U7" s="337"/>
      <c r="V7" s="337"/>
      <c r="W7" s="338"/>
      <c r="X7" s="336"/>
      <c r="Y7" s="337"/>
      <c r="Z7" s="337"/>
      <c r="AA7" s="337"/>
      <c r="AB7" s="338"/>
      <c r="AC7" s="336"/>
      <c r="AD7" s="337"/>
      <c r="AE7" s="337"/>
      <c r="AF7" s="337"/>
      <c r="AG7" s="338"/>
      <c r="AH7" s="336"/>
      <c r="AI7" s="337"/>
      <c r="AJ7" s="337"/>
      <c r="AK7" s="337"/>
      <c r="AL7" s="338">
        <v>5</v>
      </c>
      <c r="AM7" s="336"/>
      <c r="AN7" s="337"/>
      <c r="AO7" s="337"/>
      <c r="AP7" s="337"/>
      <c r="AQ7" s="338"/>
      <c r="AR7" s="336"/>
      <c r="AS7" s="337"/>
      <c r="AT7" s="337"/>
      <c r="AU7" s="337"/>
      <c r="AV7" s="338"/>
      <c r="AW7" s="336"/>
      <c r="AX7" s="337"/>
      <c r="AY7" s="337"/>
      <c r="AZ7" s="337"/>
      <c r="BA7" s="338"/>
      <c r="BB7" s="336"/>
      <c r="BC7" s="337"/>
      <c r="BD7" s="337"/>
      <c r="BE7" s="337"/>
      <c r="BF7" s="338"/>
      <c r="BG7" s="336"/>
      <c r="BH7" s="337"/>
      <c r="BI7" s="337"/>
      <c r="BJ7" s="337"/>
      <c r="BK7" s="338"/>
      <c r="BL7" s="336"/>
      <c r="BM7" s="337"/>
      <c r="BN7" s="337"/>
      <c r="BO7" s="337"/>
      <c r="BP7" s="338"/>
      <c r="BQ7" s="336"/>
      <c r="BR7" s="337"/>
      <c r="BS7" s="337"/>
      <c r="BT7" s="337"/>
      <c r="BU7" s="339"/>
      <c r="BW7" s="236" t="str">
        <f>sum_level("o",'Needs 171007_1815'!D7:BU7)</f>
        <v/>
      </c>
      <c r="BX7" s="237" t="str">
        <f>sum_level("j",'Needs 171007_1815'!D7:BU7)</f>
        <v/>
      </c>
      <c r="BY7" s="237" t="str">
        <f>sum_level("m",'Needs 171007_1815'!D7:BU7)</f>
        <v/>
      </c>
      <c r="BZ7" s="237" t="str">
        <f>sum_level("s",'Needs 171007_1815'!D7:BU7)</f>
        <v/>
      </c>
      <c r="CA7" s="238" t="str">
        <f>sum_level("e",'Needs 171007_1815'!D7:BU7)</f>
        <v>5</v>
      </c>
    </row>
    <row r="8" spans="1:79" x14ac:dyDescent="0.25">
      <c r="B8" s="435"/>
      <c r="C8" s="291" t="s">
        <v>50</v>
      </c>
      <c r="D8" s="336"/>
      <c r="E8" s="337"/>
      <c r="F8" s="337"/>
      <c r="G8" s="337"/>
      <c r="H8" s="338"/>
      <c r="I8" s="336"/>
      <c r="J8" s="337"/>
      <c r="K8" s="337"/>
      <c r="L8" s="337"/>
      <c r="M8" s="338"/>
      <c r="N8" s="336"/>
      <c r="O8" s="337"/>
      <c r="P8" s="337"/>
      <c r="Q8" s="337"/>
      <c r="R8" s="338"/>
      <c r="S8" s="336"/>
      <c r="T8" s="337"/>
      <c r="U8" s="337"/>
      <c r="V8" s="337"/>
      <c r="W8" s="338"/>
      <c r="X8" s="336"/>
      <c r="Y8" s="337"/>
      <c r="Z8" s="337"/>
      <c r="AA8" s="337"/>
      <c r="AB8" s="338"/>
      <c r="AC8" s="336"/>
      <c r="AD8" s="337"/>
      <c r="AE8" s="337"/>
      <c r="AF8" s="337"/>
      <c r="AG8" s="338"/>
      <c r="AH8" s="336"/>
      <c r="AI8" s="337"/>
      <c r="AJ8" s="337"/>
      <c r="AK8" s="337"/>
      <c r="AL8" s="338"/>
      <c r="AM8" s="336"/>
      <c r="AN8" s="337"/>
      <c r="AO8" s="337"/>
      <c r="AP8" s="337"/>
      <c r="AQ8" s="338"/>
      <c r="AR8" s="336"/>
      <c r="AS8" s="337"/>
      <c r="AT8" s="337"/>
      <c r="AU8" s="337"/>
      <c r="AV8" s="338"/>
      <c r="AW8" s="336"/>
      <c r="AX8" s="337"/>
      <c r="AY8" s="337"/>
      <c r="AZ8" s="337"/>
      <c r="BA8" s="338"/>
      <c r="BB8" s="336"/>
      <c r="BC8" s="337"/>
      <c r="BD8" s="337"/>
      <c r="BE8" s="337"/>
      <c r="BF8" s="338"/>
      <c r="BG8" s="336"/>
      <c r="BH8" s="337"/>
      <c r="BI8" s="337"/>
      <c r="BJ8" s="337"/>
      <c r="BK8" s="338"/>
      <c r="BL8" s="336"/>
      <c r="BM8" s="337"/>
      <c r="BN8" s="337"/>
      <c r="BO8" s="337"/>
      <c r="BP8" s="338"/>
      <c r="BQ8" s="336"/>
      <c r="BR8" s="337"/>
      <c r="BS8" s="337"/>
      <c r="BT8" s="337"/>
      <c r="BU8" s="339"/>
      <c r="BW8" s="236" t="str">
        <f>sum_level("o",'Needs 171007_1815'!D8:BU8)</f>
        <v/>
      </c>
      <c r="BX8" s="237" t="str">
        <f>sum_level("j",'Needs 171007_1815'!D8:BU8)</f>
        <v/>
      </c>
      <c r="BY8" s="237" t="str">
        <f>sum_level("m",'Needs 171007_1815'!D8:BU8)</f>
        <v/>
      </c>
      <c r="BZ8" s="237" t="str">
        <f>sum_level("s",'Needs 171007_1815'!D8:BU8)</f>
        <v/>
      </c>
      <c r="CA8" s="238" t="str">
        <f>sum_level("e",'Needs 171007_1815'!D8:BU8)</f>
        <v/>
      </c>
    </row>
    <row r="9" spans="1:79" x14ac:dyDescent="0.25">
      <c r="B9" s="435"/>
      <c r="C9" s="291" t="s">
        <v>55</v>
      </c>
      <c r="D9" s="336"/>
      <c r="E9" s="337"/>
      <c r="F9" s="337"/>
      <c r="G9" s="337"/>
      <c r="H9" s="338"/>
      <c r="I9" s="336"/>
      <c r="J9" s="337"/>
      <c r="K9" s="337"/>
      <c r="L9" s="337"/>
      <c r="M9" s="338"/>
      <c r="N9" s="336"/>
      <c r="O9" s="337"/>
      <c r="P9" s="337"/>
      <c r="Q9" s="337"/>
      <c r="R9" s="338"/>
      <c r="S9" s="336"/>
      <c r="T9" s="337"/>
      <c r="U9" s="337"/>
      <c r="V9" s="337"/>
      <c r="W9" s="338"/>
      <c r="X9" s="336"/>
      <c r="Y9" s="337"/>
      <c r="Z9" s="337"/>
      <c r="AA9" s="337"/>
      <c r="AB9" s="338"/>
      <c r="AC9" s="336"/>
      <c r="AD9" s="337"/>
      <c r="AE9" s="337"/>
      <c r="AF9" s="337"/>
      <c r="AG9" s="338"/>
      <c r="AH9" s="336"/>
      <c r="AI9" s="337"/>
      <c r="AJ9" s="337"/>
      <c r="AK9" s="337"/>
      <c r="AL9" s="338"/>
      <c r="AM9" s="336">
        <v>6</v>
      </c>
      <c r="AN9" s="337"/>
      <c r="AO9" s="337"/>
      <c r="AP9" s="337"/>
      <c r="AQ9" s="338"/>
      <c r="AR9" s="336"/>
      <c r="AS9" s="337"/>
      <c r="AT9" s="337"/>
      <c r="AU9" s="337"/>
      <c r="AV9" s="338"/>
      <c r="AW9" s="336"/>
      <c r="AX9" s="337"/>
      <c r="AY9" s="337"/>
      <c r="AZ9" s="337"/>
      <c r="BA9" s="338"/>
      <c r="BB9" s="336"/>
      <c r="BC9" s="337"/>
      <c r="BD9" s="337"/>
      <c r="BE9" s="337"/>
      <c r="BF9" s="338"/>
      <c r="BG9" s="336"/>
      <c r="BH9" s="337"/>
      <c r="BI9" s="337"/>
      <c r="BJ9" s="337"/>
      <c r="BK9" s="338"/>
      <c r="BL9" s="336"/>
      <c r="BM9" s="337"/>
      <c r="BN9" s="337"/>
      <c r="BO9" s="337"/>
      <c r="BP9" s="338"/>
      <c r="BQ9" s="336"/>
      <c r="BR9" s="337"/>
      <c r="BS9" s="337"/>
      <c r="BT9" s="337"/>
      <c r="BU9" s="339"/>
      <c r="BW9" s="236" t="str">
        <f>sum_level("o",'Needs 171007_1815'!D9:BU9)</f>
        <v>6</v>
      </c>
      <c r="BX9" s="237" t="str">
        <f>sum_level("j",'Needs 171007_1815'!D9:BU9)</f>
        <v/>
      </c>
      <c r="BY9" s="237" t="str">
        <f>sum_level("m",'Needs 171007_1815'!D9:BU9)</f>
        <v/>
      </c>
      <c r="BZ9" s="237" t="str">
        <f>sum_level("s",'Needs 171007_1815'!D9:BU9)</f>
        <v/>
      </c>
      <c r="CA9" s="238" t="str">
        <f>sum_level("e",'Needs 171007_1815'!D9:BU9)</f>
        <v/>
      </c>
    </row>
    <row r="10" spans="1:79" x14ac:dyDescent="0.25">
      <c r="B10" s="435"/>
      <c r="C10" s="291" t="s">
        <v>56</v>
      </c>
      <c r="D10" s="336"/>
      <c r="E10" s="337"/>
      <c r="F10" s="337"/>
      <c r="G10" s="337"/>
      <c r="H10" s="338"/>
      <c r="I10" s="336"/>
      <c r="J10" s="337"/>
      <c r="K10" s="337"/>
      <c r="L10" s="337"/>
      <c r="M10" s="338"/>
      <c r="N10" s="336"/>
      <c r="O10" s="337"/>
      <c r="P10" s="337"/>
      <c r="Q10" s="337"/>
      <c r="R10" s="338"/>
      <c r="S10" s="336"/>
      <c r="T10" s="337"/>
      <c r="U10" s="337"/>
      <c r="V10" s="337"/>
      <c r="W10" s="338"/>
      <c r="X10" s="336"/>
      <c r="Y10" s="337"/>
      <c r="Z10" s="337"/>
      <c r="AA10" s="337"/>
      <c r="AB10" s="338"/>
      <c r="AC10" s="336"/>
      <c r="AD10" s="337"/>
      <c r="AE10" s="337"/>
      <c r="AF10" s="337"/>
      <c r="AG10" s="338"/>
      <c r="AH10" s="336"/>
      <c r="AI10" s="337"/>
      <c r="AJ10" s="337"/>
      <c r="AK10" s="337"/>
      <c r="AL10" s="338"/>
      <c r="AM10" s="336"/>
      <c r="AN10" s="337">
        <v>7</v>
      </c>
      <c r="AO10" s="337"/>
      <c r="AP10" s="337"/>
      <c r="AQ10" s="338"/>
      <c r="AR10" s="336"/>
      <c r="AS10" s="337"/>
      <c r="AT10" s="337"/>
      <c r="AU10" s="337"/>
      <c r="AV10" s="338"/>
      <c r="AW10" s="336"/>
      <c r="AX10" s="337"/>
      <c r="AY10" s="337"/>
      <c r="AZ10" s="337"/>
      <c r="BA10" s="338"/>
      <c r="BB10" s="336"/>
      <c r="BC10" s="337"/>
      <c r="BD10" s="337"/>
      <c r="BE10" s="337"/>
      <c r="BF10" s="338"/>
      <c r="BG10" s="336"/>
      <c r="BH10" s="337"/>
      <c r="BI10" s="337"/>
      <c r="BJ10" s="337"/>
      <c r="BK10" s="338"/>
      <c r="BL10" s="336"/>
      <c r="BM10" s="337"/>
      <c r="BN10" s="337"/>
      <c r="BO10" s="337"/>
      <c r="BP10" s="338"/>
      <c r="BQ10" s="336"/>
      <c r="BR10" s="337"/>
      <c r="BS10" s="337"/>
      <c r="BT10" s="337"/>
      <c r="BU10" s="339"/>
      <c r="BW10" s="236" t="str">
        <f>sum_level("o",'Needs 171007_1815'!D10:BU10)</f>
        <v/>
      </c>
      <c r="BX10" s="237" t="str">
        <f>sum_level("j",'Needs 171007_1815'!D10:BU10)</f>
        <v>7</v>
      </c>
      <c r="BY10" s="237" t="str">
        <f>sum_level("m",'Needs 171007_1815'!D10:BU10)</f>
        <v/>
      </c>
      <c r="BZ10" s="237" t="str">
        <f>sum_level("s",'Needs 171007_1815'!D10:BU10)</f>
        <v/>
      </c>
      <c r="CA10" s="238" t="str">
        <f>sum_level("e",'Needs 171007_1815'!D10:BU10)</f>
        <v/>
      </c>
    </row>
    <row r="11" spans="1:79" x14ac:dyDescent="0.25">
      <c r="B11" s="435"/>
      <c r="C11" s="291" t="s">
        <v>57</v>
      </c>
      <c r="D11" s="336"/>
      <c r="E11" s="337"/>
      <c r="F11" s="337"/>
      <c r="G11" s="337"/>
      <c r="H11" s="338"/>
      <c r="I11" s="336"/>
      <c r="J11" s="337"/>
      <c r="K11" s="337"/>
      <c r="L11" s="337"/>
      <c r="M11" s="338"/>
      <c r="N11" s="336"/>
      <c r="O11" s="337"/>
      <c r="P11" s="337"/>
      <c r="Q11" s="337"/>
      <c r="R11" s="338"/>
      <c r="S11" s="336"/>
      <c r="T11" s="337"/>
      <c r="U11" s="337"/>
      <c r="V11" s="337"/>
      <c r="W11" s="338"/>
      <c r="X11" s="336"/>
      <c r="Y11" s="337"/>
      <c r="Z11" s="337"/>
      <c r="AA11" s="337"/>
      <c r="AB11" s="338"/>
      <c r="AC11" s="336"/>
      <c r="AD11" s="337"/>
      <c r="AE11" s="337"/>
      <c r="AF11" s="337"/>
      <c r="AG11" s="338"/>
      <c r="AH11" s="336"/>
      <c r="AI11" s="337"/>
      <c r="AJ11" s="337"/>
      <c r="AK11" s="337"/>
      <c r="AL11" s="338"/>
      <c r="AM11" s="336"/>
      <c r="AN11" s="337"/>
      <c r="AO11" s="337">
        <v>8</v>
      </c>
      <c r="AP11" s="337"/>
      <c r="AQ11" s="338"/>
      <c r="AR11" s="336"/>
      <c r="AS11" s="337"/>
      <c r="AT11" s="337"/>
      <c r="AU11" s="337"/>
      <c r="AV11" s="338"/>
      <c r="AW11" s="336"/>
      <c r="AX11" s="337"/>
      <c r="AY11" s="337"/>
      <c r="AZ11" s="337"/>
      <c r="BA11" s="338"/>
      <c r="BB11" s="336"/>
      <c r="BC11" s="337"/>
      <c r="BD11" s="337"/>
      <c r="BE11" s="337"/>
      <c r="BF11" s="338"/>
      <c r="BG11" s="336"/>
      <c r="BH11" s="337"/>
      <c r="BI11" s="337"/>
      <c r="BJ11" s="337"/>
      <c r="BK11" s="338"/>
      <c r="BL11" s="336"/>
      <c r="BM11" s="337"/>
      <c r="BN11" s="337"/>
      <c r="BO11" s="337"/>
      <c r="BP11" s="338"/>
      <c r="BQ11" s="336"/>
      <c r="BR11" s="337"/>
      <c r="BS11" s="337"/>
      <c r="BT11" s="337"/>
      <c r="BU11" s="339"/>
      <c r="BW11" s="236" t="str">
        <f>sum_level("o",'Needs 171007_1815'!D11:BU11)</f>
        <v/>
      </c>
      <c r="BX11" s="237" t="str">
        <f>sum_level("j",'Needs 171007_1815'!D11:BU11)</f>
        <v/>
      </c>
      <c r="BY11" s="237" t="str">
        <f>sum_level("m",'Needs 171007_1815'!D11:BU11)</f>
        <v>8</v>
      </c>
      <c r="BZ11" s="237" t="str">
        <f>sum_level("s",'Needs 171007_1815'!D11:BU11)</f>
        <v/>
      </c>
      <c r="CA11" s="238" t="str">
        <f>sum_level("e",'Needs 171007_1815'!D11:BU11)</f>
        <v/>
      </c>
    </row>
    <row r="12" spans="1:79" x14ac:dyDescent="0.25">
      <c r="B12" s="435"/>
      <c r="C12" s="291" t="s">
        <v>58</v>
      </c>
      <c r="D12" s="336"/>
      <c r="E12" s="337"/>
      <c r="F12" s="337"/>
      <c r="G12" s="337"/>
      <c r="H12" s="338"/>
      <c r="I12" s="336"/>
      <c r="J12" s="337"/>
      <c r="K12" s="337"/>
      <c r="L12" s="337"/>
      <c r="M12" s="338"/>
      <c r="N12" s="336"/>
      <c r="O12" s="337"/>
      <c r="P12" s="337"/>
      <c r="Q12" s="337"/>
      <c r="R12" s="338"/>
      <c r="S12" s="336"/>
      <c r="T12" s="337"/>
      <c r="U12" s="337"/>
      <c r="V12" s="337"/>
      <c r="W12" s="338"/>
      <c r="X12" s="336"/>
      <c r="Y12" s="337"/>
      <c r="Z12" s="337"/>
      <c r="AA12" s="337"/>
      <c r="AB12" s="338"/>
      <c r="AC12" s="336"/>
      <c r="AD12" s="337"/>
      <c r="AE12" s="337"/>
      <c r="AF12" s="337"/>
      <c r="AG12" s="338"/>
      <c r="AH12" s="336"/>
      <c r="AI12" s="337"/>
      <c r="AJ12" s="337"/>
      <c r="AK12" s="337"/>
      <c r="AL12" s="338"/>
      <c r="AM12" s="336"/>
      <c r="AN12" s="337"/>
      <c r="AO12" s="337"/>
      <c r="AP12" s="337">
        <v>9</v>
      </c>
      <c r="AQ12" s="338"/>
      <c r="AR12" s="336"/>
      <c r="AS12" s="337"/>
      <c r="AT12" s="337"/>
      <c r="AU12" s="337"/>
      <c r="AV12" s="338"/>
      <c r="AW12" s="336"/>
      <c r="AX12" s="337"/>
      <c r="AY12" s="337"/>
      <c r="AZ12" s="337"/>
      <c r="BA12" s="338"/>
      <c r="BB12" s="336"/>
      <c r="BC12" s="337"/>
      <c r="BD12" s="337"/>
      <c r="BE12" s="337"/>
      <c r="BF12" s="338"/>
      <c r="BG12" s="336"/>
      <c r="BH12" s="337"/>
      <c r="BI12" s="337"/>
      <c r="BJ12" s="337"/>
      <c r="BK12" s="338"/>
      <c r="BL12" s="336"/>
      <c r="BM12" s="337"/>
      <c r="BN12" s="337"/>
      <c r="BO12" s="337"/>
      <c r="BP12" s="338"/>
      <c r="BQ12" s="336"/>
      <c r="BR12" s="337"/>
      <c r="BS12" s="337"/>
      <c r="BT12" s="337"/>
      <c r="BU12" s="339"/>
      <c r="BW12" s="236" t="str">
        <f>sum_level("o",'Needs 171007_1815'!D12:BU12)</f>
        <v/>
      </c>
      <c r="BX12" s="237" t="str">
        <f>sum_level("j",'Needs 171007_1815'!D12:BU12)</f>
        <v/>
      </c>
      <c r="BY12" s="237" t="str">
        <f>sum_level("m",'Needs 171007_1815'!D12:BU12)</f>
        <v/>
      </c>
      <c r="BZ12" s="237" t="str">
        <f>sum_level("s",'Needs 171007_1815'!D12:BU12)</f>
        <v>9</v>
      </c>
      <c r="CA12" s="238" t="str">
        <f>sum_level("e",'Needs 171007_1815'!D12:BU12)</f>
        <v/>
      </c>
    </row>
    <row r="13" spans="1:79" x14ac:dyDescent="0.25">
      <c r="B13" s="435"/>
      <c r="C13" s="291" t="s">
        <v>59</v>
      </c>
      <c r="D13" s="336"/>
      <c r="E13" s="337"/>
      <c r="F13" s="337"/>
      <c r="G13" s="337"/>
      <c r="H13" s="338"/>
      <c r="I13" s="336"/>
      <c r="J13" s="337"/>
      <c r="K13" s="337"/>
      <c r="L13" s="337"/>
      <c r="M13" s="338"/>
      <c r="N13" s="336"/>
      <c r="O13" s="337"/>
      <c r="P13" s="337"/>
      <c r="Q13" s="337"/>
      <c r="R13" s="338"/>
      <c r="S13" s="336"/>
      <c r="T13" s="337"/>
      <c r="U13" s="337"/>
      <c r="V13" s="337"/>
      <c r="W13" s="338"/>
      <c r="X13" s="336"/>
      <c r="Y13" s="337"/>
      <c r="Z13" s="337"/>
      <c r="AA13" s="337"/>
      <c r="AB13" s="338"/>
      <c r="AC13" s="336"/>
      <c r="AD13" s="337"/>
      <c r="AE13" s="337"/>
      <c r="AF13" s="337"/>
      <c r="AG13" s="338"/>
      <c r="AH13" s="336"/>
      <c r="AI13" s="337"/>
      <c r="AJ13" s="337"/>
      <c r="AK13" s="337"/>
      <c r="AL13" s="338"/>
      <c r="AM13" s="336"/>
      <c r="AN13" s="337"/>
      <c r="AO13" s="337"/>
      <c r="AP13" s="337"/>
      <c r="AQ13" s="338">
        <v>10</v>
      </c>
      <c r="AR13" s="336"/>
      <c r="AS13" s="337"/>
      <c r="AT13" s="337"/>
      <c r="AU13" s="337"/>
      <c r="AV13" s="338"/>
      <c r="AW13" s="336"/>
      <c r="AX13" s="337"/>
      <c r="AY13" s="337"/>
      <c r="AZ13" s="337"/>
      <c r="BA13" s="338"/>
      <c r="BB13" s="336"/>
      <c r="BC13" s="337"/>
      <c r="BD13" s="337"/>
      <c r="BE13" s="337"/>
      <c r="BF13" s="338"/>
      <c r="BG13" s="336"/>
      <c r="BH13" s="337"/>
      <c r="BI13" s="337"/>
      <c r="BJ13" s="337"/>
      <c r="BK13" s="338"/>
      <c r="BL13" s="336"/>
      <c r="BM13" s="337"/>
      <c r="BN13" s="337"/>
      <c r="BO13" s="337"/>
      <c r="BP13" s="338"/>
      <c r="BQ13" s="336"/>
      <c r="BR13" s="337"/>
      <c r="BS13" s="337"/>
      <c r="BT13" s="337"/>
      <c r="BU13" s="339"/>
      <c r="BW13" s="236" t="str">
        <f>sum_level("o",'Needs 171007_1815'!D13:BU13)</f>
        <v/>
      </c>
      <c r="BX13" s="237" t="str">
        <f>sum_level("j",'Needs 171007_1815'!D13:BU13)</f>
        <v/>
      </c>
      <c r="BY13" s="237" t="str">
        <f>sum_level("m",'Needs 171007_1815'!D13:BU13)</f>
        <v/>
      </c>
      <c r="BZ13" s="237" t="str">
        <f>sum_level("s",'Needs 171007_1815'!D13:BU13)</f>
        <v/>
      </c>
      <c r="CA13" s="238" t="str">
        <f>sum_level("e",'Needs 171007_1815'!D13:BU13)</f>
        <v>10</v>
      </c>
    </row>
    <row r="14" spans="1:79" x14ac:dyDescent="0.25">
      <c r="B14" s="435"/>
      <c r="C14" s="291" t="s">
        <v>60</v>
      </c>
      <c r="D14" s="336"/>
      <c r="E14" s="337"/>
      <c r="F14" s="337"/>
      <c r="G14" s="337"/>
      <c r="H14" s="338"/>
      <c r="I14" s="336"/>
      <c r="J14" s="337"/>
      <c r="K14" s="337"/>
      <c r="L14" s="337"/>
      <c r="M14" s="338"/>
      <c r="N14" s="336"/>
      <c r="O14" s="337"/>
      <c r="P14" s="337"/>
      <c r="Q14" s="337"/>
      <c r="R14" s="338"/>
      <c r="S14" s="336"/>
      <c r="T14" s="337"/>
      <c r="U14" s="337"/>
      <c r="V14" s="337"/>
      <c r="W14" s="338"/>
      <c r="X14" s="336"/>
      <c r="Y14" s="337"/>
      <c r="Z14" s="337"/>
      <c r="AA14" s="337"/>
      <c r="AB14" s="338"/>
      <c r="AC14" s="336"/>
      <c r="AD14" s="337"/>
      <c r="AE14" s="337"/>
      <c r="AF14" s="337"/>
      <c r="AG14" s="338"/>
      <c r="AH14" s="336"/>
      <c r="AI14" s="337"/>
      <c r="AJ14" s="337"/>
      <c r="AK14" s="337"/>
      <c r="AL14" s="338"/>
      <c r="AM14" s="336"/>
      <c r="AN14" s="337"/>
      <c r="AO14" s="337"/>
      <c r="AP14" s="337"/>
      <c r="AQ14" s="338"/>
      <c r="AR14" s="336"/>
      <c r="AS14" s="337"/>
      <c r="AT14" s="337"/>
      <c r="AU14" s="337"/>
      <c r="AV14" s="338"/>
      <c r="AW14" s="336"/>
      <c r="AX14" s="337"/>
      <c r="AY14" s="337"/>
      <c r="AZ14" s="337"/>
      <c r="BA14" s="338"/>
      <c r="BB14" s="336"/>
      <c r="BC14" s="337"/>
      <c r="BD14" s="337"/>
      <c r="BE14" s="337"/>
      <c r="BF14" s="338"/>
      <c r="BG14" s="336"/>
      <c r="BH14" s="337"/>
      <c r="BI14" s="337"/>
      <c r="BJ14" s="337"/>
      <c r="BK14" s="338"/>
      <c r="BL14" s="336"/>
      <c r="BM14" s="337"/>
      <c r="BN14" s="337"/>
      <c r="BO14" s="337"/>
      <c r="BP14" s="338"/>
      <c r="BQ14" s="336"/>
      <c r="BR14" s="337"/>
      <c r="BS14" s="337"/>
      <c r="BT14" s="337"/>
      <c r="BU14" s="339"/>
      <c r="BW14" s="236" t="str">
        <f>sum_level("o",'Needs 171007_1815'!D14:BU14)</f>
        <v/>
      </c>
      <c r="BX14" s="237" t="str">
        <f>sum_level("j",'Needs 171007_1815'!D14:BU14)</f>
        <v/>
      </c>
      <c r="BY14" s="237" t="str">
        <f>sum_level("m",'Needs 171007_1815'!D14:BU14)</f>
        <v/>
      </c>
      <c r="BZ14" s="237" t="str">
        <f>sum_level("s",'Needs 171007_1815'!D14:BU14)</f>
        <v/>
      </c>
      <c r="CA14" s="238" t="str">
        <f>sum_level("e",'Needs 171007_1815'!D14:BU14)</f>
        <v/>
      </c>
    </row>
    <row r="15" spans="1:79" ht="15.75" thickBot="1" x14ac:dyDescent="0.3">
      <c r="B15" s="435"/>
      <c r="C15" s="292" t="s">
        <v>61</v>
      </c>
      <c r="D15" s="340"/>
      <c r="E15" s="341"/>
      <c r="F15" s="341"/>
      <c r="G15" s="341"/>
      <c r="H15" s="342"/>
      <c r="I15" s="340"/>
      <c r="J15" s="341"/>
      <c r="K15" s="341"/>
      <c r="L15" s="341"/>
      <c r="M15" s="342"/>
      <c r="N15" s="340"/>
      <c r="O15" s="341"/>
      <c r="P15" s="341"/>
      <c r="Q15" s="341"/>
      <c r="R15" s="342"/>
      <c r="S15" s="340"/>
      <c r="T15" s="341"/>
      <c r="U15" s="341"/>
      <c r="V15" s="341"/>
      <c r="W15" s="342"/>
      <c r="X15" s="340"/>
      <c r="Y15" s="341"/>
      <c r="Z15" s="341"/>
      <c r="AA15" s="341"/>
      <c r="AB15" s="342"/>
      <c r="AC15" s="340"/>
      <c r="AD15" s="341"/>
      <c r="AE15" s="341"/>
      <c r="AF15" s="341"/>
      <c r="AG15" s="342"/>
      <c r="AH15" s="340"/>
      <c r="AI15" s="341"/>
      <c r="AJ15" s="341"/>
      <c r="AK15" s="341"/>
      <c r="AL15" s="342"/>
      <c r="AM15" s="340"/>
      <c r="AN15" s="341"/>
      <c r="AO15" s="341"/>
      <c r="AP15" s="341"/>
      <c r="AQ15" s="342"/>
      <c r="AR15" s="340"/>
      <c r="AS15" s="341"/>
      <c r="AT15" s="341"/>
      <c r="AU15" s="341"/>
      <c r="AV15" s="342"/>
      <c r="AW15" s="340"/>
      <c r="AX15" s="341"/>
      <c r="AY15" s="341"/>
      <c r="AZ15" s="341"/>
      <c r="BA15" s="342"/>
      <c r="BB15" s="340"/>
      <c r="BC15" s="341"/>
      <c r="BD15" s="341"/>
      <c r="BE15" s="341"/>
      <c r="BF15" s="342"/>
      <c r="BG15" s="340"/>
      <c r="BH15" s="341"/>
      <c r="BI15" s="341"/>
      <c r="BJ15" s="341"/>
      <c r="BK15" s="342"/>
      <c r="BL15" s="340"/>
      <c r="BM15" s="341"/>
      <c r="BN15" s="341"/>
      <c r="BO15" s="341"/>
      <c r="BP15" s="342"/>
      <c r="BQ15" s="340"/>
      <c r="BR15" s="341"/>
      <c r="BS15" s="341"/>
      <c r="BT15" s="341"/>
      <c r="BU15" s="343"/>
      <c r="BW15" s="239" t="str">
        <f>sum_level("o",'Needs 171007_1815'!D15:BU15)</f>
        <v/>
      </c>
      <c r="BX15" s="240" t="str">
        <f>sum_level("j",'Needs 171007_1815'!D15:BU15)</f>
        <v/>
      </c>
      <c r="BY15" s="240" t="str">
        <f>sum_level("m",'Needs 171007_1815'!D15:BU15)</f>
        <v/>
      </c>
      <c r="BZ15" s="240" t="str">
        <f>sum_level("s",'Needs 171007_1815'!D15:BU15)</f>
        <v/>
      </c>
      <c r="CA15" s="241" t="str">
        <f>sum_level("e",'Needs 171007_1815'!D15:BU15)</f>
        <v/>
      </c>
    </row>
    <row r="16" spans="1:79" ht="12.75" customHeight="1" thickTop="1" thickBot="1" x14ac:dyDescent="0.3">
      <c r="B16" s="436"/>
      <c r="C16" s="248"/>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W16" s="249"/>
      <c r="BX16" s="249"/>
      <c r="BY16" s="249"/>
      <c r="BZ16" s="249"/>
      <c r="CA16" s="249"/>
    </row>
    <row r="17" spans="2:79" ht="15.75" thickTop="1" x14ac:dyDescent="0.25">
      <c r="B17" s="434" t="s">
        <v>62</v>
      </c>
      <c r="C17" s="290" t="s">
        <v>63</v>
      </c>
      <c r="D17" s="332"/>
      <c r="E17" s="333"/>
      <c r="F17" s="333"/>
      <c r="G17" s="333"/>
      <c r="H17" s="334"/>
      <c r="I17" s="332"/>
      <c r="J17" s="333"/>
      <c r="K17" s="333"/>
      <c r="L17" s="333"/>
      <c r="M17" s="334"/>
      <c r="N17" s="332"/>
      <c r="O17" s="333"/>
      <c r="P17" s="333"/>
      <c r="Q17" s="333"/>
      <c r="R17" s="334"/>
      <c r="S17" s="332"/>
      <c r="T17" s="333"/>
      <c r="U17" s="333"/>
      <c r="V17" s="333"/>
      <c r="W17" s="334"/>
      <c r="X17" s="332"/>
      <c r="Y17" s="333"/>
      <c r="Z17" s="333"/>
      <c r="AA17" s="333"/>
      <c r="AB17" s="334"/>
      <c r="AC17" s="332"/>
      <c r="AD17" s="333"/>
      <c r="AE17" s="333"/>
      <c r="AF17" s="333"/>
      <c r="AG17" s="334"/>
      <c r="AH17" s="332"/>
      <c r="AI17" s="333"/>
      <c r="AJ17" s="333"/>
      <c r="AK17" s="333"/>
      <c r="AL17" s="334"/>
      <c r="AM17" s="332"/>
      <c r="AN17" s="333"/>
      <c r="AO17" s="333"/>
      <c r="AP17" s="333"/>
      <c r="AQ17" s="334"/>
      <c r="AR17" s="332">
        <v>11</v>
      </c>
      <c r="AS17" s="333"/>
      <c r="AT17" s="333"/>
      <c r="AU17" s="333"/>
      <c r="AV17" s="334"/>
      <c r="AW17" s="332"/>
      <c r="AX17" s="333"/>
      <c r="AY17" s="333"/>
      <c r="AZ17" s="333"/>
      <c r="BA17" s="334"/>
      <c r="BB17" s="332"/>
      <c r="BC17" s="333"/>
      <c r="BD17" s="333"/>
      <c r="BE17" s="333"/>
      <c r="BF17" s="334"/>
      <c r="BG17" s="332"/>
      <c r="BH17" s="333"/>
      <c r="BI17" s="333"/>
      <c r="BJ17" s="333"/>
      <c r="BK17" s="334"/>
      <c r="BL17" s="332"/>
      <c r="BM17" s="333"/>
      <c r="BN17" s="333"/>
      <c r="BO17" s="333"/>
      <c r="BP17" s="334"/>
      <c r="BQ17" s="332"/>
      <c r="BR17" s="333"/>
      <c r="BS17" s="333"/>
      <c r="BT17" s="333"/>
      <c r="BU17" s="335"/>
      <c r="BW17" s="233" t="str">
        <f>sum_level("o",'Needs 171007_1815'!D17:BU17)</f>
        <v>11</v>
      </c>
      <c r="BX17" s="234" t="str">
        <f>sum_level("j",'Needs 171007_1815'!D17:BU17)</f>
        <v/>
      </c>
      <c r="BY17" s="234" t="str">
        <f>sum_level("m",'Needs 171007_1815'!D17:BU17)</f>
        <v/>
      </c>
      <c r="BZ17" s="234" t="str">
        <f>sum_level("s",'Needs 171007_1815'!D17:BU17)</f>
        <v/>
      </c>
      <c r="CA17" s="235" t="str">
        <f>sum_level("e",'Needs 171007_1815'!D17:BU17)</f>
        <v/>
      </c>
    </row>
    <row r="18" spans="2:79" x14ac:dyDescent="0.25">
      <c r="B18" s="435"/>
      <c r="C18" s="291" t="s">
        <v>118</v>
      </c>
      <c r="D18" s="336"/>
      <c r="E18" s="337"/>
      <c r="F18" s="337"/>
      <c r="G18" s="337"/>
      <c r="H18" s="338"/>
      <c r="I18" s="336"/>
      <c r="J18" s="337"/>
      <c r="K18" s="337"/>
      <c r="L18" s="337"/>
      <c r="M18" s="338"/>
      <c r="N18" s="336"/>
      <c r="O18" s="337"/>
      <c r="P18" s="337"/>
      <c r="Q18" s="337"/>
      <c r="R18" s="338"/>
      <c r="S18" s="336"/>
      <c r="T18" s="337"/>
      <c r="U18" s="337"/>
      <c r="V18" s="337"/>
      <c r="W18" s="338"/>
      <c r="X18" s="336"/>
      <c r="Y18" s="337"/>
      <c r="Z18" s="337"/>
      <c r="AA18" s="337"/>
      <c r="AB18" s="338"/>
      <c r="AC18" s="336"/>
      <c r="AD18" s="337"/>
      <c r="AE18" s="337"/>
      <c r="AF18" s="337"/>
      <c r="AG18" s="338"/>
      <c r="AH18" s="336"/>
      <c r="AI18" s="337"/>
      <c r="AJ18" s="337"/>
      <c r="AK18" s="337"/>
      <c r="AL18" s="338"/>
      <c r="AM18" s="336"/>
      <c r="AN18" s="337"/>
      <c r="AO18" s="337"/>
      <c r="AP18" s="337"/>
      <c r="AQ18" s="338"/>
      <c r="AR18" s="336"/>
      <c r="AS18" s="337">
        <v>12</v>
      </c>
      <c r="AT18" s="337"/>
      <c r="AU18" s="337"/>
      <c r="AV18" s="338"/>
      <c r="AW18" s="336"/>
      <c r="AX18" s="337"/>
      <c r="AY18" s="337"/>
      <c r="AZ18" s="337"/>
      <c r="BA18" s="338"/>
      <c r="BB18" s="336"/>
      <c r="BC18" s="337"/>
      <c r="BD18" s="337"/>
      <c r="BE18" s="337"/>
      <c r="BF18" s="338"/>
      <c r="BG18" s="336"/>
      <c r="BH18" s="337"/>
      <c r="BI18" s="337"/>
      <c r="BJ18" s="337"/>
      <c r="BK18" s="338"/>
      <c r="BL18" s="336"/>
      <c r="BM18" s="337"/>
      <c r="BN18" s="337"/>
      <c r="BO18" s="337"/>
      <c r="BP18" s="338"/>
      <c r="BQ18" s="336"/>
      <c r="BR18" s="337"/>
      <c r="BS18" s="337"/>
      <c r="BT18" s="337"/>
      <c r="BU18" s="339"/>
      <c r="BW18" s="236" t="str">
        <f>sum_level("o",'Needs 171007_1815'!D18:BU18)</f>
        <v/>
      </c>
      <c r="BX18" s="237" t="str">
        <f>sum_level("j",'Needs 171007_1815'!D18:BU18)</f>
        <v>12</v>
      </c>
      <c r="BY18" s="237" t="str">
        <f>sum_level("m",'Needs 171007_1815'!D18:BU18)</f>
        <v/>
      </c>
      <c r="BZ18" s="237" t="str">
        <f>sum_level("s",'Needs 171007_1815'!D18:BU18)</f>
        <v/>
      </c>
      <c r="CA18" s="238" t="str">
        <f>sum_level("e",'Needs 171007_1815'!D18:BU18)</f>
        <v/>
      </c>
    </row>
    <row r="19" spans="2:79" x14ac:dyDescent="0.25">
      <c r="B19" s="435"/>
      <c r="C19" s="291" t="s">
        <v>64</v>
      </c>
      <c r="D19" s="336"/>
      <c r="E19" s="337"/>
      <c r="F19" s="337"/>
      <c r="G19" s="337"/>
      <c r="H19" s="338"/>
      <c r="I19" s="336"/>
      <c r="J19" s="337"/>
      <c r="K19" s="337"/>
      <c r="L19" s="337"/>
      <c r="M19" s="338"/>
      <c r="N19" s="336"/>
      <c r="O19" s="337"/>
      <c r="P19" s="337"/>
      <c r="Q19" s="337"/>
      <c r="R19" s="338"/>
      <c r="S19" s="336"/>
      <c r="T19" s="337"/>
      <c r="U19" s="337"/>
      <c r="V19" s="337"/>
      <c r="W19" s="338"/>
      <c r="X19" s="336"/>
      <c r="Y19" s="337"/>
      <c r="Z19" s="337"/>
      <c r="AA19" s="337"/>
      <c r="AB19" s="338"/>
      <c r="AC19" s="336"/>
      <c r="AD19" s="337"/>
      <c r="AE19" s="337"/>
      <c r="AF19" s="337"/>
      <c r="AG19" s="338"/>
      <c r="AH19" s="336"/>
      <c r="AI19" s="337"/>
      <c r="AJ19" s="337"/>
      <c r="AK19" s="337"/>
      <c r="AL19" s="338"/>
      <c r="AM19" s="336"/>
      <c r="AN19" s="337"/>
      <c r="AO19" s="337"/>
      <c r="AP19" s="337"/>
      <c r="AQ19" s="338"/>
      <c r="AR19" s="336"/>
      <c r="AS19" s="337"/>
      <c r="AT19" s="337">
        <v>13</v>
      </c>
      <c r="AU19" s="337"/>
      <c r="AV19" s="338"/>
      <c r="AW19" s="336"/>
      <c r="AX19" s="337"/>
      <c r="AY19" s="337"/>
      <c r="AZ19" s="337"/>
      <c r="BA19" s="338"/>
      <c r="BB19" s="336"/>
      <c r="BC19" s="337"/>
      <c r="BD19" s="337"/>
      <c r="BE19" s="337"/>
      <c r="BF19" s="338"/>
      <c r="BG19" s="336"/>
      <c r="BH19" s="337"/>
      <c r="BI19" s="337"/>
      <c r="BJ19" s="337"/>
      <c r="BK19" s="338"/>
      <c r="BL19" s="336"/>
      <c r="BM19" s="337"/>
      <c r="BN19" s="337"/>
      <c r="BO19" s="337"/>
      <c r="BP19" s="338"/>
      <c r="BQ19" s="336"/>
      <c r="BR19" s="337"/>
      <c r="BS19" s="337"/>
      <c r="BT19" s="337"/>
      <c r="BU19" s="339"/>
      <c r="BW19" s="236" t="str">
        <f>sum_level("o",'Needs 171007_1815'!D19:BU19)</f>
        <v/>
      </c>
      <c r="BX19" s="237" t="str">
        <f>sum_level("j",'Needs 171007_1815'!D19:BU19)</f>
        <v/>
      </c>
      <c r="BY19" s="237" t="str">
        <f>sum_level("m",'Needs 171007_1815'!D19:BU19)</f>
        <v>13</v>
      </c>
      <c r="BZ19" s="237" t="str">
        <f>sum_level("s",'Needs 171007_1815'!D19:BU19)</f>
        <v/>
      </c>
      <c r="CA19" s="238" t="str">
        <f>sum_level("e",'Needs 171007_1815'!D19:BU19)</f>
        <v/>
      </c>
    </row>
    <row r="20" spans="2:79" x14ac:dyDescent="0.25">
      <c r="B20" s="435"/>
      <c r="C20" s="291" t="s">
        <v>65</v>
      </c>
      <c r="D20" s="336"/>
      <c r="E20" s="337"/>
      <c r="F20" s="337"/>
      <c r="G20" s="337"/>
      <c r="H20" s="338"/>
      <c r="I20" s="336"/>
      <c r="J20" s="337"/>
      <c r="K20" s="337"/>
      <c r="L20" s="337"/>
      <c r="M20" s="338"/>
      <c r="N20" s="336"/>
      <c r="O20" s="337"/>
      <c r="P20" s="337"/>
      <c r="Q20" s="337"/>
      <c r="R20" s="338"/>
      <c r="S20" s="336"/>
      <c r="T20" s="337"/>
      <c r="U20" s="337"/>
      <c r="V20" s="337"/>
      <c r="W20" s="338"/>
      <c r="X20" s="336"/>
      <c r="Y20" s="337"/>
      <c r="Z20" s="337"/>
      <c r="AA20" s="337"/>
      <c r="AB20" s="338"/>
      <c r="AC20" s="336"/>
      <c r="AD20" s="337"/>
      <c r="AE20" s="337"/>
      <c r="AF20" s="337"/>
      <c r="AG20" s="338"/>
      <c r="AH20" s="336"/>
      <c r="AI20" s="337"/>
      <c r="AJ20" s="337"/>
      <c r="AK20" s="337"/>
      <c r="AL20" s="338"/>
      <c r="AM20" s="336"/>
      <c r="AN20" s="337"/>
      <c r="AO20" s="337"/>
      <c r="AP20" s="337"/>
      <c r="AQ20" s="338"/>
      <c r="AR20" s="336"/>
      <c r="AS20" s="337"/>
      <c r="AT20" s="337"/>
      <c r="AU20" s="337">
        <v>14</v>
      </c>
      <c r="AV20" s="338"/>
      <c r="AW20" s="336"/>
      <c r="AX20" s="337"/>
      <c r="AY20" s="337"/>
      <c r="AZ20" s="337"/>
      <c r="BA20" s="338"/>
      <c r="BB20" s="336"/>
      <c r="BC20" s="337"/>
      <c r="BD20" s="337"/>
      <c r="BE20" s="337"/>
      <c r="BF20" s="338"/>
      <c r="BG20" s="336"/>
      <c r="BH20" s="337"/>
      <c r="BI20" s="337"/>
      <c r="BJ20" s="337"/>
      <c r="BK20" s="338"/>
      <c r="BL20" s="336"/>
      <c r="BM20" s="337"/>
      <c r="BN20" s="337"/>
      <c r="BO20" s="337"/>
      <c r="BP20" s="338"/>
      <c r="BQ20" s="336"/>
      <c r="BR20" s="337"/>
      <c r="BS20" s="337"/>
      <c r="BT20" s="337"/>
      <c r="BU20" s="339"/>
      <c r="BW20" s="236" t="str">
        <f>sum_level("o",'Needs 171007_1815'!D20:BU20)</f>
        <v/>
      </c>
      <c r="BX20" s="237" t="str">
        <f>sum_level("j",'Needs 171007_1815'!D20:BU20)</f>
        <v/>
      </c>
      <c r="BY20" s="237" t="str">
        <f>sum_level("m",'Needs 171007_1815'!D20:BU20)</f>
        <v/>
      </c>
      <c r="BZ20" s="237" t="str">
        <f>sum_level("s",'Needs 171007_1815'!D20:BU20)</f>
        <v>14</v>
      </c>
      <c r="CA20" s="238" t="str">
        <f>sum_level("e",'Needs 171007_1815'!D20:BU20)</f>
        <v/>
      </c>
    </row>
    <row r="21" spans="2:79" x14ac:dyDescent="0.25">
      <c r="B21" s="435"/>
      <c r="C21" s="291" t="s">
        <v>66</v>
      </c>
      <c r="D21" s="336"/>
      <c r="E21" s="337"/>
      <c r="F21" s="337"/>
      <c r="G21" s="337"/>
      <c r="H21" s="338"/>
      <c r="I21" s="336"/>
      <c r="J21" s="337"/>
      <c r="K21" s="337"/>
      <c r="L21" s="337"/>
      <c r="M21" s="338"/>
      <c r="N21" s="336"/>
      <c r="O21" s="337"/>
      <c r="P21" s="337"/>
      <c r="Q21" s="337"/>
      <c r="R21" s="338"/>
      <c r="S21" s="336"/>
      <c r="T21" s="337"/>
      <c r="U21" s="337"/>
      <c r="V21" s="337"/>
      <c r="W21" s="338"/>
      <c r="X21" s="336"/>
      <c r="Y21" s="337"/>
      <c r="Z21" s="337"/>
      <c r="AA21" s="337"/>
      <c r="AB21" s="338"/>
      <c r="AC21" s="336"/>
      <c r="AD21" s="337"/>
      <c r="AE21" s="337"/>
      <c r="AF21" s="337"/>
      <c r="AG21" s="338"/>
      <c r="AH21" s="336"/>
      <c r="AI21" s="337"/>
      <c r="AJ21" s="337"/>
      <c r="AK21" s="337"/>
      <c r="AL21" s="338"/>
      <c r="AM21" s="336"/>
      <c r="AN21" s="337"/>
      <c r="AO21" s="337"/>
      <c r="AP21" s="337"/>
      <c r="AQ21" s="338"/>
      <c r="AR21" s="336"/>
      <c r="AS21" s="337"/>
      <c r="AT21" s="337"/>
      <c r="AU21" s="337"/>
      <c r="AV21" s="338">
        <v>15</v>
      </c>
      <c r="AW21" s="336"/>
      <c r="AX21" s="337"/>
      <c r="AY21" s="337"/>
      <c r="AZ21" s="337"/>
      <c r="BA21" s="338"/>
      <c r="BB21" s="336"/>
      <c r="BC21" s="337"/>
      <c r="BD21" s="337"/>
      <c r="BE21" s="337"/>
      <c r="BF21" s="338"/>
      <c r="BG21" s="336"/>
      <c r="BH21" s="337"/>
      <c r="BI21" s="337"/>
      <c r="BJ21" s="337"/>
      <c r="BK21" s="338"/>
      <c r="BL21" s="336"/>
      <c r="BM21" s="337"/>
      <c r="BN21" s="337"/>
      <c r="BO21" s="337"/>
      <c r="BP21" s="338"/>
      <c r="BQ21" s="336"/>
      <c r="BR21" s="337"/>
      <c r="BS21" s="337"/>
      <c r="BT21" s="337"/>
      <c r="BU21" s="339"/>
      <c r="BW21" s="236" t="str">
        <f>sum_level("o",'Needs 171007_1815'!D21:BU21)</f>
        <v/>
      </c>
      <c r="BX21" s="237" t="str">
        <f>sum_level("j",'Needs 171007_1815'!D21:BU21)</f>
        <v/>
      </c>
      <c r="BY21" s="237" t="str">
        <f>sum_level("m",'Needs 171007_1815'!D21:BU21)</f>
        <v/>
      </c>
      <c r="BZ21" s="237" t="str">
        <f>sum_level("s",'Needs 171007_1815'!D21:BU21)</f>
        <v/>
      </c>
      <c r="CA21" s="238" t="str">
        <f>sum_level("e",'Needs 171007_1815'!D21:BU21)</f>
        <v>15</v>
      </c>
    </row>
    <row r="22" spans="2:79" x14ac:dyDescent="0.25">
      <c r="B22" s="435"/>
      <c r="C22" s="291" t="s">
        <v>67</v>
      </c>
      <c r="D22" s="336"/>
      <c r="E22" s="337"/>
      <c r="F22" s="337"/>
      <c r="G22" s="337"/>
      <c r="H22" s="338"/>
      <c r="I22" s="336"/>
      <c r="J22" s="337"/>
      <c r="K22" s="337"/>
      <c r="L22" s="337"/>
      <c r="M22" s="338"/>
      <c r="N22" s="336"/>
      <c r="O22" s="337"/>
      <c r="P22" s="337"/>
      <c r="Q22" s="337"/>
      <c r="R22" s="338"/>
      <c r="S22" s="336"/>
      <c r="T22" s="337"/>
      <c r="U22" s="337"/>
      <c r="V22" s="337"/>
      <c r="W22" s="338"/>
      <c r="X22" s="336"/>
      <c r="Y22" s="337"/>
      <c r="Z22" s="337"/>
      <c r="AA22" s="337"/>
      <c r="AB22" s="338"/>
      <c r="AC22" s="336"/>
      <c r="AD22" s="337"/>
      <c r="AE22" s="337"/>
      <c r="AF22" s="337"/>
      <c r="AG22" s="338"/>
      <c r="AH22" s="336"/>
      <c r="AI22" s="337"/>
      <c r="AJ22" s="337"/>
      <c r="AK22" s="337"/>
      <c r="AL22" s="338"/>
      <c r="AM22" s="336"/>
      <c r="AN22" s="337"/>
      <c r="AO22" s="337"/>
      <c r="AP22" s="337"/>
      <c r="AQ22" s="338"/>
      <c r="AR22" s="336"/>
      <c r="AS22" s="337"/>
      <c r="AT22" s="337"/>
      <c r="AU22" s="337"/>
      <c r="AV22" s="338"/>
      <c r="AW22" s="336"/>
      <c r="AX22" s="337"/>
      <c r="AY22" s="337"/>
      <c r="AZ22" s="337"/>
      <c r="BA22" s="338"/>
      <c r="BB22" s="336"/>
      <c r="BC22" s="337"/>
      <c r="BD22" s="337"/>
      <c r="BE22" s="337"/>
      <c r="BF22" s="338"/>
      <c r="BG22" s="336"/>
      <c r="BH22" s="337"/>
      <c r="BI22" s="337"/>
      <c r="BJ22" s="337"/>
      <c r="BK22" s="338"/>
      <c r="BL22" s="336"/>
      <c r="BM22" s="337"/>
      <c r="BN22" s="337"/>
      <c r="BO22" s="337"/>
      <c r="BP22" s="338"/>
      <c r="BQ22" s="336"/>
      <c r="BR22" s="337"/>
      <c r="BS22" s="337"/>
      <c r="BT22" s="337"/>
      <c r="BU22" s="339"/>
      <c r="BW22" s="236" t="str">
        <f>sum_level("o",'Needs 171007_1815'!D22:BU22)</f>
        <v/>
      </c>
      <c r="BX22" s="237" t="str">
        <f>sum_level("j",'Needs 171007_1815'!D22:BU22)</f>
        <v/>
      </c>
      <c r="BY22" s="237" t="str">
        <f>sum_level("m",'Needs 171007_1815'!D22:BU22)</f>
        <v/>
      </c>
      <c r="BZ22" s="237" t="str">
        <f>sum_level("s",'Needs 171007_1815'!D22:BU22)</f>
        <v/>
      </c>
      <c r="CA22" s="238" t="str">
        <f>sum_level("e",'Needs 171007_1815'!D22:BU22)</f>
        <v/>
      </c>
    </row>
    <row r="23" spans="2:79" x14ac:dyDescent="0.25">
      <c r="B23" s="435"/>
      <c r="C23" s="291" t="s">
        <v>68</v>
      </c>
      <c r="D23" s="336"/>
      <c r="E23" s="337"/>
      <c r="F23" s="337"/>
      <c r="G23" s="337"/>
      <c r="H23" s="338"/>
      <c r="I23" s="336"/>
      <c r="J23" s="337"/>
      <c r="K23" s="337"/>
      <c r="L23" s="337"/>
      <c r="M23" s="338"/>
      <c r="N23" s="336"/>
      <c r="O23" s="337"/>
      <c r="P23" s="337"/>
      <c r="Q23" s="337"/>
      <c r="R23" s="338"/>
      <c r="S23" s="336"/>
      <c r="T23" s="337"/>
      <c r="U23" s="337"/>
      <c r="V23" s="337"/>
      <c r="W23" s="338"/>
      <c r="X23" s="336"/>
      <c r="Y23" s="337"/>
      <c r="Z23" s="337"/>
      <c r="AA23" s="337"/>
      <c r="AB23" s="338"/>
      <c r="AC23" s="336"/>
      <c r="AD23" s="337"/>
      <c r="AE23" s="337"/>
      <c r="AF23" s="337"/>
      <c r="AG23" s="338"/>
      <c r="AH23" s="336"/>
      <c r="AI23" s="337"/>
      <c r="AJ23" s="337"/>
      <c r="AK23" s="337"/>
      <c r="AL23" s="338"/>
      <c r="AM23" s="336"/>
      <c r="AN23" s="337"/>
      <c r="AO23" s="337"/>
      <c r="AP23" s="337"/>
      <c r="AQ23" s="338"/>
      <c r="AR23" s="336"/>
      <c r="AS23" s="337"/>
      <c r="AT23" s="337"/>
      <c r="AU23" s="337"/>
      <c r="AV23" s="338"/>
      <c r="AW23" s="336"/>
      <c r="AX23" s="337"/>
      <c r="AY23" s="337"/>
      <c r="AZ23" s="337"/>
      <c r="BA23" s="338"/>
      <c r="BB23" s="336"/>
      <c r="BC23" s="337"/>
      <c r="BD23" s="337"/>
      <c r="BE23" s="337"/>
      <c r="BF23" s="338"/>
      <c r="BG23" s="336"/>
      <c r="BH23" s="337"/>
      <c r="BI23" s="337"/>
      <c r="BJ23" s="337"/>
      <c r="BK23" s="338"/>
      <c r="BL23" s="336"/>
      <c r="BM23" s="337"/>
      <c r="BN23" s="337"/>
      <c r="BO23" s="337"/>
      <c r="BP23" s="338"/>
      <c r="BQ23" s="336"/>
      <c r="BR23" s="337"/>
      <c r="BS23" s="337"/>
      <c r="BT23" s="337"/>
      <c r="BU23" s="339"/>
      <c r="BW23" s="236" t="str">
        <f>sum_level("o",'Needs 171007_1815'!D23:BU23)</f>
        <v/>
      </c>
      <c r="BX23" s="237" t="str">
        <f>sum_level("j",'Needs 171007_1815'!D23:BU23)</f>
        <v/>
      </c>
      <c r="BY23" s="237" t="str">
        <f>sum_level("m",'Needs 171007_1815'!D23:BU23)</f>
        <v/>
      </c>
      <c r="BZ23" s="237" t="str">
        <f>sum_level("s",'Needs 171007_1815'!D23:BU23)</f>
        <v/>
      </c>
      <c r="CA23" s="238" t="str">
        <f>sum_level("e",'Needs 171007_1815'!D23:BU23)</f>
        <v/>
      </c>
    </row>
    <row r="24" spans="2:79" x14ac:dyDescent="0.25">
      <c r="B24" s="435"/>
      <c r="C24" s="291" t="s">
        <v>69</v>
      </c>
      <c r="D24" s="336"/>
      <c r="E24" s="337"/>
      <c r="F24" s="337"/>
      <c r="G24" s="337"/>
      <c r="H24" s="338"/>
      <c r="I24" s="336"/>
      <c r="J24" s="337"/>
      <c r="K24" s="337"/>
      <c r="L24" s="337"/>
      <c r="M24" s="338"/>
      <c r="N24" s="336"/>
      <c r="O24" s="337"/>
      <c r="P24" s="337"/>
      <c r="Q24" s="337"/>
      <c r="R24" s="338"/>
      <c r="S24" s="336"/>
      <c r="T24" s="337"/>
      <c r="U24" s="337"/>
      <c r="V24" s="337"/>
      <c r="W24" s="338"/>
      <c r="X24" s="336"/>
      <c r="Y24" s="337"/>
      <c r="Z24" s="337"/>
      <c r="AA24" s="337"/>
      <c r="AB24" s="338"/>
      <c r="AC24" s="336"/>
      <c r="AD24" s="337"/>
      <c r="AE24" s="337"/>
      <c r="AF24" s="337"/>
      <c r="AG24" s="338"/>
      <c r="AH24" s="336"/>
      <c r="AI24" s="337"/>
      <c r="AJ24" s="337"/>
      <c r="AK24" s="337"/>
      <c r="AL24" s="338"/>
      <c r="AM24" s="336"/>
      <c r="AN24" s="337"/>
      <c r="AO24" s="337"/>
      <c r="AP24" s="337"/>
      <c r="AQ24" s="338"/>
      <c r="AR24" s="336"/>
      <c r="AS24" s="337"/>
      <c r="AT24" s="337"/>
      <c r="AU24" s="337"/>
      <c r="AV24" s="338"/>
      <c r="AW24" s="336"/>
      <c r="AX24" s="337"/>
      <c r="AY24" s="337"/>
      <c r="AZ24" s="337"/>
      <c r="BA24" s="338"/>
      <c r="BB24" s="336"/>
      <c r="BC24" s="337"/>
      <c r="BD24" s="337"/>
      <c r="BE24" s="337"/>
      <c r="BF24" s="338"/>
      <c r="BG24" s="336"/>
      <c r="BH24" s="337"/>
      <c r="BI24" s="337"/>
      <c r="BJ24" s="337"/>
      <c r="BK24" s="338"/>
      <c r="BL24" s="336"/>
      <c r="BM24" s="337"/>
      <c r="BN24" s="337"/>
      <c r="BO24" s="337"/>
      <c r="BP24" s="338"/>
      <c r="BQ24" s="336"/>
      <c r="BR24" s="337"/>
      <c r="BS24" s="337"/>
      <c r="BT24" s="337"/>
      <c r="BU24" s="339"/>
      <c r="BW24" s="236" t="str">
        <f>sum_level("o",'Needs 171007_1815'!D24:BU24)</f>
        <v/>
      </c>
      <c r="BX24" s="237" t="str">
        <f>sum_level("j",'Needs 171007_1815'!D24:BU24)</f>
        <v/>
      </c>
      <c r="BY24" s="237" t="str">
        <f>sum_level("m",'Needs 171007_1815'!D24:BU24)</f>
        <v/>
      </c>
      <c r="BZ24" s="237" t="str">
        <f>sum_level("s",'Needs 171007_1815'!D24:BU24)</f>
        <v/>
      </c>
      <c r="CA24" s="238" t="str">
        <f>sum_level("e",'Needs 171007_1815'!D24:BU24)</f>
        <v/>
      </c>
    </row>
    <row r="25" spans="2:79" ht="15.75" thickBot="1" x14ac:dyDescent="0.3">
      <c r="B25" s="435"/>
      <c r="C25" s="292" t="s">
        <v>75</v>
      </c>
      <c r="D25" s="340"/>
      <c r="E25" s="341"/>
      <c r="F25" s="341"/>
      <c r="G25" s="341"/>
      <c r="H25" s="342"/>
      <c r="I25" s="340"/>
      <c r="J25" s="341"/>
      <c r="K25" s="341"/>
      <c r="L25" s="341"/>
      <c r="M25" s="342"/>
      <c r="N25" s="340"/>
      <c r="O25" s="341"/>
      <c r="P25" s="341"/>
      <c r="Q25" s="341"/>
      <c r="R25" s="342"/>
      <c r="S25" s="340"/>
      <c r="T25" s="341"/>
      <c r="U25" s="341"/>
      <c r="V25" s="341"/>
      <c r="W25" s="342"/>
      <c r="X25" s="340"/>
      <c r="Y25" s="341"/>
      <c r="Z25" s="341"/>
      <c r="AA25" s="341"/>
      <c r="AB25" s="342"/>
      <c r="AC25" s="340"/>
      <c r="AD25" s="341"/>
      <c r="AE25" s="341"/>
      <c r="AF25" s="341"/>
      <c r="AG25" s="342"/>
      <c r="AH25" s="340"/>
      <c r="AI25" s="341"/>
      <c r="AJ25" s="341"/>
      <c r="AK25" s="341"/>
      <c r="AL25" s="342"/>
      <c r="AM25" s="340"/>
      <c r="AN25" s="341"/>
      <c r="AO25" s="341"/>
      <c r="AP25" s="341"/>
      <c r="AQ25" s="342"/>
      <c r="AR25" s="340"/>
      <c r="AS25" s="341"/>
      <c r="AT25" s="341"/>
      <c r="AU25" s="341"/>
      <c r="AV25" s="342"/>
      <c r="AW25" s="340"/>
      <c r="AX25" s="341"/>
      <c r="AY25" s="341"/>
      <c r="AZ25" s="341"/>
      <c r="BA25" s="342"/>
      <c r="BB25" s="340"/>
      <c r="BC25" s="341"/>
      <c r="BD25" s="341"/>
      <c r="BE25" s="341"/>
      <c r="BF25" s="342"/>
      <c r="BG25" s="340"/>
      <c r="BH25" s="341"/>
      <c r="BI25" s="341"/>
      <c r="BJ25" s="341"/>
      <c r="BK25" s="342"/>
      <c r="BL25" s="340"/>
      <c r="BM25" s="341"/>
      <c r="BN25" s="341"/>
      <c r="BO25" s="341"/>
      <c r="BP25" s="342"/>
      <c r="BQ25" s="340"/>
      <c r="BR25" s="341"/>
      <c r="BS25" s="341"/>
      <c r="BT25" s="341"/>
      <c r="BU25" s="343"/>
      <c r="BW25" s="239" t="str">
        <f>sum_level("o",'Needs 171007_1815'!D25:BU25)</f>
        <v/>
      </c>
      <c r="BX25" s="240" t="str">
        <f>sum_level("j",'Needs 171007_1815'!D25:BU25)</f>
        <v/>
      </c>
      <c r="BY25" s="240" t="str">
        <f>sum_level("m",'Needs 171007_1815'!D25:BU25)</f>
        <v/>
      </c>
      <c r="BZ25" s="240" t="str">
        <f>sum_level("s",'Needs 171007_1815'!D25:BU25)</f>
        <v/>
      </c>
      <c r="CA25" s="241" t="str">
        <f>sum_level("e",'Needs 171007_1815'!D25:BU25)</f>
        <v/>
      </c>
    </row>
    <row r="26" spans="2:79" ht="12.75" customHeight="1" thickTop="1" thickBot="1" x14ac:dyDescent="0.3">
      <c r="B26" s="436"/>
      <c r="C26" s="248"/>
      <c r="D26" s="344"/>
      <c r="E26" s="344"/>
      <c r="F26" s="344"/>
      <c r="G26" s="344"/>
      <c r="H26" s="344"/>
      <c r="I26" s="344"/>
      <c r="J26" s="344"/>
      <c r="K26" s="344"/>
      <c r="L26" s="344"/>
      <c r="M26" s="344"/>
      <c r="N26" s="344"/>
      <c r="O26" s="344"/>
      <c r="P26" s="344"/>
      <c r="Q26" s="344"/>
      <c r="R26" s="344"/>
      <c r="S26" s="344"/>
      <c r="T26" s="344"/>
      <c r="U26" s="344"/>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344"/>
      <c r="AW26" s="344"/>
      <c r="AX26" s="344"/>
      <c r="AY26" s="344"/>
      <c r="AZ26" s="344"/>
      <c r="BA26" s="344"/>
      <c r="BB26" s="344"/>
      <c r="BC26" s="344"/>
      <c r="BD26" s="344"/>
      <c r="BE26" s="344"/>
      <c r="BF26" s="344"/>
      <c r="BG26" s="344"/>
      <c r="BH26" s="344"/>
      <c r="BI26" s="344"/>
      <c r="BJ26" s="344"/>
      <c r="BK26" s="344"/>
      <c r="BL26" s="344"/>
      <c r="BM26" s="344"/>
      <c r="BN26" s="344"/>
      <c r="BO26" s="344"/>
      <c r="BP26" s="344"/>
      <c r="BQ26" s="344"/>
      <c r="BR26" s="344"/>
      <c r="BS26" s="344"/>
      <c r="BT26" s="344"/>
      <c r="BU26" s="344"/>
      <c r="BW26" s="249"/>
      <c r="BX26" s="249"/>
      <c r="BY26" s="249"/>
      <c r="BZ26" s="249"/>
      <c r="CA26" s="249"/>
    </row>
    <row r="27" spans="2:79" ht="15.75" thickTop="1" x14ac:dyDescent="0.25">
      <c r="B27" s="434" t="s">
        <v>70</v>
      </c>
      <c r="C27" s="290" t="s">
        <v>71</v>
      </c>
      <c r="D27" s="332"/>
      <c r="E27" s="333"/>
      <c r="F27" s="333"/>
      <c r="G27" s="333"/>
      <c r="H27" s="334"/>
      <c r="I27" s="332"/>
      <c r="J27" s="333"/>
      <c r="K27" s="333"/>
      <c r="L27" s="333"/>
      <c r="M27" s="334"/>
      <c r="N27" s="332"/>
      <c r="O27" s="333"/>
      <c r="P27" s="333"/>
      <c r="Q27" s="333"/>
      <c r="R27" s="334"/>
      <c r="S27" s="332"/>
      <c r="T27" s="333"/>
      <c r="U27" s="333"/>
      <c r="V27" s="333"/>
      <c r="W27" s="334"/>
      <c r="X27" s="332"/>
      <c r="Y27" s="333"/>
      <c r="Z27" s="333"/>
      <c r="AA27" s="333"/>
      <c r="AB27" s="334"/>
      <c r="AC27" s="332"/>
      <c r="AD27" s="333"/>
      <c r="AE27" s="333"/>
      <c r="AF27" s="333"/>
      <c r="AG27" s="334"/>
      <c r="AH27" s="332"/>
      <c r="AI27" s="333"/>
      <c r="AJ27" s="333"/>
      <c r="AK27" s="333"/>
      <c r="AL27" s="334"/>
      <c r="AM27" s="332"/>
      <c r="AN27" s="333"/>
      <c r="AO27" s="333"/>
      <c r="AP27" s="333"/>
      <c r="AQ27" s="334"/>
      <c r="AR27" s="332"/>
      <c r="AS27" s="333"/>
      <c r="AT27" s="333"/>
      <c r="AU27" s="333"/>
      <c r="AV27" s="334"/>
      <c r="AW27" s="332">
        <v>16</v>
      </c>
      <c r="AX27" s="333"/>
      <c r="AY27" s="333"/>
      <c r="AZ27" s="333"/>
      <c r="BA27" s="334"/>
      <c r="BB27" s="332"/>
      <c r="BC27" s="333"/>
      <c r="BD27" s="333"/>
      <c r="BE27" s="333"/>
      <c r="BF27" s="334"/>
      <c r="BG27" s="332"/>
      <c r="BH27" s="333"/>
      <c r="BI27" s="333"/>
      <c r="BJ27" s="333"/>
      <c r="BK27" s="334"/>
      <c r="BL27" s="332"/>
      <c r="BM27" s="333"/>
      <c r="BN27" s="333"/>
      <c r="BO27" s="333"/>
      <c r="BP27" s="334"/>
      <c r="BQ27" s="332"/>
      <c r="BR27" s="333"/>
      <c r="BS27" s="333"/>
      <c r="BT27" s="333"/>
      <c r="BU27" s="335"/>
      <c r="BW27" s="233" t="str">
        <f>sum_level("o",'Needs 171007_1815'!D27:BU27)</f>
        <v>16</v>
      </c>
      <c r="BX27" s="234" t="str">
        <f>sum_level("j",'Needs 171007_1815'!D27:BU27)</f>
        <v/>
      </c>
      <c r="BY27" s="234" t="str">
        <f>sum_level("m",'Needs 171007_1815'!D27:BU27)</f>
        <v/>
      </c>
      <c r="BZ27" s="234" t="str">
        <f>sum_level("s",'Needs 171007_1815'!D27:BU27)</f>
        <v/>
      </c>
      <c r="CA27" s="235" t="str">
        <f>sum_level("e",'Needs 171007_1815'!D27:BU27)</f>
        <v/>
      </c>
    </row>
    <row r="28" spans="2:79" x14ac:dyDescent="0.25">
      <c r="B28" s="435"/>
      <c r="C28" s="291" t="s">
        <v>72</v>
      </c>
      <c r="D28" s="336"/>
      <c r="E28" s="337"/>
      <c r="F28" s="337"/>
      <c r="G28" s="337"/>
      <c r="H28" s="338"/>
      <c r="I28" s="336"/>
      <c r="J28" s="337"/>
      <c r="K28" s="337"/>
      <c r="L28" s="337"/>
      <c r="M28" s="338"/>
      <c r="N28" s="336"/>
      <c r="O28" s="337"/>
      <c r="P28" s="337"/>
      <c r="Q28" s="337"/>
      <c r="R28" s="338"/>
      <c r="S28" s="336"/>
      <c r="T28" s="337"/>
      <c r="U28" s="337"/>
      <c r="V28" s="337"/>
      <c r="W28" s="338"/>
      <c r="X28" s="336"/>
      <c r="Y28" s="337"/>
      <c r="Z28" s="337"/>
      <c r="AA28" s="337"/>
      <c r="AB28" s="338"/>
      <c r="AC28" s="336"/>
      <c r="AD28" s="337"/>
      <c r="AE28" s="337"/>
      <c r="AF28" s="337"/>
      <c r="AG28" s="338"/>
      <c r="AH28" s="336"/>
      <c r="AI28" s="337"/>
      <c r="AJ28" s="337"/>
      <c r="AK28" s="337"/>
      <c r="AL28" s="338"/>
      <c r="AM28" s="336"/>
      <c r="AN28" s="337"/>
      <c r="AO28" s="337"/>
      <c r="AP28" s="337"/>
      <c r="AQ28" s="338"/>
      <c r="AR28" s="336"/>
      <c r="AS28" s="337"/>
      <c r="AT28" s="337"/>
      <c r="AU28" s="337"/>
      <c r="AV28" s="338"/>
      <c r="AW28" s="336"/>
      <c r="AX28" s="337">
        <v>17</v>
      </c>
      <c r="AY28" s="337"/>
      <c r="AZ28" s="337"/>
      <c r="BA28" s="338"/>
      <c r="BB28" s="336"/>
      <c r="BC28" s="337"/>
      <c r="BD28" s="337"/>
      <c r="BE28" s="337"/>
      <c r="BF28" s="338"/>
      <c r="BG28" s="336"/>
      <c r="BH28" s="337"/>
      <c r="BI28" s="337"/>
      <c r="BJ28" s="337"/>
      <c r="BK28" s="338"/>
      <c r="BL28" s="336"/>
      <c r="BM28" s="337"/>
      <c r="BN28" s="337"/>
      <c r="BO28" s="337"/>
      <c r="BP28" s="338"/>
      <c r="BQ28" s="336"/>
      <c r="BR28" s="337"/>
      <c r="BS28" s="337"/>
      <c r="BT28" s="337"/>
      <c r="BU28" s="339"/>
      <c r="BW28" s="236" t="str">
        <f>sum_level("o",'Needs 171007_1815'!D28:BU28)</f>
        <v/>
      </c>
      <c r="BX28" s="237" t="str">
        <f>sum_level("j",'Needs 171007_1815'!D28:BU28)</f>
        <v>17</v>
      </c>
      <c r="BY28" s="237" t="str">
        <f>sum_level("m",'Needs 171007_1815'!D28:BU28)</f>
        <v/>
      </c>
      <c r="BZ28" s="237" t="str">
        <f>sum_level("s",'Needs 171007_1815'!D28:BU28)</f>
        <v/>
      </c>
      <c r="CA28" s="238" t="str">
        <f>sum_level("e",'Needs 171007_1815'!D28:BU28)</f>
        <v/>
      </c>
    </row>
    <row r="29" spans="2:79" x14ac:dyDescent="0.25">
      <c r="B29" s="435"/>
      <c r="C29" s="291" t="s">
        <v>73</v>
      </c>
      <c r="D29" s="336"/>
      <c r="E29" s="337"/>
      <c r="F29" s="337"/>
      <c r="G29" s="337"/>
      <c r="H29" s="338"/>
      <c r="I29" s="336"/>
      <c r="J29" s="337"/>
      <c r="K29" s="337"/>
      <c r="L29" s="337"/>
      <c r="M29" s="338"/>
      <c r="N29" s="336"/>
      <c r="O29" s="337"/>
      <c r="P29" s="337"/>
      <c r="Q29" s="337"/>
      <c r="R29" s="338"/>
      <c r="S29" s="336"/>
      <c r="T29" s="337"/>
      <c r="U29" s="337"/>
      <c r="V29" s="337"/>
      <c r="W29" s="338"/>
      <c r="X29" s="336"/>
      <c r="Y29" s="337"/>
      <c r="Z29" s="337"/>
      <c r="AA29" s="337"/>
      <c r="AB29" s="338"/>
      <c r="AC29" s="336"/>
      <c r="AD29" s="337"/>
      <c r="AE29" s="337"/>
      <c r="AF29" s="337"/>
      <c r="AG29" s="338"/>
      <c r="AH29" s="336"/>
      <c r="AI29" s="337"/>
      <c r="AJ29" s="337"/>
      <c r="AK29" s="337"/>
      <c r="AL29" s="338"/>
      <c r="AM29" s="336"/>
      <c r="AN29" s="337"/>
      <c r="AO29" s="337"/>
      <c r="AP29" s="337"/>
      <c r="AQ29" s="338"/>
      <c r="AR29" s="336"/>
      <c r="AS29" s="337"/>
      <c r="AT29" s="337"/>
      <c r="AU29" s="337"/>
      <c r="AV29" s="338"/>
      <c r="AW29" s="336"/>
      <c r="AX29" s="337"/>
      <c r="AY29" s="337">
        <v>18</v>
      </c>
      <c r="AZ29" s="337"/>
      <c r="BA29" s="338"/>
      <c r="BB29" s="336"/>
      <c r="BC29" s="337"/>
      <c r="BD29" s="337"/>
      <c r="BE29" s="337"/>
      <c r="BF29" s="338"/>
      <c r="BG29" s="336"/>
      <c r="BH29" s="337"/>
      <c r="BI29" s="337"/>
      <c r="BJ29" s="337"/>
      <c r="BK29" s="338"/>
      <c r="BL29" s="336"/>
      <c r="BM29" s="337"/>
      <c r="BN29" s="337"/>
      <c r="BO29" s="337"/>
      <c r="BP29" s="338"/>
      <c r="BQ29" s="336"/>
      <c r="BR29" s="337"/>
      <c r="BS29" s="337"/>
      <c r="BT29" s="337"/>
      <c r="BU29" s="339"/>
      <c r="BW29" s="236" t="str">
        <f>sum_level("o",'Needs 171007_1815'!D29:BU29)</f>
        <v/>
      </c>
      <c r="BX29" s="237" t="str">
        <f>sum_level("j",'Needs 171007_1815'!D29:BU29)</f>
        <v/>
      </c>
      <c r="BY29" s="237" t="str">
        <f>sum_level("m",'Needs 171007_1815'!D29:BU29)</f>
        <v>18</v>
      </c>
      <c r="BZ29" s="237" t="str">
        <f>sum_level("s",'Needs 171007_1815'!D29:BU29)</f>
        <v/>
      </c>
      <c r="CA29" s="238" t="str">
        <f>sum_level("e",'Needs 171007_1815'!D29:BU29)</f>
        <v/>
      </c>
    </row>
    <row r="30" spans="2:79" x14ac:dyDescent="0.25">
      <c r="B30" s="435"/>
      <c r="C30" s="291" t="s">
        <v>74</v>
      </c>
      <c r="D30" s="336"/>
      <c r="E30" s="337"/>
      <c r="F30" s="337"/>
      <c r="G30" s="337"/>
      <c r="H30" s="338"/>
      <c r="I30" s="336"/>
      <c r="J30" s="337"/>
      <c r="K30" s="337"/>
      <c r="L30" s="337"/>
      <c r="M30" s="338"/>
      <c r="N30" s="336"/>
      <c r="O30" s="337"/>
      <c r="P30" s="337"/>
      <c r="Q30" s="337"/>
      <c r="R30" s="338"/>
      <c r="S30" s="336"/>
      <c r="T30" s="337"/>
      <c r="U30" s="337"/>
      <c r="V30" s="337"/>
      <c r="W30" s="338"/>
      <c r="X30" s="336"/>
      <c r="Y30" s="337"/>
      <c r="Z30" s="337"/>
      <c r="AA30" s="337"/>
      <c r="AB30" s="338"/>
      <c r="AC30" s="336"/>
      <c r="AD30" s="337"/>
      <c r="AE30" s="337"/>
      <c r="AF30" s="337"/>
      <c r="AG30" s="338"/>
      <c r="AH30" s="336"/>
      <c r="AI30" s="337"/>
      <c r="AJ30" s="337"/>
      <c r="AK30" s="337"/>
      <c r="AL30" s="338"/>
      <c r="AM30" s="336"/>
      <c r="AN30" s="337"/>
      <c r="AO30" s="337"/>
      <c r="AP30" s="337"/>
      <c r="AQ30" s="338"/>
      <c r="AR30" s="336"/>
      <c r="AS30" s="337"/>
      <c r="AT30" s="337"/>
      <c r="AU30" s="337"/>
      <c r="AV30" s="338"/>
      <c r="AW30" s="336"/>
      <c r="AX30" s="337"/>
      <c r="AY30" s="337"/>
      <c r="AZ30" s="337">
        <v>19</v>
      </c>
      <c r="BA30" s="338"/>
      <c r="BB30" s="336"/>
      <c r="BC30" s="337"/>
      <c r="BD30" s="337"/>
      <c r="BE30" s="337"/>
      <c r="BF30" s="338"/>
      <c r="BG30" s="336"/>
      <c r="BH30" s="337"/>
      <c r="BI30" s="337"/>
      <c r="BJ30" s="337"/>
      <c r="BK30" s="338"/>
      <c r="BL30" s="336"/>
      <c r="BM30" s="337"/>
      <c r="BN30" s="337"/>
      <c r="BO30" s="337"/>
      <c r="BP30" s="338"/>
      <c r="BQ30" s="336"/>
      <c r="BR30" s="337"/>
      <c r="BS30" s="337"/>
      <c r="BT30" s="337"/>
      <c r="BU30" s="339"/>
      <c r="BW30" s="236" t="str">
        <f>sum_level("o",'Needs 171007_1815'!D30:BU30)</f>
        <v/>
      </c>
      <c r="BX30" s="237" t="str">
        <f>sum_level("j",'Needs 171007_1815'!D30:BU30)</f>
        <v/>
      </c>
      <c r="BY30" s="237" t="str">
        <f>sum_level("m",'Needs 171007_1815'!D30:BU30)</f>
        <v/>
      </c>
      <c r="BZ30" s="237" t="str">
        <f>sum_level("s",'Needs 171007_1815'!D30:BU30)</f>
        <v>19</v>
      </c>
      <c r="CA30" s="238" t="str">
        <f>sum_level("e",'Needs 171007_1815'!D30:BU30)</f>
        <v/>
      </c>
    </row>
    <row r="31" spans="2:79" x14ac:dyDescent="0.25">
      <c r="B31" s="435"/>
      <c r="C31" s="291" t="s">
        <v>76</v>
      </c>
      <c r="D31" s="336"/>
      <c r="E31" s="337"/>
      <c r="F31" s="337"/>
      <c r="G31" s="337"/>
      <c r="H31" s="338"/>
      <c r="I31" s="336"/>
      <c r="J31" s="337"/>
      <c r="K31" s="337"/>
      <c r="L31" s="337"/>
      <c r="M31" s="338"/>
      <c r="N31" s="336"/>
      <c r="O31" s="337"/>
      <c r="P31" s="337"/>
      <c r="Q31" s="337"/>
      <c r="R31" s="338"/>
      <c r="S31" s="336"/>
      <c r="T31" s="337"/>
      <c r="U31" s="337"/>
      <c r="V31" s="337"/>
      <c r="W31" s="338"/>
      <c r="X31" s="336"/>
      <c r="Y31" s="337"/>
      <c r="Z31" s="337"/>
      <c r="AA31" s="337"/>
      <c r="AB31" s="338"/>
      <c r="AC31" s="336"/>
      <c r="AD31" s="337"/>
      <c r="AE31" s="337"/>
      <c r="AF31" s="337"/>
      <c r="AG31" s="338"/>
      <c r="AH31" s="336"/>
      <c r="AI31" s="337"/>
      <c r="AJ31" s="337"/>
      <c r="AK31" s="337"/>
      <c r="AL31" s="338"/>
      <c r="AM31" s="336"/>
      <c r="AN31" s="337"/>
      <c r="AO31" s="337"/>
      <c r="AP31" s="337"/>
      <c r="AQ31" s="338"/>
      <c r="AR31" s="336"/>
      <c r="AS31" s="337"/>
      <c r="AT31" s="337"/>
      <c r="AU31" s="337"/>
      <c r="AV31" s="338"/>
      <c r="AW31" s="336"/>
      <c r="AX31" s="337"/>
      <c r="AY31" s="337"/>
      <c r="AZ31" s="337"/>
      <c r="BA31" s="338">
        <v>20</v>
      </c>
      <c r="BB31" s="336"/>
      <c r="BC31" s="337"/>
      <c r="BD31" s="337"/>
      <c r="BE31" s="337"/>
      <c r="BF31" s="338"/>
      <c r="BG31" s="336"/>
      <c r="BH31" s="337"/>
      <c r="BI31" s="337"/>
      <c r="BJ31" s="337"/>
      <c r="BK31" s="338"/>
      <c r="BL31" s="336"/>
      <c r="BM31" s="337"/>
      <c r="BN31" s="337"/>
      <c r="BO31" s="337"/>
      <c r="BP31" s="338"/>
      <c r="BQ31" s="336"/>
      <c r="BR31" s="337"/>
      <c r="BS31" s="337"/>
      <c r="BT31" s="337"/>
      <c r="BU31" s="339"/>
      <c r="BW31" s="236" t="str">
        <f>sum_level("o",'Needs 171007_1815'!D31:BU31)</f>
        <v/>
      </c>
      <c r="BX31" s="237" t="str">
        <f>sum_level("j",'Needs 171007_1815'!D31:BU31)</f>
        <v/>
      </c>
      <c r="BY31" s="237" t="str">
        <f>sum_level("m",'Needs 171007_1815'!D31:BU31)</f>
        <v/>
      </c>
      <c r="BZ31" s="237" t="str">
        <f>sum_level("s",'Needs 171007_1815'!D31:BU31)</f>
        <v/>
      </c>
      <c r="CA31" s="238" t="str">
        <f>sum_level("e",'Needs 171007_1815'!D31:BU31)</f>
        <v>20</v>
      </c>
    </row>
    <row r="32" spans="2:79" x14ac:dyDescent="0.25">
      <c r="B32" s="435"/>
      <c r="C32" s="291" t="s">
        <v>77</v>
      </c>
      <c r="D32" s="336"/>
      <c r="E32" s="337"/>
      <c r="F32" s="337"/>
      <c r="G32" s="337"/>
      <c r="H32" s="338"/>
      <c r="I32" s="336"/>
      <c r="J32" s="337"/>
      <c r="K32" s="337"/>
      <c r="L32" s="337"/>
      <c r="M32" s="338"/>
      <c r="N32" s="336"/>
      <c r="O32" s="337"/>
      <c r="P32" s="337"/>
      <c r="Q32" s="337"/>
      <c r="R32" s="338"/>
      <c r="S32" s="336"/>
      <c r="T32" s="337"/>
      <c r="U32" s="337"/>
      <c r="V32" s="337"/>
      <c r="W32" s="338"/>
      <c r="X32" s="336"/>
      <c r="Y32" s="337"/>
      <c r="Z32" s="337"/>
      <c r="AA32" s="337"/>
      <c r="AB32" s="338"/>
      <c r="AC32" s="336"/>
      <c r="AD32" s="337"/>
      <c r="AE32" s="337"/>
      <c r="AF32" s="337"/>
      <c r="AG32" s="338"/>
      <c r="AH32" s="336"/>
      <c r="AI32" s="337"/>
      <c r="AJ32" s="337"/>
      <c r="AK32" s="337"/>
      <c r="AL32" s="338"/>
      <c r="AM32" s="336"/>
      <c r="AN32" s="337"/>
      <c r="AO32" s="337"/>
      <c r="AP32" s="337"/>
      <c r="AQ32" s="338"/>
      <c r="AR32" s="336"/>
      <c r="AS32" s="337"/>
      <c r="AT32" s="337"/>
      <c r="AU32" s="337"/>
      <c r="AV32" s="338"/>
      <c r="AW32" s="336"/>
      <c r="AX32" s="337"/>
      <c r="AY32" s="337"/>
      <c r="AZ32" s="337"/>
      <c r="BA32" s="338"/>
      <c r="BB32" s="336"/>
      <c r="BC32" s="337"/>
      <c r="BD32" s="337"/>
      <c r="BE32" s="337"/>
      <c r="BF32" s="338"/>
      <c r="BG32" s="336"/>
      <c r="BH32" s="337"/>
      <c r="BI32" s="337"/>
      <c r="BJ32" s="337"/>
      <c r="BK32" s="338"/>
      <c r="BL32" s="336"/>
      <c r="BM32" s="337"/>
      <c r="BN32" s="337"/>
      <c r="BO32" s="337"/>
      <c r="BP32" s="338"/>
      <c r="BQ32" s="336"/>
      <c r="BR32" s="337"/>
      <c r="BS32" s="337"/>
      <c r="BT32" s="337"/>
      <c r="BU32" s="339"/>
      <c r="BW32" s="236" t="str">
        <f>sum_level("o",'Needs 171007_1815'!D32:BU32)</f>
        <v/>
      </c>
      <c r="BX32" s="237" t="str">
        <f>sum_level("j",'Needs 171007_1815'!D32:BU32)</f>
        <v/>
      </c>
      <c r="BY32" s="237" t="str">
        <f>sum_level("m",'Needs 171007_1815'!D32:BU32)</f>
        <v/>
      </c>
      <c r="BZ32" s="237" t="str">
        <f>sum_level("s",'Needs 171007_1815'!D32:BU32)</f>
        <v/>
      </c>
      <c r="CA32" s="238" t="str">
        <f>sum_level("e",'Needs 171007_1815'!D32:BU32)</f>
        <v/>
      </c>
    </row>
    <row r="33" spans="2:79" x14ac:dyDescent="0.25">
      <c r="B33" s="435"/>
      <c r="C33" s="291" t="s">
        <v>78</v>
      </c>
      <c r="D33" s="336"/>
      <c r="E33" s="337"/>
      <c r="F33" s="337"/>
      <c r="G33" s="337"/>
      <c r="H33" s="338"/>
      <c r="I33" s="336"/>
      <c r="J33" s="337"/>
      <c r="K33" s="337"/>
      <c r="L33" s="337"/>
      <c r="M33" s="338"/>
      <c r="N33" s="336"/>
      <c r="O33" s="337"/>
      <c r="P33" s="337"/>
      <c r="Q33" s="337"/>
      <c r="R33" s="338"/>
      <c r="S33" s="336"/>
      <c r="T33" s="337"/>
      <c r="U33" s="337"/>
      <c r="V33" s="337"/>
      <c r="W33" s="338"/>
      <c r="X33" s="336"/>
      <c r="Y33" s="337"/>
      <c r="Z33" s="337"/>
      <c r="AA33" s="337"/>
      <c r="AB33" s="338"/>
      <c r="AC33" s="336"/>
      <c r="AD33" s="337"/>
      <c r="AE33" s="337"/>
      <c r="AF33" s="337"/>
      <c r="AG33" s="338"/>
      <c r="AH33" s="336"/>
      <c r="AI33" s="337"/>
      <c r="AJ33" s="337"/>
      <c r="AK33" s="337"/>
      <c r="AL33" s="338"/>
      <c r="AM33" s="336"/>
      <c r="AN33" s="337"/>
      <c r="AO33" s="337"/>
      <c r="AP33" s="337"/>
      <c r="AQ33" s="338"/>
      <c r="AR33" s="336"/>
      <c r="AS33" s="337"/>
      <c r="AT33" s="337"/>
      <c r="AU33" s="337"/>
      <c r="AV33" s="338"/>
      <c r="AW33" s="336"/>
      <c r="AX33" s="337"/>
      <c r="AY33" s="337"/>
      <c r="AZ33" s="337"/>
      <c r="BA33" s="338"/>
      <c r="BB33" s="336"/>
      <c r="BC33" s="337"/>
      <c r="BD33" s="337"/>
      <c r="BE33" s="337"/>
      <c r="BF33" s="338"/>
      <c r="BG33" s="336"/>
      <c r="BH33" s="337"/>
      <c r="BI33" s="337"/>
      <c r="BJ33" s="337"/>
      <c r="BK33" s="338"/>
      <c r="BL33" s="336"/>
      <c r="BM33" s="337"/>
      <c r="BN33" s="337"/>
      <c r="BO33" s="337"/>
      <c r="BP33" s="338"/>
      <c r="BQ33" s="336"/>
      <c r="BR33" s="337"/>
      <c r="BS33" s="337"/>
      <c r="BT33" s="337"/>
      <c r="BU33" s="339"/>
      <c r="BW33" s="236" t="str">
        <f>sum_level("o",'Needs 171007_1815'!D33:BU33)</f>
        <v/>
      </c>
      <c r="BX33" s="237" t="str">
        <f>sum_level("j",'Needs 171007_1815'!D33:BU33)</f>
        <v/>
      </c>
      <c r="BY33" s="237" t="str">
        <f>sum_level("m",'Needs 171007_1815'!D33:BU33)</f>
        <v/>
      </c>
      <c r="BZ33" s="237" t="str">
        <f>sum_level("s",'Needs 171007_1815'!D33:BU33)</f>
        <v/>
      </c>
      <c r="CA33" s="238" t="str">
        <f>sum_level("e",'Needs 171007_1815'!D33:BU33)</f>
        <v/>
      </c>
    </row>
    <row r="34" spans="2:79" x14ac:dyDescent="0.25">
      <c r="B34" s="435"/>
      <c r="C34" s="291" t="s">
        <v>79</v>
      </c>
      <c r="D34" s="336"/>
      <c r="E34" s="337"/>
      <c r="F34" s="337"/>
      <c r="G34" s="337"/>
      <c r="H34" s="338"/>
      <c r="I34" s="336"/>
      <c r="J34" s="337"/>
      <c r="K34" s="337"/>
      <c r="L34" s="337"/>
      <c r="M34" s="338"/>
      <c r="N34" s="336"/>
      <c r="O34" s="337"/>
      <c r="P34" s="337"/>
      <c r="Q34" s="337"/>
      <c r="R34" s="338"/>
      <c r="S34" s="336"/>
      <c r="T34" s="337"/>
      <c r="U34" s="337"/>
      <c r="V34" s="337"/>
      <c r="W34" s="338"/>
      <c r="X34" s="336"/>
      <c r="Y34" s="337"/>
      <c r="Z34" s="337"/>
      <c r="AA34" s="337"/>
      <c r="AB34" s="338"/>
      <c r="AC34" s="336"/>
      <c r="AD34" s="337"/>
      <c r="AE34" s="337"/>
      <c r="AF34" s="337"/>
      <c r="AG34" s="338"/>
      <c r="AH34" s="336"/>
      <c r="AI34" s="337"/>
      <c r="AJ34" s="337"/>
      <c r="AK34" s="337"/>
      <c r="AL34" s="338"/>
      <c r="AM34" s="336"/>
      <c r="AN34" s="337"/>
      <c r="AO34" s="337"/>
      <c r="AP34" s="337"/>
      <c r="AQ34" s="338"/>
      <c r="AR34" s="336"/>
      <c r="AS34" s="337"/>
      <c r="AT34" s="337"/>
      <c r="AU34" s="337"/>
      <c r="AV34" s="338"/>
      <c r="AW34" s="336"/>
      <c r="AX34" s="337"/>
      <c r="AY34" s="337"/>
      <c r="AZ34" s="337"/>
      <c r="BA34" s="338"/>
      <c r="BB34" s="336"/>
      <c r="BC34" s="337"/>
      <c r="BD34" s="337"/>
      <c r="BE34" s="337"/>
      <c r="BF34" s="338"/>
      <c r="BG34" s="336"/>
      <c r="BH34" s="337"/>
      <c r="BI34" s="337"/>
      <c r="BJ34" s="337"/>
      <c r="BK34" s="338"/>
      <c r="BL34" s="336"/>
      <c r="BM34" s="337"/>
      <c r="BN34" s="337"/>
      <c r="BO34" s="337"/>
      <c r="BP34" s="338"/>
      <c r="BQ34" s="336"/>
      <c r="BR34" s="337"/>
      <c r="BS34" s="337"/>
      <c r="BT34" s="337"/>
      <c r="BU34" s="339"/>
      <c r="BW34" s="236" t="str">
        <f>sum_level("o",'Needs 171007_1815'!D34:BU34)</f>
        <v/>
      </c>
      <c r="BX34" s="237" t="str">
        <f>sum_level("j",'Needs 171007_1815'!D34:BU34)</f>
        <v/>
      </c>
      <c r="BY34" s="237" t="str">
        <f>sum_level("m",'Needs 171007_1815'!D34:BU34)</f>
        <v/>
      </c>
      <c r="BZ34" s="237" t="str">
        <f>sum_level("s",'Needs 171007_1815'!D34:BU34)</f>
        <v/>
      </c>
      <c r="CA34" s="238" t="str">
        <f>sum_level("e",'Needs 171007_1815'!D34:BU34)</f>
        <v/>
      </c>
    </row>
    <row r="35" spans="2:79" x14ac:dyDescent="0.25">
      <c r="B35" s="435"/>
      <c r="C35" s="291" t="s">
        <v>80</v>
      </c>
      <c r="D35" s="336"/>
      <c r="E35" s="337"/>
      <c r="F35" s="337"/>
      <c r="G35" s="337"/>
      <c r="H35" s="338"/>
      <c r="I35" s="336"/>
      <c r="J35" s="337"/>
      <c r="K35" s="337"/>
      <c r="L35" s="337"/>
      <c r="M35" s="338"/>
      <c r="N35" s="336"/>
      <c r="O35" s="337"/>
      <c r="P35" s="337"/>
      <c r="Q35" s="337"/>
      <c r="R35" s="338"/>
      <c r="S35" s="336"/>
      <c r="T35" s="337"/>
      <c r="U35" s="337"/>
      <c r="V35" s="337"/>
      <c r="W35" s="338"/>
      <c r="X35" s="336"/>
      <c r="Y35" s="337"/>
      <c r="Z35" s="337"/>
      <c r="AA35" s="337"/>
      <c r="AB35" s="338"/>
      <c r="AC35" s="336"/>
      <c r="AD35" s="337"/>
      <c r="AE35" s="337"/>
      <c r="AF35" s="337"/>
      <c r="AG35" s="338"/>
      <c r="AH35" s="336"/>
      <c r="AI35" s="337"/>
      <c r="AJ35" s="337"/>
      <c r="AK35" s="337"/>
      <c r="AL35" s="338"/>
      <c r="AM35" s="336"/>
      <c r="AN35" s="337"/>
      <c r="AO35" s="337"/>
      <c r="AP35" s="337"/>
      <c r="AQ35" s="338"/>
      <c r="AR35" s="336"/>
      <c r="AS35" s="337"/>
      <c r="AT35" s="337"/>
      <c r="AU35" s="337"/>
      <c r="AV35" s="338"/>
      <c r="AW35" s="336"/>
      <c r="AX35" s="337"/>
      <c r="AY35" s="337"/>
      <c r="AZ35" s="337"/>
      <c r="BA35" s="338"/>
      <c r="BB35" s="336"/>
      <c r="BC35" s="337"/>
      <c r="BD35" s="337"/>
      <c r="BE35" s="337"/>
      <c r="BF35" s="338"/>
      <c r="BG35" s="336"/>
      <c r="BH35" s="337"/>
      <c r="BI35" s="337"/>
      <c r="BJ35" s="337"/>
      <c r="BK35" s="338"/>
      <c r="BL35" s="336"/>
      <c r="BM35" s="337"/>
      <c r="BN35" s="337"/>
      <c r="BO35" s="337"/>
      <c r="BP35" s="338"/>
      <c r="BQ35" s="336"/>
      <c r="BR35" s="337"/>
      <c r="BS35" s="337"/>
      <c r="BT35" s="337"/>
      <c r="BU35" s="339"/>
      <c r="BW35" s="236" t="str">
        <f>sum_level("o",'Needs 171007_1815'!D35:BU35)</f>
        <v/>
      </c>
      <c r="BX35" s="237" t="str">
        <f>sum_level("j",'Needs 171007_1815'!D35:BU35)</f>
        <v/>
      </c>
      <c r="BY35" s="237" t="str">
        <f>sum_level("m",'Needs 171007_1815'!D35:BU35)</f>
        <v/>
      </c>
      <c r="BZ35" s="237" t="str">
        <f>sum_level("s",'Needs 171007_1815'!D35:BU35)</f>
        <v/>
      </c>
      <c r="CA35" s="238" t="str">
        <f>sum_level("e",'Needs 171007_1815'!D35:BU35)</f>
        <v/>
      </c>
    </row>
    <row r="36" spans="2:79" ht="15.75" thickBot="1" x14ac:dyDescent="0.3">
      <c r="B36" s="435"/>
      <c r="C36" s="292" t="s">
        <v>225</v>
      </c>
      <c r="D36" s="340"/>
      <c r="E36" s="341"/>
      <c r="F36" s="341"/>
      <c r="G36" s="341"/>
      <c r="H36" s="342"/>
      <c r="I36" s="340"/>
      <c r="J36" s="341"/>
      <c r="K36" s="341"/>
      <c r="L36" s="341"/>
      <c r="M36" s="342"/>
      <c r="N36" s="340"/>
      <c r="O36" s="341"/>
      <c r="P36" s="341"/>
      <c r="Q36" s="341"/>
      <c r="R36" s="342"/>
      <c r="S36" s="340"/>
      <c r="T36" s="341"/>
      <c r="U36" s="341"/>
      <c r="V36" s="341"/>
      <c r="W36" s="342"/>
      <c r="X36" s="340"/>
      <c r="Y36" s="341"/>
      <c r="Z36" s="341"/>
      <c r="AA36" s="341"/>
      <c r="AB36" s="342"/>
      <c r="AC36" s="340"/>
      <c r="AD36" s="341"/>
      <c r="AE36" s="341"/>
      <c r="AF36" s="341"/>
      <c r="AG36" s="342"/>
      <c r="AH36" s="340"/>
      <c r="AI36" s="341"/>
      <c r="AJ36" s="341"/>
      <c r="AK36" s="341"/>
      <c r="AL36" s="342"/>
      <c r="AM36" s="340"/>
      <c r="AN36" s="341"/>
      <c r="AO36" s="341"/>
      <c r="AP36" s="341"/>
      <c r="AQ36" s="342"/>
      <c r="AR36" s="340"/>
      <c r="AS36" s="341"/>
      <c r="AT36" s="341"/>
      <c r="AU36" s="341"/>
      <c r="AV36" s="342"/>
      <c r="AW36" s="340"/>
      <c r="AX36" s="341"/>
      <c r="AY36" s="341"/>
      <c r="AZ36" s="341"/>
      <c r="BA36" s="342"/>
      <c r="BB36" s="340"/>
      <c r="BC36" s="341"/>
      <c r="BD36" s="341"/>
      <c r="BE36" s="341"/>
      <c r="BF36" s="342"/>
      <c r="BG36" s="340"/>
      <c r="BH36" s="341"/>
      <c r="BI36" s="341"/>
      <c r="BJ36" s="341"/>
      <c r="BK36" s="342"/>
      <c r="BL36" s="340"/>
      <c r="BM36" s="341"/>
      <c r="BN36" s="341"/>
      <c r="BO36" s="341"/>
      <c r="BP36" s="342"/>
      <c r="BQ36" s="340"/>
      <c r="BR36" s="341"/>
      <c r="BS36" s="341"/>
      <c r="BT36" s="341"/>
      <c r="BU36" s="343"/>
      <c r="BW36" s="239" t="str">
        <f>sum_level("o",'Needs 171007_1815'!D36:BU36)</f>
        <v/>
      </c>
      <c r="BX36" s="240" t="str">
        <f>sum_level("j",'Needs 171007_1815'!D36:BU36)</f>
        <v/>
      </c>
      <c r="BY36" s="240" t="str">
        <f>sum_level("m",'Needs 171007_1815'!D36:BU36)</f>
        <v/>
      </c>
      <c r="BZ36" s="240" t="str">
        <f>sum_level("s",'Needs 171007_1815'!D36:BU36)</f>
        <v/>
      </c>
      <c r="CA36" s="241" t="str">
        <f>sum_level("e",'Needs 171007_1815'!D36:BU36)</f>
        <v/>
      </c>
    </row>
    <row r="37" spans="2:79" ht="12.75" customHeight="1" thickTop="1" thickBot="1" x14ac:dyDescent="0.3">
      <c r="B37" s="436"/>
      <c r="C37" s="248"/>
      <c r="D37" s="344"/>
      <c r="E37" s="344"/>
      <c r="F37" s="344"/>
      <c r="G37" s="344"/>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W37" s="249"/>
      <c r="BX37" s="249"/>
      <c r="BY37" s="249"/>
      <c r="BZ37" s="249"/>
      <c r="CA37" s="249"/>
    </row>
    <row r="38" spans="2:79" ht="15.75" thickTop="1" x14ac:dyDescent="0.25">
      <c r="B38" s="434" t="s">
        <v>81</v>
      </c>
      <c r="C38" s="290" t="s">
        <v>82</v>
      </c>
      <c r="D38" s="332"/>
      <c r="E38" s="333"/>
      <c r="F38" s="333"/>
      <c r="G38" s="333"/>
      <c r="H38" s="334"/>
      <c r="I38" s="332"/>
      <c r="J38" s="333"/>
      <c r="K38" s="333"/>
      <c r="L38" s="333"/>
      <c r="M38" s="334"/>
      <c r="N38" s="332"/>
      <c r="O38" s="333"/>
      <c r="P38" s="333"/>
      <c r="Q38" s="333"/>
      <c r="R38" s="334"/>
      <c r="S38" s="332"/>
      <c r="T38" s="333"/>
      <c r="U38" s="333"/>
      <c r="V38" s="333"/>
      <c r="W38" s="334"/>
      <c r="X38" s="332"/>
      <c r="Y38" s="333"/>
      <c r="Z38" s="333"/>
      <c r="AA38" s="333"/>
      <c r="AB38" s="334"/>
      <c r="AC38" s="332"/>
      <c r="AD38" s="333"/>
      <c r="AE38" s="333"/>
      <c r="AF38" s="333"/>
      <c r="AG38" s="334"/>
      <c r="AH38" s="332"/>
      <c r="AI38" s="333"/>
      <c r="AJ38" s="333"/>
      <c r="AK38" s="333"/>
      <c r="AL38" s="334"/>
      <c r="AM38" s="332"/>
      <c r="AN38" s="333"/>
      <c r="AO38" s="333"/>
      <c r="AP38" s="333"/>
      <c r="AQ38" s="334"/>
      <c r="AR38" s="332"/>
      <c r="AS38" s="333"/>
      <c r="AT38" s="333"/>
      <c r="AU38" s="333"/>
      <c r="AV38" s="334"/>
      <c r="AW38" s="332"/>
      <c r="AX38" s="333"/>
      <c r="AY38" s="333"/>
      <c r="AZ38" s="333"/>
      <c r="BA38" s="334"/>
      <c r="BB38" s="332">
        <v>21</v>
      </c>
      <c r="BC38" s="333"/>
      <c r="BD38" s="333"/>
      <c r="BE38" s="333"/>
      <c r="BF38" s="334"/>
      <c r="BG38" s="332"/>
      <c r="BH38" s="333"/>
      <c r="BI38" s="333"/>
      <c r="BJ38" s="333"/>
      <c r="BK38" s="334"/>
      <c r="BL38" s="332"/>
      <c r="BM38" s="333"/>
      <c r="BN38" s="333"/>
      <c r="BO38" s="333"/>
      <c r="BP38" s="334"/>
      <c r="BQ38" s="332"/>
      <c r="BR38" s="333"/>
      <c r="BS38" s="333"/>
      <c r="BT38" s="333"/>
      <c r="BU38" s="335"/>
      <c r="BW38" s="233" t="str">
        <f>sum_level("o",'Needs 171007_1815'!D38:BU38)</f>
        <v>21</v>
      </c>
      <c r="BX38" s="234" t="str">
        <f>sum_level("j",'Needs 171007_1815'!D38:BU38)</f>
        <v/>
      </c>
      <c r="BY38" s="234" t="str">
        <f>sum_level("m",'Needs 171007_1815'!D38:BU38)</f>
        <v/>
      </c>
      <c r="BZ38" s="234" t="str">
        <f>sum_level("s",'Needs 171007_1815'!D38:BU38)</f>
        <v/>
      </c>
      <c r="CA38" s="235" t="str">
        <f>sum_level("e",'Needs 171007_1815'!D38:BU38)</f>
        <v/>
      </c>
    </row>
    <row r="39" spans="2:79" x14ac:dyDescent="0.25">
      <c r="B39" s="435"/>
      <c r="C39" s="291" t="s">
        <v>83</v>
      </c>
      <c r="D39" s="336"/>
      <c r="E39" s="337"/>
      <c r="F39" s="337"/>
      <c r="G39" s="337"/>
      <c r="H39" s="338"/>
      <c r="I39" s="336"/>
      <c r="J39" s="337"/>
      <c r="K39" s="337"/>
      <c r="L39" s="337"/>
      <c r="M39" s="338"/>
      <c r="N39" s="336"/>
      <c r="O39" s="337"/>
      <c r="P39" s="337"/>
      <c r="Q39" s="337"/>
      <c r="R39" s="338"/>
      <c r="S39" s="336"/>
      <c r="T39" s="337"/>
      <c r="U39" s="337"/>
      <c r="V39" s="337"/>
      <c r="W39" s="338"/>
      <c r="X39" s="336"/>
      <c r="Y39" s="337"/>
      <c r="Z39" s="337"/>
      <c r="AA39" s="337"/>
      <c r="AB39" s="338"/>
      <c r="AC39" s="336"/>
      <c r="AD39" s="337"/>
      <c r="AE39" s="337"/>
      <c r="AF39" s="337"/>
      <c r="AG39" s="338"/>
      <c r="AH39" s="336"/>
      <c r="AI39" s="337"/>
      <c r="AJ39" s="337"/>
      <c r="AK39" s="337"/>
      <c r="AL39" s="338"/>
      <c r="AM39" s="336"/>
      <c r="AN39" s="337"/>
      <c r="AO39" s="337"/>
      <c r="AP39" s="337"/>
      <c r="AQ39" s="338"/>
      <c r="AR39" s="336"/>
      <c r="AS39" s="337"/>
      <c r="AT39" s="337"/>
      <c r="AU39" s="337"/>
      <c r="AV39" s="338"/>
      <c r="AW39" s="336"/>
      <c r="AX39" s="337"/>
      <c r="AY39" s="337"/>
      <c r="AZ39" s="337"/>
      <c r="BA39" s="338"/>
      <c r="BB39" s="336"/>
      <c r="BC39" s="337">
        <v>22</v>
      </c>
      <c r="BD39" s="337"/>
      <c r="BE39" s="337"/>
      <c r="BF39" s="338"/>
      <c r="BG39" s="336"/>
      <c r="BH39" s="337"/>
      <c r="BI39" s="337"/>
      <c r="BJ39" s="337"/>
      <c r="BK39" s="338"/>
      <c r="BL39" s="336"/>
      <c r="BM39" s="337"/>
      <c r="BN39" s="337"/>
      <c r="BO39" s="337"/>
      <c r="BP39" s="338"/>
      <c r="BQ39" s="336"/>
      <c r="BR39" s="337"/>
      <c r="BS39" s="337"/>
      <c r="BT39" s="337"/>
      <c r="BU39" s="339"/>
      <c r="BW39" s="236" t="str">
        <f>sum_level("o",'Needs 171007_1815'!D39:BU39)</f>
        <v/>
      </c>
      <c r="BX39" s="237" t="str">
        <f>sum_level("j",'Needs 171007_1815'!D39:BU39)</f>
        <v>22</v>
      </c>
      <c r="BY39" s="237" t="str">
        <f>sum_level("m",'Needs 171007_1815'!D39:BU39)</f>
        <v/>
      </c>
      <c r="BZ39" s="237" t="str">
        <f>sum_level("s",'Needs 171007_1815'!D39:BU39)</f>
        <v/>
      </c>
      <c r="CA39" s="238" t="str">
        <f>sum_level("e",'Needs 171007_1815'!D39:BU39)</f>
        <v/>
      </c>
    </row>
    <row r="40" spans="2:79" x14ac:dyDescent="0.25">
      <c r="B40" s="435"/>
      <c r="C40" s="291" t="s">
        <v>84</v>
      </c>
      <c r="D40" s="336"/>
      <c r="E40" s="337"/>
      <c r="F40" s="337"/>
      <c r="G40" s="337"/>
      <c r="H40" s="338"/>
      <c r="I40" s="336"/>
      <c r="J40" s="337"/>
      <c r="K40" s="337"/>
      <c r="L40" s="337"/>
      <c r="M40" s="338"/>
      <c r="N40" s="336"/>
      <c r="O40" s="337"/>
      <c r="P40" s="337"/>
      <c r="Q40" s="337"/>
      <c r="R40" s="338"/>
      <c r="S40" s="336"/>
      <c r="T40" s="337"/>
      <c r="U40" s="337"/>
      <c r="V40" s="337"/>
      <c r="W40" s="338"/>
      <c r="X40" s="336"/>
      <c r="Y40" s="337"/>
      <c r="Z40" s="337"/>
      <c r="AA40" s="337"/>
      <c r="AB40" s="338"/>
      <c r="AC40" s="336"/>
      <c r="AD40" s="337"/>
      <c r="AE40" s="337"/>
      <c r="AF40" s="337"/>
      <c r="AG40" s="338"/>
      <c r="AH40" s="336"/>
      <c r="AI40" s="337"/>
      <c r="AJ40" s="337"/>
      <c r="AK40" s="337"/>
      <c r="AL40" s="338"/>
      <c r="AM40" s="336"/>
      <c r="AN40" s="337"/>
      <c r="AO40" s="337"/>
      <c r="AP40" s="337"/>
      <c r="AQ40" s="338"/>
      <c r="AR40" s="336"/>
      <c r="AS40" s="337"/>
      <c r="AT40" s="337"/>
      <c r="AU40" s="337"/>
      <c r="AV40" s="338"/>
      <c r="AW40" s="336"/>
      <c r="AX40" s="337"/>
      <c r="AY40" s="337"/>
      <c r="AZ40" s="337"/>
      <c r="BA40" s="338"/>
      <c r="BB40" s="336"/>
      <c r="BC40" s="337"/>
      <c r="BD40" s="337">
        <v>23</v>
      </c>
      <c r="BE40" s="337"/>
      <c r="BF40" s="338"/>
      <c r="BG40" s="336"/>
      <c r="BH40" s="337"/>
      <c r="BI40" s="337"/>
      <c r="BJ40" s="337"/>
      <c r="BK40" s="338"/>
      <c r="BL40" s="336"/>
      <c r="BM40" s="337"/>
      <c r="BN40" s="337"/>
      <c r="BO40" s="337"/>
      <c r="BP40" s="338"/>
      <c r="BQ40" s="336"/>
      <c r="BR40" s="337"/>
      <c r="BS40" s="337"/>
      <c r="BT40" s="337"/>
      <c r="BU40" s="339"/>
      <c r="BW40" s="236" t="str">
        <f>sum_level("o",'Needs 171007_1815'!D40:BU40)</f>
        <v/>
      </c>
      <c r="BX40" s="237" t="str">
        <f>sum_level("j",'Needs 171007_1815'!D40:BU40)</f>
        <v/>
      </c>
      <c r="BY40" s="237" t="str">
        <f>sum_level("m",'Needs 171007_1815'!D40:BU40)</f>
        <v>23</v>
      </c>
      <c r="BZ40" s="237" t="str">
        <f>sum_level("s",'Needs 171007_1815'!D40:BU40)</f>
        <v/>
      </c>
      <c r="CA40" s="238" t="str">
        <f>sum_level("e",'Needs 171007_1815'!D40:BU40)</f>
        <v/>
      </c>
    </row>
    <row r="41" spans="2:79" x14ac:dyDescent="0.25">
      <c r="B41" s="435"/>
      <c r="C41" s="291" t="s">
        <v>85</v>
      </c>
      <c r="D41" s="336"/>
      <c r="E41" s="337"/>
      <c r="F41" s="337"/>
      <c r="G41" s="337"/>
      <c r="H41" s="338"/>
      <c r="I41" s="336"/>
      <c r="J41" s="337"/>
      <c r="K41" s="337"/>
      <c r="L41" s="337"/>
      <c r="M41" s="338"/>
      <c r="N41" s="336"/>
      <c r="O41" s="337"/>
      <c r="P41" s="337"/>
      <c r="Q41" s="337"/>
      <c r="R41" s="338"/>
      <c r="S41" s="336"/>
      <c r="T41" s="337"/>
      <c r="U41" s="337"/>
      <c r="V41" s="337"/>
      <c r="W41" s="338"/>
      <c r="X41" s="336"/>
      <c r="Y41" s="337"/>
      <c r="Z41" s="337"/>
      <c r="AA41" s="337"/>
      <c r="AB41" s="338"/>
      <c r="AC41" s="336"/>
      <c r="AD41" s="337"/>
      <c r="AE41" s="337"/>
      <c r="AF41" s="337"/>
      <c r="AG41" s="338"/>
      <c r="AH41" s="336"/>
      <c r="AI41" s="337"/>
      <c r="AJ41" s="337"/>
      <c r="AK41" s="337"/>
      <c r="AL41" s="338"/>
      <c r="AM41" s="336"/>
      <c r="AN41" s="337"/>
      <c r="AO41" s="337"/>
      <c r="AP41" s="337"/>
      <c r="AQ41" s="338"/>
      <c r="AR41" s="336"/>
      <c r="AS41" s="337"/>
      <c r="AT41" s="337"/>
      <c r="AU41" s="337"/>
      <c r="AV41" s="338"/>
      <c r="AW41" s="336"/>
      <c r="AX41" s="337"/>
      <c r="AY41" s="337"/>
      <c r="AZ41" s="337"/>
      <c r="BA41" s="338"/>
      <c r="BB41" s="336"/>
      <c r="BC41" s="337"/>
      <c r="BD41" s="337"/>
      <c r="BE41" s="337">
        <v>24</v>
      </c>
      <c r="BF41" s="338"/>
      <c r="BG41" s="336"/>
      <c r="BH41" s="337"/>
      <c r="BI41" s="337"/>
      <c r="BJ41" s="337"/>
      <c r="BK41" s="338"/>
      <c r="BL41" s="336"/>
      <c r="BM41" s="337"/>
      <c r="BN41" s="337"/>
      <c r="BO41" s="337"/>
      <c r="BP41" s="338"/>
      <c r="BQ41" s="336"/>
      <c r="BR41" s="337"/>
      <c r="BS41" s="337"/>
      <c r="BT41" s="337"/>
      <c r="BU41" s="339"/>
      <c r="BW41" s="236" t="str">
        <f>sum_level("o",'Needs 171007_1815'!D41:BU41)</f>
        <v/>
      </c>
      <c r="BX41" s="237" t="str">
        <f>sum_level("j",'Needs 171007_1815'!D41:BU41)</f>
        <v/>
      </c>
      <c r="BY41" s="237" t="str">
        <f>sum_level("m",'Needs 171007_1815'!D41:BU41)</f>
        <v/>
      </c>
      <c r="BZ41" s="237" t="str">
        <f>sum_level("s",'Needs 171007_1815'!D41:BU41)</f>
        <v>24</v>
      </c>
      <c r="CA41" s="238" t="str">
        <f>sum_level("e",'Needs 171007_1815'!D41:BU41)</f>
        <v/>
      </c>
    </row>
    <row r="42" spans="2:79" x14ac:dyDescent="0.25">
      <c r="B42" s="435"/>
      <c r="C42" s="291" t="s">
        <v>86</v>
      </c>
      <c r="D42" s="336"/>
      <c r="E42" s="337"/>
      <c r="F42" s="337"/>
      <c r="G42" s="337"/>
      <c r="H42" s="338"/>
      <c r="I42" s="336"/>
      <c r="J42" s="337"/>
      <c r="K42" s="337"/>
      <c r="L42" s="337"/>
      <c r="M42" s="338"/>
      <c r="N42" s="336"/>
      <c r="O42" s="337"/>
      <c r="P42" s="337"/>
      <c r="Q42" s="337"/>
      <c r="R42" s="338"/>
      <c r="S42" s="336"/>
      <c r="T42" s="337"/>
      <c r="U42" s="337"/>
      <c r="V42" s="337"/>
      <c r="W42" s="338"/>
      <c r="X42" s="336"/>
      <c r="Y42" s="337"/>
      <c r="Z42" s="337"/>
      <c r="AA42" s="337"/>
      <c r="AB42" s="338"/>
      <c r="AC42" s="336"/>
      <c r="AD42" s="337"/>
      <c r="AE42" s="337"/>
      <c r="AF42" s="337"/>
      <c r="AG42" s="338"/>
      <c r="AH42" s="336"/>
      <c r="AI42" s="337"/>
      <c r="AJ42" s="337"/>
      <c r="AK42" s="337"/>
      <c r="AL42" s="338"/>
      <c r="AM42" s="336"/>
      <c r="AN42" s="337"/>
      <c r="AO42" s="337"/>
      <c r="AP42" s="337"/>
      <c r="AQ42" s="338"/>
      <c r="AR42" s="336"/>
      <c r="AS42" s="337"/>
      <c r="AT42" s="337"/>
      <c r="AU42" s="337"/>
      <c r="AV42" s="338"/>
      <c r="AW42" s="336"/>
      <c r="AX42" s="337"/>
      <c r="AY42" s="337"/>
      <c r="AZ42" s="337"/>
      <c r="BA42" s="338"/>
      <c r="BB42" s="336"/>
      <c r="BC42" s="337"/>
      <c r="BD42" s="337"/>
      <c r="BE42" s="337"/>
      <c r="BF42" s="338">
        <v>25</v>
      </c>
      <c r="BG42" s="336"/>
      <c r="BH42" s="337"/>
      <c r="BI42" s="337"/>
      <c r="BJ42" s="337"/>
      <c r="BK42" s="338"/>
      <c r="BL42" s="336"/>
      <c r="BM42" s="337"/>
      <c r="BN42" s="337"/>
      <c r="BO42" s="337"/>
      <c r="BP42" s="338"/>
      <c r="BQ42" s="336"/>
      <c r="BR42" s="337"/>
      <c r="BS42" s="337"/>
      <c r="BT42" s="337"/>
      <c r="BU42" s="339"/>
      <c r="BW42" s="236" t="str">
        <f>sum_level("o",'Needs 171007_1815'!D42:BU42)</f>
        <v/>
      </c>
      <c r="BX42" s="237" t="str">
        <f>sum_level("j",'Needs 171007_1815'!D42:BU42)</f>
        <v/>
      </c>
      <c r="BY42" s="237" t="str">
        <f>sum_level("m",'Needs 171007_1815'!D42:BU42)</f>
        <v/>
      </c>
      <c r="BZ42" s="237" t="str">
        <f>sum_level("s",'Needs 171007_1815'!D42:BU42)</f>
        <v/>
      </c>
      <c r="CA42" s="238" t="str">
        <f>sum_level("e",'Needs 171007_1815'!D42:BU42)</f>
        <v>25</v>
      </c>
    </row>
    <row r="43" spans="2:79" x14ac:dyDescent="0.25">
      <c r="B43" s="435"/>
      <c r="C43" s="291" t="s">
        <v>87</v>
      </c>
      <c r="D43" s="336"/>
      <c r="E43" s="337"/>
      <c r="F43" s="337"/>
      <c r="G43" s="337"/>
      <c r="H43" s="338"/>
      <c r="I43" s="336"/>
      <c r="J43" s="337"/>
      <c r="K43" s="337"/>
      <c r="L43" s="337"/>
      <c r="M43" s="338"/>
      <c r="N43" s="336"/>
      <c r="O43" s="337"/>
      <c r="P43" s="337"/>
      <c r="Q43" s="337"/>
      <c r="R43" s="338"/>
      <c r="S43" s="336"/>
      <c r="T43" s="337"/>
      <c r="U43" s="337"/>
      <c r="V43" s="337"/>
      <c r="W43" s="338"/>
      <c r="X43" s="336"/>
      <c r="Y43" s="337"/>
      <c r="Z43" s="337"/>
      <c r="AA43" s="337"/>
      <c r="AB43" s="338"/>
      <c r="AC43" s="336"/>
      <c r="AD43" s="337"/>
      <c r="AE43" s="337"/>
      <c r="AF43" s="337"/>
      <c r="AG43" s="338"/>
      <c r="AH43" s="336"/>
      <c r="AI43" s="337"/>
      <c r="AJ43" s="337"/>
      <c r="AK43" s="337"/>
      <c r="AL43" s="338"/>
      <c r="AM43" s="336"/>
      <c r="AN43" s="337"/>
      <c r="AO43" s="337"/>
      <c r="AP43" s="337"/>
      <c r="AQ43" s="338"/>
      <c r="AR43" s="336"/>
      <c r="AS43" s="337"/>
      <c r="AT43" s="337"/>
      <c r="AU43" s="337"/>
      <c r="AV43" s="338"/>
      <c r="AW43" s="336"/>
      <c r="AX43" s="337"/>
      <c r="AY43" s="337"/>
      <c r="AZ43" s="337"/>
      <c r="BA43" s="338"/>
      <c r="BB43" s="336"/>
      <c r="BC43" s="337"/>
      <c r="BD43" s="337"/>
      <c r="BE43" s="337"/>
      <c r="BF43" s="338"/>
      <c r="BG43" s="336"/>
      <c r="BH43" s="337"/>
      <c r="BI43" s="337"/>
      <c r="BJ43" s="337"/>
      <c r="BK43" s="338"/>
      <c r="BL43" s="336"/>
      <c r="BM43" s="337"/>
      <c r="BN43" s="337"/>
      <c r="BO43" s="337"/>
      <c r="BP43" s="338"/>
      <c r="BQ43" s="336"/>
      <c r="BR43" s="337"/>
      <c r="BS43" s="337"/>
      <c r="BT43" s="337"/>
      <c r="BU43" s="339"/>
      <c r="BW43" s="236" t="str">
        <f>sum_level("o",'Needs 171007_1815'!D43:BU43)</f>
        <v/>
      </c>
      <c r="BX43" s="237" t="str">
        <f>sum_level("j",'Needs 171007_1815'!D43:BU43)</f>
        <v/>
      </c>
      <c r="BY43" s="237" t="str">
        <f>sum_level("m",'Needs 171007_1815'!D43:BU43)</f>
        <v/>
      </c>
      <c r="BZ43" s="237" t="str">
        <f>sum_level("s",'Needs 171007_1815'!D43:BU43)</f>
        <v/>
      </c>
      <c r="CA43" s="238" t="str">
        <f>sum_level("e",'Needs 171007_1815'!D43:BU43)</f>
        <v/>
      </c>
    </row>
    <row r="44" spans="2:79" x14ac:dyDescent="0.25">
      <c r="B44" s="435"/>
      <c r="C44" s="291" t="s">
        <v>88</v>
      </c>
      <c r="D44" s="336"/>
      <c r="E44" s="337"/>
      <c r="F44" s="337"/>
      <c r="G44" s="337"/>
      <c r="H44" s="338"/>
      <c r="I44" s="336"/>
      <c r="J44" s="337"/>
      <c r="K44" s="337"/>
      <c r="L44" s="337"/>
      <c r="M44" s="338"/>
      <c r="N44" s="336"/>
      <c r="O44" s="337"/>
      <c r="P44" s="337"/>
      <c r="Q44" s="337"/>
      <c r="R44" s="338"/>
      <c r="S44" s="336"/>
      <c r="T44" s="337"/>
      <c r="U44" s="337"/>
      <c r="V44" s="337"/>
      <c r="W44" s="338"/>
      <c r="X44" s="336"/>
      <c r="Y44" s="337"/>
      <c r="Z44" s="337"/>
      <c r="AA44" s="337"/>
      <c r="AB44" s="338"/>
      <c r="AC44" s="336"/>
      <c r="AD44" s="337"/>
      <c r="AE44" s="337"/>
      <c r="AF44" s="337"/>
      <c r="AG44" s="338"/>
      <c r="AH44" s="336"/>
      <c r="AI44" s="337"/>
      <c r="AJ44" s="337"/>
      <c r="AK44" s="337"/>
      <c r="AL44" s="338"/>
      <c r="AM44" s="336"/>
      <c r="AN44" s="337"/>
      <c r="AO44" s="337"/>
      <c r="AP44" s="337"/>
      <c r="AQ44" s="338"/>
      <c r="AR44" s="336"/>
      <c r="AS44" s="337"/>
      <c r="AT44" s="337"/>
      <c r="AU44" s="337"/>
      <c r="AV44" s="338"/>
      <c r="AW44" s="336"/>
      <c r="AX44" s="337"/>
      <c r="AY44" s="337"/>
      <c r="AZ44" s="337"/>
      <c r="BA44" s="338"/>
      <c r="BB44" s="336"/>
      <c r="BC44" s="337"/>
      <c r="BD44" s="337"/>
      <c r="BE44" s="337"/>
      <c r="BF44" s="338"/>
      <c r="BG44" s="336"/>
      <c r="BH44" s="337"/>
      <c r="BI44" s="337"/>
      <c r="BJ44" s="337"/>
      <c r="BK44" s="338"/>
      <c r="BL44" s="336"/>
      <c r="BM44" s="337"/>
      <c r="BN44" s="337"/>
      <c r="BO44" s="337"/>
      <c r="BP44" s="338"/>
      <c r="BQ44" s="336"/>
      <c r="BR44" s="337"/>
      <c r="BS44" s="337"/>
      <c r="BT44" s="337"/>
      <c r="BU44" s="339"/>
      <c r="BW44" s="236" t="str">
        <f>sum_level("o",'Needs 171007_1815'!D44:BU44)</f>
        <v/>
      </c>
      <c r="BX44" s="237" t="str">
        <f>sum_level("j",'Needs 171007_1815'!D44:BU44)</f>
        <v/>
      </c>
      <c r="BY44" s="237" t="str">
        <f>sum_level("m",'Needs 171007_1815'!D44:BU44)</f>
        <v/>
      </c>
      <c r="BZ44" s="237" t="str">
        <f>sum_level("s",'Needs 171007_1815'!D44:BU44)</f>
        <v/>
      </c>
      <c r="CA44" s="238" t="str">
        <f>sum_level("e",'Needs 171007_1815'!D44:BU44)</f>
        <v/>
      </c>
    </row>
    <row r="45" spans="2:79" x14ac:dyDescent="0.25">
      <c r="B45" s="435"/>
      <c r="C45" s="291" t="s">
        <v>89</v>
      </c>
      <c r="D45" s="336"/>
      <c r="E45" s="337"/>
      <c r="F45" s="337"/>
      <c r="G45" s="337"/>
      <c r="H45" s="338"/>
      <c r="I45" s="336"/>
      <c r="J45" s="337"/>
      <c r="K45" s="337"/>
      <c r="L45" s="337"/>
      <c r="M45" s="338"/>
      <c r="N45" s="336"/>
      <c r="O45" s="337"/>
      <c r="P45" s="337"/>
      <c r="Q45" s="337"/>
      <c r="R45" s="338"/>
      <c r="S45" s="336"/>
      <c r="T45" s="337"/>
      <c r="U45" s="337"/>
      <c r="V45" s="337"/>
      <c r="W45" s="338"/>
      <c r="X45" s="336"/>
      <c r="Y45" s="337"/>
      <c r="Z45" s="337"/>
      <c r="AA45" s="337"/>
      <c r="AB45" s="338"/>
      <c r="AC45" s="336"/>
      <c r="AD45" s="337"/>
      <c r="AE45" s="337"/>
      <c r="AF45" s="337"/>
      <c r="AG45" s="338"/>
      <c r="AH45" s="336"/>
      <c r="AI45" s="337"/>
      <c r="AJ45" s="337"/>
      <c r="AK45" s="337"/>
      <c r="AL45" s="338"/>
      <c r="AM45" s="336"/>
      <c r="AN45" s="337"/>
      <c r="AO45" s="337"/>
      <c r="AP45" s="337"/>
      <c r="AQ45" s="338"/>
      <c r="AR45" s="336"/>
      <c r="AS45" s="337"/>
      <c r="AT45" s="337"/>
      <c r="AU45" s="337"/>
      <c r="AV45" s="338"/>
      <c r="AW45" s="336"/>
      <c r="AX45" s="337"/>
      <c r="AY45" s="337"/>
      <c r="AZ45" s="337"/>
      <c r="BA45" s="338"/>
      <c r="BB45" s="336"/>
      <c r="BC45" s="337"/>
      <c r="BD45" s="337"/>
      <c r="BE45" s="337"/>
      <c r="BF45" s="338"/>
      <c r="BG45" s="336"/>
      <c r="BH45" s="337"/>
      <c r="BI45" s="337"/>
      <c r="BJ45" s="337"/>
      <c r="BK45" s="338"/>
      <c r="BL45" s="336"/>
      <c r="BM45" s="337"/>
      <c r="BN45" s="337"/>
      <c r="BO45" s="337"/>
      <c r="BP45" s="338"/>
      <c r="BQ45" s="336"/>
      <c r="BR45" s="337"/>
      <c r="BS45" s="337"/>
      <c r="BT45" s="337"/>
      <c r="BU45" s="339"/>
      <c r="BW45" s="236" t="str">
        <f>sum_level("o",'Needs 171007_1815'!D45:BU45)</f>
        <v/>
      </c>
      <c r="BX45" s="237" t="str">
        <f>sum_level("j",'Needs 171007_1815'!D45:BU45)</f>
        <v/>
      </c>
      <c r="BY45" s="237" t="str">
        <f>sum_level("m",'Needs 171007_1815'!D45:BU45)</f>
        <v/>
      </c>
      <c r="BZ45" s="237" t="str">
        <f>sum_level("s",'Needs 171007_1815'!D45:BU45)</f>
        <v/>
      </c>
      <c r="CA45" s="238" t="str">
        <f>sum_level("e",'Needs 171007_1815'!D45:BU45)</f>
        <v/>
      </c>
    </row>
    <row r="46" spans="2:79" x14ac:dyDescent="0.25">
      <c r="B46" s="435"/>
      <c r="C46" s="291" t="s">
        <v>90</v>
      </c>
      <c r="D46" s="336"/>
      <c r="E46" s="337"/>
      <c r="F46" s="337"/>
      <c r="G46" s="337"/>
      <c r="H46" s="338"/>
      <c r="I46" s="336"/>
      <c r="J46" s="337"/>
      <c r="K46" s="337"/>
      <c r="L46" s="337"/>
      <c r="M46" s="338"/>
      <c r="N46" s="336"/>
      <c r="O46" s="337"/>
      <c r="P46" s="337"/>
      <c r="Q46" s="337"/>
      <c r="R46" s="338"/>
      <c r="S46" s="336"/>
      <c r="T46" s="337"/>
      <c r="U46" s="337"/>
      <c r="V46" s="337"/>
      <c r="W46" s="338"/>
      <c r="X46" s="336"/>
      <c r="Y46" s="337"/>
      <c r="Z46" s="337"/>
      <c r="AA46" s="337"/>
      <c r="AB46" s="338"/>
      <c r="AC46" s="336"/>
      <c r="AD46" s="337"/>
      <c r="AE46" s="337"/>
      <c r="AF46" s="337"/>
      <c r="AG46" s="338"/>
      <c r="AH46" s="336"/>
      <c r="AI46" s="337"/>
      <c r="AJ46" s="337"/>
      <c r="AK46" s="337"/>
      <c r="AL46" s="338"/>
      <c r="AM46" s="336"/>
      <c r="AN46" s="337"/>
      <c r="AO46" s="337"/>
      <c r="AP46" s="337"/>
      <c r="AQ46" s="338"/>
      <c r="AR46" s="336"/>
      <c r="AS46" s="337"/>
      <c r="AT46" s="337"/>
      <c r="AU46" s="337"/>
      <c r="AV46" s="338"/>
      <c r="AW46" s="336"/>
      <c r="AX46" s="337"/>
      <c r="AY46" s="337"/>
      <c r="AZ46" s="337"/>
      <c r="BA46" s="338"/>
      <c r="BB46" s="336"/>
      <c r="BC46" s="337"/>
      <c r="BD46" s="337"/>
      <c r="BE46" s="337"/>
      <c r="BF46" s="338"/>
      <c r="BG46" s="336"/>
      <c r="BH46" s="337"/>
      <c r="BI46" s="337"/>
      <c r="BJ46" s="337"/>
      <c r="BK46" s="338"/>
      <c r="BL46" s="336"/>
      <c r="BM46" s="337"/>
      <c r="BN46" s="337"/>
      <c r="BO46" s="337"/>
      <c r="BP46" s="338"/>
      <c r="BQ46" s="336"/>
      <c r="BR46" s="337"/>
      <c r="BS46" s="337"/>
      <c r="BT46" s="337"/>
      <c r="BU46" s="339"/>
      <c r="BW46" s="236" t="str">
        <f>sum_level("o",'Needs 171007_1815'!D46:BU46)</f>
        <v/>
      </c>
      <c r="BX46" s="237" t="str">
        <f>sum_level("j",'Needs 171007_1815'!D46:BU46)</f>
        <v/>
      </c>
      <c r="BY46" s="237" t="str">
        <f>sum_level("m",'Needs 171007_1815'!D46:BU46)</f>
        <v/>
      </c>
      <c r="BZ46" s="237" t="str">
        <f>sum_level("s",'Needs 171007_1815'!D46:BU46)</f>
        <v/>
      </c>
      <c r="CA46" s="238" t="str">
        <f>sum_level("e",'Needs 171007_1815'!D46:BU46)</f>
        <v/>
      </c>
    </row>
    <row r="47" spans="2:79" x14ac:dyDescent="0.25">
      <c r="B47" s="435"/>
      <c r="C47" s="291" t="s">
        <v>91</v>
      </c>
      <c r="D47" s="336"/>
      <c r="E47" s="337"/>
      <c r="F47" s="337"/>
      <c r="G47" s="337"/>
      <c r="H47" s="338"/>
      <c r="I47" s="336"/>
      <c r="J47" s="337"/>
      <c r="K47" s="337"/>
      <c r="L47" s="337"/>
      <c r="M47" s="338"/>
      <c r="N47" s="336"/>
      <c r="O47" s="337"/>
      <c r="P47" s="337"/>
      <c r="Q47" s="337"/>
      <c r="R47" s="338"/>
      <c r="S47" s="336"/>
      <c r="T47" s="337"/>
      <c r="U47" s="337"/>
      <c r="V47" s="337"/>
      <c r="W47" s="338"/>
      <c r="X47" s="336"/>
      <c r="Y47" s="337"/>
      <c r="Z47" s="337"/>
      <c r="AA47" s="337"/>
      <c r="AB47" s="338"/>
      <c r="AC47" s="336"/>
      <c r="AD47" s="337"/>
      <c r="AE47" s="337"/>
      <c r="AF47" s="337"/>
      <c r="AG47" s="338"/>
      <c r="AH47" s="336"/>
      <c r="AI47" s="337"/>
      <c r="AJ47" s="337"/>
      <c r="AK47" s="337"/>
      <c r="AL47" s="338"/>
      <c r="AM47" s="336"/>
      <c r="AN47" s="337"/>
      <c r="AO47" s="337"/>
      <c r="AP47" s="337"/>
      <c r="AQ47" s="338"/>
      <c r="AR47" s="336"/>
      <c r="AS47" s="337"/>
      <c r="AT47" s="337"/>
      <c r="AU47" s="337"/>
      <c r="AV47" s="338"/>
      <c r="AW47" s="336"/>
      <c r="AX47" s="337"/>
      <c r="AY47" s="337"/>
      <c r="AZ47" s="337"/>
      <c r="BA47" s="338"/>
      <c r="BB47" s="336"/>
      <c r="BC47" s="337"/>
      <c r="BD47" s="337"/>
      <c r="BE47" s="337"/>
      <c r="BF47" s="338"/>
      <c r="BG47" s="336"/>
      <c r="BH47" s="337"/>
      <c r="BI47" s="337"/>
      <c r="BJ47" s="337"/>
      <c r="BK47" s="338"/>
      <c r="BL47" s="336"/>
      <c r="BM47" s="337"/>
      <c r="BN47" s="337"/>
      <c r="BO47" s="337"/>
      <c r="BP47" s="338"/>
      <c r="BQ47" s="336"/>
      <c r="BR47" s="337"/>
      <c r="BS47" s="337"/>
      <c r="BT47" s="337"/>
      <c r="BU47" s="339"/>
      <c r="BW47" s="236" t="str">
        <f>sum_level("o",'Needs 171007_1815'!D47:BU47)</f>
        <v/>
      </c>
      <c r="BX47" s="237" t="str">
        <f>sum_level("j",'Needs 171007_1815'!D47:BU47)</f>
        <v/>
      </c>
      <c r="BY47" s="237" t="str">
        <f>sum_level("m",'Needs 171007_1815'!D47:BU47)</f>
        <v/>
      </c>
      <c r="BZ47" s="237" t="str">
        <f>sum_level("s",'Needs 171007_1815'!D47:BU47)</f>
        <v/>
      </c>
      <c r="CA47" s="238" t="str">
        <f>sum_level("e",'Needs 171007_1815'!D47:BU47)</f>
        <v/>
      </c>
    </row>
    <row r="48" spans="2:79" x14ac:dyDescent="0.25">
      <c r="B48" s="435"/>
      <c r="C48" s="291" t="s">
        <v>226</v>
      </c>
      <c r="D48" s="336"/>
      <c r="E48" s="337"/>
      <c r="F48" s="337"/>
      <c r="G48" s="337"/>
      <c r="H48" s="338"/>
      <c r="I48" s="336"/>
      <c r="J48" s="337"/>
      <c r="K48" s="337"/>
      <c r="L48" s="337"/>
      <c r="M48" s="338"/>
      <c r="N48" s="336"/>
      <c r="O48" s="337"/>
      <c r="P48" s="337"/>
      <c r="Q48" s="337"/>
      <c r="R48" s="338"/>
      <c r="S48" s="336"/>
      <c r="T48" s="337"/>
      <c r="U48" s="337"/>
      <c r="V48" s="337"/>
      <c r="W48" s="338"/>
      <c r="X48" s="336"/>
      <c r="Y48" s="337"/>
      <c r="Z48" s="337"/>
      <c r="AA48" s="337"/>
      <c r="AB48" s="338"/>
      <c r="AC48" s="336"/>
      <c r="AD48" s="337"/>
      <c r="AE48" s="337"/>
      <c r="AF48" s="337"/>
      <c r="AG48" s="338"/>
      <c r="AH48" s="336"/>
      <c r="AI48" s="337"/>
      <c r="AJ48" s="337"/>
      <c r="AK48" s="337"/>
      <c r="AL48" s="338"/>
      <c r="AM48" s="336"/>
      <c r="AN48" s="337"/>
      <c r="AO48" s="337"/>
      <c r="AP48" s="337"/>
      <c r="AQ48" s="338"/>
      <c r="AR48" s="336"/>
      <c r="AS48" s="337"/>
      <c r="AT48" s="337"/>
      <c r="AU48" s="337"/>
      <c r="AV48" s="338"/>
      <c r="AW48" s="336"/>
      <c r="AX48" s="337"/>
      <c r="AY48" s="337"/>
      <c r="AZ48" s="337"/>
      <c r="BA48" s="338"/>
      <c r="BB48" s="336"/>
      <c r="BC48" s="337"/>
      <c r="BD48" s="337"/>
      <c r="BE48" s="337"/>
      <c r="BF48" s="338"/>
      <c r="BG48" s="336"/>
      <c r="BH48" s="337"/>
      <c r="BI48" s="337"/>
      <c r="BJ48" s="337"/>
      <c r="BK48" s="338"/>
      <c r="BL48" s="336"/>
      <c r="BM48" s="337"/>
      <c r="BN48" s="337"/>
      <c r="BO48" s="337"/>
      <c r="BP48" s="338"/>
      <c r="BQ48" s="336"/>
      <c r="BR48" s="337"/>
      <c r="BS48" s="337"/>
      <c r="BT48" s="337"/>
      <c r="BU48" s="339"/>
      <c r="BW48" s="236" t="str">
        <f>sum_level("o",'Needs 171007_1815'!D48:BU48)</f>
        <v/>
      </c>
      <c r="BX48" s="237" t="str">
        <f>sum_level("j",'Needs 171007_1815'!D48:BU48)</f>
        <v/>
      </c>
      <c r="BY48" s="237" t="str">
        <f>sum_level("m",'Needs 171007_1815'!D48:BU48)</f>
        <v/>
      </c>
      <c r="BZ48" s="237" t="str">
        <f>sum_level("s",'Needs 171007_1815'!D48:BU48)</f>
        <v/>
      </c>
      <c r="CA48" s="238" t="str">
        <f>sum_level("e",'Needs 171007_1815'!D48:BU48)</f>
        <v/>
      </c>
    </row>
    <row r="49" spans="2:79" ht="15.75" thickBot="1" x14ac:dyDescent="0.3">
      <c r="B49" s="435"/>
      <c r="C49" s="292" t="s">
        <v>227</v>
      </c>
      <c r="D49" s="340"/>
      <c r="E49" s="341"/>
      <c r="F49" s="341"/>
      <c r="G49" s="341"/>
      <c r="H49" s="342"/>
      <c r="I49" s="340"/>
      <c r="J49" s="341"/>
      <c r="K49" s="341"/>
      <c r="L49" s="341"/>
      <c r="M49" s="342"/>
      <c r="N49" s="340"/>
      <c r="O49" s="341"/>
      <c r="P49" s="341"/>
      <c r="Q49" s="341"/>
      <c r="R49" s="342"/>
      <c r="S49" s="340"/>
      <c r="T49" s="341"/>
      <c r="U49" s="341"/>
      <c r="V49" s="341"/>
      <c r="W49" s="342"/>
      <c r="X49" s="340"/>
      <c r="Y49" s="341"/>
      <c r="Z49" s="341"/>
      <c r="AA49" s="341"/>
      <c r="AB49" s="342"/>
      <c r="AC49" s="340"/>
      <c r="AD49" s="341"/>
      <c r="AE49" s="341"/>
      <c r="AF49" s="341"/>
      <c r="AG49" s="342"/>
      <c r="AH49" s="340"/>
      <c r="AI49" s="341"/>
      <c r="AJ49" s="341"/>
      <c r="AK49" s="341"/>
      <c r="AL49" s="342"/>
      <c r="AM49" s="340"/>
      <c r="AN49" s="341"/>
      <c r="AO49" s="341"/>
      <c r="AP49" s="341"/>
      <c r="AQ49" s="342"/>
      <c r="AR49" s="340"/>
      <c r="AS49" s="341"/>
      <c r="AT49" s="341"/>
      <c r="AU49" s="341"/>
      <c r="AV49" s="342"/>
      <c r="AW49" s="340"/>
      <c r="AX49" s="341"/>
      <c r="AY49" s="341"/>
      <c r="AZ49" s="341"/>
      <c r="BA49" s="342"/>
      <c r="BB49" s="340"/>
      <c r="BC49" s="341"/>
      <c r="BD49" s="341"/>
      <c r="BE49" s="341"/>
      <c r="BF49" s="342"/>
      <c r="BG49" s="340"/>
      <c r="BH49" s="341"/>
      <c r="BI49" s="341"/>
      <c r="BJ49" s="341"/>
      <c r="BK49" s="342"/>
      <c r="BL49" s="340"/>
      <c r="BM49" s="341"/>
      <c r="BN49" s="341"/>
      <c r="BO49" s="341"/>
      <c r="BP49" s="342"/>
      <c r="BQ49" s="340"/>
      <c r="BR49" s="341"/>
      <c r="BS49" s="341"/>
      <c r="BT49" s="341"/>
      <c r="BU49" s="343"/>
      <c r="BW49" s="239" t="str">
        <f>sum_level("o",'Needs 171007_1815'!D49:BU49)</f>
        <v/>
      </c>
      <c r="BX49" s="240" t="str">
        <f>sum_level("j",'Needs 171007_1815'!D49:BU49)</f>
        <v/>
      </c>
      <c r="BY49" s="240" t="str">
        <f>sum_level("m",'Needs 171007_1815'!D49:BU49)</f>
        <v/>
      </c>
      <c r="BZ49" s="240" t="str">
        <f>sum_level("s",'Needs 171007_1815'!D49:BU49)</f>
        <v/>
      </c>
      <c r="CA49" s="241" t="str">
        <f>sum_level("e",'Needs 171007_1815'!D49:BU49)</f>
        <v/>
      </c>
    </row>
    <row r="50" spans="2:79" ht="12.75" customHeight="1" thickTop="1" thickBot="1" x14ac:dyDescent="0.3">
      <c r="B50" s="436"/>
      <c r="C50" s="248"/>
      <c r="D50" s="344"/>
      <c r="E50" s="344"/>
      <c r="F50" s="344"/>
      <c r="G50" s="344"/>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c r="BH50" s="344"/>
      <c r="BI50" s="344"/>
      <c r="BJ50" s="344"/>
      <c r="BK50" s="344"/>
      <c r="BL50" s="344"/>
      <c r="BM50" s="344"/>
      <c r="BN50" s="344"/>
      <c r="BO50" s="344"/>
      <c r="BP50" s="344"/>
      <c r="BQ50" s="344"/>
      <c r="BR50" s="344"/>
      <c r="BS50" s="344"/>
      <c r="BT50" s="344"/>
      <c r="BU50" s="344"/>
      <c r="BW50" s="249"/>
      <c r="BX50" s="249"/>
      <c r="BY50" s="249"/>
      <c r="BZ50" s="249"/>
      <c r="CA50" s="249"/>
    </row>
    <row r="51" spans="2:79" ht="15.75" thickTop="1" x14ac:dyDescent="0.25">
      <c r="B51" s="434" t="s">
        <v>122</v>
      </c>
      <c r="C51" s="290" t="s">
        <v>92</v>
      </c>
      <c r="D51" s="332"/>
      <c r="E51" s="333"/>
      <c r="F51" s="333"/>
      <c r="G51" s="333"/>
      <c r="H51" s="334"/>
      <c r="I51" s="332"/>
      <c r="J51" s="333"/>
      <c r="K51" s="333"/>
      <c r="L51" s="333"/>
      <c r="M51" s="334"/>
      <c r="N51" s="332"/>
      <c r="O51" s="333"/>
      <c r="P51" s="333"/>
      <c r="Q51" s="333"/>
      <c r="R51" s="334"/>
      <c r="S51" s="332"/>
      <c r="T51" s="333"/>
      <c r="U51" s="333"/>
      <c r="V51" s="333"/>
      <c r="W51" s="334"/>
      <c r="X51" s="332"/>
      <c r="Y51" s="333"/>
      <c r="Z51" s="333"/>
      <c r="AA51" s="333"/>
      <c r="AB51" s="334"/>
      <c r="AC51" s="332"/>
      <c r="AD51" s="333"/>
      <c r="AE51" s="333"/>
      <c r="AF51" s="333"/>
      <c r="AG51" s="334"/>
      <c r="AH51" s="332"/>
      <c r="AI51" s="333"/>
      <c r="AJ51" s="333"/>
      <c r="AK51" s="333"/>
      <c r="AL51" s="334"/>
      <c r="AM51" s="332"/>
      <c r="AN51" s="333"/>
      <c r="AO51" s="333"/>
      <c r="AP51" s="333"/>
      <c r="AQ51" s="334"/>
      <c r="AR51" s="332"/>
      <c r="AS51" s="333"/>
      <c r="AT51" s="333"/>
      <c r="AU51" s="333"/>
      <c r="AV51" s="334"/>
      <c r="AW51" s="332"/>
      <c r="AX51" s="333"/>
      <c r="AY51" s="333"/>
      <c r="AZ51" s="333"/>
      <c r="BA51" s="334"/>
      <c r="BB51" s="332"/>
      <c r="BC51" s="333"/>
      <c r="BD51" s="333"/>
      <c r="BE51" s="333"/>
      <c r="BF51" s="334"/>
      <c r="BG51" s="332">
        <v>26</v>
      </c>
      <c r="BH51" s="333"/>
      <c r="BI51" s="333"/>
      <c r="BJ51" s="333"/>
      <c r="BK51" s="334"/>
      <c r="BL51" s="332"/>
      <c r="BM51" s="333"/>
      <c r="BN51" s="333"/>
      <c r="BO51" s="333"/>
      <c r="BP51" s="334"/>
      <c r="BQ51" s="332"/>
      <c r="BR51" s="333"/>
      <c r="BS51" s="333"/>
      <c r="BT51" s="333"/>
      <c r="BU51" s="335"/>
      <c r="BW51" s="233" t="str">
        <f>sum_level("o",'Needs 171007_1815'!D51:BU51)</f>
        <v>26</v>
      </c>
      <c r="BX51" s="234" t="str">
        <f>sum_level("j",'Needs 171007_1815'!D51:BU51)</f>
        <v/>
      </c>
      <c r="BY51" s="234" t="str">
        <f>sum_level("m",'Needs 171007_1815'!D51:BU51)</f>
        <v/>
      </c>
      <c r="BZ51" s="234" t="str">
        <f>sum_level("s",'Needs 171007_1815'!D51:BU51)</f>
        <v/>
      </c>
      <c r="CA51" s="235" t="str">
        <f>sum_level("e",'Needs 171007_1815'!D51:BU51)</f>
        <v/>
      </c>
    </row>
    <row r="52" spans="2:79" x14ac:dyDescent="0.25">
      <c r="B52" s="435"/>
      <c r="C52" s="291" t="s">
        <v>93</v>
      </c>
      <c r="D52" s="336"/>
      <c r="E52" s="337"/>
      <c r="F52" s="337"/>
      <c r="G52" s="337"/>
      <c r="H52" s="338"/>
      <c r="I52" s="336"/>
      <c r="J52" s="337"/>
      <c r="K52" s="337"/>
      <c r="L52" s="337"/>
      <c r="M52" s="338"/>
      <c r="N52" s="336"/>
      <c r="O52" s="337"/>
      <c r="P52" s="337"/>
      <c r="Q52" s="337"/>
      <c r="R52" s="338"/>
      <c r="S52" s="336"/>
      <c r="T52" s="337"/>
      <c r="U52" s="337"/>
      <c r="V52" s="337"/>
      <c r="W52" s="338"/>
      <c r="X52" s="336"/>
      <c r="Y52" s="337"/>
      <c r="Z52" s="337"/>
      <c r="AA52" s="337"/>
      <c r="AB52" s="338"/>
      <c r="AC52" s="336"/>
      <c r="AD52" s="337"/>
      <c r="AE52" s="337"/>
      <c r="AF52" s="337"/>
      <c r="AG52" s="338"/>
      <c r="AH52" s="336"/>
      <c r="AI52" s="337"/>
      <c r="AJ52" s="337"/>
      <c r="AK52" s="337"/>
      <c r="AL52" s="338"/>
      <c r="AM52" s="336"/>
      <c r="AN52" s="337"/>
      <c r="AO52" s="337"/>
      <c r="AP52" s="337"/>
      <c r="AQ52" s="338"/>
      <c r="AR52" s="336"/>
      <c r="AS52" s="337"/>
      <c r="AT52" s="337"/>
      <c r="AU52" s="337"/>
      <c r="AV52" s="338"/>
      <c r="AW52" s="336"/>
      <c r="AX52" s="337"/>
      <c r="AY52" s="337"/>
      <c r="AZ52" s="337"/>
      <c r="BA52" s="338"/>
      <c r="BB52" s="336"/>
      <c r="BC52" s="337"/>
      <c r="BD52" s="337"/>
      <c r="BE52" s="337"/>
      <c r="BF52" s="338"/>
      <c r="BG52" s="336"/>
      <c r="BH52" s="337">
        <v>27</v>
      </c>
      <c r="BI52" s="337"/>
      <c r="BJ52" s="337"/>
      <c r="BK52" s="338"/>
      <c r="BL52" s="336"/>
      <c r="BM52" s="337"/>
      <c r="BN52" s="337"/>
      <c r="BO52" s="337"/>
      <c r="BP52" s="338"/>
      <c r="BQ52" s="336"/>
      <c r="BR52" s="337"/>
      <c r="BS52" s="337"/>
      <c r="BT52" s="337"/>
      <c r="BU52" s="339"/>
      <c r="BW52" s="236" t="str">
        <f>sum_level("o",'Needs 171007_1815'!D52:BU52)</f>
        <v/>
      </c>
      <c r="BX52" s="237" t="str">
        <f>sum_level("j",'Needs 171007_1815'!D52:BU52)</f>
        <v>27</v>
      </c>
      <c r="BY52" s="237" t="str">
        <f>sum_level("m",'Needs 171007_1815'!D52:BU52)</f>
        <v/>
      </c>
      <c r="BZ52" s="237" t="str">
        <f>sum_level("s",'Needs 171007_1815'!D52:BU52)</f>
        <v/>
      </c>
      <c r="CA52" s="238" t="str">
        <f>sum_level("e",'Needs 171007_1815'!D52:BU52)</f>
        <v/>
      </c>
    </row>
    <row r="53" spans="2:79" x14ac:dyDescent="0.25">
      <c r="B53" s="435"/>
      <c r="C53" s="291" t="s">
        <v>94</v>
      </c>
      <c r="D53" s="336"/>
      <c r="E53" s="337"/>
      <c r="F53" s="337"/>
      <c r="G53" s="337"/>
      <c r="H53" s="338"/>
      <c r="I53" s="336"/>
      <c r="J53" s="337"/>
      <c r="K53" s="337"/>
      <c r="L53" s="337"/>
      <c r="M53" s="338"/>
      <c r="N53" s="336"/>
      <c r="O53" s="337"/>
      <c r="P53" s="337"/>
      <c r="Q53" s="337"/>
      <c r="R53" s="338"/>
      <c r="S53" s="336"/>
      <c r="T53" s="337"/>
      <c r="U53" s="337"/>
      <c r="V53" s="337"/>
      <c r="W53" s="338"/>
      <c r="X53" s="336"/>
      <c r="Y53" s="337"/>
      <c r="Z53" s="337"/>
      <c r="AA53" s="337"/>
      <c r="AB53" s="338"/>
      <c r="AC53" s="336"/>
      <c r="AD53" s="337"/>
      <c r="AE53" s="337"/>
      <c r="AF53" s="337"/>
      <c r="AG53" s="338"/>
      <c r="AH53" s="336"/>
      <c r="AI53" s="337"/>
      <c r="AJ53" s="337"/>
      <c r="AK53" s="337"/>
      <c r="AL53" s="338"/>
      <c r="AM53" s="336"/>
      <c r="AN53" s="337"/>
      <c r="AO53" s="337"/>
      <c r="AP53" s="337"/>
      <c r="AQ53" s="338"/>
      <c r="AR53" s="336"/>
      <c r="AS53" s="337"/>
      <c r="AT53" s="337"/>
      <c r="AU53" s="337"/>
      <c r="AV53" s="338"/>
      <c r="AW53" s="336"/>
      <c r="AX53" s="337"/>
      <c r="AY53" s="337"/>
      <c r="AZ53" s="337"/>
      <c r="BA53" s="338"/>
      <c r="BB53" s="336"/>
      <c r="BC53" s="337"/>
      <c r="BD53" s="337"/>
      <c r="BE53" s="337"/>
      <c r="BF53" s="338"/>
      <c r="BG53" s="336"/>
      <c r="BH53" s="337"/>
      <c r="BI53" s="337">
        <v>28</v>
      </c>
      <c r="BJ53" s="337"/>
      <c r="BK53" s="338"/>
      <c r="BL53" s="336"/>
      <c r="BM53" s="337"/>
      <c r="BN53" s="337"/>
      <c r="BO53" s="337"/>
      <c r="BP53" s="338"/>
      <c r="BQ53" s="336"/>
      <c r="BR53" s="337"/>
      <c r="BS53" s="337"/>
      <c r="BT53" s="337"/>
      <c r="BU53" s="339"/>
      <c r="BW53" s="236" t="str">
        <f>sum_level("o",'Needs 171007_1815'!D53:BU53)</f>
        <v/>
      </c>
      <c r="BX53" s="237" t="str">
        <f>sum_level("j",'Needs 171007_1815'!D53:BU53)</f>
        <v/>
      </c>
      <c r="BY53" s="237" t="str">
        <f>sum_level("m",'Needs 171007_1815'!D53:BU53)</f>
        <v>28</v>
      </c>
      <c r="BZ53" s="237" t="str">
        <f>sum_level("s",'Needs 171007_1815'!D53:BU53)</f>
        <v/>
      </c>
      <c r="CA53" s="238" t="str">
        <f>sum_level("e",'Needs 171007_1815'!D53:BU53)</f>
        <v/>
      </c>
    </row>
    <row r="54" spans="2:79" x14ac:dyDescent="0.25">
      <c r="B54" s="435"/>
      <c r="C54" s="291" t="s">
        <v>95</v>
      </c>
      <c r="D54" s="336"/>
      <c r="E54" s="337"/>
      <c r="F54" s="337"/>
      <c r="G54" s="337"/>
      <c r="H54" s="338"/>
      <c r="I54" s="336"/>
      <c r="J54" s="337"/>
      <c r="K54" s="337"/>
      <c r="L54" s="337"/>
      <c r="M54" s="338"/>
      <c r="N54" s="336"/>
      <c r="O54" s="337"/>
      <c r="P54" s="337"/>
      <c r="Q54" s="337"/>
      <c r="R54" s="338"/>
      <c r="S54" s="336"/>
      <c r="T54" s="337"/>
      <c r="U54" s="337"/>
      <c r="V54" s="337"/>
      <c r="W54" s="338"/>
      <c r="X54" s="336"/>
      <c r="Y54" s="337"/>
      <c r="Z54" s="337"/>
      <c r="AA54" s="337"/>
      <c r="AB54" s="338"/>
      <c r="AC54" s="336"/>
      <c r="AD54" s="337"/>
      <c r="AE54" s="337"/>
      <c r="AF54" s="337"/>
      <c r="AG54" s="338"/>
      <c r="AH54" s="336"/>
      <c r="AI54" s="337"/>
      <c r="AJ54" s="337"/>
      <c r="AK54" s="337"/>
      <c r="AL54" s="338"/>
      <c r="AM54" s="336"/>
      <c r="AN54" s="337"/>
      <c r="AO54" s="337"/>
      <c r="AP54" s="337"/>
      <c r="AQ54" s="338"/>
      <c r="AR54" s="336"/>
      <c r="AS54" s="337"/>
      <c r="AT54" s="337"/>
      <c r="AU54" s="337"/>
      <c r="AV54" s="338"/>
      <c r="AW54" s="336"/>
      <c r="AX54" s="337"/>
      <c r="AY54" s="337"/>
      <c r="AZ54" s="337"/>
      <c r="BA54" s="338"/>
      <c r="BB54" s="336"/>
      <c r="BC54" s="337"/>
      <c r="BD54" s="337"/>
      <c r="BE54" s="337"/>
      <c r="BF54" s="338"/>
      <c r="BG54" s="336"/>
      <c r="BH54" s="337"/>
      <c r="BI54" s="337"/>
      <c r="BJ54" s="337">
        <v>29</v>
      </c>
      <c r="BK54" s="338"/>
      <c r="BL54" s="336"/>
      <c r="BM54" s="337"/>
      <c r="BN54" s="337"/>
      <c r="BO54" s="337"/>
      <c r="BP54" s="338"/>
      <c r="BQ54" s="336"/>
      <c r="BR54" s="337"/>
      <c r="BS54" s="337"/>
      <c r="BT54" s="337"/>
      <c r="BU54" s="339"/>
      <c r="BW54" s="236" t="str">
        <f>sum_level("o",'Needs 171007_1815'!D54:BU54)</f>
        <v/>
      </c>
      <c r="BX54" s="237" t="str">
        <f>sum_level("j",'Needs 171007_1815'!D54:BU54)</f>
        <v/>
      </c>
      <c r="BY54" s="237" t="str">
        <f>sum_level("m",'Needs 171007_1815'!D54:BU54)</f>
        <v/>
      </c>
      <c r="BZ54" s="237" t="str">
        <f>sum_level("s",'Needs 171007_1815'!D54:BU54)</f>
        <v>29</v>
      </c>
      <c r="CA54" s="238" t="str">
        <f>sum_level("e",'Needs 171007_1815'!D54:BU54)</f>
        <v/>
      </c>
    </row>
    <row r="55" spans="2:79" x14ac:dyDescent="0.25">
      <c r="B55" s="435"/>
      <c r="C55" s="291" t="s">
        <v>96</v>
      </c>
      <c r="D55" s="336"/>
      <c r="E55" s="337"/>
      <c r="F55" s="337"/>
      <c r="G55" s="337"/>
      <c r="H55" s="338"/>
      <c r="I55" s="336"/>
      <c r="J55" s="337"/>
      <c r="K55" s="337"/>
      <c r="L55" s="337"/>
      <c r="M55" s="338"/>
      <c r="N55" s="336"/>
      <c r="O55" s="337"/>
      <c r="P55" s="337"/>
      <c r="Q55" s="337"/>
      <c r="R55" s="338"/>
      <c r="S55" s="336"/>
      <c r="T55" s="337"/>
      <c r="U55" s="337"/>
      <c r="V55" s="337"/>
      <c r="W55" s="338"/>
      <c r="X55" s="336"/>
      <c r="Y55" s="337"/>
      <c r="Z55" s="337"/>
      <c r="AA55" s="337"/>
      <c r="AB55" s="338"/>
      <c r="AC55" s="336"/>
      <c r="AD55" s="337"/>
      <c r="AE55" s="337"/>
      <c r="AF55" s="337"/>
      <c r="AG55" s="338"/>
      <c r="AH55" s="336"/>
      <c r="AI55" s="337"/>
      <c r="AJ55" s="337"/>
      <c r="AK55" s="337"/>
      <c r="AL55" s="338"/>
      <c r="AM55" s="336"/>
      <c r="AN55" s="337"/>
      <c r="AO55" s="337"/>
      <c r="AP55" s="337"/>
      <c r="AQ55" s="338"/>
      <c r="AR55" s="336"/>
      <c r="AS55" s="337"/>
      <c r="AT55" s="337"/>
      <c r="AU55" s="337"/>
      <c r="AV55" s="338"/>
      <c r="AW55" s="336"/>
      <c r="AX55" s="337"/>
      <c r="AY55" s="337"/>
      <c r="AZ55" s="337"/>
      <c r="BA55" s="338"/>
      <c r="BB55" s="336"/>
      <c r="BC55" s="337"/>
      <c r="BD55" s="337"/>
      <c r="BE55" s="337"/>
      <c r="BF55" s="338"/>
      <c r="BG55" s="336"/>
      <c r="BH55" s="337"/>
      <c r="BI55" s="337"/>
      <c r="BJ55" s="337"/>
      <c r="BK55" s="338">
        <v>30</v>
      </c>
      <c r="BL55" s="336"/>
      <c r="BM55" s="337"/>
      <c r="BN55" s="337"/>
      <c r="BO55" s="337"/>
      <c r="BP55" s="338"/>
      <c r="BQ55" s="336"/>
      <c r="BR55" s="337"/>
      <c r="BS55" s="337"/>
      <c r="BT55" s="337"/>
      <c r="BU55" s="339"/>
      <c r="BW55" s="236" t="str">
        <f>sum_level("o",'Needs 171007_1815'!D55:BU55)</f>
        <v/>
      </c>
      <c r="BX55" s="237" t="str">
        <f>sum_level("j",'Needs 171007_1815'!D55:BU55)</f>
        <v/>
      </c>
      <c r="BY55" s="237" t="str">
        <f>sum_level("m",'Needs 171007_1815'!D55:BU55)</f>
        <v/>
      </c>
      <c r="BZ55" s="237" t="str">
        <f>sum_level("s",'Needs 171007_1815'!D55:BU55)</f>
        <v/>
      </c>
      <c r="CA55" s="238" t="str">
        <f>sum_level("e",'Needs 171007_1815'!D55:BU55)</f>
        <v>30</v>
      </c>
    </row>
    <row r="56" spans="2:79" x14ac:dyDescent="0.25">
      <c r="B56" s="435"/>
      <c r="C56" s="291" t="s">
        <v>97</v>
      </c>
      <c r="D56" s="336"/>
      <c r="E56" s="337"/>
      <c r="F56" s="337"/>
      <c r="G56" s="337"/>
      <c r="H56" s="338"/>
      <c r="I56" s="336"/>
      <c r="J56" s="337"/>
      <c r="K56" s="337"/>
      <c r="L56" s="337"/>
      <c r="M56" s="338"/>
      <c r="N56" s="336"/>
      <c r="O56" s="337"/>
      <c r="P56" s="337"/>
      <c r="Q56" s="337"/>
      <c r="R56" s="338"/>
      <c r="S56" s="336"/>
      <c r="T56" s="337"/>
      <c r="U56" s="337"/>
      <c r="V56" s="337"/>
      <c r="W56" s="338"/>
      <c r="X56" s="336"/>
      <c r="Y56" s="337"/>
      <c r="Z56" s="337"/>
      <c r="AA56" s="337"/>
      <c r="AB56" s="338"/>
      <c r="AC56" s="336"/>
      <c r="AD56" s="337"/>
      <c r="AE56" s="337"/>
      <c r="AF56" s="337"/>
      <c r="AG56" s="338"/>
      <c r="AH56" s="336"/>
      <c r="AI56" s="337"/>
      <c r="AJ56" s="337"/>
      <c r="AK56" s="337"/>
      <c r="AL56" s="338"/>
      <c r="AM56" s="336"/>
      <c r="AN56" s="337"/>
      <c r="AO56" s="337"/>
      <c r="AP56" s="337"/>
      <c r="AQ56" s="338"/>
      <c r="AR56" s="336"/>
      <c r="AS56" s="337"/>
      <c r="AT56" s="337"/>
      <c r="AU56" s="337"/>
      <c r="AV56" s="338"/>
      <c r="AW56" s="336"/>
      <c r="AX56" s="337"/>
      <c r="AY56" s="337"/>
      <c r="AZ56" s="337"/>
      <c r="BA56" s="338"/>
      <c r="BB56" s="336"/>
      <c r="BC56" s="337"/>
      <c r="BD56" s="337"/>
      <c r="BE56" s="337"/>
      <c r="BF56" s="338"/>
      <c r="BG56" s="336"/>
      <c r="BH56" s="337"/>
      <c r="BI56" s="337"/>
      <c r="BJ56" s="337"/>
      <c r="BK56" s="338"/>
      <c r="BL56" s="336"/>
      <c r="BM56" s="337"/>
      <c r="BN56" s="337"/>
      <c r="BO56" s="337"/>
      <c r="BP56" s="338"/>
      <c r="BQ56" s="336"/>
      <c r="BR56" s="337"/>
      <c r="BS56" s="337"/>
      <c r="BT56" s="337"/>
      <c r="BU56" s="339"/>
      <c r="BW56" s="236" t="str">
        <f>sum_level("o",'Needs 171007_1815'!D56:BU56)</f>
        <v/>
      </c>
      <c r="BX56" s="237" t="str">
        <f>sum_level("j",'Needs 171007_1815'!D56:BU56)</f>
        <v/>
      </c>
      <c r="BY56" s="237" t="str">
        <f>sum_level("m",'Needs 171007_1815'!D56:BU56)</f>
        <v/>
      </c>
      <c r="BZ56" s="237" t="str">
        <f>sum_level("s",'Needs 171007_1815'!D56:BU56)</f>
        <v/>
      </c>
      <c r="CA56" s="238" t="str">
        <f>sum_level("e",'Needs 171007_1815'!D56:BU56)</f>
        <v/>
      </c>
    </row>
    <row r="57" spans="2:79" x14ac:dyDescent="0.25">
      <c r="B57" s="435"/>
      <c r="C57" s="291" t="s">
        <v>228</v>
      </c>
      <c r="D57" s="336"/>
      <c r="E57" s="337"/>
      <c r="F57" s="337"/>
      <c r="G57" s="337"/>
      <c r="H57" s="338"/>
      <c r="I57" s="336"/>
      <c r="J57" s="337"/>
      <c r="K57" s="337"/>
      <c r="L57" s="337"/>
      <c r="M57" s="338"/>
      <c r="N57" s="336"/>
      <c r="O57" s="337"/>
      <c r="P57" s="337"/>
      <c r="Q57" s="337"/>
      <c r="R57" s="338"/>
      <c r="S57" s="336"/>
      <c r="T57" s="337"/>
      <c r="U57" s="337"/>
      <c r="V57" s="337"/>
      <c r="W57" s="338"/>
      <c r="X57" s="336"/>
      <c r="Y57" s="337"/>
      <c r="Z57" s="337"/>
      <c r="AA57" s="337"/>
      <c r="AB57" s="338"/>
      <c r="AC57" s="336"/>
      <c r="AD57" s="337"/>
      <c r="AE57" s="337"/>
      <c r="AF57" s="337"/>
      <c r="AG57" s="338"/>
      <c r="AH57" s="336"/>
      <c r="AI57" s="337"/>
      <c r="AJ57" s="337"/>
      <c r="AK57" s="337"/>
      <c r="AL57" s="338"/>
      <c r="AM57" s="336"/>
      <c r="AN57" s="337"/>
      <c r="AO57" s="337"/>
      <c r="AP57" s="337"/>
      <c r="AQ57" s="338"/>
      <c r="AR57" s="336"/>
      <c r="AS57" s="337"/>
      <c r="AT57" s="337"/>
      <c r="AU57" s="337"/>
      <c r="AV57" s="338"/>
      <c r="AW57" s="336"/>
      <c r="AX57" s="337"/>
      <c r="AY57" s="337"/>
      <c r="AZ57" s="337"/>
      <c r="BA57" s="338"/>
      <c r="BB57" s="336"/>
      <c r="BC57" s="337"/>
      <c r="BD57" s="337"/>
      <c r="BE57" s="337"/>
      <c r="BF57" s="338"/>
      <c r="BG57" s="336"/>
      <c r="BH57" s="337"/>
      <c r="BI57" s="337"/>
      <c r="BJ57" s="337"/>
      <c r="BK57" s="338"/>
      <c r="BL57" s="336"/>
      <c r="BM57" s="337"/>
      <c r="BN57" s="337"/>
      <c r="BO57" s="337"/>
      <c r="BP57" s="338"/>
      <c r="BQ57" s="336"/>
      <c r="BR57" s="337"/>
      <c r="BS57" s="337"/>
      <c r="BT57" s="337"/>
      <c r="BU57" s="339"/>
      <c r="BW57" s="236" t="str">
        <f>sum_level("o",'Needs 171007_1815'!D57:BU57)</f>
        <v/>
      </c>
      <c r="BX57" s="237" t="str">
        <f>sum_level("j",'Needs 171007_1815'!D57:BU57)</f>
        <v/>
      </c>
      <c r="BY57" s="237" t="str">
        <f>sum_level("m",'Needs 171007_1815'!D57:BU57)</f>
        <v/>
      </c>
      <c r="BZ57" s="237" t="str">
        <f>sum_level("s",'Needs 171007_1815'!D57:BU57)</f>
        <v/>
      </c>
      <c r="CA57" s="238" t="str">
        <f>sum_level("e",'Needs 171007_1815'!D57:BU57)</f>
        <v/>
      </c>
    </row>
    <row r="58" spans="2:79" ht="15.75" thickBot="1" x14ac:dyDescent="0.3">
      <c r="B58" s="435"/>
      <c r="C58" s="292" t="s">
        <v>229</v>
      </c>
      <c r="D58" s="340"/>
      <c r="E58" s="341"/>
      <c r="F58" s="341"/>
      <c r="G58" s="341"/>
      <c r="H58" s="342"/>
      <c r="I58" s="340"/>
      <c r="J58" s="341"/>
      <c r="K58" s="341"/>
      <c r="L58" s="341"/>
      <c r="M58" s="342"/>
      <c r="N58" s="340"/>
      <c r="O58" s="341"/>
      <c r="P58" s="341"/>
      <c r="Q58" s="341"/>
      <c r="R58" s="342"/>
      <c r="S58" s="340"/>
      <c r="T58" s="341"/>
      <c r="U58" s="341"/>
      <c r="V58" s="341"/>
      <c r="W58" s="342"/>
      <c r="X58" s="340"/>
      <c r="Y58" s="341"/>
      <c r="Z58" s="341"/>
      <c r="AA58" s="341"/>
      <c r="AB58" s="342"/>
      <c r="AC58" s="340"/>
      <c r="AD58" s="341"/>
      <c r="AE58" s="341"/>
      <c r="AF58" s="341"/>
      <c r="AG58" s="342"/>
      <c r="AH58" s="340"/>
      <c r="AI58" s="341"/>
      <c r="AJ58" s="341"/>
      <c r="AK58" s="341"/>
      <c r="AL58" s="342"/>
      <c r="AM58" s="340"/>
      <c r="AN58" s="341"/>
      <c r="AO58" s="341"/>
      <c r="AP58" s="341"/>
      <c r="AQ58" s="342"/>
      <c r="AR58" s="340"/>
      <c r="AS58" s="341"/>
      <c r="AT58" s="341"/>
      <c r="AU58" s="341"/>
      <c r="AV58" s="342"/>
      <c r="AW58" s="340"/>
      <c r="AX58" s="341"/>
      <c r="AY58" s="341"/>
      <c r="AZ58" s="341"/>
      <c r="BA58" s="342"/>
      <c r="BB58" s="340"/>
      <c r="BC58" s="341"/>
      <c r="BD58" s="341"/>
      <c r="BE58" s="341"/>
      <c r="BF58" s="342"/>
      <c r="BG58" s="340"/>
      <c r="BH58" s="341"/>
      <c r="BI58" s="341"/>
      <c r="BJ58" s="341"/>
      <c r="BK58" s="342"/>
      <c r="BL58" s="340"/>
      <c r="BM58" s="341"/>
      <c r="BN58" s="341"/>
      <c r="BO58" s="341"/>
      <c r="BP58" s="342"/>
      <c r="BQ58" s="340"/>
      <c r="BR58" s="341"/>
      <c r="BS58" s="341"/>
      <c r="BT58" s="341"/>
      <c r="BU58" s="343"/>
      <c r="BW58" s="239" t="str">
        <f>sum_level("o",'Needs 171007_1815'!D58:BU58)</f>
        <v/>
      </c>
      <c r="BX58" s="240" t="str">
        <f>sum_level("j",'Needs 171007_1815'!D58:BU58)</f>
        <v/>
      </c>
      <c r="BY58" s="240" t="str">
        <f>sum_level("m",'Needs 171007_1815'!D58:BU58)</f>
        <v/>
      </c>
      <c r="BZ58" s="240" t="str">
        <f>sum_level("s",'Needs 171007_1815'!D58:BU58)</f>
        <v/>
      </c>
      <c r="CA58" s="241" t="str">
        <f>sum_level("e",'Needs 171007_1815'!D58:BU58)</f>
        <v/>
      </c>
    </row>
    <row r="59" spans="2:79" ht="12.75" customHeight="1" thickTop="1" thickBot="1" x14ac:dyDescent="0.3">
      <c r="B59" s="436"/>
      <c r="C59" s="248"/>
      <c r="D59" s="344"/>
      <c r="E59" s="344"/>
      <c r="F59" s="344"/>
      <c r="G59" s="344"/>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s="344"/>
      <c r="BN59" s="344"/>
      <c r="BO59" s="344"/>
      <c r="BP59" s="344"/>
      <c r="BQ59" s="344"/>
      <c r="BR59" s="344"/>
      <c r="BS59" s="344"/>
      <c r="BT59" s="344"/>
      <c r="BU59" s="344"/>
      <c r="BW59" s="249"/>
      <c r="BX59" s="249"/>
      <c r="BY59" s="249"/>
      <c r="BZ59" s="249"/>
      <c r="CA59" s="249"/>
    </row>
    <row r="60" spans="2:79" ht="15.75" thickTop="1" x14ac:dyDescent="0.25">
      <c r="B60" s="434" t="s">
        <v>98</v>
      </c>
      <c r="C60" s="290" t="s">
        <v>99</v>
      </c>
      <c r="D60" s="332"/>
      <c r="E60" s="333"/>
      <c r="F60" s="333"/>
      <c r="G60" s="333"/>
      <c r="H60" s="334"/>
      <c r="I60" s="332"/>
      <c r="J60" s="333"/>
      <c r="K60" s="333"/>
      <c r="L60" s="333"/>
      <c r="M60" s="334"/>
      <c r="N60" s="332"/>
      <c r="O60" s="333"/>
      <c r="P60" s="333"/>
      <c r="Q60" s="333"/>
      <c r="R60" s="334"/>
      <c r="S60" s="332"/>
      <c r="T60" s="333"/>
      <c r="U60" s="333"/>
      <c r="V60" s="333"/>
      <c r="W60" s="334"/>
      <c r="X60" s="332"/>
      <c r="Y60" s="333"/>
      <c r="Z60" s="333"/>
      <c r="AA60" s="333"/>
      <c r="AB60" s="334"/>
      <c r="AC60" s="332"/>
      <c r="AD60" s="333"/>
      <c r="AE60" s="333"/>
      <c r="AF60" s="333"/>
      <c r="AG60" s="334"/>
      <c r="AH60" s="332"/>
      <c r="AI60" s="333"/>
      <c r="AJ60" s="333"/>
      <c r="AK60" s="333"/>
      <c r="AL60" s="334"/>
      <c r="AM60" s="332"/>
      <c r="AN60" s="333"/>
      <c r="AO60" s="333"/>
      <c r="AP60" s="333"/>
      <c r="AQ60" s="334"/>
      <c r="AR60" s="332"/>
      <c r="AS60" s="333"/>
      <c r="AT60" s="333"/>
      <c r="AU60" s="333"/>
      <c r="AV60" s="334"/>
      <c r="AW60" s="332"/>
      <c r="AX60" s="333"/>
      <c r="AY60" s="333"/>
      <c r="AZ60" s="333"/>
      <c r="BA60" s="334"/>
      <c r="BB60" s="332"/>
      <c r="BC60" s="333"/>
      <c r="BD60" s="333"/>
      <c r="BE60" s="333"/>
      <c r="BF60" s="334"/>
      <c r="BG60" s="332"/>
      <c r="BH60" s="333"/>
      <c r="BI60" s="333"/>
      <c r="BJ60" s="333"/>
      <c r="BK60" s="334"/>
      <c r="BL60" s="332">
        <v>31</v>
      </c>
      <c r="BM60" s="333"/>
      <c r="BN60" s="333"/>
      <c r="BO60" s="333"/>
      <c r="BP60" s="334"/>
      <c r="BQ60" s="332"/>
      <c r="BR60" s="333"/>
      <c r="BS60" s="333"/>
      <c r="BT60" s="333"/>
      <c r="BU60" s="335"/>
      <c r="BW60" s="233" t="str">
        <f>sum_level("o",'Needs 171007_1815'!D60:BU60)</f>
        <v>31</v>
      </c>
      <c r="BX60" s="234" t="str">
        <f>sum_level("j",'Needs 171007_1815'!D60:BU60)</f>
        <v/>
      </c>
      <c r="BY60" s="234" t="str">
        <f>sum_level("m",'Needs 171007_1815'!D60:BU60)</f>
        <v/>
      </c>
      <c r="BZ60" s="234" t="str">
        <f>sum_level("s",'Needs 171007_1815'!D60:BU60)</f>
        <v/>
      </c>
      <c r="CA60" s="235" t="str">
        <f>sum_level("e",'Needs 171007_1815'!D60:BU60)</f>
        <v/>
      </c>
    </row>
    <row r="61" spans="2:79" x14ac:dyDescent="0.25">
      <c r="B61" s="435"/>
      <c r="C61" s="291" t="s">
        <v>100</v>
      </c>
      <c r="D61" s="336"/>
      <c r="E61" s="337"/>
      <c r="F61" s="337"/>
      <c r="G61" s="337"/>
      <c r="H61" s="338"/>
      <c r="I61" s="336"/>
      <c r="J61" s="337"/>
      <c r="K61" s="337"/>
      <c r="L61" s="337"/>
      <c r="M61" s="338"/>
      <c r="N61" s="336"/>
      <c r="O61" s="337"/>
      <c r="P61" s="337"/>
      <c r="Q61" s="337"/>
      <c r="R61" s="338"/>
      <c r="S61" s="336"/>
      <c r="T61" s="337"/>
      <c r="U61" s="337"/>
      <c r="V61" s="337"/>
      <c r="W61" s="338"/>
      <c r="X61" s="336"/>
      <c r="Y61" s="337"/>
      <c r="Z61" s="337"/>
      <c r="AA61" s="337"/>
      <c r="AB61" s="338"/>
      <c r="AC61" s="336"/>
      <c r="AD61" s="337"/>
      <c r="AE61" s="337"/>
      <c r="AF61" s="337"/>
      <c r="AG61" s="338"/>
      <c r="AH61" s="336"/>
      <c r="AI61" s="337"/>
      <c r="AJ61" s="337"/>
      <c r="AK61" s="337"/>
      <c r="AL61" s="338"/>
      <c r="AM61" s="336"/>
      <c r="AN61" s="337"/>
      <c r="AO61" s="337"/>
      <c r="AP61" s="337"/>
      <c r="AQ61" s="338"/>
      <c r="AR61" s="336"/>
      <c r="AS61" s="337"/>
      <c r="AT61" s="337"/>
      <c r="AU61" s="337"/>
      <c r="AV61" s="338"/>
      <c r="AW61" s="336"/>
      <c r="AX61" s="337"/>
      <c r="AY61" s="337"/>
      <c r="AZ61" s="337"/>
      <c r="BA61" s="338"/>
      <c r="BB61" s="336"/>
      <c r="BC61" s="337"/>
      <c r="BD61" s="337"/>
      <c r="BE61" s="337"/>
      <c r="BF61" s="338"/>
      <c r="BG61" s="336"/>
      <c r="BH61" s="337"/>
      <c r="BI61" s="337"/>
      <c r="BJ61" s="337"/>
      <c r="BK61" s="338"/>
      <c r="BL61" s="336"/>
      <c r="BM61" s="337">
        <v>32</v>
      </c>
      <c r="BN61" s="337"/>
      <c r="BO61" s="337"/>
      <c r="BP61" s="338"/>
      <c r="BQ61" s="336"/>
      <c r="BR61" s="337"/>
      <c r="BS61" s="337"/>
      <c r="BT61" s="337"/>
      <c r="BU61" s="339"/>
      <c r="BW61" s="236" t="str">
        <f>sum_level("o",'Needs 171007_1815'!D61:BU61)</f>
        <v/>
      </c>
      <c r="BX61" s="237" t="str">
        <f>sum_level("j",'Needs 171007_1815'!D61:BU61)</f>
        <v>32</v>
      </c>
      <c r="BY61" s="237" t="str">
        <f>sum_level("m",'Needs 171007_1815'!D61:BU61)</f>
        <v/>
      </c>
      <c r="BZ61" s="237" t="str">
        <f>sum_level("s",'Needs 171007_1815'!D61:BU61)</f>
        <v/>
      </c>
      <c r="CA61" s="238" t="str">
        <f>sum_level("e",'Needs 171007_1815'!D61:BU61)</f>
        <v/>
      </c>
    </row>
    <row r="62" spans="2:79" x14ac:dyDescent="0.25">
      <c r="B62" s="435"/>
      <c r="C62" s="291" t="s">
        <v>101</v>
      </c>
      <c r="D62" s="336"/>
      <c r="E62" s="337"/>
      <c r="F62" s="337"/>
      <c r="G62" s="337"/>
      <c r="H62" s="338"/>
      <c r="I62" s="336"/>
      <c r="J62" s="337"/>
      <c r="K62" s="337"/>
      <c r="L62" s="337"/>
      <c r="M62" s="338"/>
      <c r="N62" s="336"/>
      <c r="O62" s="337"/>
      <c r="P62" s="337"/>
      <c r="Q62" s="337"/>
      <c r="R62" s="338"/>
      <c r="S62" s="336"/>
      <c r="T62" s="337"/>
      <c r="U62" s="337"/>
      <c r="V62" s="337"/>
      <c r="W62" s="338"/>
      <c r="X62" s="336"/>
      <c r="Y62" s="337"/>
      <c r="Z62" s="337"/>
      <c r="AA62" s="337"/>
      <c r="AB62" s="338"/>
      <c r="AC62" s="336"/>
      <c r="AD62" s="337"/>
      <c r="AE62" s="337"/>
      <c r="AF62" s="337"/>
      <c r="AG62" s="338"/>
      <c r="AH62" s="336"/>
      <c r="AI62" s="337"/>
      <c r="AJ62" s="337"/>
      <c r="AK62" s="337"/>
      <c r="AL62" s="338"/>
      <c r="AM62" s="336"/>
      <c r="AN62" s="337"/>
      <c r="AO62" s="337"/>
      <c r="AP62" s="337"/>
      <c r="AQ62" s="338"/>
      <c r="AR62" s="336"/>
      <c r="AS62" s="337"/>
      <c r="AT62" s="337"/>
      <c r="AU62" s="337"/>
      <c r="AV62" s="338"/>
      <c r="AW62" s="336"/>
      <c r="AX62" s="337"/>
      <c r="AY62" s="337"/>
      <c r="AZ62" s="337"/>
      <c r="BA62" s="338"/>
      <c r="BB62" s="336"/>
      <c r="BC62" s="337"/>
      <c r="BD62" s="337"/>
      <c r="BE62" s="337"/>
      <c r="BF62" s="338"/>
      <c r="BG62" s="336"/>
      <c r="BH62" s="337"/>
      <c r="BI62" s="337"/>
      <c r="BJ62" s="337"/>
      <c r="BK62" s="338"/>
      <c r="BL62" s="336"/>
      <c r="BM62" s="337"/>
      <c r="BN62" s="337">
        <v>33</v>
      </c>
      <c r="BO62" s="337"/>
      <c r="BP62" s="338"/>
      <c r="BQ62" s="336"/>
      <c r="BR62" s="337"/>
      <c r="BS62" s="337"/>
      <c r="BT62" s="337"/>
      <c r="BU62" s="339"/>
      <c r="BW62" s="236" t="str">
        <f>sum_level("o",'Needs 171007_1815'!D62:BU62)</f>
        <v/>
      </c>
      <c r="BX62" s="237" t="str">
        <f>sum_level("j",'Needs 171007_1815'!D62:BU62)</f>
        <v/>
      </c>
      <c r="BY62" s="237" t="str">
        <f>sum_level("m",'Needs 171007_1815'!D62:BU62)</f>
        <v>33</v>
      </c>
      <c r="BZ62" s="237" t="str">
        <f>sum_level("s",'Needs 171007_1815'!D62:BU62)</f>
        <v/>
      </c>
      <c r="CA62" s="238" t="str">
        <f>sum_level("e",'Needs 171007_1815'!D62:BU62)</f>
        <v/>
      </c>
    </row>
    <row r="63" spans="2:79" x14ac:dyDescent="0.25">
      <c r="B63" s="435"/>
      <c r="C63" s="291" t="s">
        <v>102</v>
      </c>
      <c r="D63" s="336"/>
      <c r="E63" s="337"/>
      <c r="F63" s="337"/>
      <c r="G63" s="337"/>
      <c r="H63" s="338"/>
      <c r="I63" s="336"/>
      <c r="J63" s="337"/>
      <c r="K63" s="337"/>
      <c r="L63" s="337"/>
      <c r="M63" s="338"/>
      <c r="N63" s="336"/>
      <c r="O63" s="337"/>
      <c r="P63" s="337"/>
      <c r="Q63" s="337"/>
      <c r="R63" s="338"/>
      <c r="S63" s="336"/>
      <c r="T63" s="337"/>
      <c r="U63" s="337"/>
      <c r="V63" s="337"/>
      <c r="W63" s="338"/>
      <c r="X63" s="336"/>
      <c r="Y63" s="337"/>
      <c r="Z63" s="337"/>
      <c r="AA63" s="337"/>
      <c r="AB63" s="338"/>
      <c r="AC63" s="336"/>
      <c r="AD63" s="337"/>
      <c r="AE63" s="337"/>
      <c r="AF63" s="337"/>
      <c r="AG63" s="338"/>
      <c r="AH63" s="336"/>
      <c r="AI63" s="337"/>
      <c r="AJ63" s="337"/>
      <c r="AK63" s="337"/>
      <c r="AL63" s="338"/>
      <c r="AM63" s="336"/>
      <c r="AN63" s="337"/>
      <c r="AO63" s="337"/>
      <c r="AP63" s="337"/>
      <c r="AQ63" s="338"/>
      <c r="AR63" s="336"/>
      <c r="AS63" s="337"/>
      <c r="AT63" s="337"/>
      <c r="AU63" s="337"/>
      <c r="AV63" s="338"/>
      <c r="AW63" s="336"/>
      <c r="AX63" s="337"/>
      <c r="AY63" s="337"/>
      <c r="AZ63" s="337"/>
      <c r="BA63" s="338"/>
      <c r="BB63" s="336"/>
      <c r="BC63" s="337"/>
      <c r="BD63" s="337"/>
      <c r="BE63" s="337"/>
      <c r="BF63" s="338"/>
      <c r="BG63" s="336"/>
      <c r="BH63" s="337"/>
      <c r="BI63" s="337"/>
      <c r="BJ63" s="337"/>
      <c r="BK63" s="338"/>
      <c r="BL63" s="336"/>
      <c r="BM63" s="337"/>
      <c r="BN63" s="337"/>
      <c r="BO63" s="337">
        <v>34</v>
      </c>
      <c r="BP63" s="338"/>
      <c r="BQ63" s="336"/>
      <c r="BR63" s="337"/>
      <c r="BS63" s="337"/>
      <c r="BT63" s="337"/>
      <c r="BU63" s="339"/>
      <c r="BW63" s="236" t="str">
        <f>sum_level("o",'Needs 171007_1815'!D63:BU63)</f>
        <v/>
      </c>
      <c r="BX63" s="237" t="str">
        <f>sum_level("j",'Needs 171007_1815'!D63:BU63)</f>
        <v/>
      </c>
      <c r="BY63" s="237" t="str">
        <f>sum_level("m",'Needs 171007_1815'!D63:BU63)</f>
        <v/>
      </c>
      <c r="BZ63" s="237" t="str">
        <f>sum_level("s",'Needs 171007_1815'!D63:BU63)</f>
        <v>34</v>
      </c>
      <c r="CA63" s="238" t="str">
        <f>sum_level("e",'Needs 171007_1815'!D63:BU63)</f>
        <v/>
      </c>
    </row>
    <row r="64" spans="2:79" x14ac:dyDescent="0.25">
      <c r="B64" s="435"/>
      <c r="C64" s="291" t="s">
        <v>103</v>
      </c>
      <c r="D64" s="336"/>
      <c r="E64" s="337"/>
      <c r="F64" s="337"/>
      <c r="G64" s="337"/>
      <c r="H64" s="338"/>
      <c r="I64" s="336"/>
      <c r="J64" s="337"/>
      <c r="K64" s="337"/>
      <c r="L64" s="337"/>
      <c r="M64" s="338"/>
      <c r="N64" s="336"/>
      <c r="O64" s="337"/>
      <c r="P64" s="337"/>
      <c r="Q64" s="337"/>
      <c r="R64" s="338"/>
      <c r="S64" s="336"/>
      <c r="T64" s="337"/>
      <c r="U64" s="337"/>
      <c r="V64" s="337"/>
      <c r="W64" s="338"/>
      <c r="X64" s="336"/>
      <c r="Y64" s="337"/>
      <c r="Z64" s="337"/>
      <c r="AA64" s="337"/>
      <c r="AB64" s="338"/>
      <c r="AC64" s="336"/>
      <c r="AD64" s="337"/>
      <c r="AE64" s="337"/>
      <c r="AF64" s="337"/>
      <c r="AG64" s="338"/>
      <c r="AH64" s="336"/>
      <c r="AI64" s="337"/>
      <c r="AJ64" s="337"/>
      <c r="AK64" s="337"/>
      <c r="AL64" s="338"/>
      <c r="AM64" s="336"/>
      <c r="AN64" s="337"/>
      <c r="AO64" s="337"/>
      <c r="AP64" s="337"/>
      <c r="AQ64" s="338"/>
      <c r="AR64" s="336"/>
      <c r="AS64" s="337"/>
      <c r="AT64" s="337"/>
      <c r="AU64" s="337"/>
      <c r="AV64" s="338"/>
      <c r="AW64" s="336"/>
      <c r="AX64" s="337"/>
      <c r="AY64" s="337"/>
      <c r="AZ64" s="337"/>
      <c r="BA64" s="338"/>
      <c r="BB64" s="336"/>
      <c r="BC64" s="337"/>
      <c r="BD64" s="337"/>
      <c r="BE64" s="337"/>
      <c r="BF64" s="338"/>
      <c r="BG64" s="336"/>
      <c r="BH64" s="337"/>
      <c r="BI64" s="337"/>
      <c r="BJ64" s="337"/>
      <c r="BK64" s="338"/>
      <c r="BL64" s="336"/>
      <c r="BM64" s="337"/>
      <c r="BN64" s="337"/>
      <c r="BO64" s="337"/>
      <c r="BP64" s="338">
        <v>35</v>
      </c>
      <c r="BQ64" s="336"/>
      <c r="BR64" s="337"/>
      <c r="BS64" s="337"/>
      <c r="BT64" s="337"/>
      <c r="BU64" s="339"/>
      <c r="BW64" s="236" t="str">
        <f>sum_level("o",'Needs 171007_1815'!D64:BU64)</f>
        <v/>
      </c>
      <c r="BX64" s="237" t="str">
        <f>sum_level("j",'Needs 171007_1815'!D64:BU64)</f>
        <v/>
      </c>
      <c r="BY64" s="237" t="str">
        <f>sum_level("m",'Needs 171007_1815'!D64:BU64)</f>
        <v/>
      </c>
      <c r="BZ64" s="237" t="str">
        <f>sum_level("s",'Needs 171007_1815'!D64:BU64)</f>
        <v/>
      </c>
      <c r="CA64" s="238" t="str">
        <f>sum_level("e",'Needs 171007_1815'!D64:BU64)</f>
        <v>35</v>
      </c>
    </row>
    <row r="65" spans="2:79" x14ac:dyDescent="0.25">
      <c r="B65" s="435"/>
      <c r="C65" s="291" t="s">
        <v>104</v>
      </c>
      <c r="D65" s="336"/>
      <c r="E65" s="337"/>
      <c r="F65" s="337"/>
      <c r="G65" s="337"/>
      <c r="H65" s="338"/>
      <c r="I65" s="336"/>
      <c r="J65" s="337"/>
      <c r="K65" s="337"/>
      <c r="L65" s="337"/>
      <c r="M65" s="338"/>
      <c r="N65" s="336"/>
      <c r="O65" s="337"/>
      <c r="P65" s="337"/>
      <c r="Q65" s="337"/>
      <c r="R65" s="338"/>
      <c r="S65" s="336"/>
      <c r="T65" s="337"/>
      <c r="U65" s="337"/>
      <c r="V65" s="337"/>
      <c r="W65" s="338"/>
      <c r="X65" s="336"/>
      <c r="Y65" s="337"/>
      <c r="Z65" s="337"/>
      <c r="AA65" s="337"/>
      <c r="AB65" s="338"/>
      <c r="AC65" s="336"/>
      <c r="AD65" s="337"/>
      <c r="AE65" s="337"/>
      <c r="AF65" s="337"/>
      <c r="AG65" s="338"/>
      <c r="AH65" s="336"/>
      <c r="AI65" s="337"/>
      <c r="AJ65" s="337"/>
      <c r="AK65" s="337"/>
      <c r="AL65" s="338"/>
      <c r="AM65" s="336"/>
      <c r="AN65" s="337"/>
      <c r="AO65" s="337"/>
      <c r="AP65" s="337"/>
      <c r="AQ65" s="338"/>
      <c r="AR65" s="336"/>
      <c r="AS65" s="337"/>
      <c r="AT65" s="337"/>
      <c r="AU65" s="337"/>
      <c r="AV65" s="338"/>
      <c r="AW65" s="336"/>
      <c r="AX65" s="337"/>
      <c r="AY65" s="337"/>
      <c r="AZ65" s="337"/>
      <c r="BA65" s="338"/>
      <c r="BB65" s="336"/>
      <c r="BC65" s="337"/>
      <c r="BD65" s="337"/>
      <c r="BE65" s="337"/>
      <c r="BF65" s="338"/>
      <c r="BG65" s="336"/>
      <c r="BH65" s="337"/>
      <c r="BI65" s="337"/>
      <c r="BJ65" s="337"/>
      <c r="BK65" s="338"/>
      <c r="BL65" s="336"/>
      <c r="BM65" s="337"/>
      <c r="BN65" s="337"/>
      <c r="BO65" s="337"/>
      <c r="BP65" s="338"/>
      <c r="BQ65" s="336"/>
      <c r="BR65" s="337"/>
      <c r="BS65" s="337"/>
      <c r="BT65" s="337"/>
      <c r="BU65" s="339"/>
      <c r="BW65" s="236" t="str">
        <f>sum_level("o",'Needs 171007_1815'!D65:BU65)</f>
        <v/>
      </c>
      <c r="BX65" s="237" t="str">
        <f>sum_level("j",'Needs 171007_1815'!D65:BU65)</f>
        <v/>
      </c>
      <c r="BY65" s="237" t="str">
        <f>sum_level("m",'Needs 171007_1815'!D65:BU65)</f>
        <v/>
      </c>
      <c r="BZ65" s="237" t="str">
        <f>sum_level("s",'Needs 171007_1815'!D65:BU65)</f>
        <v/>
      </c>
      <c r="CA65" s="238" t="str">
        <f>sum_level("e",'Needs 171007_1815'!D65:BU65)</f>
        <v/>
      </c>
    </row>
    <row r="66" spans="2:79" x14ac:dyDescent="0.25">
      <c r="B66" s="435"/>
      <c r="C66" s="291" t="s">
        <v>105</v>
      </c>
      <c r="D66" s="336"/>
      <c r="E66" s="337"/>
      <c r="F66" s="337"/>
      <c r="G66" s="337"/>
      <c r="H66" s="338"/>
      <c r="I66" s="336"/>
      <c r="J66" s="337"/>
      <c r="K66" s="337"/>
      <c r="L66" s="337"/>
      <c r="M66" s="338"/>
      <c r="N66" s="336"/>
      <c r="O66" s="337"/>
      <c r="P66" s="337"/>
      <c r="Q66" s="337"/>
      <c r="R66" s="338"/>
      <c r="S66" s="336"/>
      <c r="T66" s="337"/>
      <c r="U66" s="337"/>
      <c r="V66" s="337"/>
      <c r="W66" s="338"/>
      <c r="X66" s="336"/>
      <c r="Y66" s="337"/>
      <c r="Z66" s="337"/>
      <c r="AA66" s="337"/>
      <c r="AB66" s="338"/>
      <c r="AC66" s="336"/>
      <c r="AD66" s="337"/>
      <c r="AE66" s="337"/>
      <c r="AF66" s="337"/>
      <c r="AG66" s="338"/>
      <c r="AH66" s="336"/>
      <c r="AI66" s="337"/>
      <c r="AJ66" s="337"/>
      <c r="AK66" s="337"/>
      <c r="AL66" s="338"/>
      <c r="AM66" s="336"/>
      <c r="AN66" s="337"/>
      <c r="AO66" s="337"/>
      <c r="AP66" s="337"/>
      <c r="AQ66" s="338"/>
      <c r="AR66" s="336"/>
      <c r="AS66" s="337"/>
      <c r="AT66" s="337"/>
      <c r="AU66" s="337"/>
      <c r="AV66" s="338"/>
      <c r="AW66" s="336"/>
      <c r="AX66" s="337"/>
      <c r="AY66" s="337"/>
      <c r="AZ66" s="337"/>
      <c r="BA66" s="338"/>
      <c r="BB66" s="336"/>
      <c r="BC66" s="337"/>
      <c r="BD66" s="337"/>
      <c r="BE66" s="337"/>
      <c r="BF66" s="338"/>
      <c r="BG66" s="336"/>
      <c r="BH66" s="337"/>
      <c r="BI66" s="337"/>
      <c r="BJ66" s="337"/>
      <c r="BK66" s="338"/>
      <c r="BL66" s="336"/>
      <c r="BM66" s="337"/>
      <c r="BN66" s="337"/>
      <c r="BO66" s="337"/>
      <c r="BP66" s="338"/>
      <c r="BQ66" s="336"/>
      <c r="BR66" s="337"/>
      <c r="BS66" s="337"/>
      <c r="BT66" s="337"/>
      <c r="BU66" s="339"/>
      <c r="BW66" s="236" t="str">
        <f>sum_level("o",'Needs 171007_1815'!D66:BU66)</f>
        <v/>
      </c>
      <c r="BX66" s="237" t="str">
        <f>sum_level("j",'Needs 171007_1815'!D66:BU66)</f>
        <v/>
      </c>
      <c r="BY66" s="237" t="str">
        <f>sum_level("m",'Needs 171007_1815'!D66:BU66)</f>
        <v/>
      </c>
      <c r="BZ66" s="237" t="str">
        <f>sum_level("s",'Needs 171007_1815'!D66:BU66)</f>
        <v/>
      </c>
      <c r="CA66" s="238" t="str">
        <f>sum_level("e",'Needs 171007_1815'!D66:BU66)</f>
        <v/>
      </c>
    </row>
    <row r="67" spans="2:79" x14ac:dyDescent="0.25">
      <c r="B67" s="435"/>
      <c r="C67" s="291" t="s">
        <v>106</v>
      </c>
      <c r="D67" s="336"/>
      <c r="E67" s="337"/>
      <c r="F67" s="337"/>
      <c r="G67" s="337"/>
      <c r="H67" s="338"/>
      <c r="I67" s="336"/>
      <c r="J67" s="337"/>
      <c r="K67" s="337"/>
      <c r="L67" s="337"/>
      <c r="M67" s="338"/>
      <c r="N67" s="336"/>
      <c r="O67" s="337"/>
      <c r="P67" s="337"/>
      <c r="Q67" s="337"/>
      <c r="R67" s="338"/>
      <c r="S67" s="336"/>
      <c r="T67" s="337"/>
      <c r="U67" s="337"/>
      <c r="V67" s="337"/>
      <c r="W67" s="338"/>
      <c r="X67" s="336"/>
      <c r="Y67" s="337"/>
      <c r="Z67" s="337"/>
      <c r="AA67" s="337"/>
      <c r="AB67" s="338"/>
      <c r="AC67" s="336"/>
      <c r="AD67" s="337"/>
      <c r="AE67" s="337"/>
      <c r="AF67" s="337"/>
      <c r="AG67" s="338"/>
      <c r="AH67" s="336"/>
      <c r="AI67" s="337"/>
      <c r="AJ67" s="337"/>
      <c r="AK67" s="337"/>
      <c r="AL67" s="338"/>
      <c r="AM67" s="336"/>
      <c r="AN67" s="337"/>
      <c r="AO67" s="337"/>
      <c r="AP67" s="337"/>
      <c r="AQ67" s="338"/>
      <c r="AR67" s="336"/>
      <c r="AS67" s="337"/>
      <c r="AT67" s="337"/>
      <c r="AU67" s="337"/>
      <c r="AV67" s="338"/>
      <c r="AW67" s="336"/>
      <c r="AX67" s="337"/>
      <c r="AY67" s="337"/>
      <c r="AZ67" s="337"/>
      <c r="BA67" s="338"/>
      <c r="BB67" s="336"/>
      <c r="BC67" s="337"/>
      <c r="BD67" s="337"/>
      <c r="BE67" s="337"/>
      <c r="BF67" s="338"/>
      <c r="BG67" s="336"/>
      <c r="BH67" s="337"/>
      <c r="BI67" s="337"/>
      <c r="BJ67" s="337"/>
      <c r="BK67" s="338"/>
      <c r="BL67" s="336"/>
      <c r="BM67" s="337"/>
      <c r="BN67" s="337"/>
      <c r="BO67" s="337"/>
      <c r="BP67" s="338"/>
      <c r="BQ67" s="336"/>
      <c r="BR67" s="337"/>
      <c r="BS67" s="337"/>
      <c r="BT67" s="337"/>
      <c r="BU67" s="339"/>
      <c r="BW67" s="236" t="str">
        <f>sum_level("o",'Needs 171007_1815'!D67:BU67)</f>
        <v/>
      </c>
      <c r="BX67" s="237" t="str">
        <f>sum_level("j",'Needs 171007_1815'!D67:BU67)</f>
        <v/>
      </c>
      <c r="BY67" s="237" t="str">
        <f>sum_level("m",'Needs 171007_1815'!D67:BU67)</f>
        <v/>
      </c>
      <c r="BZ67" s="237" t="str">
        <f>sum_level("s",'Needs 171007_1815'!D67:BU67)</f>
        <v/>
      </c>
      <c r="CA67" s="238" t="str">
        <f>sum_level("e",'Needs 171007_1815'!D67:BU67)</f>
        <v/>
      </c>
    </row>
    <row r="68" spans="2:79" x14ac:dyDescent="0.25">
      <c r="B68" s="435"/>
      <c r="C68" s="291" t="s">
        <v>107</v>
      </c>
      <c r="D68" s="336"/>
      <c r="E68" s="337"/>
      <c r="F68" s="337"/>
      <c r="G68" s="337"/>
      <c r="H68" s="338"/>
      <c r="I68" s="336"/>
      <c r="J68" s="337"/>
      <c r="K68" s="337"/>
      <c r="L68" s="337"/>
      <c r="M68" s="338"/>
      <c r="N68" s="336"/>
      <c r="O68" s="337"/>
      <c r="P68" s="337"/>
      <c r="Q68" s="337"/>
      <c r="R68" s="338"/>
      <c r="S68" s="336"/>
      <c r="T68" s="337"/>
      <c r="U68" s="337"/>
      <c r="V68" s="337"/>
      <c r="W68" s="338"/>
      <c r="X68" s="336"/>
      <c r="Y68" s="337"/>
      <c r="Z68" s="337"/>
      <c r="AA68" s="337"/>
      <c r="AB68" s="338"/>
      <c r="AC68" s="336"/>
      <c r="AD68" s="337"/>
      <c r="AE68" s="337"/>
      <c r="AF68" s="337"/>
      <c r="AG68" s="338"/>
      <c r="AH68" s="336"/>
      <c r="AI68" s="337"/>
      <c r="AJ68" s="337"/>
      <c r="AK68" s="337"/>
      <c r="AL68" s="338"/>
      <c r="AM68" s="336"/>
      <c r="AN68" s="337"/>
      <c r="AO68" s="337"/>
      <c r="AP68" s="337"/>
      <c r="AQ68" s="338"/>
      <c r="AR68" s="336"/>
      <c r="AS68" s="337"/>
      <c r="AT68" s="337"/>
      <c r="AU68" s="337"/>
      <c r="AV68" s="338"/>
      <c r="AW68" s="336"/>
      <c r="AX68" s="337"/>
      <c r="AY68" s="337"/>
      <c r="AZ68" s="337"/>
      <c r="BA68" s="338"/>
      <c r="BB68" s="336"/>
      <c r="BC68" s="337"/>
      <c r="BD68" s="337"/>
      <c r="BE68" s="337"/>
      <c r="BF68" s="338"/>
      <c r="BG68" s="336"/>
      <c r="BH68" s="337"/>
      <c r="BI68" s="337"/>
      <c r="BJ68" s="337"/>
      <c r="BK68" s="338"/>
      <c r="BL68" s="336"/>
      <c r="BM68" s="337"/>
      <c r="BN68" s="337"/>
      <c r="BO68" s="337"/>
      <c r="BP68" s="338"/>
      <c r="BQ68" s="336"/>
      <c r="BR68" s="337"/>
      <c r="BS68" s="337"/>
      <c r="BT68" s="337"/>
      <c r="BU68" s="339"/>
      <c r="BW68" s="236" t="str">
        <f>sum_level("o",'Needs 171007_1815'!D68:BU68)</f>
        <v/>
      </c>
      <c r="BX68" s="237" t="str">
        <f>sum_level("j",'Needs 171007_1815'!D68:BU68)</f>
        <v/>
      </c>
      <c r="BY68" s="237" t="str">
        <f>sum_level("m",'Needs 171007_1815'!D68:BU68)</f>
        <v/>
      </c>
      <c r="BZ68" s="237" t="str">
        <f>sum_level("s",'Needs 171007_1815'!D68:BU68)</f>
        <v/>
      </c>
      <c r="CA68" s="238" t="str">
        <f>sum_level("e",'Needs 171007_1815'!D68:BU68)</f>
        <v/>
      </c>
    </row>
    <row r="69" spans="2:79" x14ac:dyDescent="0.25">
      <c r="B69" s="435"/>
      <c r="C69" s="291" t="s">
        <v>108</v>
      </c>
      <c r="D69" s="336"/>
      <c r="E69" s="337"/>
      <c r="F69" s="337"/>
      <c r="G69" s="337"/>
      <c r="H69" s="338"/>
      <c r="I69" s="336"/>
      <c r="J69" s="337"/>
      <c r="K69" s="337"/>
      <c r="L69" s="337"/>
      <c r="M69" s="338"/>
      <c r="N69" s="336"/>
      <c r="O69" s="337"/>
      <c r="P69" s="337"/>
      <c r="Q69" s="337"/>
      <c r="R69" s="338"/>
      <c r="S69" s="336"/>
      <c r="T69" s="337"/>
      <c r="U69" s="337"/>
      <c r="V69" s="337"/>
      <c r="W69" s="338"/>
      <c r="X69" s="336"/>
      <c r="Y69" s="337"/>
      <c r="Z69" s="337"/>
      <c r="AA69" s="337"/>
      <c r="AB69" s="338"/>
      <c r="AC69" s="336"/>
      <c r="AD69" s="337"/>
      <c r="AE69" s="337"/>
      <c r="AF69" s="337"/>
      <c r="AG69" s="338"/>
      <c r="AH69" s="336"/>
      <c r="AI69" s="337"/>
      <c r="AJ69" s="337"/>
      <c r="AK69" s="337"/>
      <c r="AL69" s="338"/>
      <c r="AM69" s="336"/>
      <c r="AN69" s="337"/>
      <c r="AO69" s="337"/>
      <c r="AP69" s="337"/>
      <c r="AQ69" s="338"/>
      <c r="AR69" s="336"/>
      <c r="AS69" s="337"/>
      <c r="AT69" s="337"/>
      <c r="AU69" s="337"/>
      <c r="AV69" s="338"/>
      <c r="AW69" s="336"/>
      <c r="AX69" s="337"/>
      <c r="AY69" s="337"/>
      <c r="AZ69" s="337"/>
      <c r="BA69" s="338"/>
      <c r="BB69" s="336"/>
      <c r="BC69" s="337"/>
      <c r="BD69" s="337"/>
      <c r="BE69" s="337"/>
      <c r="BF69" s="338"/>
      <c r="BG69" s="336"/>
      <c r="BH69" s="337"/>
      <c r="BI69" s="337"/>
      <c r="BJ69" s="337"/>
      <c r="BK69" s="338"/>
      <c r="BL69" s="336"/>
      <c r="BM69" s="337"/>
      <c r="BN69" s="337"/>
      <c r="BO69" s="337"/>
      <c r="BP69" s="338"/>
      <c r="BQ69" s="336"/>
      <c r="BR69" s="337"/>
      <c r="BS69" s="337"/>
      <c r="BT69" s="337"/>
      <c r="BU69" s="339"/>
      <c r="BW69" s="236" t="str">
        <f>sum_level("o",'Needs 171007_1815'!D69:BU69)</f>
        <v/>
      </c>
      <c r="BX69" s="237" t="str">
        <f>sum_level("j",'Needs 171007_1815'!D69:BU69)</f>
        <v/>
      </c>
      <c r="BY69" s="237" t="str">
        <f>sum_level("m",'Needs 171007_1815'!D69:BU69)</f>
        <v/>
      </c>
      <c r="BZ69" s="237" t="str">
        <f>sum_level("s",'Needs 171007_1815'!D69:BU69)</f>
        <v/>
      </c>
      <c r="CA69" s="238" t="str">
        <f>sum_level("e",'Needs 171007_1815'!D69:BU69)</f>
        <v/>
      </c>
    </row>
    <row r="70" spans="2:79" x14ac:dyDescent="0.25">
      <c r="B70" s="435"/>
      <c r="C70" s="291" t="s">
        <v>109</v>
      </c>
      <c r="D70" s="336"/>
      <c r="E70" s="337"/>
      <c r="F70" s="337"/>
      <c r="G70" s="337"/>
      <c r="H70" s="338"/>
      <c r="I70" s="336"/>
      <c r="J70" s="337"/>
      <c r="K70" s="337"/>
      <c r="L70" s="337"/>
      <c r="M70" s="338"/>
      <c r="N70" s="336"/>
      <c r="O70" s="337"/>
      <c r="P70" s="337"/>
      <c r="Q70" s="337"/>
      <c r="R70" s="338"/>
      <c r="S70" s="336"/>
      <c r="T70" s="337"/>
      <c r="U70" s="337"/>
      <c r="V70" s="337"/>
      <c r="W70" s="338"/>
      <c r="X70" s="336"/>
      <c r="Y70" s="337"/>
      <c r="Z70" s="337"/>
      <c r="AA70" s="337"/>
      <c r="AB70" s="338"/>
      <c r="AC70" s="336"/>
      <c r="AD70" s="337"/>
      <c r="AE70" s="337"/>
      <c r="AF70" s="337"/>
      <c r="AG70" s="338"/>
      <c r="AH70" s="336"/>
      <c r="AI70" s="337"/>
      <c r="AJ70" s="337"/>
      <c r="AK70" s="337"/>
      <c r="AL70" s="338"/>
      <c r="AM70" s="336"/>
      <c r="AN70" s="337"/>
      <c r="AO70" s="337"/>
      <c r="AP70" s="337"/>
      <c r="AQ70" s="338"/>
      <c r="AR70" s="336"/>
      <c r="AS70" s="337"/>
      <c r="AT70" s="337"/>
      <c r="AU70" s="337"/>
      <c r="AV70" s="338"/>
      <c r="AW70" s="336"/>
      <c r="AX70" s="337"/>
      <c r="AY70" s="337"/>
      <c r="AZ70" s="337"/>
      <c r="BA70" s="338"/>
      <c r="BB70" s="336"/>
      <c r="BC70" s="337"/>
      <c r="BD70" s="337"/>
      <c r="BE70" s="337"/>
      <c r="BF70" s="338"/>
      <c r="BG70" s="336"/>
      <c r="BH70" s="337"/>
      <c r="BI70" s="337"/>
      <c r="BJ70" s="337"/>
      <c r="BK70" s="338"/>
      <c r="BL70" s="336"/>
      <c r="BM70" s="337"/>
      <c r="BN70" s="337"/>
      <c r="BO70" s="337"/>
      <c r="BP70" s="338"/>
      <c r="BQ70" s="336"/>
      <c r="BR70" s="337"/>
      <c r="BS70" s="337"/>
      <c r="BT70" s="337"/>
      <c r="BU70" s="339"/>
      <c r="BW70" s="236" t="str">
        <f>sum_level("o",'Needs 171007_1815'!D70:BU70)</f>
        <v/>
      </c>
      <c r="BX70" s="237" t="str">
        <f>sum_level("j",'Needs 171007_1815'!D70:BU70)</f>
        <v/>
      </c>
      <c r="BY70" s="237" t="str">
        <f>sum_level("m",'Needs 171007_1815'!D70:BU70)</f>
        <v/>
      </c>
      <c r="BZ70" s="237" t="str">
        <f>sum_level("s",'Needs 171007_1815'!D70:BU70)</f>
        <v/>
      </c>
      <c r="CA70" s="238" t="str">
        <f>sum_level("e",'Needs 171007_1815'!D70:BU70)</f>
        <v/>
      </c>
    </row>
    <row r="71" spans="2:79" x14ac:dyDescent="0.25">
      <c r="B71" s="435"/>
      <c r="C71" s="291" t="s">
        <v>110</v>
      </c>
      <c r="D71" s="336"/>
      <c r="E71" s="337"/>
      <c r="F71" s="337"/>
      <c r="G71" s="337"/>
      <c r="H71" s="338"/>
      <c r="I71" s="336"/>
      <c r="J71" s="337"/>
      <c r="K71" s="337"/>
      <c r="L71" s="337"/>
      <c r="M71" s="338"/>
      <c r="N71" s="336"/>
      <c r="O71" s="337"/>
      <c r="P71" s="337"/>
      <c r="Q71" s="337"/>
      <c r="R71" s="338"/>
      <c r="S71" s="336"/>
      <c r="T71" s="337"/>
      <c r="U71" s="337"/>
      <c r="V71" s="337"/>
      <c r="W71" s="338"/>
      <c r="X71" s="336"/>
      <c r="Y71" s="337"/>
      <c r="Z71" s="337"/>
      <c r="AA71" s="337"/>
      <c r="AB71" s="338"/>
      <c r="AC71" s="336"/>
      <c r="AD71" s="337"/>
      <c r="AE71" s="337"/>
      <c r="AF71" s="337"/>
      <c r="AG71" s="338"/>
      <c r="AH71" s="336"/>
      <c r="AI71" s="337"/>
      <c r="AJ71" s="337"/>
      <c r="AK71" s="337"/>
      <c r="AL71" s="338"/>
      <c r="AM71" s="336"/>
      <c r="AN71" s="337"/>
      <c r="AO71" s="337"/>
      <c r="AP71" s="337"/>
      <c r="AQ71" s="338"/>
      <c r="AR71" s="336"/>
      <c r="AS71" s="337"/>
      <c r="AT71" s="337"/>
      <c r="AU71" s="337"/>
      <c r="AV71" s="338"/>
      <c r="AW71" s="336"/>
      <c r="AX71" s="337"/>
      <c r="AY71" s="337"/>
      <c r="AZ71" s="337"/>
      <c r="BA71" s="338"/>
      <c r="BB71" s="336"/>
      <c r="BC71" s="337"/>
      <c r="BD71" s="337"/>
      <c r="BE71" s="337"/>
      <c r="BF71" s="338"/>
      <c r="BG71" s="336"/>
      <c r="BH71" s="337"/>
      <c r="BI71" s="337"/>
      <c r="BJ71" s="337"/>
      <c r="BK71" s="338"/>
      <c r="BL71" s="336"/>
      <c r="BM71" s="337"/>
      <c r="BN71" s="337"/>
      <c r="BO71" s="337"/>
      <c r="BP71" s="338"/>
      <c r="BQ71" s="336"/>
      <c r="BR71" s="337"/>
      <c r="BS71" s="337"/>
      <c r="BT71" s="337"/>
      <c r="BU71" s="339"/>
      <c r="BW71" s="236" t="str">
        <f>sum_level("o",'Needs 171007_1815'!D71:BU71)</f>
        <v/>
      </c>
      <c r="BX71" s="237" t="str">
        <f>sum_level("j",'Needs 171007_1815'!D71:BU71)</f>
        <v/>
      </c>
      <c r="BY71" s="237" t="str">
        <f>sum_level("m",'Needs 171007_1815'!D71:BU71)</f>
        <v/>
      </c>
      <c r="BZ71" s="237" t="str">
        <f>sum_level("s",'Needs 171007_1815'!D71:BU71)</f>
        <v/>
      </c>
      <c r="CA71" s="238" t="str">
        <f>sum_level("e",'Needs 171007_1815'!D71:BU71)</f>
        <v/>
      </c>
    </row>
    <row r="72" spans="2:79" x14ac:dyDescent="0.25">
      <c r="B72" s="435"/>
      <c r="C72" s="291" t="s">
        <v>111</v>
      </c>
      <c r="D72" s="336"/>
      <c r="E72" s="337"/>
      <c r="F72" s="337"/>
      <c r="G72" s="337"/>
      <c r="H72" s="338"/>
      <c r="I72" s="336"/>
      <c r="J72" s="337"/>
      <c r="K72" s="337"/>
      <c r="L72" s="337"/>
      <c r="M72" s="338"/>
      <c r="N72" s="336"/>
      <c r="O72" s="337"/>
      <c r="P72" s="337"/>
      <c r="Q72" s="337"/>
      <c r="R72" s="338"/>
      <c r="S72" s="336"/>
      <c r="T72" s="337"/>
      <c r="U72" s="337"/>
      <c r="V72" s="337"/>
      <c r="W72" s="338"/>
      <c r="X72" s="336"/>
      <c r="Y72" s="337"/>
      <c r="Z72" s="337"/>
      <c r="AA72" s="337"/>
      <c r="AB72" s="338"/>
      <c r="AC72" s="336"/>
      <c r="AD72" s="337"/>
      <c r="AE72" s="337"/>
      <c r="AF72" s="337"/>
      <c r="AG72" s="338"/>
      <c r="AH72" s="336"/>
      <c r="AI72" s="337"/>
      <c r="AJ72" s="337"/>
      <c r="AK72" s="337"/>
      <c r="AL72" s="338"/>
      <c r="AM72" s="336"/>
      <c r="AN72" s="337"/>
      <c r="AO72" s="337"/>
      <c r="AP72" s="337"/>
      <c r="AQ72" s="338"/>
      <c r="AR72" s="336"/>
      <c r="AS72" s="337"/>
      <c r="AT72" s="337"/>
      <c r="AU72" s="337"/>
      <c r="AV72" s="338"/>
      <c r="AW72" s="336"/>
      <c r="AX72" s="337"/>
      <c r="AY72" s="337"/>
      <c r="AZ72" s="337"/>
      <c r="BA72" s="338"/>
      <c r="BB72" s="336"/>
      <c r="BC72" s="337"/>
      <c r="BD72" s="337"/>
      <c r="BE72" s="337"/>
      <c r="BF72" s="338"/>
      <c r="BG72" s="336"/>
      <c r="BH72" s="337"/>
      <c r="BI72" s="337"/>
      <c r="BJ72" s="337"/>
      <c r="BK72" s="338"/>
      <c r="BL72" s="336"/>
      <c r="BM72" s="337"/>
      <c r="BN72" s="337"/>
      <c r="BO72" s="337"/>
      <c r="BP72" s="338"/>
      <c r="BQ72" s="336"/>
      <c r="BR72" s="337"/>
      <c r="BS72" s="337"/>
      <c r="BT72" s="337"/>
      <c r="BU72" s="339"/>
      <c r="BW72" s="236" t="str">
        <f>sum_level("o",'Needs 171007_1815'!D72:BU72)</f>
        <v/>
      </c>
      <c r="BX72" s="237" t="str">
        <f>sum_level("j",'Needs 171007_1815'!D72:BU72)</f>
        <v/>
      </c>
      <c r="BY72" s="237" t="str">
        <f>sum_level("m",'Needs 171007_1815'!D72:BU72)</f>
        <v/>
      </c>
      <c r="BZ72" s="237" t="str">
        <f>sum_level("s",'Needs 171007_1815'!D72:BU72)</f>
        <v/>
      </c>
      <c r="CA72" s="238" t="str">
        <f>sum_level("e",'Needs 171007_1815'!D72:BU72)</f>
        <v/>
      </c>
    </row>
    <row r="73" spans="2:79" x14ac:dyDescent="0.25">
      <c r="B73" s="435"/>
      <c r="C73" s="291" t="s">
        <v>112</v>
      </c>
      <c r="D73" s="336"/>
      <c r="E73" s="337"/>
      <c r="F73" s="337"/>
      <c r="G73" s="337"/>
      <c r="H73" s="338"/>
      <c r="I73" s="336"/>
      <c r="J73" s="337"/>
      <c r="K73" s="337"/>
      <c r="L73" s="337"/>
      <c r="M73" s="338"/>
      <c r="N73" s="336"/>
      <c r="O73" s="337"/>
      <c r="P73" s="337"/>
      <c r="Q73" s="337"/>
      <c r="R73" s="338"/>
      <c r="S73" s="336"/>
      <c r="T73" s="337"/>
      <c r="U73" s="337"/>
      <c r="V73" s="337"/>
      <c r="W73" s="338"/>
      <c r="X73" s="336"/>
      <c r="Y73" s="337"/>
      <c r="Z73" s="337"/>
      <c r="AA73" s="337"/>
      <c r="AB73" s="338"/>
      <c r="AC73" s="336"/>
      <c r="AD73" s="337"/>
      <c r="AE73" s="337"/>
      <c r="AF73" s="337"/>
      <c r="AG73" s="338"/>
      <c r="AH73" s="336"/>
      <c r="AI73" s="337"/>
      <c r="AJ73" s="337"/>
      <c r="AK73" s="337"/>
      <c r="AL73" s="338"/>
      <c r="AM73" s="336"/>
      <c r="AN73" s="337"/>
      <c r="AO73" s="337"/>
      <c r="AP73" s="337"/>
      <c r="AQ73" s="338"/>
      <c r="AR73" s="336"/>
      <c r="AS73" s="337"/>
      <c r="AT73" s="337"/>
      <c r="AU73" s="337"/>
      <c r="AV73" s="338"/>
      <c r="AW73" s="336"/>
      <c r="AX73" s="337"/>
      <c r="AY73" s="337"/>
      <c r="AZ73" s="337"/>
      <c r="BA73" s="338"/>
      <c r="BB73" s="336"/>
      <c r="BC73" s="337"/>
      <c r="BD73" s="337"/>
      <c r="BE73" s="337"/>
      <c r="BF73" s="338"/>
      <c r="BG73" s="336"/>
      <c r="BH73" s="337"/>
      <c r="BI73" s="337"/>
      <c r="BJ73" s="337"/>
      <c r="BK73" s="338"/>
      <c r="BL73" s="336"/>
      <c r="BM73" s="337"/>
      <c r="BN73" s="337"/>
      <c r="BO73" s="337"/>
      <c r="BP73" s="338"/>
      <c r="BQ73" s="336"/>
      <c r="BR73" s="337"/>
      <c r="BS73" s="337"/>
      <c r="BT73" s="337"/>
      <c r="BU73" s="339"/>
      <c r="BW73" s="236" t="str">
        <f>sum_level("o",'Needs 171007_1815'!D73:BU73)</f>
        <v/>
      </c>
      <c r="BX73" s="237" t="str">
        <f>sum_level("j",'Needs 171007_1815'!D73:BU73)</f>
        <v/>
      </c>
      <c r="BY73" s="237" t="str">
        <f>sum_level("m",'Needs 171007_1815'!D73:BU73)</f>
        <v/>
      </c>
      <c r="BZ73" s="237" t="str">
        <f>sum_level("s",'Needs 171007_1815'!D73:BU73)</f>
        <v/>
      </c>
      <c r="CA73" s="238" t="str">
        <f>sum_level("e",'Needs 171007_1815'!D73:BU73)</f>
        <v/>
      </c>
    </row>
    <row r="74" spans="2:79" x14ac:dyDescent="0.25">
      <c r="B74" s="435"/>
      <c r="C74" s="291" t="s">
        <v>113</v>
      </c>
      <c r="D74" s="336"/>
      <c r="E74" s="337"/>
      <c r="F74" s="337"/>
      <c r="G74" s="337"/>
      <c r="H74" s="338"/>
      <c r="I74" s="336"/>
      <c r="J74" s="337"/>
      <c r="K74" s="337"/>
      <c r="L74" s="337"/>
      <c r="M74" s="338"/>
      <c r="N74" s="336"/>
      <c r="O74" s="337"/>
      <c r="P74" s="337"/>
      <c r="Q74" s="337"/>
      <c r="R74" s="338"/>
      <c r="S74" s="336"/>
      <c r="T74" s="337"/>
      <c r="U74" s="337"/>
      <c r="V74" s="337"/>
      <c r="W74" s="338"/>
      <c r="X74" s="336"/>
      <c r="Y74" s="337"/>
      <c r="Z74" s="337"/>
      <c r="AA74" s="337"/>
      <c r="AB74" s="338"/>
      <c r="AC74" s="336"/>
      <c r="AD74" s="337"/>
      <c r="AE74" s="337"/>
      <c r="AF74" s="337"/>
      <c r="AG74" s="338"/>
      <c r="AH74" s="336"/>
      <c r="AI74" s="337"/>
      <c r="AJ74" s="337"/>
      <c r="AK74" s="337"/>
      <c r="AL74" s="338"/>
      <c r="AM74" s="336"/>
      <c r="AN74" s="337"/>
      <c r="AO74" s="337"/>
      <c r="AP74" s="337"/>
      <c r="AQ74" s="338"/>
      <c r="AR74" s="336"/>
      <c r="AS74" s="337"/>
      <c r="AT74" s="337"/>
      <c r="AU74" s="337"/>
      <c r="AV74" s="338"/>
      <c r="AW74" s="336"/>
      <c r="AX74" s="337"/>
      <c r="AY74" s="337"/>
      <c r="AZ74" s="337"/>
      <c r="BA74" s="338"/>
      <c r="BB74" s="336"/>
      <c r="BC74" s="337"/>
      <c r="BD74" s="337"/>
      <c r="BE74" s="337"/>
      <c r="BF74" s="338"/>
      <c r="BG74" s="336"/>
      <c r="BH74" s="337"/>
      <c r="BI74" s="337"/>
      <c r="BJ74" s="337"/>
      <c r="BK74" s="338"/>
      <c r="BL74" s="336"/>
      <c r="BM74" s="337"/>
      <c r="BN74" s="337"/>
      <c r="BO74" s="337"/>
      <c r="BP74" s="338"/>
      <c r="BQ74" s="336"/>
      <c r="BR74" s="337"/>
      <c r="BS74" s="337"/>
      <c r="BT74" s="337"/>
      <c r="BU74" s="339"/>
      <c r="BW74" s="236" t="str">
        <f>sum_level("o",'Needs 171007_1815'!D74:BU74)</f>
        <v/>
      </c>
      <c r="BX74" s="237" t="str">
        <f>sum_level("j",'Needs 171007_1815'!D74:BU74)</f>
        <v/>
      </c>
      <c r="BY74" s="237" t="str">
        <f>sum_level("m",'Needs 171007_1815'!D74:BU74)</f>
        <v/>
      </c>
      <c r="BZ74" s="237" t="str">
        <f>sum_level("s",'Needs 171007_1815'!D74:BU74)</f>
        <v/>
      </c>
      <c r="CA74" s="238" t="str">
        <f>sum_level("e",'Needs 171007_1815'!D74:BU74)</f>
        <v/>
      </c>
    </row>
    <row r="75" spans="2:79" x14ac:dyDescent="0.25">
      <c r="B75" s="435"/>
      <c r="C75" s="291" t="s">
        <v>114</v>
      </c>
      <c r="D75" s="336"/>
      <c r="E75" s="337"/>
      <c r="F75" s="337"/>
      <c r="G75" s="337"/>
      <c r="H75" s="338"/>
      <c r="I75" s="336"/>
      <c r="J75" s="337"/>
      <c r="K75" s="337"/>
      <c r="L75" s="337"/>
      <c r="M75" s="338"/>
      <c r="N75" s="336"/>
      <c r="O75" s="337"/>
      <c r="P75" s="337"/>
      <c r="Q75" s="337"/>
      <c r="R75" s="338"/>
      <c r="S75" s="336"/>
      <c r="T75" s="337"/>
      <c r="U75" s="337"/>
      <c r="V75" s="337"/>
      <c r="W75" s="338"/>
      <c r="X75" s="336"/>
      <c r="Y75" s="337"/>
      <c r="Z75" s="337"/>
      <c r="AA75" s="337"/>
      <c r="AB75" s="338"/>
      <c r="AC75" s="336"/>
      <c r="AD75" s="337"/>
      <c r="AE75" s="337"/>
      <c r="AF75" s="337"/>
      <c r="AG75" s="338"/>
      <c r="AH75" s="336"/>
      <c r="AI75" s="337"/>
      <c r="AJ75" s="337"/>
      <c r="AK75" s="337"/>
      <c r="AL75" s="338"/>
      <c r="AM75" s="336"/>
      <c r="AN75" s="337"/>
      <c r="AO75" s="337"/>
      <c r="AP75" s="337"/>
      <c r="AQ75" s="338"/>
      <c r="AR75" s="336"/>
      <c r="AS75" s="337"/>
      <c r="AT75" s="337"/>
      <c r="AU75" s="337"/>
      <c r="AV75" s="338"/>
      <c r="AW75" s="336"/>
      <c r="AX75" s="337"/>
      <c r="AY75" s="337"/>
      <c r="AZ75" s="337"/>
      <c r="BA75" s="338"/>
      <c r="BB75" s="336"/>
      <c r="BC75" s="337"/>
      <c r="BD75" s="337"/>
      <c r="BE75" s="337"/>
      <c r="BF75" s="338"/>
      <c r="BG75" s="336"/>
      <c r="BH75" s="337"/>
      <c r="BI75" s="337"/>
      <c r="BJ75" s="337"/>
      <c r="BK75" s="338"/>
      <c r="BL75" s="336"/>
      <c r="BM75" s="337"/>
      <c r="BN75" s="337"/>
      <c r="BO75" s="337"/>
      <c r="BP75" s="338"/>
      <c r="BQ75" s="336"/>
      <c r="BR75" s="337"/>
      <c r="BS75" s="337"/>
      <c r="BT75" s="337"/>
      <c r="BU75" s="339"/>
      <c r="BW75" s="236" t="str">
        <f>sum_level("o",'Needs 171007_1815'!D75:BU75)</f>
        <v/>
      </c>
      <c r="BX75" s="237" t="str">
        <f>sum_level("j",'Needs 171007_1815'!D75:BU75)</f>
        <v/>
      </c>
      <c r="BY75" s="237" t="str">
        <f>sum_level("m",'Needs 171007_1815'!D75:BU75)</f>
        <v/>
      </c>
      <c r="BZ75" s="237" t="str">
        <f>sum_level("s",'Needs 171007_1815'!D75:BU75)</f>
        <v/>
      </c>
      <c r="CA75" s="238" t="str">
        <f>sum_level("e",'Needs 171007_1815'!D75:BU75)</f>
        <v/>
      </c>
    </row>
    <row r="76" spans="2:79" x14ac:dyDescent="0.25">
      <c r="B76" s="435"/>
      <c r="C76" s="291" t="s">
        <v>115</v>
      </c>
      <c r="D76" s="336"/>
      <c r="E76" s="337"/>
      <c r="F76" s="337"/>
      <c r="G76" s="337"/>
      <c r="H76" s="338"/>
      <c r="I76" s="336"/>
      <c r="J76" s="337"/>
      <c r="K76" s="337"/>
      <c r="L76" s="337"/>
      <c r="M76" s="338"/>
      <c r="N76" s="336"/>
      <c r="O76" s="337"/>
      <c r="P76" s="337"/>
      <c r="Q76" s="337"/>
      <c r="R76" s="338"/>
      <c r="S76" s="336"/>
      <c r="T76" s="337"/>
      <c r="U76" s="337"/>
      <c r="V76" s="337"/>
      <c r="W76" s="338"/>
      <c r="X76" s="336"/>
      <c r="Y76" s="337"/>
      <c r="Z76" s="337"/>
      <c r="AA76" s="337"/>
      <c r="AB76" s="338"/>
      <c r="AC76" s="336"/>
      <c r="AD76" s="337"/>
      <c r="AE76" s="337"/>
      <c r="AF76" s="337"/>
      <c r="AG76" s="338"/>
      <c r="AH76" s="336"/>
      <c r="AI76" s="337"/>
      <c r="AJ76" s="337"/>
      <c r="AK76" s="337"/>
      <c r="AL76" s="338"/>
      <c r="AM76" s="336"/>
      <c r="AN76" s="337"/>
      <c r="AO76" s="337"/>
      <c r="AP76" s="337"/>
      <c r="AQ76" s="338"/>
      <c r="AR76" s="336"/>
      <c r="AS76" s="337"/>
      <c r="AT76" s="337"/>
      <c r="AU76" s="337"/>
      <c r="AV76" s="338"/>
      <c r="AW76" s="336"/>
      <c r="AX76" s="337"/>
      <c r="AY76" s="337"/>
      <c r="AZ76" s="337"/>
      <c r="BA76" s="338"/>
      <c r="BB76" s="336"/>
      <c r="BC76" s="337"/>
      <c r="BD76" s="337"/>
      <c r="BE76" s="337"/>
      <c r="BF76" s="338"/>
      <c r="BG76" s="336"/>
      <c r="BH76" s="337"/>
      <c r="BI76" s="337"/>
      <c r="BJ76" s="337"/>
      <c r="BK76" s="338"/>
      <c r="BL76" s="336"/>
      <c r="BM76" s="337"/>
      <c r="BN76" s="337"/>
      <c r="BO76" s="337"/>
      <c r="BP76" s="338"/>
      <c r="BQ76" s="336"/>
      <c r="BR76" s="337"/>
      <c r="BS76" s="337"/>
      <c r="BT76" s="337"/>
      <c r="BU76" s="339"/>
      <c r="BW76" s="236" t="str">
        <f>sum_level("o",'Needs 171007_1815'!D76:BU76)</f>
        <v/>
      </c>
      <c r="BX76" s="237" t="str">
        <f>sum_level("j",'Needs 171007_1815'!D76:BU76)</f>
        <v/>
      </c>
      <c r="BY76" s="237" t="str">
        <f>sum_level("m",'Needs 171007_1815'!D76:BU76)</f>
        <v/>
      </c>
      <c r="BZ76" s="237" t="str">
        <f>sum_level("s",'Needs 171007_1815'!D76:BU76)</f>
        <v/>
      </c>
      <c r="CA76" s="238" t="str">
        <f>sum_level("e",'Needs 171007_1815'!D76:BU76)</f>
        <v/>
      </c>
    </row>
    <row r="77" spans="2:79" ht="15.75" thickBot="1" x14ac:dyDescent="0.3">
      <c r="B77" s="435"/>
      <c r="C77" s="292" t="s">
        <v>116</v>
      </c>
      <c r="D77" s="340"/>
      <c r="E77" s="341"/>
      <c r="F77" s="341"/>
      <c r="G77" s="341"/>
      <c r="H77" s="342"/>
      <c r="I77" s="340"/>
      <c r="J77" s="341"/>
      <c r="K77" s="341"/>
      <c r="L77" s="341"/>
      <c r="M77" s="342"/>
      <c r="N77" s="340"/>
      <c r="O77" s="341"/>
      <c r="P77" s="341"/>
      <c r="Q77" s="341"/>
      <c r="R77" s="342"/>
      <c r="S77" s="340"/>
      <c r="T77" s="341"/>
      <c r="U77" s="341"/>
      <c r="V77" s="341"/>
      <c r="W77" s="342"/>
      <c r="X77" s="340"/>
      <c r="Y77" s="341"/>
      <c r="Z77" s="341"/>
      <c r="AA77" s="341"/>
      <c r="AB77" s="342"/>
      <c r="AC77" s="340"/>
      <c r="AD77" s="341"/>
      <c r="AE77" s="341"/>
      <c r="AF77" s="341"/>
      <c r="AG77" s="342"/>
      <c r="AH77" s="340"/>
      <c r="AI77" s="341"/>
      <c r="AJ77" s="341"/>
      <c r="AK77" s="341"/>
      <c r="AL77" s="342"/>
      <c r="AM77" s="340"/>
      <c r="AN77" s="341"/>
      <c r="AO77" s="341"/>
      <c r="AP77" s="341"/>
      <c r="AQ77" s="342"/>
      <c r="AR77" s="340"/>
      <c r="AS77" s="341"/>
      <c r="AT77" s="341"/>
      <c r="AU77" s="341"/>
      <c r="AV77" s="342"/>
      <c r="AW77" s="340"/>
      <c r="AX77" s="341"/>
      <c r="AY77" s="341"/>
      <c r="AZ77" s="341"/>
      <c r="BA77" s="342"/>
      <c r="BB77" s="340"/>
      <c r="BC77" s="341"/>
      <c r="BD77" s="341"/>
      <c r="BE77" s="341"/>
      <c r="BF77" s="342"/>
      <c r="BG77" s="340"/>
      <c r="BH77" s="341"/>
      <c r="BI77" s="341"/>
      <c r="BJ77" s="341"/>
      <c r="BK77" s="342"/>
      <c r="BL77" s="340"/>
      <c r="BM77" s="341"/>
      <c r="BN77" s="341"/>
      <c r="BO77" s="341"/>
      <c r="BP77" s="342"/>
      <c r="BQ77" s="340"/>
      <c r="BR77" s="341"/>
      <c r="BS77" s="341"/>
      <c r="BT77" s="341"/>
      <c r="BU77" s="343"/>
      <c r="BW77" s="239" t="str">
        <f>sum_level("o",'Needs 171007_1815'!D77:BU77)</f>
        <v/>
      </c>
      <c r="BX77" s="240" t="str">
        <f>sum_level("j",'Needs 171007_1815'!D77:BU77)</f>
        <v/>
      </c>
      <c r="BY77" s="240" t="str">
        <f>sum_level("m",'Needs 171007_1815'!D77:BU77)</f>
        <v/>
      </c>
      <c r="BZ77" s="240" t="str">
        <f>sum_level("s",'Needs 171007_1815'!D77:BU77)</f>
        <v/>
      </c>
      <c r="CA77" s="241" t="str">
        <f>sum_level("e",'Needs 171007_1815'!D77:BU77)</f>
        <v/>
      </c>
    </row>
    <row r="78" spans="2:79" ht="12.75" customHeight="1" thickTop="1" thickBot="1" x14ac:dyDescent="0.3">
      <c r="B78" s="436"/>
      <c r="C78" s="248"/>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s="344"/>
      <c r="BN78" s="344"/>
      <c r="BO78" s="344"/>
      <c r="BP78" s="344"/>
      <c r="BQ78" s="344"/>
      <c r="BR78" s="344"/>
      <c r="BS78" s="344"/>
      <c r="BT78" s="344"/>
      <c r="BU78" s="344"/>
      <c r="BW78" s="249"/>
      <c r="BX78" s="249"/>
      <c r="BY78" s="249"/>
      <c r="BZ78" s="249"/>
      <c r="CA78" s="249"/>
    </row>
    <row r="79" spans="2:79" ht="15.75" thickTop="1" x14ac:dyDescent="0.25">
      <c r="B79" s="434" t="s">
        <v>267</v>
      </c>
      <c r="C79" s="290" t="s">
        <v>269</v>
      </c>
      <c r="D79" s="332"/>
      <c r="E79" s="333"/>
      <c r="F79" s="333"/>
      <c r="G79" s="333"/>
      <c r="H79" s="334"/>
      <c r="I79" s="332"/>
      <c r="J79" s="333"/>
      <c r="K79" s="333"/>
      <c r="L79" s="333"/>
      <c r="M79" s="334"/>
      <c r="N79" s="332"/>
      <c r="O79" s="333"/>
      <c r="P79" s="333"/>
      <c r="Q79" s="333"/>
      <c r="R79" s="334"/>
      <c r="S79" s="332"/>
      <c r="T79" s="333"/>
      <c r="U79" s="333"/>
      <c r="V79" s="333"/>
      <c r="W79" s="334"/>
      <c r="X79" s="332"/>
      <c r="Y79" s="333"/>
      <c r="Z79" s="333"/>
      <c r="AA79" s="333"/>
      <c r="AB79" s="334"/>
      <c r="AC79" s="332"/>
      <c r="AD79" s="333"/>
      <c r="AE79" s="333"/>
      <c r="AF79" s="333"/>
      <c r="AG79" s="334"/>
      <c r="AH79" s="332"/>
      <c r="AI79" s="333"/>
      <c r="AJ79" s="333"/>
      <c r="AK79" s="333"/>
      <c r="AL79" s="334"/>
      <c r="AM79" s="332"/>
      <c r="AN79" s="333"/>
      <c r="AO79" s="333"/>
      <c r="AP79" s="333"/>
      <c r="AQ79" s="334"/>
      <c r="AR79" s="332"/>
      <c r="AS79" s="333"/>
      <c r="AT79" s="333"/>
      <c r="AU79" s="333"/>
      <c r="AV79" s="334"/>
      <c r="AW79" s="332"/>
      <c r="AX79" s="333"/>
      <c r="AY79" s="333"/>
      <c r="AZ79" s="333"/>
      <c r="BA79" s="334"/>
      <c r="BB79" s="332"/>
      <c r="BC79" s="333"/>
      <c r="BD79" s="333"/>
      <c r="BE79" s="333"/>
      <c r="BF79" s="334"/>
      <c r="BG79" s="332"/>
      <c r="BH79" s="333"/>
      <c r="BI79" s="333"/>
      <c r="BJ79" s="333"/>
      <c r="BK79" s="334"/>
      <c r="BL79" s="332"/>
      <c r="BM79" s="333"/>
      <c r="BN79" s="333"/>
      <c r="BO79" s="333"/>
      <c r="BP79" s="334"/>
      <c r="BQ79" s="332"/>
      <c r="BR79" s="333"/>
      <c r="BS79" s="333"/>
      <c r="BT79" s="333"/>
      <c r="BU79" s="335"/>
      <c r="BW79" s="233" t="str">
        <f>sum_level("o",'Needs 171007_1815'!D79:BU79)</f>
        <v/>
      </c>
      <c r="BX79" s="234" t="str">
        <f>sum_level("j",'Needs 171007_1815'!D79:BU79)</f>
        <v/>
      </c>
      <c r="BY79" s="234" t="str">
        <f>sum_level("m",'Needs 171007_1815'!D79:BU79)</f>
        <v/>
      </c>
      <c r="BZ79" s="234" t="str">
        <f>sum_level("s",'Needs 171007_1815'!D79:BU79)</f>
        <v/>
      </c>
      <c r="CA79" s="235" t="str">
        <f>sum_level("e",'Needs 171007_1815'!D79:BU79)</f>
        <v/>
      </c>
    </row>
    <row r="80" spans="2:79" x14ac:dyDescent="0.25">
      <c r="B80" s="435"/>
      <c r="C80" s="291" t="s">
        <v>270</v>
      </c>
      <c r="D80" s="336"/>
      <c r="E80" s="337"/>
      <c r="F80" s="337"/>
      <c r="G80" s="337"/>
      <c r="H80" s="338"/>
      <c r="I80" s="336"/>
      <c r="J80" s="337"/>
      <c r="K80" s="337"/>
      <c r="L80" s="337"/>
      <c r="M80" s="338"/>
      <c r="N80" s="336"/>
      <c r="O80" s="337"/>
      <c r="P80" s="337"/>
      <c r="Q80" s="337"/>
      <c r="R80" s="338"/>
      <c r="S80" s="336"/>
      <c r="T80" s="337"/>
      <c r="U80" s="337"/>
      <c r="V80" s="337"/>
      <c r="W80" s="338"/>
      <c r="X80" s="336"/>
      <c r="Y80" s="337"/>
      <c r="Z80" s="337"/>
      <c r="AA80" s="337"/>
      <c r="AB80" s="338"/>
      <c r="AC80" s="336"/>
      <c r="AD80" s="337"/>
      <c r="AE80" s="337"/>
      <c r="AF80" s="337"/>
      <c r="AG80" s="338"/>
      <c r="AH80" s="336"/>
      <c r="AI80" s="337"/>
      <c r="AJ80" s="337"/>
      <c r="AK80" s="337"/>
      <c r="AL80" s="338"/>
      <c r="AM80" s="336"/>
      <c r="AN80" s="337"/>
      <c r="AO80" s="337"/>
      <c r="AP80" s="337"/>
      <c r="AQ80" s="338"/>
      <c r="AR80" s="336"/>
      <c r="AS80" s="337"/>
      <c r="AT80" s="337"/>
      <c r="AU80" s="337"/>
      <c r="AV80" s="338"/>
      <c r="AW80" s="336"/>
      <c r="AX80" s="337"/>
      <c r="AY80" s="337"/>
      <c r="AZ80" s="337"/>
      <c r="BA80" s="338"/>
      <c r="BB80" s="336"/>
      <c r="BC80" s="337"/>
      <c r="BD80" s="337"/>
      <c r="BE80" s="337"/>
      <c r="BF80" s="338"/>
      <c r="BG80" s="336"/>
      <c r="BH80" s="337"/>
      <c r="BI80" s="337"/>
      <c r="BJ80" s="337"/>
      <c r="BK80" s="338"/>
      <c r="BL80" s="336"/>
      <c r="BM80" s="337"/>
      <c r="BN80" s="337"/>
      <c r="BO80" s="337"/>
      <c r="BP80" s="338"/>
      <c r="BQ80" s="336"/>
      <c r="BR80" s="337"/>
      <c r="BS80" s="337"/>
      <c r="BT80" s="337"/>
      <c r="BU80" s="339"/>
      <c r="BW80" s="236" t="str">
        <f>sum_level("o",'Needs 171007_1815'!D80:BU80)</f>
        <v/>
      </c>
      <c r="BX80" s="237" t="str">
        <f>sum_level("j",'Needs 171007_1815'!D80:BU80)</f>
        <v/>
      </c>
      <c r="BY80" s="237" t="str">
        <f>sum_level("m",'Needs 171007_1815'!D80:BU80)</f>
        <v/>
      </c>
      <c r="BZ80" s="237" t="str">
        <f>sum_level("s",'Needs 171007_1815'!D80:BU80)</f>
        <v/>
      </c>
      <c r="CA80" s="238" t="str">
        <f>sum_level("e",'Needs 171007_1815'!D80:BU80)</f>
        <v/>
      </c>
    </row>
    <row r="81" spans="2:79" x14ac:dyDescent="0.25">
      <c r="B81" s="435"/>
      <c r="C81" s="291" t="s">
        <v>271</v>
      </c>
      <c r="D81" s="336"/>
      <c r="E81" s="337"/>
      <c r="F81" s="337"/>
      <c r="G81" s="337"/>
      <c r="H81" s="338"/>
      <c r="I81" s="336"/>
      <c r="J81" s="337"/>
      <c r="K81" s="337"/>
      <c r="L81" s="337"/>
      <c r="M81" s="338"/>
      <c r="N81" s="336"/>
      <c r="O81" s="337"/>
      <c r="P81" s="337"/>
      <c r="Q81" s="337"/>
      <c r="R81" s="338"/>
      <c r="S81" s="336"/>
      <c r="T81" s="337"/>
      <c r="U81" s="337"/>
      <c r="V81" s="337"/>
      <c r="W81" s="338"/>
      <c r="X81" s="336"/>
      <c r="Y81" s="337"/>
      <c r="Z81" s="337"/>
      <c r="AA81" s="337"/>
      <c r="AB81" s="338"/>
      <c r="AC81" s="336"/>
      <c r="AD81" s="337"/>
      <c r="AE81" s="337"/>
      <c r="AF81" s="337"/>
      <c r="AG81" s="338"/>
      <c r="AH81" s="336"/>
      <c r="AI81" s="337"/>
      <c r="AJ81" s="337"/>
      <c r="AK81" s="337"/>
      <c r="AL81" s="338"/>
      <c r="AM81" s="336"/>
      <c r="AN81" s="337"/>
      <c r="AO81" s="337"/>
      <c r="AP81" s="337"/>
      <c r="AQ81" s="338"/>
      <c r="AR81" s="336"/>
      <c r="AS81" s="337"/>
      <c r="AT81" s="337"/>
      <c r="AU81" s="337"/>
      <c r="AV81" s="338"/>
      <c r="AW81" s="336"/>
      <c r="AX81" s="337"/>
      <c r="AY81" s="337"/>
      <c r="AZ81" s="337"/>
      <c r="BA81" s="338"/>
      <c r="BB81" s="336"/>
      <c r="BC81" s="337"/>
      <c r="BD81" s="337"/>
      <c r="BE81" s="337"/>
      <c r="BF81" s="338"/>
      <c r="BG81" s="336"/>
      <c r="BH81" s="337"/>
      <c r="BI81" s="337"/>
      <c r="BJ81" s="337"/>
      <c r="BK81" s="338"/>
      <c r="BL81" s="336"/>
      <c r="BM81" s="337"/>
      <c r="BN81" s="337"/>
      <c r="BO81" s="337"/>
      <c r="BP81" s="338"/>
      <c r="BQ81" s="336"/>
      <c r="BR81" s="337"/>
      <c r="BS81" s="337"/>
      <c r="BT81" s="337"/>
      <c r="BU81" s="339"/>
      <c r="BW81" s="236" t="str">
        <f>sum_level("o",'Needs 171007_1815'!D81:BU81)</f>
        <v/>
      </c>
      <c r="BX81" s="237" t="str">
        <f>sum_level("j",'Needs 171007_1815'!D81:BU81)</f>
        <v/>
      </c>
      <c r="BY81" s="237" t="str">
        <f>sum_level("m",'Needs 171007_1815'!D81:BU81)</f>
        <v/>
      </c>
      <c r="BZ81" s="237" t="str">
        <f>sum_level("s",'Needs 171007_1815'!D81:BU81)</f>
        <v/>
      </c>
      <c r="CA81" s="238" t="str">
        <f>sum_level("e",'Needs 171007_1815'!D81:BU81)</f>
        <v/>
      </c>
    </row>
    <row r="82" spans="2:79" x14ac:dyDescent="0.25">
      <c r="B82" s="435"/>
      <c r="C82" s="291" t="s">
        <v>272</v>
      </c>
      <c r="D82" s="336"/>
      <c r="E82" s="337"/>
      <c r="F82" s="337"/>
      <c r="G82" s="337"/>
      <c r="H82" s="338"/>
      <c r="I82" s="336"/>
      <c r="J82" s="337"/>
      <c r="K82" s="337"/>
      <c r="L82" s="337"/>
      <c r="M82" s="338"/>
      <c r="N82" s="336"/>
      <c r="O82" s="337"/>
      <c r="P82" s="337"/>
      <c r="Q82" s="337"/>
      <c r="R82" s="338"/>
      <c r="S82" s="336"/>
      <c r="T82" s="337"/>
      <c r="U82" s="337"/>
      <c r="V82" s="337"/>
      <c r="W82" s="338"/>
      <c r="X82" s="336"/>
      <c r="Y82" s="337"/>
      <c r="Z82" s="337"/>
      <c r="AA82" s="337"/>
      <c r="AB82" s="338"/>
      <c r="AC82" s="336"/>
      <c r="AD82" s="337"/>
      <c r="AE82" s="337"/>
      <c r="AF82" s="337"/>
      <c r="AG82" s="338"/>
      <c r="AH82" s="336"/>
      <c r="AI82" s="337"/>
      <c r="AJ82" s="337"/>
      <c r="AK82" s="337"/>
      <c r="AL82" s="338"/>
      <c r="AM82" s="336"/>
      <c r="AN82" s="337"/>
      <c r="AO82" s="337"/>
      <c r="AP82" s="337"/>
      <c r="AQ82" s="338"/>
      <c r="AR82" s="336"/>
      <c r="AS82" s="337"/>
      <c r="AT82" s="337"/>
      <c r="AU82" s="337"/>
      <c r="AV82" s="338"/>
      <c r="AW82" s="336"/>
      <c r="AX82" s="337"/>
      <c r="AY82" s="337"/>
      <c r="AZ82" s="337"/>
      <c r="BA82" s="338"/>
      <c r="BB82" s="336"/>
      <c r="BC82" s="337"/>
      <c r="BD82" s="337"/>
      <c r="BE82" s="337"/>
      <c r="BF82" s="338"/>
      <c r="BG82" s="336"/>
      <c r="BH82" s="337"/>
      <c r="BI82" s="337"/>
      <c r="BJ82" s="337"/>
      <c r="BK82" s="338"/>
      <c r="BL82" s="336"/>
      <c r="BM82" s="337"/>
      <c r="BN82" s="337"/>
      <c r="BO82" s="337"/>
      <c r="BP82" s="338"/>
      <c r="BQ82" s="336"/>
      <c r="BR82" s="337"/>
      <c r="BS82" s="337"/>
      <c r="BT82" s="337"/>
      <c r="BU82" s="339"/>
      <c r="BW82" s="236" t="str">
        <f>sum_level("o",'Needs 171007_1815'!D82:BU82)</f>
        <v/>
      </c>
      <c r="BX82" s="237" t="str">
        <f>sum_level("j",'Needs 171007_1815'!D82:BU82)</f>
        <v/>
      </c>
      <c r="BY82" s="237" t="str">
        <f>sum_level("m",'Needs 171007_1815'!D82:BU82)</f>
        <v/>
      </c>
      <c r="BZ82" s="237" t="str">
        <f>sum_level("s",'Needs 171007_1815'!D82:BU82)</f>
        <v/>
      </c>
      <c r="CA82" s="238" t="str">
        <f>sum_level("e",'Needs 171007_1815'!D82:BU82)</f>
        <v/>
      </c>
    </row>
    <row r="83" spans="2:79" x14ac:dyDescent="0.25">
      <c r="B83" s="435"/>
      <c r="C83" s="291" t="s">
        <v>273</v>
      </c>
      <c r="D83" s="336"/>
      <c r="E83" s="337"/>
      <c r="F83" s="337"/>
      <c r="G83" s="337"/>
      <c r="H83" s="338"/>
      <c r="I83" s="336"/>
      <c r="J83" s="337"/>
      <c r="K83" s="337"/>
      <c r="L83" s="337"/>
      <c r="M83" s="338"/>
      <c r="N83" s="336"/>
      <c r="O83" s="337"/>
      <c r="P83" s="337"/>
      <c r="Q83" s="337"/>
      <c r="R83" s="338"/>
      <c r="S83" s="336"/>
      <c r="T83" s="337"/>
      <c r="U83" s="337"/>
      <c r="V83" s="337"/>
      <c r="W83" s="338"/>
      <c r="X83" s="336"/>
      <c r="Y83" s="337"/>
      <c r="Z83" s="337"/>
      <c r="AA83" s="337"/>
      <c r="AB83" s="338"/>
      <c r="AC83" s="336"/>
      <c r="AD83" s="337"/>
      <c r="AE83" s="337"/>
      <c r="AF83" s="337"/>
      <c r="AG83" s="338"/>
      <c r="AH83" s="336"/>
      <c r="AI83" s="337"/>
      <c r="AJ83" s="337"/>
      <c r="AK83" s="337"/>
      <c r="AL83" s="338"/>
      <c r="AM83" s="336"/>
      <c r="AN83" s="337"/>
      <c r="AO83" s="337"/>
      <c r="AP83" s="337"/>
      <c r="AQ83" s="338"/>
      <c r="AR83" s="336"/>
      <c r="AS83" s="337"/>
      <c r="AT83" s="337"/>
      <c r="AU83" s="337"/>
      <c r="AV83" s="338"/>
      <c r="AW83" s="336"/>
      <c r="AX83" s="337"/>
      <c r="AY83" s="337"/>
      <c r="AZ83" s="337"/>
      <c r="BA83" s="338"/>
      <c r="BB83" s="336"/>
      <c r="BC83" s="337"/>
      <c r="BD83" s="337"/>
      <c r="BE83" s="337"/>
      <c r="BF83" s="338"/>
      <c r="BG83" s="336"/>
      <c r="BH83" s="337"/>
      <c r="BI83" s="337"/>
      <c r="BJ83" s="337"/>
      <c r="BK83" s="338"/>
      <c r="BL83" s="336"/>
      <c r="BM83" s="337"/>
      <c r="BN83" s="337"/>
      <c r="BO83" s="337"/>
      <c r="BP83" s="338"/>
      <c r="BQ83" s="336"/>
      <c r="BR83" s="337"/>
      <c r="BS83" s="337"/>
      <c r="BT83" s="337"/>
      <c r="BU83" s="339"/>
      <c r="BW83" s="236" t="str">
        <f>sum_level("o",'Needs 171007_1815'!D83:BU83)</f>
        <v/>
      </c>
      <c r="BX83" s="237" t="str">
        <f>sum_level("j",'Needs 171007_1815'!D83:BU83)</f>
        <v/>
      </c>
      <c r="BY83" s="237" t="str">
        <f>sum_level("m",'Needs 171007_1815'!D83:BU83)</f>
        <v/>
      </c>
      <c r="BZ83" s="237" t="str">
        <f>sum_level("s",'Needs 171007_1815'!D83:BU83)</f>
        <v/>
      </c>
      <c r="CA83" s="238" t="str">
        <f>sum_level("e",'Needs 171007_1815'!D83:BU83)</f>
        <v/>
      </c>
    </row>
    <row r="84" spans="2:79" x14ac:dyDescent="0.25">
      <c r="B84" s="435"/>
      <c r="C84" s="291" t="s">
        <v>274</v>
      </c>
      <c r="D84" s="336"/>
      <c r="E84" s="337"/>
      <c r="F84" s="337"/>
      <c r="G84" s="337"/>
      <c r="H84" s="338"/>
      <c r="I84" s="336"/>
      <c r="J84" s="337"/>
      <c r="K84" s="337"/>
      <c r="L84" s="337"/>
      <c r="M84" s="338"/>
      <c r="N84" s="336"/>
      <c r="O84" s="337"/>
      <c r="P84" s="337"/>
      <c r="Q84" s="337"/>
      <c r="R84" s="338"/>
      <c r="S84" s="336"/>
      <c r="T84" s="337"/>
      <c r="U84" s="337"/>
      <c r="V84" s="337"/>
      <c r="W84" s="338"/>
      <c r="X84" s="336"/>
      <c r="Y84" s="337"/>
      <c r="Z84" s="337"/>
      <c r="AA84" s="337"/>
      <c r="AB84" s="338"/>
      <c r="AC84" s="336"/>
      <c r="AD84" s="337"/>
      <c r="AE84" s="337"/>
      <c r="AF84" s="337"/>
      <c r="AG84" s="338"/>
      <c r="AH84" s="336"/>
      <c r="AI84" s="337"/>
      <c r="AJ84" s="337"/>
      <c r="AK84" s="337"/>
      <c r="AL84" s="338"/>
      <c r="AM84" s="336"/>
      <c r="AN84" s="337"/>
      <c r="AO84" s="337"/>
      <c r="AP84" s="337"/>
      <c r="AQ84" s="338"/>
      <c r="AR84" s="336"/>
      <c r="AS84" s="337"/>
      <c r="AT84" s="337"/>
      <c r="AU84" s="337"/>
      <c r="AV84" s="338"/>
      <c r="AW84" s="336"/>
      <c r="AX84" s="337"/>
      <c r="AY84" s="337"/>
      <c r="AZ84" s="337"/>
      <c r="BA84" s="338"/>
      <c r="BB84" s="336"/>
      <c r="BC84" s="337"/>
      <c r="BD84" s="337"/>
      <c r="BE84" s="337"/>
      <c r="BF84" s="338"/>
      <c r="BG84" s="336"/>
      <c r="BH84" s="337"/>
      <c r="BI84" s="337"/>
      <c r="BJ84" s="337"/>
      <c r="BK84" s="338"/>
      <c r="BL84" s="336"/>
      <c r="BM84" s="337"/>
      <c r="BN84" s="337"/>
      <c r="BO84" s="337"/>
      <c r="BP84" s="338"/>
      <c r="BQ84" s="336"/>
      <c r="BR84" s="337"/>
      <c r="BS84" s="337"/>
      <c r="BT84" s="337"/>
      <c r="BU84" s="339"/>
      <c r="BW84" s="236" t="str">
        <f>sum_level("o",'Needs 171007_1815'!D84:BU84)</f>
        <v/>
      </c>
      <c r="BX84" s="237" t="str">
        <f>sum_level("j",'Needs 171007_1815'!D84:BU84)</f>
        <v/>
      </c>
      <c r="BY84" s="237" t="str">
        <f>sum_level("m",'Needs 171007_1815'!D84:BU84)</f>
        <v/>
      </c>
      <c r="BZ84" s="237" t="str">
        <f>sum_level("s",'Needs 171007_1815'!D84:BU84)</f>
        <v/>
      </c>
      <c r="CA84" s="238" t="str">
        <f>sum_level("e",'Needs 171007_1815'!D84:BU84)</f>
        <v/>
      </c>
    </row>
    <row r="85" spans="2:79" x14ac:dyDescent="0.25">
      <c r="B85" s="435"/>
      <c r="C85" s="291" t="s">
        <v>275</v>
      </c>
      <c r="D85" s="336"/>
      <c r="E85" s="337"/>
      <c r="F85" s="337"/>
      <c r="G85" s="337"/>
      <c r="H85" s="338"/>
      <c r="I85" s="336"/>
      <c r="J85" s="337"/>
      <c r="K85" s="337"/>
      <c r="L85" s="337"/>
      <c r="M85" s="338"/>
      <c r="N85" s="336"/>
      <c r="O85" s="337"/>
      <c r="P85" s="337"/>
      <c r="Q85" s="337"/>
      <c r="R85" s="338"/>
      <c r="S85" s="336"/>
      <c r="T85" s="337"/>
      <c r="U85" s="337"/>
      <c r="V85" s="337"/>
      <c r="W85" s="338"/>
      <c r="X85" s="336"/>
      <c r="Y85" s="337"/>
      <c r="Z85" s="337"/>
      <c r="AA85" s="337"/>
      <c r="AB85" s="338"/>
      <c r="AC85" s="336"/>
      <c r="AD85" s="337"/>
      <c r="AE85" s="337"/>
      <c r="AF85" s="337"/>
      <c r="AG85" s="338"/>
      <c r="AH85" s="336"/>
      <c r="AI85" s="337"/>
      <c r="AJ85" s="337"/>
      <c r="AK85" s="337"/>
      <c r="AL85" s="338"/>
      <c r="AM85" s="336"/>
      <c r="AN85" s="337"/>
      <c r="AO85" s="337"/>
      <c r="AP85" s="337"/>
      <c r="AQ85" s="338"/>
      <c r="AR85" s="336"/>
      <c r="AS85" s="337"/>
      <c r="AT85" s="337"/>
      <c r="AU85" s="337"/>
      <c r="AV85" s="338"/>
      <c r="AW85" s="336"/>
      <c r="AX85" s="337"/>
      <c r="AY85" s="337"/>
      <c r="AZ85" s="337"/>
      <c r="BA85" s="338"/>
      <c r="BB85" s="336"/>
      <c r="BC85" s="337"/>
      <c r="BD85" s="337"/>
      <c r="BE85" s="337"/>
      <c r="BF85" s="338"/>
      <c r="BG85" s="336"/>
      <c r="BH85" s="337"/>
      <c r="BI85" s="337"/>
      <c r="BJ85" s="337"/>
      <c r="BK85" s="338"/>
      <c r="BL85" s="336"/>
      <c r="BM85" s="337"/>
      <c r="BN85" s="337"/>
      <c r="BO85" s="337"/>
      <c r="BP85" s="338"/>
      <c r="BQ85" s="336"/>
      <c r="BR85" s="337"/>
      <c r="BS85" s="337"/>
      <c r="BT85" s="337"/>
      <c r="BU85" s="339"/>
      <c r="BW85" s="236" t="str">
        <f>sum_level("o",'Needs 171007_1815'!D85:BU85)</f>
        <v/>
      </c>
      <c r="BX85" s="237" t="str">
        <f>sum_level("j",'Needs 171007_1815'!D85:BU85)</f>
        <v/>
      </c>
      <c r="BY85" s="237" t="str">
        <f>sum_level("m",'Needs 171007_1815'!D85:BU85)</f>
        <v/>
      </c>
      <c r="BZ85" s="237" t="str">
        <f>sum_level("s",'Needs 171007_1815'!D85:BU85)</f>
        <v/>
      </c>
      <c r="CA85" s="238" t="str">
        <f>sum_level("e",'Needs 171007_1815'!D85:BU85)</f>
        <v/>
      </c>
    </row>
    <row r="86" spans="2:79" x14ac:dyDescent="0.25">
      <c r="B86" s="435"/>
      <c r="C86" s="291" t="s">
        <v>281</v>
      </c>
      <c r="D86" s="336"/>
      <c r="E86" s="337"/>
      <c r="F86" s="337"/>
      <c r="G86" s="337"/>
      <c r="H86" s="338"/>
      <c r="I86" s="336"/>
      <c r="J86" s="337"/>
      <c r="K86" s="337"/>
      <c r="L86" s="337"/>
      <c r="M86" s="338"/>
      <c r="N86" s="336"/>
      <c r="O86" s="337"/>
      <c r="P86" s="337"/>
      <c r="Q86" s="337"/>
      <c r="R86" s="338"/>
      <c r="S86" s="336"/>
      <c r="T86" s="337"/>
      <c r="U86" s="337"/>
      <c r="V86" s="337"/>
      <c r="W86" s="338"/>
      <c r="X86" s="336"/>
      <c r="Y86" s="337"/>
      <c r="Z86" s="337"/>
      <c r="AA86" s="337"/>
      <c r="AB86" s="338"/>
      <c r="AC86" s="336"/>
      <c r="AD86" s="337"/>
      <c r="AE86" s="337"/>
      <c r="AF86" s="337"/>
      <c r="AG86" s="338"/>
      <c r="AH86" s="336"/>
      <c r="AI86" s="337"/>
      <c r="AJ86" s="337"/>
      <c r="AK86" s="337"/>
      <c r="AL86" s="338"/>
      <c r="AM86" s="336"/>
      <c r="AN86" s="337"/>
      <c r="AO86" s="337"/>
      <c r="AP86" s="337"/>
      <c r="AQ86" s="338"/>
      <c r="AR86" s="336"/>
      <c r="AS86" s="337"/>
      <c r="AT86" s="337"/>
      <c r="AU86" s="337"/>
      <c r="AV86" s="338"/>
      <c r="AW86" s="336"/>
      <c r="AX86" s="337"/>
      <c r="AY86" s="337"/>
      <c r="AZ86" s="337"/>
      <c r="BA86" s="338"/>
      <c r="BB86" s="336"/>
      <c r="BC86" s="337"/>
      <c r="BD86" s="337"/>
      <c r="BE86" s="337"/>
      <c r="BF86" s="338"/>
      <c r="BG86" s="336"/>
      <c r="BH86" s="337"/>
      <c r="BI86" s="337"/>
      <c r="BJ86" s="337"/>
      <c r="BK86" s="338"/>
      <c r="BL86" s="336"/>
      <c r="BM86" s="337"/>
      <c r="BN86" s="337"/>
      <c r="BO86" s="337"/>
      <c r="BP86" s="338"/>
      <c r="BQ86" s="336"/>
      <c r="BR86" s="337"/>
      <c r="BS86" s="337"/>
      <c r="BT86" s="337"/>
      <c r="BU86" s="339"/>
      <c r="BW86" s="236" t="str">
        <f>sum_level("o",'Needs 171007_1815'!D86:BU86)</f>
        <v/>
      </c>
      <c r="BX86" s="237" t="str">
        <f>sum_level("j",'Needs 171007_1815'!D86:BU86)</f>
        <v/>
      </c>
      <c r="BY86" s="237" t="str">
        <f>sum_level("m",'Needs 171007_1815'!D86:BU86)</f>
        <v/>
      </c>
      <c r="BZ86" s="237" t="str">
        <f>sum_level("s",'Needs 171007_1815'!D86:BU86)</f>
        <v/>
      </c>
      <c r="CA86" s="238" t="str">
        <f>sum_level("e",'Needs 171007_1815'!D86:BU86)</f>
        <v/>
      </c>
    </row>
    <row r="87" spans="2:79" x14ac:dyDescent="0.25">
      <c r="B87" s="435"/>
      <c r="C87" s="291" t="s">
        <v>276</v>
      </c>
      <c r="D87" s="336"/>
      <c r="E87" s="337"/>
      <c r="F87" s="337"/>
      <c r="G87" s="337"/>
      <c r="H87" s="338"/>
      <c r="I87" s="336"/>
      <c r="J87" s="337"/>
      <c r="K87" s="337"/>
      <c r="L87" s="337"/>
      <c r="M87" s="338"/>
      <c r="N87" s="336"/>
      <c r="O87" s="337"/>
      <c r="P87" s="337"/>
      <c r="Q87" s="337"/>
      <c r="R87" s="338"/>
      <c r="S87" s="336"/>
      <c r="T87" s="337"/>
      <c r="U87" s="337"/>
      <c r="V87" s="337"/>
      <c r="W87" s="338"/>
      <c r="X87" s="336"/>
      <c r="Y87" s="337"/>
      <c r="Z87" s="337"/>
      <c r="AA87" s="337"/>
      <c r="AB87" s="338"/>
      <c r="AC87" s="336"/>
      <c r="AD87" s="337"/>
      <c r="AE87" s="337"/>
      <c r="AF87" s="337"/>
      <c r="AG87" s="338"/>
      <c r="AH87" s="336"/>
      <c r="AI87" s="337"/>
      <c r="AJ87" s="337"/>
      <c r="AK87" s="337"/>
      <c r="AL87" s="338"/>
      <c r="AM87" s="336"/>
      <c r="AN87" s="337"/>
      <c r="AO87" s="337"/>
      <c r="AP87" s="337"/>
      <c r="AQ87" s="338"/>
      <c r="AR87" s="336"/>
      <c r="AS87" s="337"/>
      <c r="AT87" s="337"/>
      <c r="AU87" s="337"/>
      <c r="AV87" s="338"/>
      <c r="AW87" s="336"/>
      <c r="AX87" s="337"/>
      <c r="AY87" s="337"/>
      <c r="AZ87" s="337"/>
      <c r="BA87" s="338"/>
      <c r="BB87" s="336"/>
      <c r="BC87" s="337"/>
      <c r="BD87" s="337"/>
      <c r="BE87" s="337"/>
      <c r="BF87" s="338"/>
      <c r="BG87" s="336"/>
      <c r="BH87" s="337"/>
      <c r="BI87" s="337"/>
      <c r="BJ87" s="337"/>
      <c r="BK87" s="338"/>
      <c r="BL87" s="336"/>
      <c r="BM87" s="337"/>
      <c r="BN87" s="337"/>
      <c r="BO87" s="337"/>
      <c r="BP87" s="338"/>
      <c r="BQ87" s="336"/>
      <c r="BR87" s="337"/>
      <c r="BS87" s="337"/>
      <c r="BT87" s="337"/>
      <c r="BU87" s="339"/>
      <c r="BW87" s="236" t="str">
        <f>sum_level("o",'Needs 171007_1815'!D87:BU87)</f>
        <v/>
      </c>
      <c r="BX87" s="237" t="str">
        <f>sum_level("j",'Needs 171007_1815'!D87:BU87)</f>
        <v/>
      </c>
      <c r="BY87" s="237" t="str">
        <f>sum_level("m",'Needs 171007_1815'!D87:BU87)</f>
        <v/>
      </c>
      <c r="BZ87" s="237" t="str">
        <f>sum_level("s",'Needs 171007_1815'!D87:BU87)</f>
        <v/>
      </c>
      <c r="CA87" s="238" t="str">
        <f>sum_level("e",'Needs 171007_1815'!D87:BU87)</f>
        <v/>
      </c>
    </row>
    <row r="88" spans="2:79" x14ac:dyDescent="0.25">
      <c r="B88" s="435"/>
      <c r="C88" s="291" t="s">
        <v>277</v>
      </c>
      <c r="D88" s="336"/>
      <c r="E88" s="337"/>
      <c r="F88" s="337"/>
      <c r="G88" s="337"/>
      <c r="H88" s="338"/>
      <c r="I88" s="336"/>
      <c r="J88" s="337"/>
      <c r="K88" s="337"/>
      <c r="L88" s="337"/>
      <c r="M88" s="338"/>
      <c r="N88" s="336"/>
      <c r="O88" s="337"/>
      <c r="P88" s="337"/>
      <c r="Q88" s="337"/>
      <c r="R88" s="338"/>
      <c r="S88" s="336"/>
      <c r="T88" s="337"/>
      <c r="U88" s="337"/>
      <c r="V88" s="337"/>
      <c r="W88" s="338"/>
      <c r="X88" s="336"/>
      <c r="Y88" s="337"/>
      <c r="Z88" s="337"/>
      <c r="AA88" s="337"/>
      <c r="AB88" s="338"/>
      <c r="AC88" s="336"/>
      <c r="AD88" s="337"/>
      <c r="AE88" s="337"/>
      <c r="AF88" s="337"/>
      <c r="AG88" s="338"/>
      <c r="AH88" s="336"/>
      <c r="AI88" s="337"/>
      <c r="AJ88" s="337"/>
      <c r="AK88" s="337"/>
      <c r="AL88" s="338"/>
      <c r="AM88" s="336"/>
      <c r="AN88" s="337"/>
      <c r="AO88" s="337"/>
      <c r="AP88" s="337"/>
      <c r="AQ88" s="338"/>
      <c r="AR88" s="336"/>
      <c r="AS88" s="337"/>
      <c r="AT88" s="337"/>
      <c r="AU88" s="337"/>
      <c r="AV88" s="338"/>
      <c r="AW88" s="336"/>
      <c r="AX88" s="337"/>
      <c r="AY88" s="337"/>
      <c r="AZ88" s="337"/>
      <c r="BA88" s="338"/>
      <c r="BB88" s="336"/>
      <c r="BC88" s="337"/>
      <c r="BD88" s="337"/>
      <c r="BE88" s="337"/>
      <c r="BF88" s="338"/>
      <c r="BG88" s="336"/>
      <c r="BH88" s="337"/>
      <c r="BI88" s="337"/>
      <c r="BJ88" s="337"/>
      <c r="BK88" s="338"/>
      <c r="BL88" s="336"/>
      <c r="BM88" s="337"/>
      <c r="BN88" s="337"/>
      <c r="BO88" s="337"/>
      <c r="BP88" s="338"/>
      <c r="BQ88" s="336"/>
      <c r="BR88" s="337"/>
      <c r="BS88" s="337"/>
      <c r="BT88" s="337"/>
      <c r="BU88" s="339"/>
      <c r="BW88" s="236" t="str">
        <f>sum_level("o",'Needs 171007_1815'!D88:BU88)</f>
        <v/>
      </c>
      <c r="BX88" s="237" t="str">
        <f>sum_level("j",'Needs 171007_1815'!D88:BU88)</f>
        <v/>
      </c>
      <c r="BY88" s="237" t="str">
        <f>sum_level("m",'Needs 171007_1815'!D88:BU88)</f>
        <v/>
      </c>
      <c r="BZ88" s="237" t="str">
        <f>sum_level("s",'Needs 171007_1815'!D88:BU88)</f>
        <v/>
      </c>
      <c r="CA88" s="238" t="str">
        <f>sum_level("e",'Needs 171007_1815'!D88:BU88)</f>
        <v/>
      </c>
    </row>
    <row r="89" spans="2:79" x14ac:dyDescent="0.25">
      <c r="B89" s="435"/>
      <c r="C89" s="291" t="s">
        <v>278</v>
      </c>
      <c r="D89" s="336"/>
      <c r="E89" s="337"/>
      <c r="F89" s="337"/>
      <c r="G89" s="337"/>
      <c r="H89" s="338"/>
      <c r="I89" s="336"/>
      <c r="J89" s="337"/>
      <c r="K89" s="337"/>
      <c r="L89" s="337"/>
      <c r="M89" s="338"/>
      <c r="N89" s="336"/>
      <c r="O89" s="337"/>
      <c r="P89" s="337"/>
      <c r="Q89" s="337"/>
      <c r="R89" s="338"/>
      <c r="S89" s="336"/>
      <c r="T89" s="337"/>
      <c r="U89" s="337"/>
      <c r="V89" s="337"/>
      <c r="W89" s="338"/>
      <c r="X89" s="336"/>
      <c r="Y89" s="337"/>
      <c r="Z89" s="337"/>
      <c r="AA89" s="337"/>
      <c r="AB89" s="338"/>
      <c r="AC89" s="336"/>
      <c r="AD89" s="337"/>
      <c r="AE89" s="337"/>
      <c r="AF89" s="337"/>
      <c r="AG89" s="338"/>
      <c r="AH89" s="336"/>
      <c r="AI89" s="337"/>
      <c r="AJ89" s="337"/>
      <c r="AK89" s="337"/>
      <c r="AL89" s="338"/>
      <c r="AM89" s="336"/>
      <c r="AN89" s="337"/>
      <c r="AO89" s="337"/>
      <c r="AP89" s="337"/>
      <c r="AQ89" s="338"/>
      <c r="AR89" s="336"/>
      <c r="AS89" s="337"/>
      <c r="AT89" s="337"/>
      <c r="AU89" s="337"/>
      <c r="AV89" s="338"/>
      <c r="AW89" s="336"/>
      <c r="AX89" s="337"/>
      <c r="AY89" s="337"/>
      <c r="AZ89" s="337"/>
      <c r="BA89" s="338"/>
      <c r="BB89" s="336"/>
      <c r="BC89" s="337"/>
      <c r="BD89" s="337"/>
      <c r="BE89" s="337"/>
      <c r="BF89" s="338"/>
      <c r="BG89" s="336"/>
      <c r="BH89" s="337"/>
      <c r="BI89" s="337"/>
      <c r="BJ89" s="337"/>
      <c r="BK89" s="338"/>
      <c r="BL89" s="336"/>
      <c r="BM89" s="337"/>
      <c r="BN89" s="337"/>
      <c r="BO89" s="337"/>
      <c r="BP89" s="338"/>
      <c r="BQ89" s="336"/>
      <c r="BR89" s="337"/>
      <c r="BS89" s="337"/>
      <c r="BT89" s="337"/>
      <c r="BU89" s="339"/>
      <c r="BW89" s="236" t="str">
        <f>sum_level("o",'Needs 171007_1815'!D89:BU89)</f>
        <v/>
      </c>
      <c r="BX89" s="237" t="str">
        <f>sum_level("j",'Needs 171007_1815'!D89:BU89)</f>
        <v/>
      </c>
      <c r="BY89" s="237" t="str">
        <f>sum_level("m",'Needs 171007_1815'!D89:BU89)</f>
        <v/>
      </c>
      <c r="BZ89" s="237" t="str">
        <f>sum_level("s",'Needs 171007_1815'!D89:BU89)</f>
        <v/>
      </c>
      <c r="CA89" s="238" t="str">
        <f>sum_level("e",'Needs 171007_1815'!D89:BU89)</f>
        <v/>
      </c>
    </row>
    <row r="90" spans="2:79" x14ac:dyDescent="0.25">
      <c r="B90" s="435"/>
      <c r="C90" s="291" t="s">
        <v>282</v>
      </c>
      <c r="D90" s="336"/>
      <c r="E90" s="337"/>
      <c r="F90" s="337"/>
      <c r="G90" s="337"/>
      <c r="H90" s="338"/>
      <c r="I90" s="336"/>
      <c r="J90" s="337"/>
      <c r="K90" s="337"/>
      <c r="L90" s="337"/>
      <c r="M90" s="338"/>
      <c r="N90" s="336"/>
      <c r="O90" s="337"/>
      <c r="P90" s="337"/>
      <c r="Q90" s="337"/>
      <c r="R90" s="338"/>
      <c r="S90" s="336"/>
      <c r="T90" s="337"/>
      <c r="U90" s="337"/>
      <c r="V90" s="337"/>
      <c r="W90" s="338"/>
      <c r="X90" s="336"/>
      <c r="Y90" s="337"/>
      <c r="Z90" s="337"/>
      <c r="AA90" s="337"/>
      <c r="AB90" s="338"/>
      <c r="AC90" s="336"/>
      <c r="AD90" s="337"/>
      <c r="AE90" s="337"/>
      <c r="AF90" s="337"/>
      <c r="AG90" s="338"/>
      <c r="AH90" s="336"/>
      <c r="AI90" s="337"/>
      <c r="AJ90" s="337"/>
      <c r="AK90" s="337"/>
      <c r="AL90" s="338"/>
      <c r="AM90" s="336"/>
      <c r="AN90" s="337"/>
      <c r="AO90" s="337"/>
      <c r="AP90" s="337"/>
      <c r="AQ90" s="338"/>
      <c r="AR90" s="336"/>
      <c r="AS90" s="337"/>
      <c r="AT90" s="337"/>
      <c r="AU90" s="337"/>
      <c r="AV90" s="338"/>
      <c r="AW90" s="336"/>
      <c r="AX90" s="337"/>
      <c r="AY90" s="337"/>
      <c r="AZ90" s="337"/>
      <c r="BA90" s="338"/>
      <c r="BB90" s="336"/>
      <c r="BC90" s="337"/>
      <c r="BD90" s="337"/>
      <c r="BE90" s="337"/>
      <c r="BF90" s="338"/>
      <c r="BG90" s="336"/>
      <c r="BH90" s="337"/>
      <c r="BI90" s="337"/>
      <c r="BJ90" s="337"/>
      <c r="BK90" s="338"/>
      <c r="BL90" s="336"/>
      <c r="BM90" s="337"/>
      <c r="BN90" s="337"/>
      <c r="BO90" s="337"/>
      <c r="BP90" s="338"/>
      <c r="BQ90" s="336"/>
      <c r="BR90" s="337"/>
      <c r="BS90" s="337"/>
      <c r="BT90" s="337"/>
      <c r="BU90" s="339"/>
      <c r="BW90" s="236" t="str">
        <f>sum_level("o",'Needs 171007_1815'!D90:BU90)</f>
        <v/>
      </c>
      <c r="BX90" s="237" t="str">
        <f>sum_level("j",'Needs 171007_1815'!D90:BU90)</f>
        <v/>
      </c>
      <c r="BY90" s="237" t="str">
        <f>sum_level("m",'Needs 171007_1815'!D90:BU90)</f>
        <v/>
      </c>
      <c r="BZ90" s="237" t="str">
        <f>sum_level("s",'Needs 171007_1815'!D90:BU90)</f>
        <v/>
      </c>
      <c r="CA90" s="238" t="str">
        <f>sum_level("e",'Needs 171007_1815'!D90:BU90)</f>
        <v/>
      </c>
    </row>
    <row r="91" spans="2:79" x14ac:dyDescent="0.25">
      <c r="B91" s="435"/>
      <c r="C91" s="291" t="s">
        <v>283</v>
      </c>
      <c r="D91" s="336"/>
      <c r="E91" s="337"/>
      <c r="F91" s="337"/>
      <c r="G91" s="337"/>
      <c r="H91" s="338"/>
      <c r="I91" s="336"/>
      <c r="J91" s="337"/>
      <c r="K91" s="337"/>
      <c r="L91" s="337"/>
      <c r="M91" s="338"/>
      <c r="N91" s="336"/>
      <c r="O91" s="337"/>
      <c r="P91" s="337"/>
      <c r="Q91" s="337"/>
      <c r="R91" s="338"/>
      <c r="S91" s="336"/>
      <c r="T91" s="337"/>
      <c r="U91" s="337"/>
      <c r="V91" s="337"/>
      <c r="W91" s="338"/>
      <c r="X91" s="336"/>
      <c r="Y91" s="337"/>
      <c r="Z91" s="337"/>
      <c r="AA91" s="337"/>
      <c r="AB91" s="338"/>
      <c r="AC91" s="336"/>
      <c r="AD91" s="337"/>
      <c r="AE91" s="337"/>
      <c r="AF91" s="337"/>
      <c r="AG91" s="338"/>
      <c r="AH91" s="336"/>
      <c r="AI91" s="337"/>
      <c r="AJ91" s="337"/>
      <c r="AK91" s="337"/>
      <c r="AL91" s="338"/>
      <c r="AM91" s="336"/>
      <c r="AN91" s="337"/>
      <c r="AO91" s="337"/>
      <c r="AP91" s="337"/>
      <c r="AQ91" s="338"/>
      <c r="AR91" s="336"/>
      <c r="AS91" s="337"/>
      <c r="AT91" s="337"/>
      <c r="AU91" s="337"/>
      <c r="AV91" s="338"/>
      <c r="AW91" s="336"/>
      <c r="AX91" s="337"/>
      <c r="AY91" s="337"/>
      <c r="AZ91" s="337"/>
      <c r="BA91" s="338"/>
      <c r="BB91" s="336"/>
      <c r="BC91" s="337"/>
      <c r="BD91" s="337"/>
      <c r="BE91" s="337"/>
      <c r="BF91" s="338"/>
      <c r="BG91" s="336"/>
      <c r="BH91" s="337"/>
      <c r="BI91" s="337"/>
      <c r="BJ91" s="337"/>
      <c r="BK91" s="338"/>
      <c r="BL91" s="336"/>
      <c r="BM91" s="337"/>
      <c r="BN91" s="337"/>
      <c r="BO91" s="337"/>
      <c r="BP91" s="338"/>
      <c r="BQ91" s="336"/>
      <c r="BR91" s="337"/>
      <c r="BS91" s="337"/>
      <c r="BT91" s="337"/>
      <c r="BU91" s="339"/>
      <c r="BW91" s="236" t="str">
        <f>sum_level("o",'Needs 171007_1815'!D91:BU91)</f>
        <v/>
      </c>
      <c r="BX91" s="237" t="str">
        <f>sum_level("j",'Needs 171007_1815'!D91:BU91)</f>
        <v/>
      </c>
      <c r="BY91" s="237" t="str">
        <f>sum_level("m",'Needs 171007_1815'!D91:BU91)</f>
        <v/>
      </c>
      <c r="BZ91" s="237" t="str">
        <f>sum_level("s",'Needs 171007_1815'!D91:BU91)</f>
        <v/>
      </c>
      <c r="CA91" s="238" t="str">
        <f>sum_level("e",'Needs 171007_1815'!D91:BU91)</f>
        <v/>
      </c>
    </row>
    <row r="92" spans="2:79" x14ac:dyDescent="0.25">
      <c r="B92" s="435"/>
      <c r="C92" s="291" t="s">
        <v>279</v>
      </c>
      <c r="D92" s="336"/>
      <c r="E92" s="337"/>
      <c r="F92" s="337"/>
      <c r="G92" s="337"/>
      <c r="H92" s="338"/>
      <c r="I92" s="336"/>
      <c r="J92" s="337"/>
      <c r="K92" s="337"/>
      <c r="L92" s="337"/>
      <c r="M92" s="338"/>
      <c r="N92" s="336"/>
      <c r="O92" s="337"/>
      <c r="P92" s="337"/>
      <c r="Q92" s="337"/>
      <c r="R92" s="338"/>
      <c r="S92" s="336"/>
      <c r="T92" s="337"/>
      <c r="U92" s="337"/>
      <c r="V92" s="337"/>
      <c r="W92" s="338"/>
      <c r="X92" s="336"/>
      <c r="Y92" s="337"/>
      <c r="Z92" s="337"/>
      <c r="AA92" s="337"/>
      <c r="AB92" s="338"/>
      <c r="AC92" s="336"/>
      <c r="AD92" s="337"/>
      <c r="AE92" s="337"/>
      <c r="AF92" s="337"/>
      <c r="AG92" s="338"/>
      <c r="AH92" s="336"/>
      <c r="AI92" s="337"/>
      <c r="AJ92" s="337"/>
      <c r="AK92" s="337"/>
      <c r="AL92" s="338"/>
      <c r="AM92" s="336"/>
      <c r="AN92" s="337"/>
      <c r="AO92" s="337"/>
      <c r="AP92" s="337"/>
      <c r="AQ92" s="338"/>
      <c r="AR92" s="336"/>
      <c r="AS92" s="337"/>
      <c r="AT92" s="337"/>
      <c r="AU92" s="337"/>
      <c r="AV92" s="338"/>
      <c r="AW92" s="336"/>
      <c r="AX92" s="337"/>
      <c r="AY92" s="337"/>
      <c r="AZ92" s="337"/>
      <c r="BA92" s="338"/>
      <c r="BB92" s="336"/>
      <c r="BC92" s="337"/>
      <c r="BD92" s="337"/>
      <c r="BE92" s="337"/>
      <c r="BF92" s="338"/>
      <c r="BG92" s="336"/>
      <c r="BH92" s="337"/>
      <c r="BI92" s="337"/>
      <c r="BJ92" s="337"/>
      <c r="BK92" s="338"/>
      <c r="BL92" s="336"/>
      <c r="BM92" s="337"/>
      <c r="BN92" s="337"/>
      <c r="BO92" s="337"/>
      <c r="BP92" s="338"/>
      <c r="BQ92" s="336"/>
      <c r="BR92" s="337"/>
      <c r="BS92" s="337"/>
      <c r="BT92" s="337"/>
      <c r="BU92" s="339"/>
      <c r="BW92" s="236" t="str">
        <f>sum_level("o",'Needs 171007_1815'!D92:BU92)</f>
        <v/>
      </c>
      <c r="BX92" s="237" t="str">
        <f>sum_level("j",'Needs 171007_1815'!D92:BU92)</f>
        <v/>
      </c>
      <c r="BY92" s="237" t="str">
        <f>sum_level("m",'Needs 171007_1815'!D92:BU92)</f>
        <v/>
      </c>
      <c r="BZ92" s="237" t="str">
        <f>sum_level("s",'Needs 171007_1815'!D92:BU92)</f>
        <v/>
      </c>
      <c r="CA92" s="238" t="str">
        <f>sum_level("e",'Needs 171007_1815'!D92:BU92)</f>
        <v/>
      </c>
    </row>
    <row r="93" spans="2:79" ht="15.75" thickBot="1" x14ac:dyDescent="0.3">
      <c r="B93" s="435"/>
      <c r="C93" s="292" t="s">
        <v>280</v>
      </c>
      <c r="D93" s="340"/>
      <c r="E93" s="341"/>
      <c r="F93" s="341"/>
      <c r="G93" s="341"/>
      <c r="H93" s="342"/>
      <c r="I93" s="340"/>
      <c r="J93" s="341"/>
      <c r="K93" s="341"/>
      <c r="L93" s="341"/>
      <c r="M93" s="342"/>
      <c r="N93" s="340"/>
      <c r="O93" s="341"/>
      <c r="P93" s="341"/>
      <c r="Q93" s="341"/>
      <c r="R93" s="342"/>
      <c r="S93" s="340"/>
      <c r="T93" s="341"/>
      <c r="U93" s="341"/>
      <c r="V93" s="341"/>
      <c r="W93" s="342"/>
      <c r="X93" s="340"/>
      <c r="Y93" s="341"/>
      <c r="Z93" s="341"/>
      <c r="AA93" s="341"/>
      <c r="AB93" s="342"/>
      <c r="AC93" s="340"/>
      <c r="AD93" s="341"/>
      <c r="AE93" s="341"/>
      <c r="AF93" s="341"/>
      <c r="AG93" s="342"/>
      <c r="AH93" s="340"/>
      <c r="AI93" s="341"/>
      <c r="AJ93" s="341"/>
      <c r="AK93" s="341"/>
      <c r="AL93" s="342"/>
      <c r="AM93" s="340"/>
      <c r="AN93" s="341"/>
      <c r="AO93" s="341"/>
      <c r="AP93" s="341"/>
      <c r="AQ93" s="342"/>
      <c r="AR93" s="340"/>
      <c r="AS93" s="341"/>
      <c r="AT93" s="341"/>
      <c r="AU93" s="341"/>
      <c r="AV93" s="342"/>
      <c r="AW93" s="340"/>
      <c r="AX93" s="341"/>
      <c r="AY93" s="341"/>
      <c r="AZ93" s="341"/>
      <c r="BA93" s="342"/>
      <c r="BB93" s="340"/>
      <c r="BC93" s="341"/>
      <c r="BD93" s="341"/>
      <c r="BE93" s="341"/>
      <c r="BF93" s="342"/>
      <c r="BG93" s="340"/>
      <c r="BH93" s="341"/>
      <c r="BI93" s="341"/>
      <c r="BJ93" s="341"/>
      <c r="BK93" s="342"/>
      <c r="BL93" s="340"/>
      <c r="BM93" s="341"/>
      <c r="BN93" s="341"/>
      <c r="BO93" s="341"/>
      <c r="BP93" s="342"/>
      <c r="BQ93" s="340"/>
      <c r="BR93" s="341"/>
      <c r="BS93" s="341"/>
      <c r="BT93" s="341"/>
      <c r="BU93" s="343"/>
      <c r="BW93" s="239" t="str">
        <f>sum_level("o",'Needs 171007_1815'!D93:BU93)</f>
        <v/>
      </c>
      <c r="BX93" s="240" t="str">
        <f>sum_level("j",'Needs 171007_1815'!D93:BU93)</f>
        <v/>
      </c>
      <c r="BY93" s="240" t="str">
        <f>sum_level("m",'Needs 171007_1815'!D93:BU93)</f>
        <v/>
      </c>
      <c r="BZ93" s="240" t="str">
        <f>sum_level("s",'Needs 171007_1815'!D93:BU93)</f>
        <v/>
      </c>
      <c r="CA93" s="241" t="str">
        <f>sum_level("e",'Needs 171007_1815'!D93:BU93)</f>
        <v/>
      </c>
    </row>
    <row r="94" spans="2:79" ht="12.75" customHeight="1" thickTop="1" thickBot="1" x14ac:dyDescent="0.3">
      <c r="B94" s="436"/>
      <c r="C94" s="248"/>
      <c r="D94" s="344"/>
      <c r="E94" s="344"/>
      <c r="F94" s="344"/>
      <c r="G94" s="344"/>
      <c r="H94" s="344"/>
      <c r="I94" s="344"/>
      <c r="J94" s="344"/>
      <c r="K94" s="344"/>
      <c r="L94" s="344"/>
      <c r="M94" s="344"/>
      <c r="N94" s="344"/>
      <c r="O94" s="344"/>
      <c r="P94" s="344"/>
      <c r="Q94" s="344"/>
      <c r="R94" s="344"/>
      <c r="S94" s="344"/>
      <c r="T94" s="344"/>
      <c r="U94" s="344"/>
      <c r="V94" s="344"/>
      <c r="W94" s="344"/>
      <c r="X94" s="344"/>
      <c r="Y94" s="344"/>
      <c r="Z94" s="344"/>
      <c r="AA94" s="344"/>
      <c r="AB94" s="344"/>
      <c r="AC94" s="344"/>
      <c r="AD94" s="344"/>
      <c r="AE94" s="344"/>
      <c r="AF94" s="344"/>
      <c r="AG94" s="344"/>
      <c r="AH94" s="344"/>
      <c r="AI94" s="344"/>
      <c r="AJ94" s="344"/>
      <c r="AK94" s="344"/>
      <c r="AL94" s="344"/>
      <c r="AM94" s="344"/>
      <c r="AN94" s="344"/>
      <c r="AO94" s="344"/>
      <c r="AP94" s="344"/>
      <c r="AQ94" s="344"/>
      <c r="AR94" s="344"/>
      <c r="AS94" s="344"/>
      <c r="AT94" s="344"/>
      <c r="AU94" s="344"/>
      <c r="AV94" s="344"/>
      <c r="AW94" s="344"/>
      <c r="AX94" s="344"/>
      <c r="AY94" s="344"/>
      <c r="AZ94" s="344"/>
      <c r="BA94" s="344"/>
      <c r="BB94" s="344"/>
      <c r="BC94" s="344"/>
      <c r="BD94" s="344"/>
      <c r="BE94" s="344"/>
      <c r="BF94" s="344"/>
      <c r="BG94" s="344"/>
      <c r="BH94" s="344"/>
      <c r="BI94" s="344"/>
      <c r="BJ94" s="344"/>
      <c r="BK94" s="344"/>
      <c r="BL94" s="344"/>
      <c r="BM94" s="344"/>
      <c r="BN94" s="344"/>
      <c r="BO94" s="344"/>
      <c r="BP94" s="344"/>
      <c r="BQ94" s="344"/>
      <c r="BR94" s="344"/>
      <c r="BS94" s="344"/>
      <c r="BT94" s="344"/>
      <c r="BU94" s="344"/>
      <c r="BW94" s="249"/>
      <c r="BX94" s="249"/>
      <c r="BY94" s="249"/>
      <c r="BZ94" s="249"/>
      <c r="CA94" s="249"/>
    </row>
    <row r="95" spans="2:79" ht="15.75" thickTop="1" x14ac:dyDescent="0.25">
      <c r="B95" s="434" t="s">
        <v>266</v>
      </c>
      <c r="C95" s="290" t="s">
        <v>184</v>
      </c>
      <c r="D95" s="332"/>
      <c r="E95" s="333"/>
      <c r="F95" s="333"/>
      <c r="G95" s="333"/>
      <c r="H95" s="334"/>
      <c r="I95" s="332"/>
      <c r="J95" s="333"/>
      <c r="K95" s="333"/>
      <c r="L95" s="333"/>
      <c r="M95" s="334"/>
      <c r="N95" s="332"/>
      <c r="O95" s="333"/>
      <c r="P95" s="333"/>
      <c r="Q95" s="333"/>
      <c r="R95" s="334"/>
      <c r="S95" s="332"/>
      <c r="T95" s="333"/>
      <c r="U95" s="333"/>
      <c r="V95" s="333"/>
      <c r="W95" s="334"/>
      <c r="X95" s="332"/>
      <c r="Y95" s="333"/>
      <c r="Z95" s="333"/>
      <c r="AA95" s="333"/>
      <c r="AB95" s="334"/>
      <c r="AC95" s="332"/>
      <c r="AD95" s="333"/>
      <c r="AE95" s="333"/>
      <c r="AF95" s="333"/>
      <c r="AG95" s="334"/>
      <c r="AH95" s="332"/>
      <c r="AI95" s="333"/>
      <c r="AJ95" s="333"/>
      <c r="AK95" s="333"/>
      <c r="AL95" s="334"/>
      <c r="AM95" s="332"/>
      <c r="AN95" s="333"/>
      <c r="AO95" s="333"/>
      <c r="AP95" s="333"/>
      <c r="AQ95" s="334"/>
      <c r="AR95" s="332"/>
      <c r="AS95" s="333"/>
      <c r="AT95" s="333"/>
      <c r="AU95" s="333"/>
      <c r="AV95" s="334"/>
      <c r="AW95" s="332"/>
      <c r="AX95" s="333"/>
      <c r="AY95" s="333"/>
      <c r="AZ95" s="333"/>
      <c r="BA95" s="334"/>
      <c r="BB95" s="332"/>
      <c r="BC95" s="333"/>
      <c r="BD95" s="333"/>
      <c r="BE95" s="333"/>
      <c r="BF95" s="334"/>
      <c r="BG95" s="332"/>
      <c r="BH95" s="333"/>
      <c r="BI95" s="333"/>
      <c r="BJ95" s="333"/>
      <c r="BK95" s="334"/>
      <c r="BL95" s="332"/>
      <c r="BM95" s="333"/>
      <c r="BN95" s="333"/>
      <c r="BO95" s="333"/>
      <c r="BP95" s="334"/>
      <c r="BQ95" s="332"/>
      <c r="BR95" s="333"/>
      <c r="BS95" s="333"/>
      <c r="BT95" s="333"/>
      <c r="BU95" s="335"/>
      <c r="BW95" s="233" t="str">
        <f>sum_level("o",'Needs 171007_1815'!D95:BU95)</f>
        <v/>
      </c>
      <c r="BX95" s="234" t="str">
        <f>sum_level("j",'Needs 171007_1815'!D95:BU95)</f>
        <v/>
      </c>
      <c r="BY95" s="234" t="str">
        <f>sum_level("m",'Needs 171007_1815'!D95:BU95)</f>
        <v/>
      </c>
      <c r="BZ95" s="234" t="str">
        <f>sum_level("s",'Needs 171007_1815'!D95:BU95)</f>
        <v/>
      </c>
      <c r="CA95" s="235" t="str">
        <f>sum_level("e",'Needs 171007_1815'!D95:BU95)</f>
        <v/>
      </c>
    </row>
    <row r="96" spans="2:79" x14ac:dyDescent="0.25">
      <c r="B96" s="435"/>
      <c r="C96" s="291" t="s">
        <v>123</v>
      </c>
      <c r="D96" s="336"/>
      <c r="E96" s="337"/>
      <c r="F96" s="337"/>
      <c r="G96" s="337"/>
      <c r="H96" s="338"/>
      <c r="I96" s="336"/>
      <c r="J96" s="337"/>
      <c r="K96" s="337"/>
      <c r="L96" s="337"/>
      <c r="M96" s="338"/>
      <c r="N96" s="336"/>
      <c r="O96" s="337"/>
      <c r="P96" s="337"/>
      <c r="Q96" s="337"/>
      <c r="R96" s="338"/>
      <c r="S96" s="336"/>
      <c r="T96" s="337"/>
      <c r="U96" s="337"/>
      <c r="V96" s="337"/>
      <c r="W96" s="338"/>
      <c r="X96" s="336"/>
      <c r="Y96" s="337"/>
      <c r="Z96" s="337"/>
      <c r="AA96" s="337"/>
      <c r="AB96" s="338"/>
      <c r="AC96" s="336"/>
      <c r="AD96" s="337"/>
      <c r="AE96" s="337"/>
      <c r="AF96" s="337"/>
      <c r="AG96" s="338"/>
      <c r="AH96" s="336"/>
      <c r="AI96" s="337"/>
      <c r="AJ96" s="337"/>
      <c r="AK96" s="337"/>
      <c r="AL96" s="338"/>
      <c r="AM96" s="336"/>
      <c r="AN96" s="337"/>
      <c r="AO96" s="337"/>
      <c r="AP96" s="337"/>
      <c r="AQ96" s="338"/>
      <c r="AR96" s="336"/>
      <c r="AS96" s="337"/>
      <c r="AT96" s="337"/>
      <c r="AU96" s="337"/>
      <c r="AV96" s="338"/>
      <c r="AW96" s="336"/>
      <c r="AX96" s="337"/>
      <c r="AY96" s="337"/>
      <c r="AZ96" s="337"/>
      <c r="BA96" s="338"/>
      <c r="BB96" s="336"/>
      <c r="BC96" s="337"/>
      <c r="BD96" s="337"/>
      <c r="BE96" s="337"/>
      <c r="BF96" s="338"/>
      <c r="BG96" s="336"/>
      <c r="BH96" s="337"/>
      <c r="BI96" s="337"/>
      <c r="BJ96" s="337"/>
      <c r="BK96" s="338"/>
      <c r="BL96" s="336"/>
      <c r="BM96" s="337"/>
      <c r="BN96" s="337"/>
      <c r="BO96" s="337"/>
      <c r="BP96" s="338"/>
      <c r="BQ96" s="336"/>
      <c r="BR96" s="337"/>
      <c r="BS96" s="337"/>
      <c r="BT96" s="337"/>
      <c r="BU96" s="339"/>
      <c r="BW96" s="236" t="str">
        <f>sum_level("o",'Needs 171007_1815'!D96:BU96)</f>
        <v/>
      </c>
      <c r="BX96" s="237" t="str">
        <f>sum_level("j",'Needs 171007_1815'!D96:BU96)</f>
        <v/>
      </c>
      <c r="BY96" s="237" t="str">
        <f>sum_level("m",'Needs 171007_1815'!D96:BU96)</f>
        <v/>
      </c>
      <c r="BZ96" s="237" t="str">
        <f>sum_level("s",'Needs 171007_1815'!D96:BU96)</f>
        <v/>
      </c>
      <c r="CA96" s="238" t="str">
        <f>sum_level("e",'Needs 171007_1815'!D96:BU96)</f>
        <v/>
      </c>
    </row>
    <row r="97" spans="2:79" x14ac:dyDescent="0.25">
      <c r="B97" s="435"/>
      <c r="C97" s="291" t="s">
        <v>268</v>
      </c>
      <c r="D97" s="336"/>
      <c r="E97" s="337"/>
      <c r="F97" s="337"/>
      <c r="G97" s="337"/>
      <c r="H97" s="338"/>
      <c r="I97" s="336"/>
      <c r="J97" s="337"/>
      <c r="K97" s="337"/>
      <c r="L97" s="337"/>
      <c r="M97" s="338"/>
      <c r="N97" s="336"/>
      <c r="O97" s="337"/>
      <c r="P97" s="337"/>
      <c r="Q97" s="337"/>
      <c r="R97" s="338"/>
      <c r="S97" s="336"/>
      <c r="T97" s="337"/>
      <c r="U97" s="337"/>
      <c r="V97" s="337"/>
      <c r="W97" s="338"/>
      <c r="X97" s="336"/>
      <c r="Y97" s="337"/>
      <c r="Z97" s="337"/>
      <c r="AA97" s="337"/>
      <c r="AB97" s="338"/>
      <c r="AC97" s="336"/>
      <c r="AD97" s="337"/>
      <c r="AE97" s="337"/>
      <c r="AF97" s="337"/>
      <c r="AG97" s="338"/>
      <c r="AH97" s="336"/>
      <c r="AI97" s="337"/>
      <c r="AJ97" s="337"/>
      <c r="AK97" s="337"/>
      <c r="AL97" s="338"/>
      <c r="AM97" s="336"/>
      <c r="AN97" s="337"/>
      <c r="AO97" s="337"/>
      <c r="AP97" s="337"/>
      <c r="AQ97" s="338"/>
      <c r="AR97" s="336"/>
      <c r="AS97" s="337"/>
      <c r="AT97" s="337"/>
      <c r="AU97" s="337"/>
      <c r="AV97" s="338"/>
      <c r="AW97" s="336"/>
      <c r="AX97" s="337"/>
      <c r="AY97" s="337"/>
      <c r="AZ97" s="337"/>
      <c r="BA97" s="338"/>
      <c r="BB97" s="336"/>
      <c r="BC97" s="337"/>
      <c r="BD97" s="337"/>
      <c r="BE97" s="337"/>
      <c r="BF97" s="338"/>
      <c r="BG97" s="336"/>
      <c r="BH97" s="337"/>
      <c r="BI97" s="337"/>
      <c r="BJ97" s="337"/>
      <c r="BK97" s="338"/>
      <c r="BL97" s="336"/>
      <c r="BM97" s="337"/>
      <c r="BN97" s="337"/>
      <c r="BO97" s="337"/>
      <c r="BP97" s="338"/>
      <c r="BQ97" s="336"/>
      <c r="BR97" s="337"/>
      <c r="BS97" s="337"/>
      <c r="BT97" s="337"/>
      <c r="BU97" s="339"/>
      <c r="BW97" s="236" t="str">
        <f>sum_level("o",'Needs 171007_1815'!D97:BU97)</f>
        <v/>
      </c>
      <c r="BX97" s="237" t="str">
        <f>sum_level("j",'Needs 171007_1815'!D97:BU97)</f>
        <v/>
      </c>
      <c r="BY97" s="237" t="str">
        <f>sum_level("m",'Needs 171007_1815'!D97:BU97)</f>
        <v/>
      </c>
      <c r="BZ97" s="237" t="str">
        <f>sum_level("s",'Needs 171007_1815'!D97:BU97)</f>
        <v/>
      </c>
      <c r="CA97" s="238" t="str">
        <f>sum_level("e",'Needs 171007_1815'!D97:BU97)</f>
        <v/>
      </c>
    </row>
    <row r="98" spans="2:79" ht="15.75" thickBot="1" x14ac:dyDescent="0.3">
      <c r="B98" s="435"/>
      <c r="C98" s="292" t="s">
        <v>143</v>
      </c>
      <c r="D98" s="340"/>
      <c r="E98" s="341"/>
      <c r="F98" s="341"/>
      <c r="G98" s="341"/>
      <c r="H98" s="342"/>
      <c r="I98" s="340"/>
      <c r="J98" s="341"/>
      <c r="K98" s="341"/>
      <c r="L98" s="341"/>
      <c r="M98" s="342"/>
      <c r="N98" s="340"/>
      <c r="O98" s="341"/>
      <c r="P98" s="341"/>
      <c r="Q98" s="341"/>
      <c r="R98" s="342"/>
      <c r="S98" s="340"/>
      <c r="T98" s="341"/>
      <c r="U98" s="341"/>
      <c r="V98" s="341"/>
      <c r="W98" s="342"/>
      <c r="X98" s="340"/>
      <c r="Y98" s="341"/>
      <c r="Z98" s="341"/>
      <c r="AA98" s="341"/>
      <c r="AB98" s="342"/>
      <c r="AC98" s="340"/>
      <c r="AD98" s="341"/>
      <c r="AE98" s="341"/>
      <c r="AF98" s="341"/>
      <c r="AG98" s="342"/>
      <c r="AH98" s="340"/>
      <c r="AI98" s="341"/>
      <c r="AJ98" s="341"/>
      <c r="AK98" s="341"/>
      <c r="AL98" s="342"/>
      <c r="AM98" s="340"/>
      <c r="AN98" s="341"/>
      <c r="AO98" s="341"/>
      <c r="AP98" s="341"/>
      <c r="AQ98" s="342"/>
      <c r="AR98" s="340"/>
      <c r="AS98" s="341"/>
      <c r="AT98" s="341"/>
      <c r="AU98" s="341"/>
      <c r="AV98" s="342"/>
      <c r="AW98" s="340"/>
      <c r="AX98" s="341"/>
      <c r="AY98" s="341"/>
      <c r="AZ98" s="341"/>
      <c r="BA98" s="342"/>
      <c r="BB98" s="340"/>
      <c r="BC98" s="341"/>
      <c r="BD98" s="341"/>
      <c r="BE98" s="341"/>
      <c r="BF98" s="342"/>
      <c r="BG98" s="340"/>
      <c r="BH98" s="341"/>
      <c r="BI98" s="341"/>
      <c r="BJ98" s="341"/>
      <c r="BK98" s="342"/>
      <c r="BL98" s="340"/>
      <c r="BM98" s="341"/>
      <c r="BN98" s="341"/>
      <c r="BO98" s="341"/>
      <c r="BP98" s="342"/>
      <c r="BQ98" s="340"/>
      <c r="BR98" s="341"/>
      <c r="BS98" s="341"/>
      <c r="BT98" s="341"/>
      <c r="BU98" s="343"/>
      <c r="BW98" s="239" t="str">
        <f>sum_level("o",'Needs 171007_1815'!D98:BU98)</f>
        <v/>
      </c>
      <c r="BX98" s="240" t="str">
        <f>sum_level("j",'Needs 171007_1815'!D98:BU98)</f>
        <v/>
      </c>
      <c r="BY98" s="240" t="str">
        <f>sum_level("m",'Needs 171007_1815'!D98:BU98)</f>
        <v/>
      </c>
      <c r="BZ98" s="240" t="str">
        <f>sum_level("s",'Needs 171007_1815'!D98:BU98)</f>
        <v/>
      </c>
      <c r="CA98" s="241" t="str">
        <f>sum_level("e",'Needs 171007_1815'!D98:BU98)</f>
        <v/>
      </c>
    </row>
    <row r="99" spans="2:79" ht="12.75" customHeight="1" thickTop="1" thickBot="1" x14ac:dyDescent="0.3">
      <c r="B99" s="437"/>
      <c r="C99" s="248"/>
      <c r="D99" s="344"/>
      <c r="E99" s="344"/>
      <c r="F99" s="344"/>
      <c r="G99" s="344"/>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c r="BH99" s="344"/>
      <c r="BI99" s="344"/>
      <c r="BJ99" s="344"/>
      <c r="BK99" s="344"/>
      <c r="BL99" s="344"/>
      <c r="BM99" s="344"/>
      <c r="BN99" s="344"/>
      <c r="BO99" s="344"/>
      <c r="BP99" s="344"/>
      <c r="BQ99" s="344"/>
      <c r="BR99" s="344"/>
      <c r="BS99" s="344"/>
      <c r="BT99" s="344"/>
      <c r="BU99" s="344"/>
      <c r="BW99" s="249"/>
      <c r="BX99" s="249"/>
      <c r="BY99" s="249"/>
      <c r="BZ99" s="249"/>
      <c r="CA99" s="249"/>
    </row>
    <row r="100" spans="2:79" ht="16.5" thickTop="1" thickBot="1" x14ac:dyDescent="0.3"/>
    <row r="101" spans="2:79" ht="16.5" thickTop="1" thickBot="1" x14ac:dyDescent="0.3">
      <c r="C101" s="297" t="s">
        <v>222</v>
      </c>
      <c r="D101" s="232">
        <f t="shared" ref="D101:AI101" si="0">SUM(D3:D99)</f>
        <v>0</v>
      </c>
      <c r="E101" s="246">
        <f t="shared" si="0"/>
        <v>0</v>
      </c>
      <c r="F101" s="246">
        <f t="shared" si="0"/>
        <v>0</v>
      </c>
      <c r="G101" s="246">
        <f t="shared" si="0"/>
        <v>0</v>
      </c>
      <c r="H101" s="244">
        <f t="shared" si="0"/>
        <v>0</v>
      </c>
      <c r="I101" s="245">
        <f t="shared" si="0"/>
        <v>0</v>
      </c>
      <c r="J101" s="246">
        <f t="shared" si="0"/>
        <v>0</v>
      </c>
      <c r="K101" s="246">
        <f t="shared" si="0"/>
        <v>0</v>
      </c>
      <c r="L101" s="246">
        <f t="shared" si="0"/>
        <v>0</v>
      </c>
      <c r="M101" s="244">
        <f t="shared" si="0"/>
        <v>0</v>
      </c>
      <c r="N101" s="245">
        <f t="shared" si="0"/>
        <v>0</v>
      </c>
      <c r="O101" s="246">
        <f t="shared" si="0"/>
        <v>0</v>
      </c>
      <c r="P101" s="246">
        <f t="shared" si="0"/>
        <v>0</v>
      </c>
      <c r="Q101" s="246">
        <f t="shared" si="0"/>
        <v>0</v>
      </c>
      <c r="R101" s="244">
        <f t="shared" si="0"/>
        <v>0</v>
      </c>
      <c r="S101" s="245">
        <f t="shared" si="0"/>
        <v>0</v>
      </c>
      <c r="T101" s="246">
        <f t="shared" si="0"/>
        <v>0</v>
      </c>
      <c r="U101" s="246">
        <f t="shared" si="0"/>
        <v>0</v>
      </c>
      <c r="V101" s="246">
        <f t="shared" si="0"/>
        <v>0</v>
      </c>
      <c r="W101" s="244">
        <f t="shared" si="0"/>
        <v>0</v>
      </c>
      <c r="X101" s="245">
        <f t="shared" si="0"/>
        <v>0</v>
      </c>
      <c r="Y101" s="246">
        <f t="shared" si="0"/>
        <v>0</v>
      </c>
      <c r="Z101" s="246">
        <f t="shared" si="0"/>
        <v>0</v>
      </c>
      <c r="AA101" s="246">
        <f t="shared" si="0"/>
        <v>0</v>
      </c>
      <c r="AB101" s="244">
        <f t="shared" si="0"/>
        <v>0</v>
      </c>
      <c r="AC101" s="245">
        <f t="shared" si="0"/>
        <v>0</v>
      </c>
      <c r="AD101" s="246">
        <f t="shared" si="0"/>
        <v>0</v>
      </c>
      <c r="AE101" s="246">
        <f t="shared" si="0"/>
        <v>0</v>
      </c>
      <c r="AF101" s="246">
        <f t="shared" si="0"/>
        <v>0</v>
      </c>
      <c r="AG101" s="244">
        <f t="shared" si="0"/>
        <v>0</v>
      </c>
      <c r="AH101" s="245">
        <f t="shared" si="0"/>
        <v>1</v>
      </c>
      <c r="AI101" s="246">
        <f t="shared" si="0"/>
        <v>2</v>
      </c>
      <c r="AJ101" s="246">
        <f t="shared" ref="AJ101:BO101" si="1">SUM(AJ3:AJ99)</f>
        <v>3</v>
      </c>
      <c r="AK101" s="246">
        <f t="shared" si="1"/>
        <v>4</v>
      </c>
      <c r="AL101" s="244">
        <f t="shared" si="1"/>
        <v>5</v>
      </c>
      <c r="AM101" s="245">
        <f t="shared" si="1"/>
        <v>6</v>
      </c>
      <c r="AN101" s="246">
        <f t="shared" si="1"/>
        <v>7</v>
      </c>
      <c r="AO101" s="246">
        <f t="shared" si="1"/>
        <v>8</v>
      </c>
      <c r="AP101" s="246">
        <f t="shared" si="1"/>
        <v>9</v>
      </c>
      <c r="AQ101" s="244">
        <f t="shared" si="1"/>
        <v>10</v>
      </c>
      <c r="AR101" s="245">
        <f t="shared" si="1"/>
        <v>11</v>
      </c>
      <c r="AS101" s="246">
        <f t="shared" si="1"/>
        <v>12</v>
      </c>
      <c r="AT101" s="246">
        <f t="shared" si="1"/>
        <v>13</v>
      </c>
      <c r="AU101" s="246">
        <f t="shared" si="1"/>
        <v>14</v>
      </c>
      <c r="AV101" s="244">
        <f t="shared" si="1"/>
        <v>15</v>
      </c>
      <c r="AW101" s="245">
        <f t="shared" si="1"/>
        <v>16</v>
      </c>
      <c r="AX101" s="246">
        <f t="shared" si="1"/>
        <v>17</v>
      </c>
      <c r="AY101" s="246">
        <f t="shared" si="1"/>
        <v>18</v>
      </c>
      <c r="AZ101" s="246">
        <f t="shared" si="1"/>
        <v>19</v>
      </c>
      <c r="BA101" s="244">
        <f t="shared" si="1"/>
        <v>20</v>
      </c>
      <c r="BB101" s="245">
        <f t="shared" si="1"/>
        <v>21</v>
      </c>
      <c r="BC101" s="246">
        <f t="shared" si="1"/>
        <v>22</v>
      </c>
      <c r="BD101" s="246">
        <f t="shared" si="1"/>
        <v>23</v>
      </c>
      <c r="BE101" s="246">
        <f t="shared" si="1"/>
        <v>24</v>
      </c>
      <c r="BF101" s="244">
        <f t="shared" si="1"/>
        <v>25</v>
      </c>
      <c r="BG101" s="245">
        <f t="shared" si="1"/>
        <v>26</v>
      </c>
      <c r="BH101" s="246">
        <f t="shared" si="1"/>
        <v>27</v>
      </c>
      <c r="BI101" s="246">
        <f t="shared" si="1"/>
        <v>28</v>
      </c>
      <c r="BJ101" s="246">
        <f t="shared" si="1"/>
        <v>29</v>
      </c>
      <c r="BK101" s="244">
        <f t="shared" si="1"/>
        <v>30</v>
      </c>
      <c r="BL101" s="245">
        <f t="shared" si="1"/>
        <v>31</v>
      </c>
      <c r="BM101" s="246">
        <f t="shared" si="1"/>
        <v>32</v>
      </c>
      <c r="BN101" s="246">
        <f t="shared" si="1"/>
        <v>33</v>
      </c>
      <c r="BO101" s="246">
        <f t="shared" si="1"/>
        <v>34</v>
      </c>
      <c r="BP101" s="244">
        <f t="shared" ref="BP101:BU101" si="2">SUM(BP3:BP99)</f>
        <v>35</v>
      </c>
      <c r="BQ101" s="245">
        <f t="shared" si="2"/>
        <v>0</v>
      </c>
      <c r="BR101" s="246">
        <f t="shared" si="2"/>
        <v>0</v>
      </c>
      <c r="BS101" s="246">
        <f t="shared" si="2"/>
        <v>0</v>
      </c>
      <c r="BT101" s="246">
        <f t="shared" si="2"/>
        <v>0</v>
      </c>
      <c r="BU101" s="247">
        <f t="shared" si="2"/>
        <v>0</v>
      </c>
    </row>
    <row r="102" spans="2:79" ht="15.75" thickTop="1" x14ac:dyDescent="0.25"/>
  </sheetData>
  <mergeCells count="24">
    <mergeCell ref="X1:AB1"/>
    <mergeCell ref="S1:W1"/>
    <mergeCell ref="B3:B16"/>
    <mergeCell ref="B17:B26"/>
    <mergeCell ref="B27:B37"/>
    <mergeCell ref="B38:B50"/>
    <mergeCell ref="A1:C1"/>
    <mergeCell ref="B79:B94"/>
    <mergeCell ref="B95:B99"/>
    <mergeCell ref="D1:H1"/>
    <mergeCell ref="I1:M1"/>
    <mergeCell ref="N1:R1"/>
    <mergeCell ref="B51:B59"/>
    <mergeCell ref="B60:B78"/>
    <mergeCell ref="BL1:BP1"/>
    <mergeCell ref="BQ1:BU1"/>
    <mergeCell ref="BW1:CA1"/>
    <mergeCell ref="AC1:AG1"/>
    <mergeCell ref="AH1:AL1"/>
    <mergeCell ref="AM1:AQ1"/>
    <mergeCell ref="BB1:BF1"/>
    <mergeCell ref="BG1:BK1"/>
    <mergeCell ref="AR1:AV1"/>
    <mergeCell ref="AW1:BA1"/>
  </mergeCells>
  <conditionalFormatting sqref="D3:H15">
    <cfRule type="expression" dxfId="3511" priority="1" stopIfTrue="1">
      <formula>LEN(TRIM(D3))=0</formula>
    </cfRule>
  </conditionalFormatting>
  <conditionalFormatting sqref="D17:H25">
    <cfRule type="expression" dxfId="3510" priority="2" stopIfTrue="1">
      <formula>LEN(TRIM(D17))=0</formula>
    </cfRule>
  </conditionalFormatting>
  <conditionalFormatting sqref="D27:H36">
    <cfRule type="expression" dxfId="3509" priority="3" stopIfTrue="1">
      <formula>LEN(TRIM(D27))=0</formula>
    </cfRule>
  </conditionalFormatting>
  <conditionalFormatting sqref="D38:H49">
    <cfRule type="expression" dxfId="3508" priority="4" stopIfTrue="1">
      <formula>LEN(TRIM(D38))=0</formula>
    </cfRule>
  </conditionalFormatting>
  <conditionalFormatting sqref="D51:H58">
    <cfRule type="expression" dxfId="3507" priority="5" stopIfTrue="1">
      <formula>LEN(TRIM(D51))=0</formula>
    </cfRule>
  </conditionalFormatting>
  <conditionalFormatting sqref="D60:H77">
    <cfRule type="expression" dxfId="3506" priority="6" stopIfTrue="1">
      <formula>LEN(TRIM(D60))=0</formula>
    </cfRule>
  </conditionalFormatting>
  <conditionalFormatting sqref="D79:H93">
    <cfRule type="expression" dxfId="3505" priority="7" stopIfTrue="1">
      <formula>LEN(TRIM(D79))=0</formula>
    </cfRule>
  </conditionalFormatting>
  <conditionalFormatting sqref="D95:H98">
    <cfRule type="expression" dxfId="3504" priority="8" stopIfTrue="1">
      <formula>LEN(TRIM(D95))=0</formula>
    </cfRule>
  </conditionalFormatting>
  <conditionalFormatting sqref="D101:H101">
    <cfRule type="expression" dxfId="3503" priority="9" stopIfTrue="1">
      <formula>LEN(TRIM(D101))=0</formula>
    </cfRule>
  </conditionalFormatting>
  <conditionalFormatting sqref="I3:M15">
    <cfRule type="expression" dxfId="3502" priority="10" stopIfTrue="1">
      <formula>LEN(TRIM(I3))=0</formula>
    </cfRule>
  </conditionalFormatting>
  <conditionalFormatting sqref="I17:M25">
    <cfRule type="expression" dxfId="3501" priority="11" stopIfTrue="1">
      <formula>LEN(TRIM(I17))=0</formula>
    </cfRule>
  </conditionalFormatting>
  <conditionalFormatting sqref="I27:M36">
    <cfRule type="expression" dxfId="3500" priority="12" stopIfTrue="1">
      <formula>LEN(TRIM(I27))=0</formula>
    </cfRule>
  </conditionalFormatting>
  <conditionalFormatting sqref="I38:M49">
    <cfRule type="expression" dxfId="3499" priority="13" stopIfTrue="1">
      <formula>LEN(TRIM(I38))=0</formula>
    </cfRule>
  </conditionalFormatting>
  <conditionalFormatting sqref="I51:M58">
    <cfRule type="expression" dxfId="3498" priority="14" stopIfTrue="1">
      <formula>LEN(TRIM(I51))=0</formula>
    </cfRule>
  </conditionalFormatting>
  <conditionalFormatting sqref="I60:M77">
    <cfRule type="expression" dxfId="3497" priority="15" stopIfTrue="1">
      <formula>LEN(TRIM(I60))=0</formula>
    </cfRule>
  </conditionalFormatting>
  <conditionalFormatting sqref="I79:M93">
    <cfRule type="expression" dxfId="3496" priority="16" stopIfTrue="1">
      <formula>LEN(TRIM(I79))=0</formula>
    </cfRule>
  </conditionalFormatting>
  <conditionalFormatting sqref="I95:M98">
    <cfRule type="expression" dxfId="3495" priority="17" stopIfTrue="1">
      <formula>LEN(TRIM(I95))=0</formula>
    </cfRule>
  </conditionalFormatting>
  <conditionalFormatting sqref="I101:M101">
    <cfRule type="expression" dxfId="3494" priority="18" stopIfTrue="1">
      <formula>LEN(TRIM(I101))=0</formula>
    </cfRule>
  </conditionalFormatting>
  <conditionalFormatting sqref="N3:R15">
    <cfRule type="expression" dxfId="3493" priority="19" stopIfTrue="1">
      <formula>LEN(TRIM(N3))=0</formula>
    </cfRule>
  </conditionalFormatting>
  <conditionalFormatting sqref="N17:R25">
    <cfRule type="expression" dxfId="3492" priority="20" stopIfTrue="1">
      <formula>LEN(TRIM(N17))=0</formula>
    </cfRule>
  </conditionalFormatting>
  <conditionalFormatting sqref="N27:R36">
    <cfRule type="expression" dxfId="3491" priority="21" stopIfTrue="1">
      <formula>LEN(TRIM(N27))=0</formula>
    </cfRule>
  </conditionalFormatting>
  <conditionalFormatting sqref="N38:R49">
    <cfRule type="expression" dxfId="3490" priority="22" stopIfTrue="1">
      <formula>LEN(TRIM(N38))=0</formula>
    </cfRule>
  </conditionalFormatting>
  <conditionalFormatting sqref="N51:R58">
    <cfRule type="expression" dxfId="3489" priority="23" stopIfTrue="1">
      <formula>LEN(TRIM(N51))=0</formula>
    </cfRule>
  </conditionalFormatting>
  <conditionalFormatting sqref="N60:R77">
    <cfRule type="expression" dxfId="3488" priority="24" stopIfTrue="1">
      <formula>LEN(TRIM(N60))=0</formula>
    </cfRule>
  </conditionalFormatting>
  <conditionalFormatting sqref="N79:R93">
    <cfRule type="expression" dxfId="3487" priority="25" stopIfTrue="1">
      <formula>LEN(TRIM(N79))=0</formula>
    </cfRule>
  </conditionalFormatting>
  <conditionalFormatting sqref="N95:R98">
    <cfRule type="expression" dxfId="3486" priority="26" stopIfTrue="1">
      <formula>LEN(TRIM(N95))=0</formula>
    </cfRule>
  </conditionalFormatting>
  <conditionalFormatting sqref="N101:R101">
    <cfRule type="expression" dxfId="3485" priority="27" stopIfTrue="1">
      <formula>LEN(TRIM(N101))=0</formula>
    </cfRule>
  </conditionalFormatting>
  <conditionalFormatting sqref="S3:W15">
    <cfRule type="expression" dxfId="3484" priority="28" stopIfTrue="1">
      <formula>LEN(TRIM(S3))=0</formula>
    </cfRule>
  </conditionalFormatting>
  <conditionalFormatting sqref="S17:W25">
    <cfRule type="expression" dxfId="3483" priority="29" stopIfTrue="1">
      <formula>LEN(TRIM(S17))=0</formula>
    </cfRule>
  </conditionalFormatting>
  <conditionalFormatting sqref="S27:W36">
    <cfRule type="expression" dxfId="3482" priority="30" stopIfTrue="1">
      <formula>LEN(TRIM(S27))=0</formula>
    </cfRule>
  </conditionalFormatting>
  <conditionalFormatting sqref="S38:W49">
    <cfRule type="expression" dxfId="3481" priority="31" stopIfTrue="1">
      <formula>LEN(TRIM(S38))=0</formula>
    </cfRule>
  </conditionalFormatting>
  <conditionalFormatting sqref="S51:W58">
    <cfRule type="expression" dxfId="3480" priority="32" stopIfTrue="1">
      <formula>LEN(TRIM(S51))=0</formula>
    </cfRule>
  </conditionalFormatting>
  <conditionalFormatting sqref="S60:W77">
    <cfRule type="expression" dxfId="3479" priority="33" stopIfTrue="1">
      <formula>LEN(TRIM(S60))=0</formula>
    </cfRule>
  </conditionalFormatting>
  <conditionalFormatting sqref="S79:W93">
    <cfRule type="expression" dxfId="3478" priority="34" stopIfTrue="1">
      <formula>LEN(TRIM(S79))=0</formula>
    </cfRule>
  </conditionalFormatting>
  <conditionalFormatting sqref="S95:W98">
    <cfRule type="expression" dxfId="3477" priority="35" stopIfTrue="1">
      <formula>LEN(TRIM(S95))=0</formula>
    </cfRule>
  </conditionalFormatting>
  <conditionalFormatting sqref="S101:W101">
    <cfRule type="expression" dxfId="3476" priority="36" stopIfTrue="1">
      <formula>LEN(TRIM(S101))=0</formula>
    </cfRule>
  </conditionalFormatting>
  <conditionalFormatting sqref="X3:AB15">
    <cfRule type="expression" dxfId="3475" priority="37" stopIfTrue="1">
      <formula>LEN(TRIM(X3))=0</formula>
    </cfRule>
  </conditionalFormatting>
  <conditionalFormatting sqref="X17:AB25">
    <cfRule type="expression" dxfId="3474" priority="38" stopIfTrue="1">
      <formula>LEN(TRIM(X17))=0</formula>
    </cfRule>
  </conditionalFormatting>
  <conditionalFormatting sqref="X27:AB36">
    <cfRule type="expression" dxfId="3473" priority="39" stopIfTrue="1">
      <formula>LEN(TRIM(X27))=0</formula>
    </cfRule>
  </conditionalFormatting>
  <conditionalFormatting sqref="X38:AB49">
    <cfRule type="expression" dxfId="3472" priority="40" stopIfTrue="1">
      <formula>LEN(TRIM(X38))=0</formula>
    </cfRule>
  </conditionalFormatting>
  <conditionalFormatting sqref="X51:AB58">
    <cfRule type="expression" dxfId="3471" priority="41" stopIfTrue="1">
      <formula>LEN(TRIM(X51))=0</formula>
    </cfRule>
  </conditionalFormatting>
  <conditionalFormatting sqref="X60:AB77">
    <cfRule type="expression" dxfId="3470" priority="42" stopIfTrue="1">
      <formula>LEN(TRIM(X60))=0</formula>
    </cfRule>
  </conditionalFormatting>
  <conditionalFormatting sqref="X79:AB93">
    <cfRule type="expression" dxfId="3469" priority="43" stopIfTrue="1">
      <formula>LEN(TRIM(X79))=0</formula>
    </cfRule>
  </conditionalFormatting>
  <conditionalFormatting sqref="X95:AB98">
    <cfRule type="expression" dxfId="3468" priority="44" stopIfTrue="1">
      <formula>LEN(TRIM(X95))=0</formula>
    </cfRule>
  </conditionalFormatting>
  <conditionalFormatting sqref="X101:AB101">
    <cfRule type="expression" dxfId="3467" priority="45" stopIfTrue="1">
      <formula>LEN(TRIM(X101))=0</formula>
    </cfRule>
  </conditionalFormatting>
  <conditionalFormatting sqref="AC3:AG15">
    <cfRule type="expression" dxfId="3466" priority="46" stopIfTrue="1">
      <formula>LEN(TRIM(AC3))=0</formula>
    </cfRule>
  </conditionalFormatting>
  <conditionalFormatting sqref="AC17:AG25">
    <cfRule type="expression" dxfId="3465" priority="47" stopIfTrue="1">
      <formula>LEN(TRIM(AC17))=0</formula>
    </cfRule>
  </conditionalFormatting>
  <conditionalFormatting sqref="AC27:AG36">
    <cfRule type="expression" dxfId="3464" priority="48" stopIfTrue="1">
      <formula>LEN(TRIM(AC27))=0</formula>
    </cfRule>
  </conditionalFormatting>
  <conditionalFormatting sqref="AC38:AG49">
    <cfRule type="expression" dxfId="3463" priority="49" stopIfTrue="1">
      <formula>LEN(TRIM(AC38))=0</formula>
    </cfRule>
  </conditionalFormatting>
  <conditionalFormatting sqref="AC51:AG58">
    <cfRule type="expression" dxfId="3462" priority="50" stopIfTrue="1">
      <formula>LEN(TRIM(AC51))=0</formula>
    </cfRule>
  </conditionalFormatting>
  <conditionalFormatting sqref="AC60:AG77">
    <cfRule type="expression" dxfId="3461" priority="51" stopIfTrue="1">
      <formula>LEN(TRIM(AC60))=0</formula>
    </cfRule>
  </conditionalFormatting>
  <conditionalFormatting sqref="AC79:AG93">
    <cfRule type="expression" dxfId="3460" priority="52" stopIfTrue="1">
      <formula>LEN(TRIM(AC79))=0</formula>
    </cfRule>
  </conditionalFormatting>
  <conditionalFormatting sqref="AC95:AG98">
    <cfRule type="expression" dxfId="3459" priority="53" stopIfTrue="1">
      <formula>LEN(TRIM(AC95))=0</formula>
    </cfRule>
  </conditionalFormatting>
  <conditionalFormatting sqref="AC101:AG101">
    <cfRule type="expression" dxfId="3458" priority="54" stopIfTrue="1">
      <formula>LEN(TRIM(AC101))=0</formula>
    </cfRule>
  </conditionalFormatting>
  <conditionalFormatting sqref="AH3:AL15">
    <cfRule type="expression" dxfId="3457" priority="55" stopIfTrue="1">
      <formula>LEN(TRIM(AH3))=0</formula>
    </cfRule>
  </conditionalFormatting>
  <conditionalFormatting sqref="AH17:AL25">
    <cfRule type="expression" dxfId="3456" priority="56" stopIfTrue="1">
      <formula>LEN(TRIM(AH17))=0</formula>
    </cfRule>
  </conditionalFormatting>
  <conditionalFormatting sqref="AH27:AL36">
    <cfRule type="expression" dxfId="3455" priority="57" stopIfTrue="1">
      <formula>LEN(TRIM(AH27))=0</formula>
    </cfRule>
  </conditionalFormatting>
  <conditionalFormatting sqref="AH38:AL49">
    <cfRule type="expression" dxfId="3454" priority="58" stopIfTrue="1">
      <formula>LEN(TRIM(AH38))=0</formula>
    </cfRule>
  </conditionalFormatting>
  <conditionalFormatting sqref="AH51:AL58">
    <cfRule type="expression" dxfId="3453" priority="59" stopIfTrue="1">
      <formula>LEN(TRIM(AH51))=0</formula>
    </cfRule>
  </conditionalFormatting>
  <conditionalFormatting sqref="AH60:AL77">
    <cfRule type="expression" dxfId="3452" priority="60" stopIfTrue="1">
      <formula>LEN(TRIM(AH60))=0</formula>
    </cfRule>
  </conditionalFormatting>
  <conditionalFormatting sqref="AH79:AL93">
    <cfRule type="expression" dxfId="3451" priority="61" stopIfTrue="1">
      <formula>LEN(TRIM(AH79))=0</formula>
    </cfRule>
  </conditionalFormatting>
  <conditionalFormatting sqref="AH95:AL98">
    <cfRule type="expression" dxfId="3450" priority="62" stopIfTrue="1">
      <formula>LEN(TRIM(AH95))=0</formula>
    </cfRule>
  </conditionalFormatting>
  <conditionalFormatting sqref="AH101:AL101">
    <cfRule type="expression" dxfId="3449" priority="63" stopIfTrue="1">
      <formula>LEN(TRIM(AH101))=0</formula>
    </cfRule>
  </conditionalFormatting>
  <conditionalFormatting sqref="AM3:AQ15">
    <cfRule type="expression" dxfId="3448" priority="64" stopIfTrue="1">
      <formula>LEN(TRIM(AM3))=0</formula>
    </cfRule>
  </conditionalFormatting>
  <conditionalFormatting sqref="AM17:AQ25">
    <cfRule type="expression" dxfId="3447" priority="65" stopIfTrue="1">
      <formula>LEN(TRIM(AM17))=0</formula>
    </cfRule>
  </conditionalFormatting>
  <conditionalFormatting sqref="AM27:AQ36">
    <cfRule type="expression" dxfId="3446" priority="66" stopIfTrue="1">
      <formula>LEN(TRIM(AM27))=0</formula>
    </cfRule>
  </conditionalFormatting>
  <conditionalFormatting sqref="AM38:AQ49">
    <cfRule type="expression" dxfId="3445" priority="67" stopIfTrue="1">
      <formula>LEN(TRIM(AM38))=0</formula>
    </cfRule>
  </conditionalFormatting>
  <conditionalFormatting sqref="AM51:AQ58">
    <cfRule type="expression" dxfId="3444" priority="68" stopIfTrue="1">
      <formula>LEN(TRIM(AM51))=0</formula>
    </cfRule>
  </conditionalFormatting>
  <conditionalFormatting sqref="AM60:AQ77">
    <cfRule type="expression" dxfId="3443" priority="69" stopIfTrue="1">
      <formula>LEN(TRIM(AM60))=0</formula>
    </cfRule>
  </conditionalFormatting>
  <conditionalFormatting sqref="AM79:AQ93">
    <cfRule type="expression" dxfId="3442" priority="70" stopIfTrue="1">
      <formula>LEN(TRIM(AM79))=0</formula>
    </cfRule>
  </conditionalFormatting>
  <conditionalFormatting sqref="AM95:AQ98">
    <cfRule type="expression" dxfId="3441" priority="71" stopIfTrue="1">
      <formula>LEN(TRIM(AM95))=0</formula>
    </cfRule>
  </conditionalFormatting>
  <conditionalFormatting sqref="AM101:AQ101">
    <cfRule type="expression" dxfId="3440" priority="72" stopIfTrue="1">
      <formula>LEN(TRIM(AM101))=0</formula>
    </cfRule>
  </conditionalFormatting>
  <conditionalFormatting sqref="AR3:AV15">
    <cfRule type="expression" dxfId="3439" priority="73" stopIfTrue="1">
      <formula>LEN(TRIM(AR3))=0</formula>
    </cfRule>
  </conditionalFormatting>
  <conditionalFormatting sqref="AR17:AV25">
    <cfRule type="expression" dxfId="3438" priority="74" stopIfTrue="1">
      <formula>LEN(TRIM(AR17))=0</formula>
    </cfRule>
  </conditionalFormatting>
  <conditionalFormatting sqref="AR27:AV36">
    <cfRule type="expression" dxfId="3437" priority="75" stopIfTrue="1">
      <formula>LEN(TRIM(AR27))=0</formula>
    </cfRule>
  </conditionalFormatting>
  <conditionalFormatting sqref="AR38:AV49">
    <cfRule type="expression" dxfId="3436" priority="76" stopIfTrue="1">
      <formula>LEN(TRIM(AR38))=0</formula>
    </cfRule>
  </conditionalFormatting>
  <conditionalFormatting sqref="AR51:AV58">
    <cfRule type="expression" dxfId="3435" priority="77" stopIfTrue="1">
      <formula>LEN(TRIM(AR51))=0</formula>
    </cfRule>
  </conditionalFormatting>
  <conditionalFormatting sqref="AR60:AV77">
    <cfRule type="expression" dxfId="3434" priority="78" stopIfTrue="1">
      <formula>LEN(TRIM(AR60))=0</formula>
    </cfRule>
  </conditionalFormatting>
  <conditionalFormatting sqref="AR79:AV93">
    <cfRule type="expression" dxfId="3433" priority="79" stopIfTrue="1">
      <formula>LEN(TRIM(AR79))=0</formula>
    </cfRule>
  </conditionalFormatting>
  <conditionalFormatting sqref="AR95:AV98">
    <cfRule type="expression" dxfId="3432" priority="80" stopIfTrue="1">
      <formula>LEN(TRIM(AR95))=0</formula>
    </cfRule>
  </conditionalFormatting>
  <conditionalFormatting sqref="AR101:AV101">
    <cfRule type="expression" dxfId="3431" priority="81" stopIfTrue="1">
      <formula>LEN(TRIM(AR101))=0</formula>
    </cfRule>
  </conditionalFormatting>
  <conditionalFormatting sqref="AW3:BA15">
    <cfRule type="expression" dxfId="3430" priority="82" stopIfTrue="1">
      <formula>LEN(TRIM(AW3))=0</formula>
    </cfRule>
  </conditionalFormatting>
  <conditionalFormatting sqref="AW17:BA25">
    <cfRule type="expression" dxfId="3429" priority="83" stopIfTrue="1">
      <formula>LEN(TRIM(AW17))=0</formula>
    </cfRule>
  </conditionalFormatting>
  <conditionalFormatting sqref="AW27:BA36">
    <cfRule type="expression" dxfId="3428" priority="84" stopIfTrue="1">
      <formula>LEN(TRIM(AW27))=0</formula>
    </cfRule>
  </conditionalFormatting>
  <conditionalFormatting sqref="AW38:BA49">
    <cfRule type="expression" dxfId="3427" priority="85" stopIfTrue="1">
      <formula>LEN(TRIM(AW38))=0</formula>
    </cfRule>
  </conditionalFormatting>
  <conditionalFormatting sqref="AW51:BA58">
    <cfRule type="expression" dxfId="3426" priority="86" stopIfTrue="1">
      <formula>LEN(TRIM(AW51))=0</formula>
    </cfRule>
  </conditionalFormatting>
  <conditionalFormatting sqref="AW60:BA77">
    <cfRule type="expression" dxfId="3425" priority="87" stopIfTrue="1">
      <formula>LEN(TRIM(AW60))=0</formula>
    </cfRule>
  </conditionalFormatting>
  <conditionalFormatting sqref="AW79:BA93">
    <cfRule type="expression" dxfId="3424" priority="88" stopIfTrue="1">
      <formula>LEN(TRIM(AW79))=0</formula>
    </cfRule>
  </conditionalFormatting>
  <conditionalFormatting sqref="AW95:BA98">
    <cfRule type="expression" dxfId="3423" priority="89" stopIfTrue="1">
      <formula>LEN(TRIM(AW95))=0</formula>
    </cfRule>
  </conditionalFormatting>
  <conditionalFormatting sqref="AW101:BA101">
    <cfRule type="expression" dxfId="3422" priority="90" stopIfTrue="1">
      <formula>LEN(TRIM(AW101))=0</formula>
    </cfRule>
  </conditionalFormatting>
  <conditionalFormatting sqref="BB3:BF15">
    <cfRule type="expression" dxfId="3421" priority="91" stopIfTrue="1">
      <formula>LEN(TRIM(BB3))=0</formula>
    </cfRule>
  </conditionalFormatting>
  <conditionalFormatting sqref="BB17:BF25">
    <cfRule type="expression" dxfId="3420" priority="92" stopIfTrue="1">
      <formula>LEN(TRIM(BB17))=0</formula>
    </cfRule>
  </conditionalFormatting>
  <conditionalFormatting sqref="BB27:BF36">
    <cfRule type="expression" dxfId="3419" priority="93" stopIfTrue="1">
      <formula>LEN(TRIM(BB27))=0</formula>
    </cfRule>
  </conditionalFormatting>
  <conditionalFormatting sqref="BB38:BF49">
    <cfRule type="expression" dxfId="3418" priority="94" stopIfTrue="1">
      <formula>LEN(TRIM(BB38))=0</formula>
    </cfRule>
  </conditionalFormatting>
  <conditionalFormatting sqref="BB51:BF58">
    <cfRule type="expression" dxfId="3417" priority="95" stopIfTrue="1">
      <formula>LEN(TRIM(BB51))=0</formula>
    </cfRule>
  </conditionalFormatting>
  <conditionalFormatting sqref="BB60:BF77">
    <cfRule type="expression" dxfId="3416" priority="96" stopIfTrue="1">
      <formula>LEN(TRIM(BB60))=0</formula>
    </cfRule>
  </conditionalFormatting>
  <conditionalFormatting sqref="BB79:BF93">
    <cfRule type="expression" dxfId="3415" priority="97" stopIfTrue="1">
      <formula>LEN(TRIM(BB79))=0</formula>
    </cfRule>
  </conditionalFormatting>
  <conditionalFormatting sqref="BB95:BF98">
    <cfRule type="expression" dxfId="3414" priority="98" stopIfTrue="1">
      <formula>LEN(TRIM(BB95))=0</formula>
    </cfRule>
  </conditionalFormatting>
  <conditionalFormatting sqref="BB101:BF101">
    <cfRule type="expression" dxfId="3413" priority="99" stopIfTrue="1">
      <formula>LEN(TRIM(BB101))=0</formula>
    </cfRule>
  </conditionalFormatting>
  <conditionalFormatting sqref="BG3:BK15">
    <cfRule type="expression" dxfId="3412" priority="100" stopIfTrue="1">
      <formula>LEN(TRIM(BG3))=0</formula>
    </cfRule>
  </conditionalFormatting>
  <conditionalFormatting sqref="BG17:BK25">
    <cfRule type="expression" dxfId="3411" priority="101" stopIfTrue="1">
      <formula>LEN(TRIM(BG17))=0</formula>
    </cfRule>
  </conditionalFormatting>
  <conditionalFormatting sqref="BG27:BK36">
    <cfRule type="expression" dxfId="3410" priority="102" stopIfTrue="1">
      <formula>LEN(TRIM(BG27))=0</formula>
    </cfRule>
  </conditionalFormatting>
  <conditionalFormatting sqref="BG38:BK49">
    <cfRule type="expression" dxfId="3409" priority="103" stopIfTrue="1">
      <formula>LEN(TRIM(BG38))=0</formula>
    </cfRule>
  </conditionalFormatting>
  <conditionalFormatting sqref="BG51:BK58">
    <cfRule type="expression" dxfId="3408" priority="104" stopIfTrue="1">
      <formula>LEN(TRIM(BG51))=0</formula>
    </cfRule>
  </conditionalFormatting>
  <conditionalFormatting sqref="BG60:BK77">
    <cfRule type="expression" dxfId="3407" priority="105" stopIfTrue="1">
      <formula>LEN(TRIM(BG60))=0</formula>
    </cfRule>
  </conditionalFormatting>
  <conditionalFormatting sqref="BG79:BK93">
    <cfRule type="expression" dxfId="3406" priority="106" stopIfTrue="1">
      <formula>LEN(TRIM(BG79))=0</formula>
    </cfRule>
  </conditionalFormatting>
  <conditionalFormatting sqref="BG95:BK98">
    <cfRule type="expression" dxfId="3405" priority="107" stopIfTrue="1">
      <formula>LEN(TRIM(BG95))=0</formula>
    </cfRule>
  </conditionalFormatting>
  <conditionalFormatting sqref="BG101:BK101">
    <cfRule type="expression" dxfId="3404" priority="108" stopIfTrue="1">
      <formula>LEN(TRIM(BG101))=0</formula>
    </cfRule>
  </conditionalFormatting>
  <conditionalFormatting sqref="BL3:BP15">
    <cfRule type="expression" dxfId="3403" priority="109" stopIfTrue="1">
      <formula>LEN(TRIM(BL3))=0</formula>
    </cfRule>
  </conditionalFormatting>
  <conditionalFormatting sqref="BL17:BP25">
    <cfRule type="expression" dxfId="3402" priority="110" stopIfTrue="1">
      <formula>LEN(TRIM(BL17))=0</formula>
    </cfRule>
  </conditionalFormatting>
  <conditionalFormatting sqref="BL27:BP36">
    <cfRule type="expression" dxfId="3401" priority="111" stopIfTrue="1">
      <formula>LEN(TRIM(BL27))=0</formula>
    </cfRule>
  </conditionalFormatting>
  <conditionalFormatting sqref="BL38:BP49">
    <cfRule type="expression" dxfId="3400" priority="112" stopIfTrue="1">
      <formula>LEN(TRIM(BL38))=0</formula>
    </cfRule>
  </conditionalFormatting>
  <conditionalFormatting sqref="BL51:BP58">
    <cfRule type="expression" dxfId="3399" priority="113" stopIfTrue="1">
      <formula>LEN(TRIM(BL51))=0</formula>
    </cfRule>
  </conditionalFormatting>
  <conditionalFormatting sqref="BL60:BP77">
    <cfRule type="expression" dxfId="3398" priority="114" stopIfTrue="1">
      <formula>LEN(TRIM(BL60))=0</formula>
    </cfRule>
  </conditionalFormatting>
  <conditionalFormatting sqref="BL79:BP93">
    <cfRule type="expression" dxfId="3397" priority="115" stopIfTrue="1">
      <formula>LEN(TRIM(BL79))=0</formula>
    </cfRule>
  </conditionalFormatting>
  <conditionalFormatting sqref="BL95:BP98">
    <cfRule type="expression" dxfId="3396" priority="116" stopIfTrue="1">
      <formula>LEN(TRIM(BL95))=0</formula>
    </cfRule>
  </conditionalFormatting>
  <conditionalFormatting sqref="BL101:BP101">
    <cfRule type="expression" dxfId="3395" priority="117" stopIfTrue="1">
      <formula>LEN(TRIM(BL101))=0</formula>
    </cfRule>
  </conditionalFormatting>
  <conditionalFormatting sqref="BQ3:BU15">
    <cfRule type="expression" dxfId="3394" priority="118" stopIfTrue="1">
      <formula>LEN(TRIM(BQ3))=0</formula>
    </cfRule>
  </conditionalFormatting>
  <conditionalFormatting sqref="BQ17:BU25">
    <cfRule type="expression" dxfId="3393" priority="119" stopIfTrue="1">
      <formula>LEN(TRIM(BQ17))=0</formula>
    </cfRule>
  </conditionalFormatting>
  <conditionalFormatting sqref="BQ27:BU36">
    <cfRule type="expression" dxfId="3392" priority="120" stopIfTrue="1">
      <formula>LEN(TRIM(BQ27))=0</formula>
    </cfRule>
  </conditionalFormatting>
  <conditionalFormatting sqref="BQ38:BU49">
    <cfRule type="expression" dxfId="3391" priority="121" stopIfTrue="1">
      <formula>LEN(TRIM(BQ38))=0</formula>
    </cfRule>
  </conditionalFormatting>
  <conditionalFormatting sqref="BQ51:BU58">
    <cfRule type="expression" dxfId="3390" priority="122" stopIfTrue="1">
      <formula>LEN(TRIM(BQ51))=0</formula>
    </cfRule>
  </conditionalFormatting>
  <conditionalFormatting sqref="BQ60:BU77">
    <cfRule type="expression" dxfId="3389" priority="123" stopIfTrue="1">
      <formula>LEN(TRIM(BQ60))=0</formula>
    </cfRule>
  </conditionalFormatting>
  <conditionalFormatting sqref="BQ79:BU93">
    <cfRule type="expression" dxfId="3388" priority="124" stopIfTrue="1">
      <formula>LEN(TRIM(BQ79))=0</formula>
    </cfRule>
  </conditionalFormatting>
  <conditionalFormatting sqref="BQ95:BU98">
    <cfRule type="expression" dxfId="3387" priority="125" stopIfTrue="1">
      <formula>LEN(TRIM(BQ95))=0</formula>
    </cfRule>
  </conditionalFormatting>
  <conditionalFormatting sqref="BQ101:BU101">
    <cfRule type="expression" dxfId="3386" priority="126" stopIfTrue="1">
      <formula>LEN(TRIM(BQ101))=0</formula>
    </cfRule>
  </conditionalFormatting>
  <conditionalFormatting sqref="BW3:CA15">
    <cfRule type="expression" dxfId="3385" priority="127" stopIfTrue="1">
      <formula>LEN(TRIM(BW3))=0</formula>
    </cfRule>
  </conditionalFormatting>
  <conditionalFormatting sqref="BW17:CA25">
    <cfRule type="expression" dxfId="3384" priority="128" stopIfTrue="1">
      <formula>LEN(TRIM(BW17))=0</formula>
    </cfRule>
  </conditionalFormatting>
  <conditionalFormatting sqref="BW27:CA36">
    <cfRule type="expression" dxfId="3383" priority="129" stopIfTrue="1">
      <formula>LEN(TRIM(BW27))=0</formula>
    </cfRule>
  </conditionalFormatting>
  <conditionalFormatting sqref="BW38:CA49">
    <cfRule type="expression" dxfId="3382" priority="130" stopIfTrue="1">
      <formula>LEN(TRIM(BW38))=0</formula>
    </cfRule>
  </conditionalFormatting>
  <conditionalFormatting sqref="BW51:CA58">
    <cfRule type="expression" dxfId="3381" priority="131" stopIfTrue="1">
      <formula>LEN(TRIM(BW51))=0</formula>
    </cfRule>
  </conditionalFormatting>
  <conditionalFormatting sqref="BW60:CA77">
    <cfRule type="expression" dxfId="3380" priority="132" stopIfTrue="1">
      <formula>LEN(TRIM(BW60))=0</formula>
    </cfRule>
  </conditionalFormatting>
  <conditionalFormatting sqref="BW79:CA93">
    <cfRule type="expression" dxfId="3379" priority="133" stopIfTrue="1">
      <formula>LEN(TRIM(BW79))=0</formula>
    </cfRule>
  </conditionalFormatting>
  <conditionalFormatting sqref="BW95:CA98">
    <cfRule type="expression" dxfId="3378" priority="134" stopIfTrue="1">
      <formula>LEN(TRIM(BW95))=0</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A110"/>
  <sheetViews>
    <sheetView showGridLines="0" zoomScale="70" zoomScaleNormal="70" workbookViewId="0">
      <pane xSplit="3" ySplit="3" topLeftCell="D76" activePane="bottomRight" state="frozenSplit"/>
      <selection pane="topRight" activeCell="D1" sqref="D1"/>
      <selection pane="bottomLeft" activeCell="A4" sqref="A4"/>
      <selection pane="bottomRight" activeCell="A110" sqref="A110"/>
    </sheetView>
  </sheetViews>
  <sheetFormatPr defaultRowHeight="15" x14ac:dyDescent="0.25"/>
  <cols>
    <col min="1" max="1" width="11.7109375" customWidth="1"/>
    <col min="2" max="2" width="6.5703125" customWidth="1"/>
    <col min="3" max="3" width="31.7109375" customWidth="1"/>
    <col min="4" max="87" width="3.85546875" customWidth="1"/>
    <col min="88" max="88" width="2.5703125" customWidth="1"/>
    <col min="89" max="93" width="3.85546875" customWidth="1"/>
    <col min="94" max="94" width="2.5703125" customWidth="1"/>
    <col min="95" max="99" width="3.85546875" customWidth="1"/>
    <col min="100" max="100" width="2.5703125" customWidth="1"/>
    <col min="101" max="105" width="3.85546875" customWidth="1"/>
  </cols>
  <sheetData>
    <row r="1" spans="1:105" ht="37.5" customHeight="1" thickTop="1" thickBot="1" x14ac:dyDescent="0.3">
      <c r="A1" s="424" t="s">
        <v>0</v>
      </c>
      <c r="B1" s="424"/>
      <c r="C1" s="425"/>
      <c r="D1" s="431" t="s">
        <v>230</v>
      </c>
      <c r="E1" s="432"/>
      <c r="F1" s="432"/>
      <c r="G1" s="432"/>
      <c r="H1" s="432"/>
      <c r="I1" s="432"/>
      <c r="J1" s="432"/>
      <c r="K1" s="432"/>
      <c r="L1" s="431" t="s">
        <v>231</v>
      </c>
      <c r="M1" s="432"/>
      <c r="N1" s="432"/>
      <c r="O1" s="432"/>
      <c r="P1" s="431" t="s">
        <v>232</v>
      </c>
      <c r="Q1" s="432"/>
      <c r="R1" s="432"/>
      <c r="S1" s="432"/>
      <c r="T1" s="432"/>
      <c r="U1" s="432"/>
      <c r="V1" s="432"/>
      <c r="W1" s="432"/>
      <c r="X1" s="432"/>
      <c r="Y1" s="432"/>
      <c r="Z1" s="432"/>
      <c r="AA1" s="432"/>
      <c r="AB1" s="432"/>
      <c r="AC1" s="432"/>
      <c r="AD1" s="432"/>
      <c r="AE1" s="432"/>
      <c r="AF1" s="432"/>
      <c r="AG1" s="432"/>
      <c r="AH1" s="432"/>
      <c r="AI1" s="432"/>
      <c r="AJ1" s="431" t="s">
        <v>233</v>
      </c>
      <c r="AK1" s="432"/>
      <c r="AL1" s="432"/>
      <c r="AM1" s="431" t="s">
        <v>234</v>
      </c>
      <c r="AN1" s="432"/>
      <c r="AO1" s="432"/>
      <c r="AP1" s="431" t="s">
        <v>235</v>
      </c>
      <c r="AQ1" s="432"/>
      <c r="AR1" s="432"/>
      <c r="AS1" s="432"/>
      <c r="AT1" s="432"/>
      <c r="AU1" s="431" t="s">
        <v>1</v>
      </c>
      <c r="AV1" s="432"/>
      <c r="AW1" s="432"/>
      <c r="AX1" s="432"/>
      <c r="AY1" s="432"/>
      <c r="AZ1" s="432"/>
      <c r="BA1" s="432"/>
      <c r="BB1" s="432"/>
      <c r="BC1" s="431" t="s">
        <v>131</v>
      </c>
      <c r="BD1" s="432"/>
      <c r="BE1" s="432"/>
      <c r="BF1" s="432"/>
      <c r="BG1" s="432"/>
      <c r="BH1" s="431" t="s">
        <v>3</v>
      </c>
      <c r="BI1" s="432"/>
      <c r="BJ1" s="432"/>
      <c r="BK1" s="431" t="s">
        <v>4</v>
      </c>
      <c r="BL1" s="432"/>
      <c r="BM1" s="432"/>
      <c r="BN1" s="432"/>
      <c r="BO1" s="431" t="s">
        <v>5</v>
      </c>
      <c r="BP1" s="432"/>
      <c r="BQ1" s="432"/>
      <c r="BR1" s="432"/>
      <c r="BS1" s="432"/>
      <c r="BT1" s="432"/>
      <c r="BU1" s="432"/>
      <c r="BV1" s="432"/>
      <c r="BW1" s="431" t="s">
        <v>6</v>
      </c>
      <c r="BX1" s="432"/>
      <c r="BY1" s="432"/>
      <c r="BZ1" s="432"/>
      <c r="CA1" s="432"/>
      <c r="CB1" s="432"/>
      <c r="CC1" s="431" t="s">
        <v>135</v>
      </c>
      <c r="CD1" s="432"/>
      <c r="CE1" s="432"/>
      <c r="CF1" s="431" t="s">
        <v>236</v>
      </c>
      <c r="CG1" s="432"/>
      <c r="CH1" s="432"/>
      <c r="CI1" s="433"/>
      <c r="CK1" s="431" t="s">
        <v>304</v>
      </c>
      <c r="CL1" s="432"/>
      <c r="CM1" s="432"/>
      <c r="CN1" s="432"/>
      <c r="CO1" s="433"/>
      <c r="CQ1" s="431" t="s">
        <v>223</v>
      </c>
      <c r="CR1" s="432"/>
      <c r="CS1" s="432"/>
      <c r="CT1" s="432"/>
      <c r="CU1" s="433"/>
      <c r="CW1" s="431" t="s">
        <v>305</v>
      </c>
      <c r="CX1" s="432"/>
      <c r="CY1" s="432"/>
      <c r="CZ1" s="432"/>
      <c r="DA1" s="433"/>
    </row>
    <row r="2" spans="1:105" ht="128.1" customHeight="1" thickTop="1" thickBot="1" x14ac:dyDescent="0.3">
      <c r="A2" s="4" t="s">
        <v>9</v>
      </c>
      <c r="B2" s="5"/>
      <c r="C2" s="231" t="s">
        <v>216</v>
      </c>
      <c r="D2" s="287" t="s">
        <v>241</v>
      </c>
      <c r="E2" s="288" t="s">
        <v>242</v>
      </c>
      <c r="F2" s="288" t="s">
        <v>238</v>
      </c>
      <c r="G2" s="288" t="s">
        <v>11</v>
      </c>
      <c r="H2" s="288" t="s">
        <v>10</v>
      </c>
      <c r="I2" s="288" t="s">
        <v>125</v>
      </c>
      <c r="J2" s="288" t="s">
        <v>12</v>
      </c>
      <c r="K2" s="293" t="s">
        <v>241</v>
      </c>
      <c r="L2" s="287" t="s">
        <v>13</v>
      </c>
      <c r="M2" s="288" t="s">
        <v>38</v>
      </c>
      <c r="N2" s="288" t="s">
        <v>243</v>
      </c>
      <c r="O2" s="293" t="s">
        <v>244</v>
      </c>
      <c r="P2" s="287" t="s">
        <v>35</v>
      </c>
      <c r="Q2" s="288" t="s">
        <v>18</v>
      </c>
      <c r="R2" s="288" t="s">
        <v>239</v>
      </c>
      <c r="S2" s="288" t="s">
        <v>28</v>
      </c>
      <c r="T2" s="288" t="s">
        <v>245</v>
      </c>
      <c r="U2" s="288" t="s">
        <v>246</v>
      </c>
      <c r="V2" s="288" t="s">
        <v>284</v>
      </c>
      <c r="W2" s="288" t="s">
        <v>248</v>
      </c>
      <c r="X2" s="288" t="s">
        <v>247</v>
      </c>
      <c r="Y2" s="288" t="s">
        <v>249</v>
      </c>
      <c r="Z2" s="288" t="s">
        <v>250</v>
      </c>
      <c r="AA2" s="288" t="s">
        <v>251</v>
      </c>
      <c r="AB2" s="288" t="s">
        <v>31</v>
      </c>
      <c r="AC2" s="288" t="s">
        <v>34</v>
      </c>
      <c r="AD2" s="288" t="s">
        <v>252</v>
      </c>
      <c r="AE2" s="288" t="s">
        <v>36</v>
      </c>
      <c r="AF2" s="288" t="s">
        <v>16</v>
      </c>
      <c r="AG2" s="288" t="s">
        <v>253</v>
      </c>
      <c r="AH2" s="288" t="s">
        <v>37</v>
      </c>
      <c r="AI2" s="293" t="s">
        <v>124</v>
      </c>
      <c r="AJ2" s="287" t="s">
        <v>254</v>
      </c>
      <c r="AK2" s="288" t="s">
        <v>255</v>
      </c>
      <c r="AL2" s="293" t="s">
        <v>256</v>
      </c>
      <c r="AM2" s="287" t="s">
        <v>257</v>
      </c>
      <c r="AN2" s="288" t="s">
        <v>22</v>
      </c>
      <c r="AO2" s="293" t="s">
        <v>258</v>
      </c>
      <c r="AP2" s="287" t="s">
        <v>262</v>
      </c>
      <c r="AQ2" s="288" t="s">
        <v>260</v>
      </c>
      <c r="AR2" s="288" t="s">
        <v>19</v>
      </c>
      <c r="AS2" s="288" t="s">
        <v>261</v>
      </c>
      <c r="AT2" s="293" t="s">
        <v>259</v>
      </c>
      <c r="AU2" s="287" t="s">
        <v>10</v>
      </c>
      <c r="AV2" s="288" t="s">
        <v>11</v>
      </c>
      <c r="AW2" s="288" t="s">
        <v>12</v>
      </c>
      <c r="AX2" s="288" t="s">
        <v>13</v>
      </c>
      <c r="AY2" s="288" t="s">
        <v>14</v>
      </c>
      <c r="AZ2" s="288" t="s">
        <v>125</v>
      </c>
      <c r="BA2" s="288" t="s">
        <v>121</v>
      </c>
      <c r="BB2" s="293" t="s">
        <v>15</v>
      </c>
      <c r="BC2" s="287" t="s">
        <v>16</v>
      </c>
      <c r="BD2" s="288" t="s">
        <v>17</v>
      </c>
      <c r="BE2" s="288" t="s">
        <v>18</v>
      </c>
      <c r="BF2" s="288" t="s">
        <v>19</v>
      </c>
      <c r="BG2" s="293" t="s">
        <v>20</v>
      </c>
      <c r="BH2" s="287" t="s">
        <v>21</v>
      </c>
      <c r="BI2" s="288" t="s">
        <v>22</v>
      </c>
      <c r="BJ2" s="293" t="s">
        <v>20</v>
      </c>
      <c r="BK2" s="287" t="s">
        <v>28</v>
      </c>
      <c r="BL2" s="288" t="s">
        <v>24</v>
      </c>
      <c r="BM2" s="288" t="s">
        <v>27</v>
      </c>
      <c r="BN2" s="293" t="s">
        <v>124</v>
      </c>
      <c r="BO2" s="287" t="s">
        <v>33</v>
      </c>
      <c r="BP2" s="288" t="s">
        <v>29</v>
      </c>
      <c r="BQ2" s="288" t="s">
        <v>30</v>
      </c>
      <c r="BR2" s="288" t="s">
        <v>181</v>
      </c>
      <c r="BS2" s="288" t="s">
        <v>26</v>
      </c>
      <c r="BT2" s="288" t="s">
        <v>31</v>
      </c>
      <c r="BU2" s="288" t="s">
        <v>32</v>
      </c>
      <c r="BV2" s="293" t="s">
        <v>23</v>
      </c>
      <c r="BW2" s="287" t="s">
        <v>34</v>
      </c>
      <c r="BX2" s="288" t="s">
        <v>25</v>
      </c>
      <c r="BY2" s="288" t="s">
        <v>35</v>
      </c>
      <c r="BZ2" s="288" t="s">
        <v>38</v>
      </c>
      <c r="CA2" s="288" t="s">
        <v>36</v>
      </c>
      <c r="CB2" s="293" t="s">
        <v>37</v>
      </c>
      <c r="CC2" s="287" t="s">
        <v>133</v>
      </c>
      <c r="CD2" s="288" t="s">
        <v>39</v>
      </c>
      <c r="CE2" s="293" t="s">
        <v>40</v>
      </c>
      <c r="CF2" s="287" t="s">
        <v>263</v>
      </c>
      <c r="CG2" s="288" t="s">
        <v>240</v>
      </c>
      <c r="CH2" s="288" t="s">
        <v>265</v>
      </c>
      <c r="CI2" s="289" t="s">
        <v>264</v>
      </c>
      <c r="CK2" s="304" t="s">
        <v>217</v>
      </c>
      <c r="CL2" s="305" t="s">
        <v>218</v>
      </c>
      <c r="CM2" s="306" t="s">
        <v>219</v>
      </c>
      <c r="CN2" s="307" t="s">
        <v>220</v>
      </c>
      <c r="CO2" s="308" t="s">
        <v>221</v>
      </c>
      <c r="CQ2" s="304" t="s">
        <v>217</v>
      </c>
      <c r="CR2" s="305" t="s">
        <v>218</v>
      </c>
      <c r="CS2" s="306" t="s">
        <v>219</v>
      </c>
      <c r="CT2" s="307" t="s">
        <v>220</v>
      </c>
      <c r="CU2" s="308" t="s">
        <v>221</v>
      </c>
      <c r="CW2" s="304" t="s">
        <v>217</v>
      </c>
      <c r="CX2" s="305" t="s">
        <v>218</v>
      </c>
      <c r="CY2" s="306" t="s">
        <v>219</v>
      </c>
      <c r="CZ2" s="307" t="s">
        <v>220</v>
      </c>
      <c r="DA2" s="308" t="s">
        <v>221</v>
      </c>
    </row>
    <row r="3" spans="1:105" ht="12.75" customHeight="1" thickTop="1" thickBot="1" x14ac:dyDescent="0.3">
      <c r="A3" s="5"/>
      <c r="B3" s="3"/>
      <c r="C3" s="100" t="s">
        <v>126</v>
      </c>
      <c r="D3" s="309" t="s">
        <v>139</v>
      </c>
      <c r="E3" s="309" t="s">
        <v>237</v>
      </c>
      <c r="F3" s="309" t="s">
        <v>237</v>
      </c>
      <c r="G3" s="309" t="s">
        <v>237</v>
      </c>
      <c r="H3" s="309" t="s">
        <v>237</v>
      </c>
      <c r="I3" s="309" t="s">
        <v>139</v>
      </c>
      <c r="J3" s="309" t="s">
        <v>237</v>
      </c>
      <c r="K3" s="309" t="s">
        <v>139</v>
      </c>
      <c r="L3" s="309" t="s">
        <v>237</v>
      </c>
      <c r="M3" s="309" t="s">
        <v>237</v>
      </c>
      <c r="N3" s="309" t="s">
        <v>237</v>
      </c>
      <c r="O3" s="309" t="s">
        <v>237</v>
      </c>
      <c r="P3" s="309" t="s">
        <v>237</v>
      </c>
      <c r="Q3" s="309" t="s">
        <v>237</v>
      </c>
      <c r="R3" s="309" t="s">
        <v>237</v>
      </c>
      <c r="S3" s="309" t="s">
        <v>237</v>
      </c>
      <c r="T3" s="309" t="s">
        <v>237</v>
      </c>
      <c r="U3" s="309" t="s">
        <v>139</v>
      </c>
      <c r="V3" s="309" t="s">
        <v>139</v>
      </c>
      <c r="W3" s="309" t="s">
        <v>139</v>
      </c>
      <c r="X3" s="309" t="s">
        <v>139</v>
      </c>
      <c r="Y3" s="309" t="s">
        <v>237</v>
      </c>
      <c r="Z3" s="309" t="s">
        <v>237</v>
      </c>
      <c r="AA3" s="309" t="s">
        <v>139</v>
      </c>
      <c r="AB3" s="309" t="s">
        <v>139</v>
      </c>
      <c r="AC3" s="309" t="s">
        <v>237</v>
      </c>
      <c r="AD3" s="309" t="s">
        <v>139</v>
      </c>
      <c r="AE3" s="309" t="s">
        <v>237</v>
      </c>
      <c r="AF3" s="309" t="s">
        <v>237</v>
      </c>
      <c r="AG3" s="309" t="s">
        <v>237</v>
      </c>
      <c r="AH3" s="309" t="s">
        <v>237</v>
      </c>
      <c r="AI3" s="309" t="s">
        <v>139</v>
      </c>
      <c r="AJ3" s="309" t="s">
        <v>237</v>
      </c>
      <c r="AK3" s="309" t="s">
        <v>139</v>
      </c>
      <c r="AL3" s="309" t="s">
        <v>139</v>
      </c>
      <c r="AM3" s="309" t="s">
        <v>237</v>
      </c>
      <c r="AN3" s="309" t="s">
        <v>237</v>
      </c>
      <c r="AO3" s="309" t="s">
        <v>139</v>
      </c>
      <c r="AP3" s="309" t="s">
        <v>139</v>
      </c>
      <c r="AQ3" s="309" t="s">
        <v>237</v>
      </c>
      <c r="AR3" s="309" t="s">
        <v>237</v>
      </c>
      <c r="AS3" s="309" t="s">
        <v>237</v>
      </c>
      <c r="AT3" s="309" t="s">
        <v>237</v>
      </c>
      <c r="AU3" s="309" t="s">
        <v>46</v>
      </c>
      <c r="AV3" s="309" t="s">
        <v>46</v>
      </c>
      <c r="AW3" s="309" t="s">
        <v>46</v>
      </c>
      <c r="AX3" s="309" t="s">
        <v>46</v>
      </c>
      <c r="AY3" s="309" t="s">
        <v>46</v>
      </c>
      <c r="AZ3" s="309" t="s">
        <v>47</v>
      </c>
      <c r="BA3" s="309" t="s">
        <v>47</v>
      </c>
      <c r="BB3" s="309" t="s">
        <v>47</v>
      </c>
      <c r="BC3" s="309" t="s">
        <v>46</v>
      </c>
      <c r="BD3" s="309" t="s">
        <v>46</v>
      </c>
      <c r="BE3" s="309" t="s">
        <v>46</v>
      </c>
      <c r="BF3" s="309" t="s">
        <v>46</v>
      </c>
      <c r="BG3" s="309" t="s">
        <v>46</v>
      </c>
      <c r="BH3" s="309" t="s">
        <v>46</v>
      </c>
      <c r="BI3" s="309" t="s">
        <v>46</v>
      </c>
      <c r="BJ3" s="309" t="s">
        <v>46</v>
      </c>
      <c r="BK3" s="309" t="s">
        <v>46</v>
      </c>
      <c r="BL3" s="309" t="s">
        <v>47</v>
      </c>
      <c r="BM3" s="309" t="s">
        <v>47</v>
      </c>
      <c r="BN3" s="309" t="s">
        <v>47</v>
      </c>
      <c r="BO3" s="309" t="s">
        <v>46</v>
      </c>
      <c r="BP3" s="309" t="s">
        <v>46</v>
      </c>
      <c r="BQ3" s="309" t="s">
        <v>46</v>
      </c>
      <c r="BR3" s="309" t="s">
        <v>47</v>
      </c>
      <c r="BS3" s="309" t="s">
        <v>47</v>
      </c>
      <c r="BT3" s="309" t="s">
        <v>47</v>
      </c>
      <c r="BU3" s="309" t="s">
        <v>47</v>
      </c>
      <c r="BV3" s="309" t="s">
        <v>47</v>
      </c>
      <c r="BW3" s="309" t="s">
        <v>46</v>
      </c>
      <c r="BX3" s="309" t="s">
        <v>46</v>
      </c>
      <c r="BY3" s="309" t="s">
        <v>46</v>
      </c>
      <c r="BZ3" s="309" t="s">
        <v>46</v>
      </c>
      <c r="CA3" s="309" t="s">
        <v>46</v>
      </c>
      <c r="CB3" s="309" t="s">
        <v>46</v>
      </c>
      <c r="CC3" s="309" t="s">
        <v>46</v>
      </c>
      <c r="CD3" s="309" t="s">
        <v>46</v>
      </c>
      <c r="CE3" s="309" t="s">
        <v>46</v>
      </c>
      <c r="CF3" s="309" t="s">
        <v>139</v>
      </c>
      <c r="CG3" s="309" t="s">
        <v>237</v>
      </c>
      <c r="CH3" s="309" t="s">
        <v>237</v>
      </c>
      <c r="CI3" s="309" t="s">
        <v>237</v>
      </c>
      <c r="CK3" s="303"/>
      <c r="CL3" s="303"/>
      <c r="CM3" s="303"/>
      <c r="CN3" s="303"/>
      <c r="CO3" s="303"/>
      <c r="CQ3" s="303"/>
      <c r="CR3" s="303"/>
      <c r="CS3" s="303"/>
      <c r="CT3" s="303"/>
      <c r="CU3" s="303"/>
      <c r="CW3" s="303"/>
      <c r="CX3" s="303"/>
      <c r="CY3" s="303"/>
      <c r="CZ3" s="303"/>
      <c r="DA3" s="303"/>
    </row>
    <row r="4" spans="1:105" ht="15.75" thickTop="1" x14ac:dyDescent="0.25">
      <c r="B4" s="434" t="s">
        <v>48</v>
      </c>
      <c r="C4" s="290" t="s">
        <v>49</v>
      </c>
      <c r="D4" s="310"/>
      <c r="E4" s="311"/>
      <c r="F4" s="311"/>
      <c r="G4" s="311"/>
      <c r="H4" s="311"/>
      <c r="I4" s="311"/>
      <c r="J4" s="311"/>
      <c r="K4" s="312"/>
      <c r="L4" s="310"/>
      <c r="M4" s="311"/>
      <c r="N4" s="311"/>
      <c r="O4" s="312"/>
      <c r="P4" s="310"/>
      <c r="Q4" s="311"/>
      <c r="R4" s="311"/>
      <c r="S4" s="311"/>
      <c r="T4" s="311"/>
      <c r="U4" s="311"/>
      <c r="V4" s="311"/>
      <c r="W4" s="311"/>
      <c r="X4" s="311"/>
      <c r="Y4" s="311"/>
      <c r="Z4" s="311"/>
      <c r="AA4" s="311"/>
      <c r="AB4" s="311"/>
      <c r="AC4" s="311"/>
      <c r="AD4" s="311"/>
      <c r="AE4" s="311"/>
      <c r="AF4" s="311"/>
      <c r="AG4" s="311"/>
      <c r="AH4" s="311"/>
      <c r="AI4" s="312"/>
      <c r="AJ4" s="310"/>
      <c r="AK4" s="311"/>
      <c r="AL4" s="312"/>
      <c r="AM4" s="310"/>
      <c r="AN4" s="311"/>
      <c r="AO4" s="312"/>
      <c r="AP4" s="310"/>
      <c r="AQ4" s="311"/>
      <c r="AR4" s="311"/>
      <c r="AS4" s="311"/>
      <c r="AT4" s="312"/>
      <c r="AU4" s="310" t="s">
        <v>148</v>
      </c>
      <c r="AV4" s="311" t="s">
        <v>148</v>
      </c>
      <c r="AW4" s="311" t="s">
        <v>150</v>
      </c>
      <c r="AX4" s="311" t="s">
        <v>147</v>
      </c>
      <c r="AY4" s="311" t="s">
        <v>147</v>
      </c>
      <c r="AZ4" s="311"/>
      <c r="BA4" s="311"/>
      <c r="BB4" s="312"/>
      <c r="BC4" s="310" t="s">
        <v>147</v>
      </c>
      <c r="BD4" s="311" t="s">
        <v>147</v>
      </c>
      <c r="BE4" s="311"/>
      <c r="BF4" s="311"/>
      <c r="BG4" s="312"/>
      <c r="BH4" s="310"/>
      <c r="BI4" s="311" t="s">
        <v>147</v>
      </c>
      <c r="BJ4" s="312"/>
      <c r="BK4" s="310"/>
      <c r="BL4" s="311" t="s">
        <v>147</v>
      </c>
      <c r="BM4" s="311"/>
      <c r="BN4" s="312" t="s">
        <v>147</v>
      </c>
      <c r="BO4" s="310" t="s">
        <v>150</v>
      </c>
      <c r="BP4" s="311" t="s">
        <v>148</v>
      </c>
      <c r="BQ4" s="311" t="s">
        <v>147</v>
      </c>
      <c r="BR4" s="311"/>
      <c r="BS4" s="311" t="s">
        <v>147</v>
      </c>
      <c r="BT4" s="311" t="s">
        <v>150</v>
      </c>
      <c r="BU4" s="311" t="s">
        <v>150</v>
      </c>
      <c r="BV4" s="312"/>
      <c r="BW4" s="310" t="s">
        <v>148</v>
      </c>
      <c r="BX4" s="311"/>
      <c r="BY4" s="311"/>
      <c r="BZ4" s="311" t="s">
        <v>147</v>
      </c>
      <c r="CA4" s="311"/>
      <c r="CB4" s="312"/>
      <c r="CC4" s="310"/>
      <c r="CD4" s="311"/>
      <c r="CE4" s="312"/>
      <c r="CF4" s="310"/>
      <c r="CG4" s="311"/>
      <c r="CH4" s="311"/>
      <c r="CI4" s="313"/>
      <c r="CK4" s="233" t="str">
        <f t="shared" ref="CK4:CK16" si="0">IF(COUNTIF(D4:CI4,"o")&gt;0,COUNTIF(D4:CI4,"o"),"")</f>
        <v/>
      </c>
      <c r="CL4" s="234">
        <f t="shared" ref="CL4:CL16" si="1">IF(COUNTIF(D4:CI4,"j")&gt;0,COUNTIF(D4:CI4,"j"),"")</f>
        <v>10</v>
      </c>
      <c r="CM4" s="234">
        <f t="shared" ref="CM4:CM16" si="2">IF(COUNTIF(D4:CI4,"m")&gt;0,COUNTIF(D4:CI4,"m"),"")</f>
        <v>4</v>
      </c>
      <c r="CN4" s="234">
        <f t="shared" ref="CN4:CN16" si="3">IF(COUNTIF(D4:CI4,"s")&gt;0,COUNTIF(D4:CI4,"s"),"")</f>
        <v>4</v>
      </c>
      <c r="CO4" s="235" t="str">
        <f t="shared" ref="CO4:CO16" si="4">IF(COUNTIF(D4:CI4,"e")&gt;0,COUNTIF(D4:CI4,"e"),"")</f>
        <v/>
      </c>
      <c r="CQ4" s="233" t="str">
        <f>desired_skills(C4,"Systemen/Oracle","o")</f>
        <v>1</v>
      </c>
      <c r="CR4" s="234" t="str">
        <f>desired_skills(C4,"Systemen/Oracle","j")</f>
        <v/>
      </c>
      <c r="CS4" s="234" t="str">
        <f>desired_skills(C4,"Systemen/Oracle","m")</f>
        <v/>
      </c>
      <c r="CT4" s="234" t="str">
        <f>desired_skills(C4,"Systemen/Oracle","s")</f>
        <v/>
      </c>
      <c r="CU4" s="235" t="str">
        <f>desired_skills(C4,"Systemen/Oracle","e")</f>
        <v/>
      </c>
      <c r="CW4" s="233" t="str">
        <f>calc_gap('Matrix 171007_1812'!$CK$4,'Matrix 171007_1812'!$CQ$4)</f>
        <v/>
      </c>
      <c r="CX4" s="234" t="str">
        <f>calc_gap('Matrix 171007_1812'!$CL$4,'Matrix 171007_1812'!$CR$4)</f>
        <v/>
      </c>
      <c r="CY4" s="234" t="str">
        <f>calc_gap('Matrix 171007_1812'!$CM$4,'Matrix 171007_1812'!$CS$4)</f>
        <v/>
      </c>
      <c r="CZ4" s="234" t="str">
        <f>calc_gap('Matrix 171007_1812'!$CN$4,'Matrix 171007_1812'!$CT$4)</f>
        <v/>
      </c>
      <c r="DA4" s="235" t="str">
        <f>calc_gap('Matrix 171007_1812'!$CO$4,'Matrix 171007_1812'!$CU$4)</f>
        <v/>
      </c>
    </row>
    <row r="5" spans="1:105" x14ac:dyDescent="0.25">
      <c r="B5" s="435"/>
      <c r="C5" s="291" t="s">
        <v>54</v>
      </c>
      <c r="D5" s="314"/>
      <c r="E5" s="315"/>
      <c r="F5" s="315"/>
      <c r="G5" s="315"/>
      <c r="H5" s="315"/>
      <c r="I5" s="315"/>
      <c r="J5" s="315"/>
      <c r="K5" s="316"/>
      <c r="L5" s="314"/>
      <c r="M5" s="315"/>
      <c r="N5" s="315"/>
      <c r="O5" s="316"/>
      <c r="P5" s="314"/>
      <c r="Q5" s="315"/>
      <c r="R5" s="315"/>
      <c r="S5" s="315"/>
      <c r="T5" s="315"/>
      <c r="U5" s="315"/>
      <c r="V5" s="315"/>
      <c r="W5" s="315"/>
      <c r="X5" s="315"/>
      <c r="Y5" s="315"/>
      <c r="Z5" s="315"/>
      <c r="AA5" s="315"/>
      <c r="AB5" s="315"/>
      <c r="AC5" s="315"/>
      <c r="AD5" s="315"/>
      <c r="AE5" s="315"/>
      <c r="AF5" s="315"/>
      <c r="AG5" s="315"/>
      <c r="AH5" s="315"/>
      <c r="AI5" s="316"/>
      <c r="AJ5" s="314"/>
      <c r="AK5" s="315"/>
      <c r="AL5" s="316"/>
      <c r="AM5" s="314"/>
      <c r="AN5" s="315"/>
      <c r="AO5" s="316"/>
      <c r="AP5" s="314"/>
      <c r="AQ5" s="315"/>
      <c r="AR5" s="315"/>
      <c r="AS5" s="315"/>
      <c r="AT5" s="316"/>
      <c r="AU5" s="314" t="s">
        <v>148</v>
      </c>
      <c r="AV5" s="315" t="s">
        <v>150</v>
      </c>
      <c r="AW5" s="315" t="s">
        <v>150</v>
      </c>
      <c r="AX5" s="315" t="s">
        <v>148</v>
      </c>
      <c r="AY5" s="315" t="s">
        <v>148</v>
      </c>
      <c r="AZ5" s="315"/>
      <c r="BA5" s="315"/>
      <c r="BB5" s="316" t="s">
        <v>147</v>
      </c>
      <c r="BC5" s="314" t="s">
        <v>147</v>
      </c>
      <c r="BD5" s="315" t="s">
        <v>147</v>
      </c>
      <c r="BE5" s="315"/>
      <c r="BF5" s="315"/>
      <c r="BG5" s="316"/>
      <c r="BH5" s="314"/>
      <c r="BI5" s="315"/>
      <c r="BJ5" s="316"/>
      <c r="BK5" s="314" t="s">
        <v>148</v>
      </c>
      <c r="BL5" s="315" t="s">
        <v>147</v>
      </c>
      <c r="BM5" s="315"/>
      <c r="BN5" s="316" t="s">
        <v>147</v>
      </c>
      <c r="BO5" s="314" t="s">
        <v>150</v>
      </c>
      <c r="BP5" s="315" t="s">
        <v>150</v>
      </c>
      <c r="BQ5" s="315" t="s">
        <v>148</v>
      </c>
      <c r="BR5" s="315"/>
      <c r="BS5" s="315" t="s">
        <v>147</v>
      </c>
      <c r="BT5" s="315" t="s">
        <v>150</v>
      </c>
      <c r="BU5" s="315" t="s">
        <v>150</v>
      </c>
      <c r="BV5" s="316"/>
      <c r="BW5" s="314" t="s">
        <v>150</v>
      </c>
      <c r="BX5" s="315" t="s">
        <v>148</v>
      </c>
      <c r="BY5" s="315" t="s">
        <v>150</v>
      </c>
      <c r="BZ5" s="315" t="s">
        <v>150</v>
      </c>
      <c r="CA5" s="315" t="s">
        <v>150</v>
      </c>
      <c r="CB5" s="316" t="s">
        <v>150</v>
      </c>
      <c r="CC5" s="314" t="s">
        <v>148</v>
      </c>
      <c r="CD5" s="315"/>
      <c r="CE5" s="316"/>
      <c r="CF5" s="314"/>
      <c r="CG5" s="315"/>
      <c r="CH5" s="315"/>
      <c r="CI5" s="317"/>
      <c r="CK5" s="236" t="str">
        <f t="shared" si="0"/>
        <v/>
      </c>
      <c r="CL5" s="237">
        <f t="shared" si="1"/>
        <v>6</v>
      </c>
      <c r="CM5" s="237">
        <f t="shared" si="2"/>
        <v>7</v>
      </c>
      <c r="CN5" s="237">
        <f t="shared" si="3"/>
        <v>11</v>
      </c>
      <c r="CO5" s="238" t="str">
        <f t="shared" si="4"/>
        <v/>
      </c>
      <c r="CQ5" s="236" t="str">
        <f>desired_skills(C5,"Systemen/OBIP","o")</f>
        <v/>
      </c>
      <c r="CR5" s="237" t="str">
        <f>desired_skills(C5,"Systemen/OBIP","j")</f>
        <v>2</v>
      </c>
      <c r="CS5" s="237" t="str">
        <f>desired_skills(C5,"Systemen/OBIP","m")</f>
        <v/>
      </c>
      <c r="CT5" s="237" t="str">
        <f>desired_skills(C5,"Systemen/OBIP","s")</f>
        <v/>
      </c>
      <c r="CU5" s="238" t="str">
        <f>desired_skills(C5,"Systemen/OBIP","e")</f>
        <v/>
      </c>
      <c r="CW5" s="236" t="str">
        <f>calc_gap('Matrix 171007_1812'!$CK$5,'Matrix 171007_1812'!$CQ$5)</f>
        <v/>
      </c>
      <c r="CX5" s="237" t="str">
        <f>calc_gap('Matrix 171007_1812'!$CL$5,'Matrix 171007_1812'!$CR$5)</f>
        <v>-4</v>
      </c>
      <c r="CY5" s="237" t="str">
        <f>calc_gap('Matrix 171007_1812'!$CM$5,'Matrix 171007_1812'!$CS$5)</f>
        <v/>
      </c>
      <c r="CZ5" s="237" t="str">
        <f>calc_gap('Matrix 171007_1812'!$CN$5,'Matrix 171007_1812'!$CT$5)</f>
        <v/>
      </c>
      <c r="DA5" s="238" t="str">
        <f>calc_gap('Matrix 171007_1812'!$CO$5,'Matrix 171007_1812'!$CU$5)</f>
        <v/>
      </c>
    </row>
    <row r="6" spans="1:105" x14ac:dyDescent="0.25">
      <c r="B6" s="435"/>
      <c r="C6" s="291" t="s">
        <v>51</v>
      </c>
      <c r="D6" s="314"/>
      <c r="E6" s="315"/>
      <c r="F6" s="315"/>
      <c r="G6" s="315"/>
      <c r="H6" s="315"/>
      <c r="I6" s="315"/>
      <c r="J6" s="315"/>
      <c r="K6" s="316"/>
      <c r="L6" s="314"/>
      <c r="M6" s="315"/>
      <c r="N6" s="315"/>
      <c r="O6" s="316"/>
      <c r="P6" s="314"/>
      <c r="Q6" s="315"/>
      <c r="R6" s="315"/>
      <c r="S6" s="315"/>
      <c r="T6" s="315"/>
      <c r="U6" s="315"/>
      <c r="V6" s="315"/>
      <c r="W6" s="315"/>
      <c r="X6" s="315"/>
      <c r="Y6" s="315"/>
      <c r="Z6" s="315"/>
      <c r="AA6" s="315"/>
      <c r="AB6" s="315"/>
      <c r="AC6" s="315"/>
      <c r="AD6" s="315"/>
      <c r="AE6" s="315"/>
      <c r="AF6" s="315"/>
      <c r="AG6" s="315"/>
      <c r="AH6" s="315"/>
      <c r="AI6" s="316"/>
      <c r="AJ6" s="314"/>
      <c r="AK6" s="315"/>
      <c r="AL6" s="316"/>
      <c r="AM6" s="314"/>
      <c r="AN6" s="315"/>
      <c r="AO6" s="316"/>
      <c r="AP6" s="314"/>
      <c r="AQ6" s="315"/>
      <c r="AR6" s="315"/>
      <c r="AS6" s="315"/>
      <c r="AT6" s="316"/>
      <c r="AU6" s="314" t="s">
        <v>148</v>
      </c>
      <c r="AV6" s="315" t="s">
        <v>148</v>
      </c>
      <c r="AW6" s="315" t="s">
        <v>149</v>
      </c>
      <c r="AX6" s="315" t="s">
        <v>148</v>
      </c>
      <c r="AY6" s="315" t="s">
        <v>147</v>
      </c>
      <c r="AZ6" s="315"/>
      <c r="BA6" s="315"/>
      <c r="BB6" s="316" t="s">
        <v>147</v>
      </c>
      <c r="BC6" s="314" t="s">
        <v>149</v>
      </c>
      <c r="BD6" s="315" t="s">
        <v>148</v>
      </c>
      <c r="BE6" s="315"/>
      <c r="BF6" s="315"/>
      <c r="BG6" s="316"/>
      <c r="BH6" s="314"/>
      <c r="BI6" s="315"/>
      <c r="BJ6" s="316"/>
      <c r="BK6" s="314" t="s">
        <v>47</v>
      </c>
      <c r="BL6" s="315" t="s">
        <v>148</v>
      </c>
      <c r="BM6" s="315"/>
      <c r="BN6" s="316" t="s">
        <v>148</v>
      </c>
      <c r="BO6" s="314" t="s">
        <v>150</v>
      </c>
      <c r="BP6" s="315" t="s">
        <v>47</v>
      </c>
      <c r="BQ6" s="315" t="s">
        <v>148</v>
      </c>
      <c r="BR6" s="315"/>
      <c r="BS6" s="315" t="s">
        <v>147</v>
      </c>
      <c r="BT6" s="315" t="s">
        <v>148</v>
      </c>
      <c r="BU6" s="315" t="s">
        <v>150</v>
      </c>
      <c r="BV6" s="316"/>
      <c r="BW6" s="314" t="s">
        <v>47</v>
      </c>
      <c r="BX6" s="315" t="s">
        <v>148</v>
      </c>
      <c r="BY6" s="315" t="s">
        <v>150</v>
      </c>
      <c r="BZ6" s="315" t="s">
        <v>47</v>
      </c>
      <c r="CA6" s="315" t="s">
        <v>150</v>
      </c>
      <c r="CB6" s="316" t="s">
        <v>150</v>
      </c>
      <c r="CC6" s="314" t="s">
        <v>150</v>
      </c>
      <c r="CD6" s="315" t="s">
        <v>148</v>
      </c>
      <c r="CE6" s="316"/>
      <c r="CF6" s="314"/>
      <c r="CG6" s="315"/>
      <c r="CH6" s="315"/>
      <c r="CI6" s="317"/>
      <c r="CK6" s="236">
        <f t="shared" si="0"/>
        <v>2</v>
      </c>
      <c r="CL6" s="237">
        <f t="shared" si="1"/>
        <v>3</v>
      </c>
      <c r="CM6" s="237">
        <f t="shared" si="2"/>
        <v>10</v>
      </c>
      <c r="CN6" s="237">
        <f t="shared" si="3"/>
        <v>6</v>
      </c>
      <c r="CO6" s="238">
        <f t="shared" si="4"/>
        <v>4</v>
      </c>
      <c r="CQ6" s="236" t="str">
        <f>desired_skills(C6,"Systemen/Raboshop","o")</f>
        <v/>
      </c>
      <c r="CR6" s="237" t="str">
        <f>desired_skills(C6,"Systemen/Raboshop","j")</f>
        <v/>
      </c>
      <c r="CS6" s="237" t="str">
        <f>desired_skills(C6,"Systemen/Raboshop","m")</f>
        <v>3</v>
      </c>
      <c r="CT6" s="237" t="str">
        <f>desired_skills(C6,"Systemen/Raboshop","s")</f>
        <v/>
      </c>
      <c r="CU6" s="238" t="str">
        <f>desired_skills(C6,"Systemen/Raboshop","e")</f>
        <v/>
      </c>
      <c r="CW6" s="236" t="str">
        <f>calc_gap('Matrix 171007_1812'!$CK$6,'Matrix 171007_1812'!$CQ$6)</f>
        <v/>
      </c>
      <c r="CX6" s="237" t="str">
        <f>calc_gap('Matrix 171007_1812'!$CL$6,'Matrix 171007_1812'!$CR$6)</f>
        <v/>
      </c>
      <c r="CY6" s="237" t="str">
        <f>calc_gap('Matrix 171007_1812'!$CM$6,'Matrix 171007_1812'!$CS$6)</f>
        <v>-7</v>
      </c>
      <c r="CZ6" s="237" t="str">
        <f>calc_gap('Matrix 171007_1812'!$CN$6,'Matrix 171007_1812'!$CT$6)</f>
        <v/>
      </c>
      <c r="DA6" s="238" t="str">
        <f>calc_gap('Matrix 171007_1812'!$CO$6,'Matrix 171007_1812'!$CU$6)</f>
        <v/>
      </c>
    </row>
    <row r="7" spans="1:105" x14ac:dyDescent="0.25">
      <c r="B7" s="435"/>
      <c r="C7" s="291" t="s">
        <v>52</v>
      </c>
      <c r="D7" s="314"/>
      <c r="E7" s="315"/>
      <c r="F7" s="315"/>
      <c r="G7" s="315"/>
      <c r="H7" s="315"/>
      <c r="I7" s="315"/>
      <c r="J7" s="315"/>
      <c r="K7" s="316"/>
      <c r="L7" s="314"/>
      <c r="M7" s="315"/>
      <c r="N7" s="315"/>
      <c r="O7" s="316"/>
      <c r="P7" s="314"/>
      <c r="Q7" s="315"/>
      <c r="R7" s="315"/>
      <c r="S7" s="315"/>
      <c r="T7" s="315"/>
      <c r="U7" s="315"/>
      <c r="V7" s="315"/>
      <c r="W7" s="315"/>
      <c r="X7" s="315"/>
      <c r="Y7" s="315"/>
      <c r="Z7" s="315"/>
      <c r="AA7" s="315"/>
      <c r="AB7" s="315"/>
      <c r="AC7" s="315"/>
      <c r="AD7" s="315"/>
      <c r="AE7" s="315"/>
      <c r="AF7" s="315"/>
      <c r="AG7" s="315"/>
      <c r="AH7" s="315"/>
      <c r="AI7" s="316"/>
      <c r="AJ7" s="314"/>
      <c r="AK7" s="315"/>
      <c r="AL7" s="316"/>
      <c r="AM7" s="314"/>
      <c r="AN7" s="315"/>
      <c r="AO7" s="316"/>
      <c r="AP7" s="314"/>
      <c r="AQ7" s="315"/>
      <c r="AR7" s="315"/>
      <c r="AS7" s="315"/>
      <c r="AT7" s="316"/>
      <c r="AU7" s="314" t="s">
        <v>148</v>
      </c>
      <c r="AV7" s="315" t="s">
        <v>148</v>
      </c>
      <c r="AW7" s="315" t="s">
        <v>149</v>
      </c>
      <c r="AX7" s="315" t="s">
        <v>147</v>
      </c>
      <c r="AY7" s="315" t="s">
        <v>147</v>
      </c>
      <c r="AZ7" s="315"/>
      <c r="BA7" s="315"/>
      <c r="BB7" s="316"/>
      <c r="BC7" s="314" t="s">
        <v>149</v>
      </c>
      <c r="BD7" s="315" t="s">
        <v>150</v>
      </c>
      <c r="BE7" s="315"/>
      <c r="BF7" s="315"/>
      <c r="BG7" s="316"/>
      <c r="BH7" s="314"/>
      <c r="BI7" s="315"/>
      <c r="BJ7" s="316"/>
      <c r="BK7" s="314" t="s">
        <v>150</v>
      </c>
      <c r="BL7" s="315" t="s">
        <v>148</v>
      </c>
      <c r="BM7" s="315"/>
      <c r="BN7" s="316" t="s">
        <v>147</v>
      </c>
      <c r="BO7" s="314" t="s">
        <v>150</v>
      </c>
      <c r="BP7" s="315" t="s">
        <v>47</v>
      </c>
      <c r="BQ7" s="315" t="s">
        <v>148</v>
      </c>
      <c r="BR7" s="315"/>
      <c r="BS7" s="315" t="s">
        <v>147</v>
      </c>
      <c r="BT7" s="315" t="s">
        <v>148</v>
      </c>
      <c r="BU7" s="315" t="s">
        <v>150</v>
      </c>
      <c r="BV7" s="316"/>
      <c r="BW7" s="314" t="s">
        <v>47</v>
      </c>
      <c r="BX7" s="315" t="s">
        <v>147</v>
      </c>
      <c r="BY7" s="315" t="s">
        <v>147</v>
      </c>
      <c r="BZ7" s="315" t="s">
        <v>47</v>
      </c>
      <c r="CA7" s="315" t="s">
        <v>147</v>
      </c>
      <c r="CB7" s="316" t="s">
        <v>147</v>
      </c>
      <c r="CC7" s="314" t="s">
        <v>147</v>
      </c>
      <c r="CD7" s="315"/>
      <c r="CE7" s="316"/>
      <c r="CF7" s="314"/>
      <c r="CG7" s="315"/>
      <c r="CH7" s="315"/>
      <c r="CI7" s="317"/>
      <c r="CK7" s="236">
        <f t="shared" si="0"/>
        <v>2</v>
      </c>
      <c r="CL7" s="237">
        <f t="shared" si="1"/>
        <v>9</v>
      </c>
      <c r="CM7" s="237">
        <f t="shared" si="2"/>
        <v>5</v>
      </c>
      <c r="CN7" s="237">
        <f t="shared" si="3"/>
        <v>4</v>
      </c>
      <c r="CO7" s="238">
        <f t="shared" si="4"/>
        <v>3</v>
      </c>
      <c r="CQ7" s="236" t="str">
        <f>desired_skills(C7,"Systemen/HP Servicemanager","o")</f>
        <v/>
      </c>
      <c r="CR7" s="237" t="str">
        <f>desired_skills(C7,"Systemen/HP Servicemanager","j")</f>
        <v/>
      </c>
      <c r="CS7" s="237" t="str">
        <f>desired_skills(C7,"Systemen/HP Servicemanager","m")</f>
        <v/>
      </c>
      <c r="CT7" s="237" t="str">
        <f>desired_skills(C7,"Systemen/HP Servicemanager","s")</f>
        <v>4</v>
      </c>
      <c r="CU7" s="238" t="str">
        <f>desired_skills(C7,"Systemen/HP Servicemanager","e")</f>
        <v/>
      </c>
      <c r="CW7" s="236" t="str">
        <f>calc_gap('Matrix 171007_1812'!$CK$7,'Matrix 171007_1812'!$CQ$7)</f>
        <v/>
      </c>
      <c r="CX7" s="237" t="str">
        <f>calc_gap('Matrix 171007_1812'!$CL$7,'Matrix 171007_1812'!$CR$7)</f>
        <v/>
      </c>
      <c r="CY7" s="237" t="str">
        <f>calc_gap('Matrix 171007_1812'!$CM$7,'Matrix 171007_1812'!$CS$7)</f>
        <v/>
      </c>
      <c r="CZ7" s="237" t="str">
        <f>calc_gap('Matrix 171007_1812'!$CN$7,'Matrix 171007_1812'!$CT$7)</f>
        <v>0</v>
      </c>
      <c r="DA7" s="238" t="str">
        <f>calc_gap('Matrix 171007_1812'!$CO$7,'Matrix 171007_1812'!$CU$7)</f>
        <v/>
      </c>
    </row>
    <row r="8" spans="1:105" x14ac:dyDescent="0.25">
      <c r="B8" s="435"/>
      <c r="C8" s="291" t="s">
        <v>53</v>
      </c>
      <c r="D8" s="314"/>
      <c r="E8" s="315"/>
      <c r="F8" s="315"/>
      <c r="G8" s="315"/>
      <c r="H8" s="315"/>
      <c r="I8" s="315"/>
      <c r="J8" s="315"/>
      <c r="K8" s="316"/>
      <c r="L8" s="314"/>
      <c r="M8" s="315"/>
      <c r="N8" s="315"/>
      <c r="O8" s="316"/>
      <c r="P8" s="314"/>
      <c r="Q8" s="315"/>
      <c r="R8" s="315"/>
      <c r="S8" s="315"/>
      <c r="T8" s="315"/>
      <c r="U8" s="315"/>
      <c r="V8" s="315"/>
      <c r="W8" s="315"/>
      <c r="X8" s="315"/>
      <c r="Y8" s="315"/>
      <c r="Z8" s="315"/>
      <c r="AA8" s="315"/>
      <c r="AB8" s="315"/>
      <c r="AC8" s="315"/>
      <c r="AD8" s="315"/>
      <c r="AE8" s="315"/>
      <c r="AF8" s="315"/>
      <c r="AG8" s="315"/>
      <c r="AH8" s="315"/>
      <c r="AI8" s="316"/>
      <c r="AJ8" s="314"/>
      <c r="AK8" s="315"/>
      <c r="AL8" s="316"/>
      <c r="AM8" s="314"/>
      <c r="AN8" s="315"/>
      <c r="AO8" s="316"/>
      <c r="AP8" s="314"/>
      <c r="AQ8" s="315"/>
      <c r="AR8" s="315"/>
      <c r="AS8" s="315"/>
      <c r="AT8" s="316"/>
      <c r="AU8" s="314" t="s">
        <v>148</v>
      </c>
      <c r="AV8" s="315" t="s">
        <v>147</v>
      </c>
      <c r="AW8" s="315" t="s">
        <v>149</v>
      </c>
      <c r="AX8" s="315" t="s">
        <v>147</v>
      </c>
      <c r="AY8" s="315" t="s">
        <v>147</v>
      </c>
      <c r="AZ8" s="315"/>
      <c r="BA8" s="315"/>
      <c r="BB8" s="316" t="s">
        <v>147</v>
      </c>
      <c r="BC8" s="314" t="s">
        <v>149</v>
      </c>
      <c r="BD8" s="315"/>
      <c r="BE8" s="315"/>
      <c r="BF8" s="315"/>
      <c r="BG8" s="316"/>
      <c r="BH8" s="314"/>
      <c r="BI8" s="315"/>
      <c r="BJ8" s="316"/>
      <c r="BK8" s="314" t="s">
        <v>147</v>
      </c>
      <c r="BL8" s="315" t="s">
        <v>147</v>
      </c>
      <c r="BM8" s="315"/>
      <c r="BN8" s="316" t="s">
        <v>147</v>
      </c>
      <c r="BO8" s="314"/>
      <c r="BP8" s="315"/>
      <c r="BQ8" s="315"/>
      <c r="BR8" s="315"/>
      <c r="BS8" s="315"/>
      <c r="BT8" s="315"/>
      <c r="BU8" s="315" t="s">
        <v>150</v>
      </c>
      <c r="BV8" s="316"/>
      <c r="BW8" s="314" t="s">
        <v>149</v>
      </c>
      <c r="BX8" s="315"/>
      <c r="BY8" s="315"/>
      <c r="BZ8" s="315" t="s">
        <v>150</v>
      </c>
      <c r="CA8" s="315"/>
      <c r="CB8" s="316"/>
      <c r="CC8" s="314" t="s">
        <v>147</v>
      </c>
      <c r="CD8" s="315"/>
      <c r="CE8" s="316"/>
      <c r="CF8" s="314"/>
      <c r="CG8" s="315"/>
      <c r="CH8" s="315"/>
      <c r="CI8" s="317"/>
      <c r="CK8" s="236">
        <f t="shared" si="0"/>
        <v>3</v>
      </c>
      <c r="CL8" s="237">
        <f t="shared" si="1"/>
        <v>8</v>
      </c>
      <c r="CM8" s="237">
        <f t="shared" si="2"/>
        <v>1</v>
      </c>
      <c r="CN8" s="237">
        <f t="shared" si="3"/>
        <v>2</v>
      </c>
      <c r="CO8" s="238" t="str">
        <f t="shared" si="4"/>
        <v/>
      </c>
      <c r="CQ8" s="236" t="str">
        <f>desired_skills(C8,"Systemen/IT Shop","o")</f>
        <v/>
      </c>
      <c r="CR8" s="237" t="str">
        <f>desired_skills(C8,"Systemen/IT Shop","j")</f>
        <v/>
      </c>
      <c r="CS8" s="237" t="str">
        <f>desired_skills(C8,"Systemen/IT Shop","m")</f>
        <v/>
      </c>
      <c r="CT8" s="237" t="str">
        <f>desired_skills(C8,"Systemen/IT Shop","s")</f>
        <v/>
      </c>
      <c r="CU8" s="238" t="str">
        <f>desired_skills(C8,"Systemen/IT Shop","e")</f>
        <v>5</v>
      </c>
      <c r="CW8" s="236" t="str">
        <f>calc_gap('Matrix 171007_1812'!$CK$8,'Matrix 171007_1812'!$CQ$8)</f>
        <v/>
      </c>
      <c r="CX8" s="237" t="str">
        <f>calc_gap('Matrix 171007_1812'!$CL$8,'Matrix 171007_1812'!$CR$8)</f>
        <v/>
      </c>
      <c r="CY8" s="237" t="str">
        <f>calc_gap('Matrix 171007_1812'!$CM$8,'Matrix 171007_1812'!$CS$8)</f>
        <v/>
      </c>
      <c r="CZ8" s="237" t="str">
        <f>calc_gap('Matrix 171007_1812'!$CN$8,'Matrix 171007_1812'!$CT$8)</f>
        <v/>
      </c>
      <c r="DA8" s="238" t="str">
        <f>calc_gap('Matrix 171007_1812'!$CO$8,'Matrix 171007_1812'!$CU$8)</f>
        <v/>
      </c>
    </row>
    <row r="9" spans="1:105" x14ac:dyDescent="0.25">
      <c r="B9" s="435"/>
      <c r="C9" s="291" t="s">
        <v>50</v>
      </c>
      <c r="D9" s="314"/>
      <c r="E9" s="315"/>
      <c r="F9" s="315"/>
      <c r="G9" s="315"/>
      <c r="H9" s="315"/>
      <c r="I9" s="315"/>
      <c r="J9" s="315"/>
      <c r="K9" s="316"/>
      <c r="L9" s="314"/>
      <c r="M9" s="315"/>
      <c r="N9" s="315"/>
      <c r="O9" s="316"/>
      <c r="P9" s="314"/>
      <c r="Q9" s="315"/>
      <c r="R9" s="315"/>
      <c r="S9" s="315"/>
      <c r="T9" s="315"/>
      <c r="U9" s="315"/>
      <c r="V9" s="315"/>
      <c r="W9" s="315"/>
      <c r="X9" s="315"/>
      <c r="Y9" s="315"/>
      <c r="Z9" s="315"/>
      <c r="AA9" s="315"/>
      <c r="AB9" s="315"/>
      <c r="AC9" s="315"/>
      <c r="AD9" s="315"/>
      <c r="AE9" s="315"/>
      <c r="AF9" s="315"/>
      <c r="AG9" s="315"/>
      <c r="AH9" s="315"/>
      <c r="AI9" s="316"/>
      <c r="AJ9" s="314"/>
      <c r="AK9" s="315"/>
      <c r="AL9" s="316"/>
      <c r="AM9" s="314"/>
      <c r="AN9" s="315"/>
      <c r="AO9" s="316"/>
      <c r="AP9" s="314"/>
      <c r="AQ9" s="315"/>
      <c r="AR9" s="315"/>
      <c r="AS9" s="315"/>
      <c r="AT9" s="316"/>
      <c r="AU9" s="314"/>
      <c r="AV9" s="315" t="s">
        <v>47</v>
      </c>
      <c r="AW9" s="315" t="s">
        <v>150</v>
      </c>
      <c r="AX9" s="315" t="s">
        <v>148</v>
      </c>
      <c r="AY9" s="315" t="s">
        <v>148</v>
      </c>
      <c r="AZ9" s="315"/>
      <c r="BA9" s="315"/>
      <c r="BB9" s="316" t="s">
        <v>147</v>
      </c>
      <c r="BC9" s="314" t="s">
        <v>150</v>
      </c>
      <c r="BD9" s="315" t="s">
        <v>149</v>
      </c>
      <c r="BE9" s="315"/>
      <c r="BF9" s="315"/>
      <c r="BG9" s="316"/>
      <c r="BH9" s="314"/>
      <c r="BI9" s="315"/>
      <c r="BJ9" s="316"/>
      <c r="BK9" s="314"/>
      <c r="BL9" s="315"/>
      <c r="BM9" s="315"/>
      <c r="BN9" s="316"/>
      <c r="BO9" s="314" t="s">
        <v>147</v>
      </c>
      <c r="BP9" s="315" t="s">
        <v>147</v>
      </c>
      <c r="BQ9" s="315" t="s">
        <v>147</v>
      </c>
      <c r="BR9" s="315"/>
      <c r="BS9" s="315"/>
      <c r="BT9" s="315"/>
      <c r="BU9" s="315" t="s">
        <v>150</v>
      </c>
      <c r="BV9" s="316"/>
      <c r="BW9" s="314" t="s">
        <v>147</v>
      </c>
      <c r="BX9" s="315" t="s">
        <v>150</v>
      </c>
      <c r="BY9" s="315" t="s">
        <v>47</v>
      </c>
      <c r="BZ9" s="315"/>
      <c r="CA9" s="315" t="s">
        <v>47</v>
      </c>
      <c r="CB9" s="316" t="s">
        <v>47</v>
      </c>
      <c r="CC9" s="314"/>
      <c r="CD9" s="315"/>
      <c r="CE9" s="316"/>
      <c r="CF9" s="314"/>
      <c r="CG9" s="315"/>
      <c r="CH9" s="315"/>
      <c r="CI9" s="317"/>
      <c r="CK9" s="236">
        <f t="shared" si="0"/>
        <v>1</v>
      </c>
      <c r="CL9" s="237">
        <f t="shared" si="1"/>
        <v>5</v>
      </c>
      <c r="CM9" s="237">
        <f t="shared" si="2"/>
        <v>2</v>
      </c>
      <c r="CN9" s="237">
        <f t="shared" si="3"/>
        <v>4</v>
      </c>
      <c r="CO9" s="238">
        <f t="shared" si="4"/>
        <v>4</v>
      </c>
      <c r="CQ9" s="236" t="str">
        <f>desired_skills(C9,"Systemen/Bert+","o")</f>
        <v/>
      </c>
      <c r="CR9" s="237" t="str">
        <f>desired_skills(C9,"Systemen/Bert+","j")</f>
        <v/>
      </c>
      <c r="CS9" s="237" t="str">
        <f>desired_skills(C9,"Systemen/Bert+","m")</f>
        <v/>
      </c>
      <c r="CT9" s="237" t="str">
        <f>desired_skills(C9,"Systemen/Bert+","s")</f>
        <v/>
      </c>
      <c r="CU9" s="238" t="str">
        <f>desired_skills(C9,"Systemen/Bert+","e")</f>
        <v/>
      </c>
      <c r="CW9" s="236" t="str">
        <f>calc_gap('Matrix 171007_1812'!$CK$9,'Matrix 171007_1812'!$CQ$9)</f>
        <v/>
      </c>
      <c r="CX9" s="237" t="str">
        <f>calc_gap('Matrix 171007_1812'!$CL$9,'Matrix 171007_1812'!$CR$9)</f>
        <v/>
      </c>
      <c r="CY9" s="237" t="str">
        <f>calc_gap('Matrix 171007_1812'!$CM$9,'Matrix 171007_1812'!$CS$9)</f>
        <v/>
      </c>
      <c r="CZ9" s="237" t="str">
        <f>calc_gap('Matrix 171007_1812'!$CN$9,'Matrix 171007_1812'!$CT$9)</f>
        <v/>
      </c>
      <c r="DA9" s="238" t="str">
        <f>calc_gap('Matrix 171007_1812'!$CO$9,'Matrix 171007_1812'!$CU$9)</f>
        <v/>
      </c>
    </row>
    <row r="10" spans="1:105" x14ac:dyDescent="0.25">
      <c r="B10" s="435"/>
      <c r="C10" s="291" t="s">
        <v>55</v>
      </c>
      <c r="D10" s="314"/>
      <c r="E10" s="315"/>
      <c r="F10" s="315"/>
      <c r="G10" s="315"/>
      <c r="H10" s="315"/>
      <c r="I10" s="315"/>
      <c r="J10" s="315"/>
      <c r="K10" s="316"/>
      <c r="L10" s="314"/>
      <c r="M10" s="315"/>
      <c r="N10" s="315"/>
      <c r="O10" s="316"/>
      <c r="P10" s="314"/>
      <c r="Q10" s="315"/>
      <c r="R10" s="315"/>
      <c r="S10" s="315"/>
      <c r="T10" s="315"/>
      <c r="U10" s="315"/>
      <c r="V10" s="315"/>
      <c r="W10" s="315"/>
      <c r="X10" s="315"/>
      <c r="Y10" s="315"/>
      <c r="Z10" s="315"/>
      <c r="AA10" s="315"/>
      <c r="AB10" s="315"/>
      <c r="AC10" s="315"/>
      <c r="AD10" s="315"/>
      <c r="AE10" s="315"/>
      <c r="AF10" s="315"/>
      <c r="AG10" s="315"/>
      <c r="AH10" s="315"/>
      <c r="AI10" s="316"/>
      <c r="AJ10" s="314"/>
      <c r="AK10" s="315"/>
      <c r="AL10" s="316"/>
      <c r="AM10" s="314"/>
      <c r="AN10" s="315"/>
      <c r="AO10" s="316"/>
      <c r="AP10" s="314"/>
      <c r="AQ10" s="315"/>
      <c r="AR10" s="315"/>
      <c r="AS10" s="315"/>
      <c r="AT10" s="316"/>
      <c r="AU10" s="314" t="s">
        <v>148</v>
      </c>
      <c r="AV10" s="315" t="s">
        <v>47</v>
      </c>
      <c r="AW10" s="315" t="s">
        <v>150</v>
      </c>
      <c r="AX10" s="315" t="s">
        <v>148</v>
      </c>
      <c r="AY10" s="315" t="s">
        <v>148</v>
      </c>
      <c r="AZ10" s="315"/>
      <c r="BA10" s="315"/>
      <c r="BB10" s="316"/>
      <c r="BC10" s="314" t="s">
        <v>149</v>
      </c>
      <c r="BD10" s="315" t="s">
        <v>148</v>
      </c>
      <c r="BE10" s="315"/>
      <c r="BF10" s="315"/>
      <c r="BG10" s="316"/>
      <c r="BH10" s="314"/>
      <c r="BI10" s="315"/>
      <c r="BJ10" s="316"/>
      <c r="BK10" s="314" t="s">
        <v>148</v>
      </c>
      <c r="BL10" s="315"/>
      <c r="BM10" s="315"/>
      <c r="BN10" s="316"/>
      <c r="BO10" s="314" t="s">
        <v>150</v>
      </c>
      <c r="BP10" s="315" t="s">
        <v>150</v>
      </c>
      <c r="BQ10" s="315" t="s">
        <v>150</v>
      </c>
      <c r="BR10" s="315"/>
      <c r="BS10" s="315" t="s">
        <v>147</v>
      </c>
      <c r="BT10" s="315" t="s">
        <v>150</v>
      </c>
      <c r="BU10" s="315" t="s">
        <v>150</v>
      </c>
      <c r="BV10" s="316"/>
      <c r="BW10" s="314" t="s">
        <v>150</v>
      </c>
      <c r="BX10" s="315" t="s">
        <v>148</v>
      </c>
      <c r="BY10" s="315" t="s">
        <v>47</v>
      </c>
      <c r="BZ10" s="315" t="s">
        <v>150</v>
      </c>
      <c r="CA10" s="315" t="s">
        <v>47</v>
      </c>
      <c r="CB10" s="316" t="s">
        <v>47</v>
      </c>
      <c r="CC10" s="314"/>
      <c r="CD10" s="315"/>
      <c r="CE10" s="316"/>
      <c r="CF10" s="314"/>
      <c r="CG10" s="315"/>
      <c r="CH10" s="315"/>
      <c r="CI10" s="317"/>
      <c r="CK10" s="236">
        <f t="shared" si="0"/>
        <v>1</v>
      </c>
      <c r="CL10" s="237">
        <f t="shared" si="1"/>
        <v>1</v>
      </c>
      <c r="CM10" s="237">
        <f t="shared" si="2"/>
        <v>6</v>
      </c>
      <c r="CN10" s="237">
        <f t="shared" si="3"/>
        <v>8</v>
      </c>
      <c r="CO10" s="238">
        <f t="shared" si="4"/>
        <v>4</v>
      </c>
      <c r="CQ10" s="236" t="str">
        <f>desired_skills(C10,"Systemen/Rapportageserver","o")</f>
        <v>6</v>
      </c>
      <c r="CR10" s="237" t="str">
        <f>desired_skills(C10,"Systemen/Rapportageserver","j")</f>
        <v/>
      </c>
      <c r="CS10" s="237" t="str">
        <f>desired_skills(C10,"Systemen/Rapportageserver","m")</f>
        <v/>
      </c>
      <c r="CT10" s="237" t="str">
        <f>desired_skills(C10,"Systemen/Rapportageserver","s")</f>
        <v/>
      </c>
      <c r="CU10" s="238" t="str">
        <f>desired_skills(C10,"Systemen/Rapportageserver","e")</f>
        <v/>
      </c>
      <c r="CW10" s="236" t="str">
        <f>calc_gap('Matrix 171007_1812'!$CK$10,'Matrix 171007_1812'!$CQ$10)</f>
        <v>5</v>
      </c>
      <c r="CX10" s="237" t="str">
        <f>calc_gap('Matrix 171007_1812'!$CL$10,'Matrix 171007_1812'!$CR$10)</f>
        <v/>
      </c>
      <c r="CY10" s="237" t="str">
        <f>calc_gap('Matrix 171007_1812'!$CM$10,'Matrix 171007_1812'!$CS$10)</f>
        <v/>
      </c>
      <c r="CZ10" s="237" t="str">
        <f>calc_gap('Matrix 171007_1812'!$CN$10,'Matrix 171007_1812'!$CT$10)</f>
        <v/>
      </c>
      <c r="DA10" s="238" t="str">
        <f>calc_gap('Matrix 171007_1812'!$CO$10,'Matrix 171007_1812'!$CU$10)</f>
        <v/>
      </c>
    </row>
    <row r="11" spans="1:105" x14ac:dyDescent="0.25">
      <c r="B11" s="435"/>
      <c r="C11" s="291" t="s">
        <v>56</v>
      </c>
      <c r="D11" s="314"/>
      <c r="E11" s="315"/>
      <c r="F11" s="315"/>
      <c r="G11" s="315"/>
      <c r="H11" s="315"/>
      <c r="I11" s="315"/>
      <c r="J11" s="315"/>
      <c r="K11" s="316"/>
      <c r="L11" s="314"/>
      <c r="M11" s="315"/>
      <c r="N11" s="315"/>
      <c r="O11" s="316"/>
      <c r="P11" s="314"/>
      <c r="Q11" s="315"/>
      <c r="R11" s="315"/>
      <c r="S11" s="315"/>
      <c r="T11" s="315"/>
      <c r="U11" s="315"/>
      <c r="V11" s="315"/>
      <c r="W11" s="315"/>
      <c r="X11" s="315"/>
      <c r="Y11" s="315"/>
      <c r="Z11" s="315"/>
      <c r="AA11" s="315"/>
      <c r="AB11" s="315"/>
      <c r="AC11" s="315"/>
      <c r="AD11" s="315"/>
      <c r="AE11" s="315"/>
      <c r="AF11" s="315"/>
      <c r="AG11" s="315"/>
      <c r="AH11" s="315"/>
      <c r="AI11" s="316"/>
      <c r="AJ11" s="314"/>
      <c r="AK11" s="315"/>
      <c r="AL11" s="316"/>
      <c r="AM11" s="314"/>
      <c r="AN11" s="315"/>
      <c r="AO11" s="316"/>
      <c r="AP11" s="314"/>
      <c r="AQ11" s="315"/>
      <c r="AR11" s="315"/>
      <c r="AS11" s="315"/>
      <c r="AT11" s="316"/>
      <c r="AU11" s="314"/>
      <c r="AV11" s="315" t="s">
        <v>147</v>
      </c>
      <c r="AW11" s="315" t="s">
        <v>147</v>
      </c>
      <c r="AX11" s="315" t="s">
        <v>147</v>
      </c>
      <c r="AY11" s="315" t="s">
        <v>147</v>
      </c>
      <c r="AZ11" s="315"/>
      <c r="BA11" s="315"/>
      <c r="BB11" s="316"/>
      <c r="BC11" s="314" t="s">
        <v>149</v>
      </c>
      <c r="BD11" s="315" t="s">
        <v>149</v>
      </c>
      <c r="BE11" s="315"/>
      <c r="BF11" s="315"/>
      <c r="BG11" s="316"/>
      <c r="BH11" s="314"/>
      <c r="BI11" s="315"/>
      <c r="BJ11" s="316"/>
      <c r="BK11" s="314"/>
      <c r="BL11" s="315"/>
      <c r="BM11" s="315"/>
      <c r="BN11" s="316"/>
      <c r="BO11" s="314"/>
      <c r="BP11" s="315"/>
      <c r="BQ11" s="315"/>
      <c r="BR11" s="315"/>
      <c r="BS11" s="315" t="s">
        <v>149</v>
      </c>
      <c r="BT11" s="315" t="s">
        <v>149</v>
      </c>
      <c r="BU11" s="315" t="s">
        <v>147</v>
      </c>
      <c r="BV11" s="316"/>
      <c r="BW11" s="314" t="s">
        <v>149</v>
      </c>
      <c r="BX11" s="315"/>
      <c r="BY11" s="315"/>
      <c r="BZ11" s="315" t="s">
        <v>149</v>
      </c>
      <c r="CA11" s="315"/>
      <c r="CB11" s="316"/>
      <c r="CC11" s="314"/>
      <c r="CD11" s="315" t="s">
        <v>147</v>
      </c>
      <c r="CE11" s="316"/>
      <c r="CF11" s="314"/>
      <c r="CG11" s="315"/>
      <c r="CH11" s="315"/>
      <c r="CI11" s="317"/>
      <c r="CK11" s="236">
        <f t="shared" si="0"/>
        <v>6</v>
      </c>
      <c r="CL11" s="237">
        <f t="shared" si="1"/>
        <v>6</v>
      </c>
      <c r="CM11" s="237" t="str">
        <f t="shared" si="2"/>
        <v/>
      </c>
      <c r="CN11" s="237" t="str">
        <f t="shared" si="3"/>
        <v/>
      </c>
      <c r="CO11" s="238" t="str">
        <f t="shared" si="4"/>
        <v/>
      </c>
      <c r="CQ11" s="236" t="str">
        <f>desired_skills(C11,"Systemen/Splunk","o")</f>
        <v/>
      </c>
      <c r="CR11" s="237" t="str">
        <f>desired_skills(C11,"Systemen/Splunk","j")</f>
        <v>7</v>
      </c>
      <c r="CS11" s="237" t="str">
        <f>desired_skills(C11,"Systemen/Splunk","m")</f>
        <v/>
      </c>
      <c r="CT11" s="237" t="str">
        <f>desired_skills(C11,"Systemen/Splunk","s")</f>
        <v/>
      </c>
      <c r="CU11" s="238" t="str">
        <f>desired_skills(C11,"Systemen/Splunk","e")</f>
        <v/>
      </c>
      <c r="CW11" s="236" t="str">
        <f>calc_gap('Matrix 171007_1812'!$CK$11,'Matrix 171007_1812'!$CQ$11)</f>
        <v/>
      </c>
      <c r="CX11" s="237" t="str">
        <f>calc_gap('Matrix 171007_1812'!$CL$11,'Matrix 171007_1812'!$CR$11)</f>
        <v>1</v>
      </c>
      <c r="CY11" s="237" t="str">
        <f>calc_gap('Matrix 171007_1812'!$CM$11,'Matrix 171007_1812'!$CS$11)</f>
        <v/>
      </c>
      <c r="CZ11" s="237" t="str">
        <f>calc_gap('Matrix 171007_1812'!$CN$11,'Matrix 171007_1812'!$CT$11)</f>
        <v/>
      </c>
      <c r="DA11" s="238" t="str">
        <f>calc_gap('Matrix 171007_1812'!$CO$11,'Matrix 171007_1812'!$CU$11)</f>
        <v/>
      </c>
    </row>
    <row r="12" spans="1:105" x14ac:dyDescent="0.25">
      <c r="B12" s="435"/>
      <c r="C12" s="291" t="s">
        <v>57</v>
      </c>
      <c r="D12" s="314"/>
      <c r="E12" s="315"/>
      <c r="F12" s="315"/>
      <c r="G12" s="315"/>
      <c r="H12" s="315"/>
      <c r="I12" s="315"/>
      <c r="J12" s="315"/>
      <c r="K12" s="316"/>
      <c r="L12" s="314"/>
      <c r="M12" s="315"/>
      <c r="N12" s="315"/>
      <c r="O12" s="316"/>
      <c r="P12" s="314"/>
      <c r="Q12" s="315"/>
      <c r="R12" s="315"/>
      <c r="S12" s="315"/>
      <c r="T12" s="315"/>
      <c r="U12" s="315"/>
      <c r="V12" s="315"/>
      <c r="W12" s="315"/>
      <c r="X12" s="315"/>
      <c r="Y12" s="315"/>
      <c r="Z12" s="315"/>
      <c r="AA12" s="315"/>
      <c r="AB12" s="315"/>
      <c r="AC12" s="315"/>
      <c r="AD12" s="315"/>
      <c r="AE12" s="315"/>
      <c r="AF12" s="315"/>
      <c r="AG12" s="315"/>
      <c r="AH12" s="315"/>
      <c r="AI12" s="316"/>
      <c r="AJ12" s="314"/>
      <c r="AK12" s="315"/>
      <c r="AL12" s="316"/>
      <c r="AM12" s="314"/>
      <c r="AN12" s="315"/>
      <c r="AO12" s="316"/>
      <c r="AP12" s="314"/>
      <c r="AQ12" s="315"/>
      <c r="AR12" s="315"/>
      <c r="AS12" s="315"/>
      <c r="AT12" s="316"/>
      <c r="AU12" s="314" t="s">
        <v>148</v>
      </c>
      <c r="AV12" s="315" t="s">
        <v>149</v>
      </c>
      <c r="AW12" s="315" t="s">
        <v>149</v>
      </c>
      <c r="AX12" s="315" t="s">
        <v>147</v>
      </c>
      <c r="AY12" s="315" t="s">
        <v>147</v>
      </c>
      <c r="AZ12" s="315"/>
      <c r="BA12" s="315"/>
      <c r="BB12" s="316" t="s">
        <v>147</v>
      </c>
      <c r="BC12" s="314" t="s">
        <v>149</v>
      </c>
      <c r="BD12" s="315" t="s">
        <v>149</v>
      </c>
      <c r="BE12" s="315"/>
      <c r="BF12" s="315"/>
      <c r="BG12" s="316"/>
      <c r="BH12" s="314"/>
      <c r="BI12" s="315"/>
      <c r="BJ12" s="316"/>
      <c r="BK12" s="314"/>
      <c r="BL12" s="315"/>
      <c r="BM12" s="315"/>
      <c r="BN12" s="316"/>
      <c r="BO12" s="314"/>
      <c r="BP12" s="315"/>
      <c r="BQ12" s="315"/>
      <c r="BR12" s="315"/>
      <c r="BS12" s="315"/>
      <c r="BT12" s="315"/>
      <c r="BU12" s="315" t="s">
        <v>147</v>
      </c>
      <c r="BV12" s="316"/>
      <c r="BW12" s="314" t="s">
        <v>149</v>
      </c>
      <c r="BX12" s="315"/>
      <c r="BY12" s="315"/>
      <c r="BZ12" s="315"/>
      <c r="CA12" s="315"/>
      <c r="CB12" s="316"/>
      <c r="CC12" s="314"/>
      <c r="CD12" s="315"/>
      <c r="CE12" s="316"/>
      <c r="CF12" s="314"/>
      <c r="CG12" s="315"/>
      <c r="CH12" s="315"/>
      <c r="CI12" s="317"/>
      <c r="CK12" s="236">
        <f t="shared" si="0"/>
        <v>5</v>
      </c>
      <c r="CL12" s="237">
        <f t="shared" si="1"/>
        <v>4</v>
      </c>
      <c r="CM12" s="237">
        <f t="shared" si="2"/>
        <v>1</v>
      </c>
      <c r="CN12" s="237" t="str">
        <f t="shared" si="3"/>
        <v/>
      </c>
      <c r="CO12" s="238" t="str">
        <f t="shared" si="4"/>
        <v/>
      </c>
      <c r="CQ12" s="236" t="str">
        <f>desired_skills(C12,"Systemen/Dell One Identity","o")</f>
        <v/>
      </c>
      <c r="CR12" s="237" t="str">
        <f>desired_skills(C12,"Systemen/Dell One Identity","j")</f>
        <v/>
      </c>
      <c r="CS12" s="237" t="str">
        <f>desired_skills(C12,"Systemen/Dell One Identity","m")</f>
        <v>8</v>
      </c>
      <c r="CT12" s="237" t="str">
        <f>desired_skills(C12,"Systemen/Dell One Identity","s")</f>
        <v/>
      </c>
      <c r="CU12" s="238" t="str">
        <f>desired_skills(C12,"Systemen/Dell One Identity","e")</f>
        <v/>
      </c>
      <c r="CW12" s="236" t="str">
        <f>calc_gap('Matrix 171007_1812'!$CK$12,'Matrix 171007_1812'!$CQ$12)</f>
        <v/>
      </c>
      <c r="CX12" s="237" t="str">
        <f>calc_gap('Matrix 171007_1812'!$CL$12,'Matrix 171007_1812'!$CR$12)</f>
        <v/>
      </c>
      <c r="CY12" s="237" t="str">
        <f>calc_gap('Matrix 171007_1812'!$CM$12,'Matrix 171007_1812'!$CS$12)</f>
        <v>7</v>
      </c>
      <c r="CZ12" s="237" t="str">
        <f>calc_gap('Matrix 171007_1812'!$CN$12,'Matrix 171007_1812'!$CT$12)</f>
        <v/>
      </c>
      <c r="DA12" s="238" t="str">
        <f>calc_gap('Matrix 171007_1812'!$CO$12,'Matrix 171007_1812'!$CU$12)</f>
        <v/>
      </c>
    </row>
    <row r="13" spans="1:105" x14ac:dyDescent="0.25">
      <c r="B13" s="435"/>
      <c r="C13" s="291" t="s">
        <v>58</v>
      </c>
      <c r="D13" s="314"/>
      <c r="E13" s="315"/>
      <c r="F13" s="315"/>
      <c r="G13" s="315"/>
      <c r="H13" s="315"/>
      <c r="I13" s="315"/>
      <c r="J13" s="315"/>
      <c r="K13" s="316"/>
      <c r="L13" s="314"/>
      <c r="M13" s="315"/>
      <c r="N13" s="315"/>
      <c r="O13" s="316"/>
      <c r="P13" s="314"/>
      <c r="Q13" s="315"/>
      <c r="R13" s="315"/>
      <c r="S13" s="315"/>
      <c r="T13" s="315"/>
      <c r="U13" s="315"/>
      <c r="V13" s="315"/>
      <c r="W13" s="315"/>
      <c r="X13" s="315"/>
      <c r="Y13" s="315"/>
      <c r="Z13" s="315"/>
      <c r="AA13" s="315"/>
      <c r="AB13" s="315"/>
      <c r="AC13" s="315"/>
      <c r="AD13" s="315"/>
      <c r="AE13" s="315"/>
      <c r="AF13" s="315"/>
      <c r="AG13" s="315"/>
      <c r="AH13" s="315"/>
      <c r="AI13" s="316"/>
      <c r="AJ13" s="314"/>
      <c r="AK13" s="315"/>
      <c r="AL13" s="316"/>
      <c r="AM13" s="314"/>
      <c r="AN13" s="315"/>
      <c r="AO13" s="316"/>
      <c r="AP13" s="314"/>
      <c r="AQ13" s="315"/>
      <c r="AR13" s="315"/>
      <c r="AS13" s="315"/>
      <c r="AT13" s="316"/>
      <c r="AU13" s="314" t="s">
        <v>150</v>
      </c>
      <c r="AV13" s="315" t="s">
        <v>148</v>
      </c>
      <c r="AW13" s="315" t="s">
        <v>147</v>
      </c>
      <c r="AX13" s="315" t="s">
        <v>150</v>
      </c>
      <c r="AY13" s="315" t="s">
        <v>147</v>
      </c>
      <c r="AZ13" s="315"/>
      <c r="BA13" s="315"/>
      <c r="BB13" s="316" t="s">
        <v>147</v>
      </c>
      <c r="BC13" s="314" t="s">
        <v>150</v>
      </c>
      <c r="BD13" s="315" t="s">
        <v>147</v>
      </c>
      <c r="BE13" s="315"/>
      <c r="BF13" s="315"/>
      <c r="BG13" s="316"/>
      <c r="BH13" s="314"/>
      <c r="BI13" s="315"/>
      <c r="BJ13" s="316"/>
      <c r="BK13" s="314"/>
      <c r="BL13" s="315"/>
      <c r="BM13" s="315"/>
      <c r="BN13" s="316"/>
      <c r="BO13" s="314"/>
      <c r="BP13" s="315"/>
      <c r="BQ13" s="315" t="s">
        <v>147</v>
      </c>
      <c r="BR13" s="315"/>
      <c r="BS13" s="315"/>
      <c r="BT13" s="315"/>
      <c r="BU13" s="315" t="s">
        <v>148</v>
      </c>
      <c r="BV13" s="316"/>
      <c r="BW13" s="314"/>
      <c r="BX13" s="315"/>
      <c r="BY13" s="315" t="s">
        <v>150</v>
      </c>
      <c r="BZ13" s="315"/>
      <c r="CA13" s="315" t="s">
        <v>150</v>
      </c>
      <c r="CB13" s="316" t="s">
        <v>150</v>
      </c>
      <c r="CC13" s="314"/>
      <c r="CD13" s="315"/>
      <c r="CE13" s="316"/>
      <c r="CF13" s="314"/>
      <c r="CG13" s="315"/>
      <c r="CH13" s="315"/>
      <c r="CI13" s="317"/>
      <c r="CK13" s="236" t="str">
        <f t="shared" si="0"/>
        <v/>
      </c>
      <c r="CL13" s="237">
        <f t="shared" si="1"/>
        <v>5</v>
      </c>
      <c r="CM13" s="237">
        <f t="shared" si="2"/>
        <v>2</v>
      </c>
      <c r="CN13" s="237">
        <f t="shared" si="3"/>
        <v>6</v>
      </c>
      <c r="CO13" s="238" t="str">
        <f t="shared" si="4"/>
        <v/>
      </c>
      <c r="CQ13" s="236" t="str">
        <f>desired_skills(C13,"Systemen/RSA","o")</f>
        <v/>
      </c>
      <c r="CR13" s="237" t="str">
        <f>desired_skills(C13,"Systemen/RSA","j")</f>
        <v/>
      </c>
      <c r="CS13" s="237" t="str">
        <f>desired_skills(C13,"Systemen/RSA","m")</f>
        <v/>
      </c>
      <c r="CT13" s="237" t="str">
        <f>desired_skills(C13,"Systemen/RSA","s")</f>
        <v>9</v>
      </c>
      <c r="CU13" s="238" t="str">
        <f>desired_skills(C13,"Systemen/RSA","e")</f>
        <v/>
      </c>
      <c r="CW13" s="236" t="str">
        <f>calc_gap('Matrix 171007_1812'!$CK$13,'Matrix 171007_1812'!$CQ$13)</f>
        <v/>
      </c>
      <c r="CX13" s="237" t="str">
        <f>calc_gap('Matrix 171007_1812'!$CL$13,'Matrix 171007_1812'!$CR$13)</f>
        <v/>
      </c>
      <c r="CY13" s="237" t="str">
        <f>calc_gap('Matrix 171007_1812'!$CM$13,'Matrix 171007_1812'!$CS$13)</f>
        <v/>
      </c>
      <c r="CZ13" s="237" t="str">
        <f>calc_gap('Matrix 171007_1812'!$CN$13,'Matrix 171007_1812'!$CT$13)</f>
        <v>3</v>
      </c>
      <c r="DA13" s="238" t="str">
        <f>calc_gap('Matrix 171007_1812'!$CO$13,'Matrix 171007_1812'!$CU$13)</f>
        <v/>
      </c>
    </row>
    <row r="14" spans="1:105" x14ac:dyDescent="0.25">
      <c r="B14" s="435"/>
      <c r="C14" s="291" t="s">
        <v>59</v>
      </c>
      <c r="D14" s="314"/>
      <c r="E14" s="315"/>
      <c r="F14" s="315"/>
      <c r="G14" s="315"/>
      <c r="H14" s="315"/>
      <c r="I14" s="315"/>
      <c r="J14" s="315"/>
      <c r="K14" s="316"/>
      <c r="L14" s="314"/>
      <c r="M14" s="315"/>
      <c r="N14" s="315"/>
      <c r="O14" s="316"/>
      <c r="P14" s="314"/>
      <c r="Q14" s="315"/>
      <c r="R14" s="315"/>
      <c r="S14" s="315"/>
      <c r="T14" s="315"/>
      <c r="U14" s="315"/>
      <c r="V14" s="315"/>
      <c r="W14" s="315"/>
      <c r="X14" s="315"/>
      <c r="Y14" s="315"/>
      <c r="Z14" s="315"/>
      <c r="AA14" s="315"/>
      <c r="AB14" s="315"/>
      <c r="AC14" s="315"/>
      <c r="AD14" s="315"/>
      <c r="AE14" s="315"/>
      <c r="AF14" s="315"/>
      <c r="AG14" s="315"/>
      <c r="AH14" s="315"/>
      <c r="AI14" s="316"/>
      <c r="AJ14" s="314"/>
      <c r="AK14" s="315"/>
      <c r="AL14" s="316"/>
      <c r="AM14" s="314"/>
      <c r="AN14" s="315"/>
      <c r="AO14" s="316"/>
      <c r="AP14" s="314"/>
      <c r="AQ14" s="315"/>
      <c r="AR14" s="315"/>
      <c r="AS14" s="315"/>
      <c r="AT14" s="316"/>
      <c r="AU14" s="314" t="s">
        <v>150</v>
      </c>
      <c r="AV14" s="315" t="s">
        <v>150</v>
      </c>
      <c r="AW14" s="315" t="s">
        <v>149</v>
      </c>
      <c r="AX14" s="315" t="s">
        <v>148</v>
      </c>
      <c r="AY14" s="315" t="s">
        <v>147</v>
      </c>
      <c r="AZ14" s="315"/>
      <c r="BA14" s="315"/>
      <c r="BB14" s="316"/>
      <c r="BC14" s="314" t="s">
        <v>148</v>
      </c>
      <c r="BD14" s="315" t="s">
        <v>148</v>
      </c>
      <c r="BE14" s="315"/>
      <c r="BF14" s="315"/>
      <c r="BG14" s="316"/>
      <c r="BH14" s="314"/>
      <c r="BI14" s="315"/>
      <c r="BJ14" s="316"/>
      <c r="BK14" s="314"/>
      <c r="BL14" s="315"/>
      <c r="BM14" s="315"/>
      <c r="BN14" s="316"/>
      <c r="BO14" s="314" t="s">
        <v>150</v>
      </c>
      <c r="BP14" s="315" t="s">
        <v>150</v>
      </c>
      <c r="BQ14" s="315" t="s">
        <v>150</v>
      </c>
      <c r="BR14" s="315"/>
      <c r="BS14" s="315" t="s">
        <v>148</v>
      </c>
      <c r="BT14" s="315" t="s">
        <v>47</v>
      </c>
      <c r="BU14" s="315" t="s">
        <v>148</v>
      </c>
      <c r="BV14" s="316"/>
      <c r="BW14" s="314" t="s">
        <v>150</v>
      </c>
      <c r="BX14" s="315"/>
      <c r="BY14" s="315" t="s">
        <v>150</v>
      </c>
      <c r="BZ14" s="315" t="s">
        <v>150</v>
      </c>
      <c r="CA14" s="315" t="s">
        <v>150</v>
      </c>
      <c r="CB14" s="316" t="s">
        <v>150</v>
      </c>
      <c r="CC14" s="314"/>
      <c r="CD14" s="315"/>
      <c r="CE14" s="316"/>
      <c r="CF14" s="314"/>
      <c r="CG14" s="315"/>
      <c r="CH14" s="315"/>
      <c r="CI14" s="317"/>
      <c r="CK14" s="236">
        <f t="shared" si="0"/>
        <v>1</v>
      </c>
      <c r="CL14" s="237">
        <f t="shared" si="1"/>
        <v>1</v>
      </c>
      <c r="CM14" s="237">
        <f t="shared" si="2"/>
        <v>5</v>
      </c>
      <c r="CN14" s="237">
        <f t="shared" si="3"/>
        <v>10</v>
      </c>
      <c r="CO14" s="238">
        <f t="shared" si="4"/>
        <v>1</v>
      </c>
      <c r="CQ14" s="236" t="str">
        <f>desired_skills(C14,"Systemen/RWA","o")</f>
        <v/>
      </c>
      <c r="CR14" s="237" t="str">
        <f>desired_skills(C14,"Systemen/RWA","j")</f>
        <v/>
      </c>
      <c r="CS14" s="237" t="str">
        <f>desired_skills(C14,"Systemen/RWA","m")</f>
        <v/>
      </c>
      <c r="CT14" s="237" t="str">
        <f>desired_skills(C14,"Systemen/RWA","s")</f>
        <v/>
      </c>
      <c r="CU14" s="238" t="str">
        <f>desired_skills(C14,"Systemen/RWA","e")</f>
        <v>10</v>
      </c>
      <c r="CW14" s="236" t="str">
        <f>calc_gap('Matrix 171007_1812'!$CK$14,'Matrix 171007_1812'!$CQ$14)</f>
        <v/>
      </c>
      <c r="CX14" s="237" t="str">
        <f>calc_gap('Matrix 171007_1812'!$CL$14,'Matrix 171007_1812'!$CR$14)</f>
        <v/>
      </c>
      <c r="CY14" s="237" t="str">
        <f>calc_gap('Matrix 171007_1812'!$CM$14,'Matrix 171007_1812'!$CS$14)</f>
        <v/>
      </c>
      <c r="CZ14" s="237" t="str">
        <f>calc_gap('Matrix 171007_1812'!$CN$14,'Matrix 171007_1812'!$CT$14)</f>
        <v/>
      </c>
      <c r="DA14" s="238" t="str">
        <f>calc_gap('Matrix 171007_1812'!$CO$14,'Matrix 171007_1812'!$CU$14)</f>
        <v>9</v>
      </c>
    </row>
    <row r="15" spans="1:105" x14ac:dyDescent="0.25">
      <c r="B15" s="435"/>
      <c r="C15" s="291" t="s">
        <v>60</v>
      </c>
      <c r="D15" s="314"/>
      <c r="E15" s="315"/>
      <c r="F15" s="315"/>
      <c r="G15" s="315"/>
      <c r="H15" s="315"/>
      <c r="I15" s="315"/>
      <c r="J15" s="315"/>
      <c r="K15" s="316"/>
      <c r="L15" s="314"/>
      <c r="M15" s="315"/>
      <c r="N15" s="315"/>
      <c r="O15" s="316"/>
      <c r="P15" s="314"/>
      <c r="Q15" s="315"/>
      <c r="R15" s="315"/>
      <c r="S15" s="315"/>
      <c r="T15" s="315"/>
      <c r="U15" s="315"/>
      <c r="V15" s="315"/>
      <c r="W15" s="315"/>
      <c r="X15" s="315"/>
      <c r="Y15" s="315"/>
      <c r="Z15" s="315"/>
      <c r="AA15" s="315"/>
      <c r="AB15" s="315"/>
      <c r="AC15" s="315"/>
      <c r="AD15" s="315"/>
      <c r="AE15" s="315"/>
      <c r="AF15" s="315"/>
      <c r="AG15" s="315"/>
      <c r="AH15" s="315"/>
      <c r="AI15" s="316"/>
      <c r="AJ15" s="314"/>
      <c r="AK15" s="315"/>
      <c r="AL15" s="316"/>
      <c r="AM15" s="314"/>
      <c r="AN15" s="315"/>
      <c r="AO15" s="316"/>
      <c r="AP15" s="314"/>
      <c r="AQ15" s="315"/>
      <c r="AR15" s="315"/>
      <c r="AS15" s="315"/>
      <c r="AT15" s="316"/>
      <c r="AU15" s="314" t="s">
        <v>150</v>
      </c>
      <c r="AV15" s="315" t="s">
        <v>148</v>
      </c>
      <c r="AW15" s="315" t="s">
        <v>148</v>
      </c>
      <c r="AX15" s="315" t="s">
        <v>148</v>
      </c>
      <c r="AY15" s="315" t="s">
        <v>148</v>
      </c>
      <c r="AZ15" s="315"/>
      <c r="BA15" s="315"/>
      <c r="BB15" s="316" t="s">
        <v>147</v>
      </c>
      <c r="BC15" s="314" t="s">
        <v>150</v>
      </c>
      <c r="BD15" s="315" t="s">
        <v>148</v>
      </c>
      <c r="BE15" s="315"/>
      <c r="BF15" s="315"/>
      <c r="BG15" s="316"/>
      <c r="BH15" s="314"/>
      <c r="BI15" s="315"/>
      <c r="BJ15" s="316"/>
      <c r="BK15" s="314"/>
      <c r="BL15" s="315"/>
      <c r="BM15" s="315"/>
      <c r="BN15" s="316"/>
      <c r="BO15" s="314" t="s">
        <v>148</v>
      </c>
      <c r="BP15" s="315"/>
      <c r="BQ15" s="315" t="s">
        <v>150</v>
      </c>
      <c r="BR15" s="315"/>
      <c r="BS15" s="315" t="s">
        <v>147</v>
      </c>
      <c r="BT15" s="315" t="s">
        <v>150</v>
      </c>
      <c r="BU15" s="315" t="s">
        <v>150</v>
      </c>
      <c r="BV15" s="316"/>
      <c r="BW15" s="314" t="s">
        <v>150</v>
      </c>
      <c r="BX15" s="315"/>
      <c r="BY15" s="315" t="s">
        <v>150</v>
      </c>
      <c r="BZ15" s="315" t="s">
        <v>150</v>
      </c>
      <c r="CA15" s="315" t="s">
        <v>150</v>
      </c>
      <c r="CB15" s="316" t="s">
        <v>150</v>
      </c>
      <c r="CC15" s="314"/>
      <c r="CD15" s="315"/>
      <c r="CE15" s="316"/>
      <c r="CF15" s="314"/>
      <c r="CG15" s="315"/>
      <c r="CH15" s="315"/>
      <c r="CI15" s="317"/>
      <c r="CK15" s="236" t="str">
        <f t="shared" si="0"/>
        <v/>
      </c>
      <c r="CL15" s="237">
        <f t="shared" si="1"/>
        <v>2</v>
      </c>
      <c r="CM15" s="237">
        <f t="shared" si="2"/>
        <v>6</v>
      </c>
      <c r="CN15" s="237">
        <f t="shared" si="3"/>
        <v>10</v>
      </c>
      <c r="CO15" s="238" t="str">
        <f t="shared" si="4"/>
        <v/>
      </c>
      <c r="CQ15" s="236" t="str">
        <f>desired_skills(C15,"Systemen/Integraal IAM landschap","o")</f>
        <v/>
      </c>
      <c r="CR15" s="237" t="str">
        <f>desired_skills(C15,"Systemen/Integraal IAM landschap","j")</f>
        <v/>
      </c>
      <c r="CS15" s="237" t="str">
        <f>desired_skills(C15,"Systemen/Integraal IAM landschap","m")</f>
        <v/>
      </c>
      <c r="CT15" s="237" t="str">
        <f>desired_skills(C15,"Systemen/Integraal IAM landschap","s")</f>
        <v/>
      </c>
      <c r="CU15" s="238" t="str">
        <f>desired_skills(C15,"Systemen/Integraal IAM landschap","e")</f>
        <v/>
      </c>
      <c r="CW15" s="236" t="str">
        <f>calc_gap('Matrix 171007_1812'!$CK$15,'Matrix 171007_1812'!$CQ$15)</f>
        <v/>
      </c>
      <c r="CX15" s="237" t="str">
        <f>calc_gap('Matrix 171007_1812'!$CL$15,'Matrix 171007_1812'!$CR$15)</f>
        <v/>
      </c>
      <c r="CY15" s="237" t="str">
        <f>calc_gap('Matrix 171007_1812'!$CM$15,'Matrix 171007_1812'!$CS$15)</f>
        <v/>
      </c>
      <c r="CZ15" s="237" t="str">
        <f>calc_gap('Matrix 171007_1812'!$CN$15,'Matrix 171007_1812'!$CT$15)</f>
        <v/>
      </c>
      <c r="DA15" s="238" t="str">
        <f>calc_gap('Matrix 171007_1812'!$CO$15,'Matrix 171007_1812'!$CU$15)</f>
        <v/>
      </c>
    </row>
    <row r="16" spans="1:105" ht="15.75" thickBot="1" x14ac:dyDescent="0.3">
      <c r="B16" s="435"/>
      <c r="C16" s="292" t="s">
        <v>61</v>
      </c>
      <c r="D16" s="318"/>
      <c r="E16" s="319"/>
      <c r="F16" s="319"/>
      <c r="G16" s="319"/>
      <c r="H16" s="319"/>
      <c r="I16" s="319"/>
      <c r="J16" s="319"/>
      <c r="K16" s="320"/>
      <c r="L16" s="318"/>
      <c r="M16" s="319"/>
      <c r="N16" s="319"/>
      <c r="O16" s="320"/>
      <c r="P16" s="318"/>
      <c r="Q16" s="319"/>
      <c r="R16" s="319"/>
      <c r="S16" s="319"/>
      <c r="T16" s="319"/>
      <c r="U16" s="319"/>
      <c r="V16" s="319"/>
      <c r="W16" s="319"/>
      <c r="X16" s="319"/>
      <c r="Y16" s="319"/>
      <c r="Z16" s="319"/>
      <c r="AA16" s="319"/>
      <c r="AB16" s="319"/>
      <c r="AC16" s="319"/>
      <c r="AD16" s="319"/>
      <c r="AE16" s="319"/>
      <c r="AF16" s="319"/>
      <c r="AG16" s="319"/>
      <c r="AH16" s="319"/>
      <c r="AI16" s="320"/>
      <c r="AJ16" s="318"/>
      <c r="AK16" s="319"/>
      <c r="AL16" s="320"/>
      <c r="AM16" s="318"/>
      <c r="AN16" s="319"/>
      <c r="AO16" s="320"/>
      <c r="AP16" s="318"/>
      <c r="AQ16" s="319"/>
      <c r="AR16" s="319"/>
      <c r="AS16" s="319"/>
      <c r="AT16" s="320"/>
      <c r="AU16" s="318" t="s">
        <v>147</v>
      </c>
      <c r="AV16" s="319" t="s">
        <v>147</v>
      </c>
      <c r="AW16" s="319" t="s">
        <v>147</v>
      </c>
      <c r="AX16" s="319" t="s">
        <v>147</v>
      </c>
      <c r="AY16" s="319" t="s">
        <v>147</v>
      </c>
      <c r="AZ16" s="319"/>
      <c r="BA16" s="319"/>
      <c r="BB16" s="320"/>
      <c r="BC16" s="318" t="s">
        <v>147</v>
      </c>
      <c r="BD16" s="319" t="s">
        <v>147</v>
      </c>
      <c r="BE16" s="319"/>
      <c r="BF16" s="319"/>
      <c r="BG16" s="320"/>
      <c r="BH16" s="318"/>
      <c r="BI16" s="319"/>
      <c r="BJ16" s="320"/>
      <c r="BK16" s="318" t="s">
        <v>148</v>
      </c>
      <c r="BL16" s="319"/>
      <c r="BM16" s="319"/>
      <c r="BN16" s="320"/>
      <c r="BO16" s="318" t="s">
        <v>148</v>
      </c>
      <c r="BP16" s="319" t="s">
        <v>150</v>
      </c>
      <c r="BQ16" s="319" t="s">
        <v>150</v>
      </c>
      <c r="BR16" s="319"/>
      <c r="BS16" s="319" t="s">
        <v>147</v>
      </c>
      <c r="BT16" s="319" t="s">
        <v>148</v>
      </c>
      <c r="BU16" s="319" t="s">
        <v>148</v>
      </c>
      <c r="BV16" s="320"/>
      <c r="BW16" s="318" t="s">
        <v>150</v>
      </c>
      <c r="BX16" s="319"/>
      <c r="BY16" s="319" t="s">
        <v>147</v>
      </c>
      <c r="BZ16" s="319" t="s">
        <v>150</v>
      </c>
      <c r="CA16" s="319" t="s">
        <v>147</v>
      </c>
      <c r="CB16" s="320" t="s">
        <v>147</v>
      </c>
      <c r="CC16" s="318"/>
      <c r="CD16" s="319"/>
      <c r="CE16" s="320"/>
      <c r="CF16" s="318"/>
      <c r="CG16" s="319"/>
      <c r="CH16" s="319"/>
      <c r="CI16" s="321"/>
      <c r="CK16" s="239" t="str">
        <f t="shared" si="0"/>
        <v/>
      </c>
      <c r="CL16" s="240">
        <f t="shared" si="1"/>
        <v>11</v>
      </c>
      <c r="CM16" s="240">
        <f t="shared" si="2"/>
        <v>4</v>
      </c>
      <c r="CN16" s="240">
        <f t="shared" si="3"/>
        <v>4</v>
      </c>
      <c r="CO16" s="241" t="str">
        <f t="shared" si="4"/>
        <v/>
      </c>
      <c r="CQ16" s="239" t="str">
        <f>desired_skills(C16,"Systemen/Disconnected applicaties","o")</f>
        <v/>
      </c>
      <c r="CR16" s="240" t="str">
        <f>desired_skills(C16,"Systemen/Disconnected applicaties","j")</f>
        <v/>
      </c>
      <c r="CS16" s="240" t="str">
        <f>desired_skills(C16,"Systemen/Disconnected applicaties","m")</f>
        <v/>
      </c>
      <c r="CT16" s="240" t="str">
        <f>desired_skills(C16,"Systemen/Disconnected applicaties","s")</f>
        <v/>
      </c>
      <c r="CU16" s="241" t="str">
        <f>desired_skills(C16,"Systemen/Disconnected applicaties","e")</f>
        <v/>
      </c>
      <c r="CW16" s="239" t="str">
        <f>calc_gap('Matrix 171007_1812'!$CK$16,'Matrix 171007_1812'!$CQ$16)</f>
        <v/>
      </c>
      <c r="CX16" s="240" t="str">
        <f>calc_gap('Matrix 171007_1812'!$CL$16,'Matrix 171007_1812'!$CR$16)</f>
        <v/>
      </c>
      <c r="CY16" s="240" t="str">
        <f>calc_gap('Matrix 171007_1812'!$CM$16,'Matrix 171007_1812'!$CS$16)</f>
        <v/>
      </c>
      <c r="CZ16" s="240" t="str">
        <f>calc_gap('Matrix 171007_1812'!$CN$16,'Matrix 171007_1812'!$CT$16)</f>
        <v/>
      </c>
      <c r="DA16" s="241" t="str">
        <f>calc_gap('Matrix 171007_1812'!$CO$16,'Matrix 171007_1812'!$CU$16)</f>
        <v/>
      </c>
    </row>
    <row r="17" spans="2:105" ht="12.75" customHeight="1" thickTop="1" thickBot="1" x14ac:dyDescent="0.3">
      <c r="B17" s="436"/>
      <c r="C17" s="248"/>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2"/>
      <c r="CH17" s="322"/>
      <c r="CI17" s="322"/>
      <c r="CK17" s="249"/>
      <c r="CL17" s="249"/>
      <c r="CM17" s="249"/>
      <c r="CN17" s="249"/>
      <c r="CO17" s="249"/>
      <c r="CQ17" s="249"/>
      <c r="CR17" s="249"/>
      <c r="CS17" s="249"/>
      <c r="CT17" s="249"/>
      <c r="CU17" s="249"/>
      <c r="CW17" s="249"/>
      <c r="CX17" s="249"/>
      <c r="CY17" s="249"/>
      <c r="CZ17" s="249"/>
      <c r="DA17" s="249"/>
    </row>
    <row r="18" spans="2:105" ht="15.75" thickTop="1" x14ac:dyDescent="0.25">
      <c r="B18" s="434" t="s">
        <v>62</v>
      </c>
      <c r="C18" s="290" t="s">
        <v>63</v>
      </c>
      <c r="D18" s="310"/>
      <c r="E18" s="311"/>
      <c r="F18" s="311"/>
      <c r="G18" s="311"/>
      <c r="H18" s="311"/>
      <c r="I18" s="311"/>
      <c r="J18" s="311"/>
      <c r="K18" s="312"/>
      <c r="L18" s="310"/>
      <c r="M18" s="311"/>
      <c r="N18" s="311"/>
      <c r="O18" s="312"/>
      <c r="P18" s="310"/>
      <c r="Q18" s="311"/>
      <c r="R18" s="311"/>
      <c r="S18" s="311"/>
      <c r="T18" s="311"/>
      <c r="U18" s="311"/>
      <c r="V18" s="311"/>
      <c r="W18" s="311"/>
      <c r="X18" s="311"/>
      <c r="Y18" s="311"/>
      <c r="Z18" s="311"/>
      <c r="AA18" s="311"/>
      <c r="AB18" s="311"/>
      <c r="AC18" s="311"/>
      <c r="AD18" s="311"/>
      <c r="AE18" s="311"/>
      <c r="AF18" s="311"/>
      <c r="AG18" s="311"/>
      <c r="AH18" s="311"/>
      <c r="AI18" s="312"/>
      <c r="AJ18" s="310"/>
      <c r="AK18" s="311"/>
      <c r="AL18" s="312"/>
      <c r="AM18" s="310"/>
      <c r="AN18" s="311"/>
      <c r="AO18" s="312"/>
      <c r="AP18" s="310"/>
      <c r="AQ18" s="311"/>
      <c r="AR18" s="311"/>
      <c r="AS18" s="311"/>
      <c r="AT18" s="312"/>
      <c r="AU18" s="310" t="s">
        <v>148</v>
      </c>
      <c r="AV18" s="311" t="s">
        <v>150</v>
      </c>
      <c r="AW18" s="311" t="s">
        <v>150</v>
      </c>
      <c r="AX18" s="311" t="s">
        <v>47</v>
      </c>
      <c r="AY18" s="311" t="s">
        <v>47</v>
      </c>
      <c r="AZ18" s="311" t="s">
        <v>148</v>
      </c>
      <c r="BA18" s="311" t="s">
        <v>150</v>
      </c>
      <c r="BB18" s="312" t="s">
        <v>150</v>
      </c>
      <c r="BC18" s="310" t="s">
        <v>148</v>
      </c>
      <c r="BD18" s="311" t="s">
        <v>148</v>
      </c>
      <c r="BE18" s="311"/>
      <c r="BF18" s="311" t="s">
        <v>147</v>
      </c>
      <c r="BG18" s="312"/>
      <c r="BH18" s="310"/>
      <c r="BI18" s="311" t="s">
        <v>148</v>
      </c>
      <c r="BJ18" s="312"/>
      <c r="BK18" s="310" t="s">
        <v>147</v>
      </c>
      <c r="BL18" s="311" t="s">
        <v>148</v>
      </c>
      <c r="BM18" s="311"/>
      <c r="BN18" s="312" t="s">
        <v>149</v>
      </c>
      <c r="BO18" s="310" t="s">
        <v>148</v>
      </c>
      <c r="BP18" s="311"/>
      <c r="BQ18" s="311" t="s">
        <v>148</v>
      </c>
      <c r="BR18" s="311"/>
      <c r="BS18" s="311" t="s">
        <v>149</v>
      </c>
      <c r="BT18" s="311" t="s">
        <v>148</v>
      </c>
      <c r="BU18" s="311" t="s">
        <v>148</v>
      </c>
      <c r="BV18" s="312"/>
      <c r="BW18" s="310" t="s">
        <v>148</v>
      </c>
      <c r="BX18" s="311" t="s">
        <v>148</v>
      </c>
      <c r="BY18" s="311" t="s">
        <v>148</v>
      </c>
      <c r="BZ18" s="311" t="s">
        <v>148</v>
      </c>
      <c r="CA18" s="311" t="s">
        <v>47</v>
      </c>
      <c r="CB18" s="312" t="s">
        <v>150</v>
      </c>
      <c r="CC18" s="310"/>
      <c r="CD18" s="311" t="s">
        <v>148</v>
      </c>
      <c r="CE18" s="312"/>
      <c r="CF18" s="310"/>
      <c r="CG18" s="311"/>
      <c r="CH18" s="311"/>
      <c r="CI18" s="313"/>
      <c r="CK18" s="233">
        <f t="shared" ref="CK18:CK26" si="5">IF(COUNTIF(D18:CI18,"o")&gt;0,COUNTIF(D18:CI18,"o"),"")</f>
        <v>2</v>
      </c>
      <c r="CL18" s="234">
        <f t="shared" ref="CL18:CL26" si="6">IF(COUNTIF(D18:CI18,"j")&gt;0,COUNTIF(D18:CI18,"j"),"")</f>
        <v>2</v>
      </c>
      <c r="CM18" s="234">
        <f t="shared" ref="CM18:CM26" si="7">IF(COUNTIF(D18:CI18,"m")&gt;0,COUNTIF(D18:CI18,"m"),"")</f>
        <v>15</v>
      </c>
      <c r="CN18" s="234">
        <f t="shared" ref="CN18:CN26" si="8">IF(COUNTIF(D18:CI18,"s")&gt;0,COUNTIF(D18:CI18,"s"),"")</f>
        <v>5</v>
      </c>
      <c r="CO18" s="235">
        <f t="shared" ref="CO18:CO26" si="9">IF(COUNTIF(D18:CI18,"e")&gt;0,COUNTIF(D18:CI18,"e"),"")</f>
        <v>3</v>
      </c>
      <c r="CQ18" s="233" t="str">
        <f>desired_skills(C18,"Specifieke Risico / IAM-kennis/IAM beleid","o")</f>
        <v>11</v>
      </c>
      <c r="CR18" s="234" t="str">
        <f>desired_skills(C18,"Specifieke Risico / IAM-kennis/IAM beleid","j")</f>
        <v/>
      </c>
      <c r="CS18" s="234" t="str">
        <f>desired_skills(C18,"Specifieke Risico / IAM-kennis/IAM beleid","m")</f>
        <v/>
      </c>
      <c r="CT18" s="234" t="str">
        <f>desired_skills(C18,"Specifieke Risico / IAM-kennis/IAM beleid","s")</f>
        <v/>
      </c>
      <c r="CU18" s="235" t="str">
        <f>desired_skills(C18,"Specifieke Risico / IAM-kennis/IAM beleid","e")</f>
        <v/>
      </c>
      <c r="CW18" s="233" t="str">
        <f>calc_gap('Matrix 171007_1812'!$CK$18,'Matrix 171007_1812'!$CQ$18)</f>
        <v>9</v>
      </c>
      <c r="CX18" s="234" t="str">
        <f>calc_gap('Matrix 171007_1812'!$CL$18,'Matrix 171007_1812'!$CR$18)</f>
        <v/>
      </c>
      <c r="CY18" s="234" t="str">
        <f>calc_gap('Matrix 171007_1812'!$CM$18,'Matrix 171007_1812'!$CS$18)</f>
        <v/>
      </c>
      <c r="CZ18" s="234" t="str">
        <f>calc_gap('Matrix 171007_1812'!$CN$18,'Matrix 171007_1812'!$CT$18)</f>
        <v/>
      </c>
      <c r="DA18" s="235" t="str">
        <f>calc_gap('Matrix 171007_1812'!$CO$18,'Matrix 171007_1812'!$CU$18)</f>
        <v/>
      </c>
    </row>
    <row r="19" spans="2:105" x14ac:dyDescent="0.25">
      <c r="B19" s="435"/>
      <c r="C19" s="291" t="s">
        <v>118</v>
      </c>
      <c r="D19" s="314"/>
      <c r="E19" s="315"/>
      <c r="F19" s="315"/>
      <c r="G19" s="315"/>
      <c r="H19" s="315"/>
      <c r="I19" s="315"/>
      <c r="J19" s="315"/>
      <c r="K19" s="316"/>
      <c r="L19" s="314"/>
      <c r="M19" s="315"/>
      <c r="N19" s="315"/>
      <c r="O19" s="316"/>
      <c r="P19" s="314"/>
      <c r="Q19" s="315"/>
      <c r="R19" s="315"/>
      <c r="S19" s="315"/>
      <c r="T19" s="315"/>
      <c r="U19" s="315"/>
      <c r="V19" s="315"/>
      <c r="W19" s="315"/>
      <c r="X19" s="315"/>
      <c r="Y19" s="315"/>
      <c r="Z19" s="315"/>
      <c r="AA19" s="315"/>
      <c r="AB19" s="315"/>
      <c r="AC19" s="315"/>
      <c r="AD19" s="315"/>
      <c r="AE19" s="315"/>
      <c r="AF19" s="315"/>
      <c r="AG19" s="315"/>
      <c r="AH19" s="315"/>
      <c r="AI19" s="316"/>
      <c r="AJ19" s="314"/>
      <c r="AK19" s="315"/>
      <c r="AL19" s="316"/>
      <c r="AM19" s="314"/>
      <c r="AN19" s="315"/>
      <c r="AO19" s="316"/>
      <c r="AP19" s="314"/>
      <c r="AQ19" s="315"/>
      <c r="AR19" s="315"/>
      <c r="AS19" s="315"/>
      <c r="AT19" s="316"/>
      <c r="AU19" s="314" t="s">
        <v>148</v>
      </c>
      <c r="AV19" s="315" t="s">
        <v>150</v>
      </c>
      <c r="AW19" s="315" t="s">
        <v>150</v>
      </c>
      <c r="AX19" s="315" t="s">
        <v>47</v>
      </c>
      <c r="AY19" s="315" t="s">
        <v>150</v>
      </c>
      <c r="AZ19" s="315" t="s">
        <v>147</v>
      </c>
      <c r="BA19" s="315" t="s">
        <v>150</v>
      </c>
      <c r="BB19" s="316" t="s">
        <v>150</v>
      </c>
      <c r="BC19" s="314" t="s">
        <v>148</v>
      </c>
      <c r="BD19" s="315" t="s">
        <v>148</v>
      </c>
      <c r="BE19" s="315"/>
      <c r="BF19" s="315" t="s">
        <v>148</v>
      </c>
      <c r="BG19" s="316"/>
      <c r="BH19" s="314"/>
      <c r="BI19" s="315" t="s">
        <v>148</v>
      </c>
      <c r="BJ19" s="316"/>
      <c r="BK19" s="314" t="s">
        <v>148</v>
      </c>
      <c r="BL19" s="315" t="s">
        <v>148</v>
      </c>
      <c r="BM19" s="315"/>
      <c r="BN19" s="316" t="s">
        <v>149</v>
      </c>
      <c r="BO19" s="314" t="s">
        <v>148</v>
      </c>
      <c r="BP19" s="315"/>
      <c r="BQ19" s="315" t="s">
        <v>148</v>
      </c>
      <c r="BR19" s="315"/>
      <c r="BS19" s="315" t="s">
        <v>149</v>
      </c>
      <c r="BT19" s="315" t="s">
        <v>148</v>
      </c>
      <c r="BU19" s="315" t="s">
        <v>150</v>
      </c>
      <c r="BV19" s="316"/>
      <c r="BW19" s="314" t="s">
        <v>47</v>
      </c>
      <c r="BX19" s="315" t="s">
        <v>148</v>
      </c>
      <c r="BY19" s="315" t="s">
        <v>150</v>
      </c>
      <c r="BZ19" s="315" t="s">
        <v>47</v>
      </c>
      <c r="CA19" s="315" t="s">
        <v>150</v>
      </c>
      <c r="CB19" s="316" t="s">
        <v>150</v>
      </c>
      <c r="CC19" s="314"/>
      <c r="CD19" s="315" t="s">
        <v>150</v>
      </c>
      <c r="CE19" s="316"/>
      <c r="CF19" s="314"/>
      <c r="CG19" s="315"/>
      <c r="CH19" s="315"/>
      <c r="CI19" s="317"/>
      <c r="CK19" s="236">
        <f t="shared" si="5"/>
        <v>2</v>
      </c>
      <c r="CL19" s="237">
        <f t="shared" si="6"/>
        <v>1</v>
      </c>
      <c r="CM19" s="237">
        <f t="shared" si="7"/>
        <v>11</v>
      </c>
      <c r="CN19" s="237">
        <f t="shared" si="8"/>
        <v>10</v>
      </c>
      <c r="CO19" s="238">
        <f t="shared" si="9"/>
        <v>3</v>
      </c>
      <c r="CQ19" s="236" t="str">
        <f>desired_skills(C19,"Specifieke Risico / IAM-kennis/IAM Processen/procedures","o")</f>
        <v/>
      </c>
      <c r="CR19" s="237" t="str">
        <f>desired_skills(C19,"Specifieke Risico / IAM-kennis/IAM Processen/procedures","j")</f>
        <v>12</v>
      </c>
      <c r="CS19" s="237" t="str">
        <f>desired_skills(C19,"Specifieke Risico / IAM-kennis/IAM Processen/procedures","m")</f>
        <v/>
      </c>
      <c r="CT19" s="237" t="str">
        <f>desired_skills(C19,"Specifieke Risico / IAM-kennis/IAM Processen/procedures","s")</f>
        <v/>
      </c>
      <c r="CU19" s="238" t="str">
        <f>desired_skills(C19,"Specifieke Risico / IAM-kennis/IAM Processen/procedures","e")</f>
        <v/>
      </c>
      <c r="CW19" s="236" t="str">
        <f>calc_gap('Matrix 171007_1812'!$CK$19,'Matrix 171007_1812'!$CQ$19)</f>
        <v/>
      </c>
      <c r="CX19" s="237" t="str">
        <f>calc_gap('Matrix 171007_1812'!$CL$19,'Matrix 171007_1812'!$CR$19)</f>
        <v>11</v>
      </c>
      <c r="CY19" s="237" t="str">
        <f>calc_gap('Matrix 171007_1812'!$CM$19,'Matrix 171007_1812'!$CS$19)</f>
        <v/>
      </c>
      <c r="CZ19" s="237" t="str">
        <f>calc_gap('Matrix 171007_1812'!$CN$19,'Matrix 171007_1812'!$CT$19)</f>
        <v/>
      </c>
      <c r="DA19" s="238" t="str">
        <f>calc_gap('Matrix 171007_1812'!$CO$19,'Matrix 171007_1812'!$CU$19)</f>
        <v/>
      </c>
    </row>
    <row r="20" spans="2:105" x14ac:dyDescent="0.25">
      <c r="B20" s="435"/>
      <c r="C20" s="291" t="s">
        <v>64</v>
      </c>
      <c r="D20" s="314"/>
      <c r="E20" s="315"/>
      <c r="F20" s="315"/>
      <c r="G20" s="315"/>
      <c r="H20" s="315"/>
      <c r="I20" s="315"/>
      <c r="J20" s="315"/>
      <c r="K20" s="316"/>
      <c r="L20" s="314"/>
      <c r="M20" s="315"/>
      <c r="N20" s="315"/>
      <c r="O20" s="316"/>
      <c r="P20" s="314"/>
      <c r="Q20" s="315"/>
      <c r="R20" s="315"/>
      <c r="S20" s="315"/>
      <c r="T20" s="315"/>
      <c r="U20" s="315"/>
      <c r="V20" s="315"/>
      <c r="W20" s="315"/>
      <c r="X20" s="315"/>
      <c r="Y20" s="315"/>
      <c r="Z20" s="315"/>
      <c r="AA20" s="315"/>
      <c r="AB20" s="315"/>
      <c r="AC20" s="315"/>
      <c r="AD20" s="315"/>
      <c r="AE20" s="315"/>
      <c r="AF20" s="315"/>
      <c r="AG20" s="315"/>
      <c r="AH20" s="315"/>
      <c r="AI20" s="316"/>
      <c r="AJ20" s="314"/>
      <c r="AK20" s="315"/>
      <c r="AL20" s="316"/>
      <c r="AM20" s="314"/>
      <c r="AN20" s="315"/>
      <c r="AO20" s="316"/>
      <c r="AP20" s="314"/>
      <c r="AQ20" s="315"/>
      <c r="AR20" s="315"/>
      <c r="AS20" s="315"/>
      <c r="AT20" s="316"/>
      <c r="AU20" s="314" t="s">
        <v>150</v>
      </c>
      <c r="AV20" s="315" t="s">
        <v>150</v>
      </c>
      <c r="AW20" s="315" t="s">
        <v>150</v>
      </c>
      <c r="AX20" s="315" t="s">
        <v>47</v>
      </c>
      <c r="AY20" s="315" t="s">
        <v>47</v>
      </c>
      <c r="AZ20" s="315" t="s">
        <v>149</v>
      </c>
      <c r="BA20" s="315" t="s">
        <v>148</v>
      </c>
      <c r="BB20" s="316" t="s">
        <v>150</v>
      </c>
      <c r="BC20" s="314" t="s">
        <v>147</v>
      </c>
      <c r="BD20" s="315" t="s">
        <v>149</v>
      </c>
      <c r="BE20" s="315"/>
      <c r="BF20" s="315" t="s">
        <v>148</v>
      </c>
      <c r="BG20" s="316"/>
      <c r="BH20" s="314"/>
      <c r="BI20" s="315" t="s">
        <v>148</v>
      </c>
      <c r="BJ20" s="316"/>
      <c r="BK20" s="314" t="s">
        <v>147</v>
      </c>
      <c r="BL20" s="315"/>
      <c r="BM20" s="315"/>
      <c r="BN20" s="316"/>
      <c r="BO20" s="314" t="s">
        <v>147</v>
      </c>
      <c r="BP20" s="315"/>
      <c r="BQ20" s="315" t="s">
        <v>147</v>
      </c>
      <c r="BR20" s="315"/>
      <c r="BS20" s="315"/>
      <c r="BT20" s="315" t="s">
        <v>148</v>
      </c>
      <c r="BU20" s="315" t="s">
        <v>150</v>
      </c>
      <c r="BV20" s="316"/>
      <c r="BW20" s="314" t="s">
        <v>148</v>
      </c>
      <c r="BX20" s="315" t="s">
        <v>148</v>
      </c>
      <c r="BY20" s="315" t="s">
        <v>150</v>
      </c>
      <c r="BZ20" s="315"/>
      <c r="CA20" s="315" t="s">
        <v>150</v>
      </c>
      <c r="CB20" s="316" t="s">
        <v>47</v>
      </c>
      <c r="CC20" s="314"/>
      <c r="CD20" s="315" t="s">
        <v>148</v>
      </c>
      <c r="CE20" s="316"/>
      <c r="CF20" s="314"/>
      <c r="CG20" s="315"/>
      <c r="CH20" s="315"/>
      <c r="CI20" s="317"/>
      <c r="CK20" s="236">
        <f t="shared" si="5"/>
        <v>2</v>
      </c>
      <c r="CL20" s="237">
        <f t="shared" si="6"/>
        <v>4</v>
      </c>
      <c r="CM20" s="237">
        <f t="shared" si="7"/>
        <v>7</v>
      </c>
      <c r="CN20" s="237">
        <f t="shared" si="8"/>
        <v>7</v>
      </c>
      <c r="CO20" s="238">
        <f t="shared" si="9"/>
        <v>3</v>
      </c>
      <c r="CQ20" s="236" t="str">
        <f>desired_skills(C20,"Specifieke Risico / IAM-kennis/Key Control Framework","o")</f>
        <v/>
      </c>
      <c r="CR20" s="237" t="str">
        <f>desired_skills(C20,"Specifieke Risico / IAM-kennis/Key Control Framework","j")</f>
        <v/>
      </c>
      <c r="CS20" s="237" t="str">
        <f>desired_skills(C20,"Specifieke Risico / IAM-kennis/Key Control Framework","m")</f>
        <v>13</v>
      </c>
      <c r="CT20" s="237" t="str">
        <f>desired_skills(C20,"Specifieke Risico / IAM-kennis/Key Control Framework","s")</f>
        <v/>
      </c>
      <c r="CU20" s="238" t="str">
        <f>desired_skills(C20,"Specifieke Risico / IAM-kennis/Key Control Framework","e")</f>
        <v/>
      </c>
      <c r="CW20" s="236" t="str">
        <f>calc_gap('Matrix 171007_1812'!$CK$20,'Matrix 171007_1812'!$CQ$20)</f>
        <v/>
      </c>
      <c r="CX20" s="237" t="str">
        <f>calc_gap('Matrix 171007_1812'!$CL$20,'Matrix 171007_1812'!$CR$20)</f>
        <v/>
      </c>
      <c r="CY20" s="237" t="str">
        <f>calc_gap('Matrix 171007_1812'!$CM$20,'Matrix 171007_1812'!$CS$20)</f>
        <v>6</v>
      </c>
      <c r="CZ20" s="237" t="str">
        <f>calc_gap('Matrix 171007_1812'!$CN$20,'Matrix 171007_1812'!$CT$20)</f>
        <v/>
      </c>
      <c r="DA20" s="238" t="str">
        <f>calc_gap('Matrix 171007_1812'!$CO$20,'Matrix 171007_1812'!$CU$20)</f>
        <v/>
      </c>
    </row>
    <row r="21" spans="2:105" x14ac:dyDescent="0.25">
      <c r="B21" s="435"/>
      <c r="C21" s="291" t="s">
        <v>65</v>
      </c>
      <c r="D21" s="314"/>
      <c r="E21" s="315"/>
      <c r="F21" s="315"/>
      <c r="G21" s="315"/>
      <c r="H21" s="315"/>
      <c r="I21" s="315"/>
      <c r="J21" s="315"/>
      <c r="K21" s="316"/>
      <c r="L21" s="314"/>
      <c r="M21" s="315"/>
      <c r="N21" s="315"/>
      <c r="O21" s="316"/>
      <c r="P21" s="314"/>
      <c r="Q21" s="315"/>
      <c r="R21" s="315"/>
      <c r="S21" s="315"/>
      <c r="T21" s="315"/>
      <c r="U21" s="315"/>
      <c r="V21" s="315"/>
      <c r="W21" s="315"/>
      <c r="X21" s="315"/>
      <c r="Y21" s="315"/>
      <c r="Z21" s="315"/>
      <c r="AA21" s="315"/>
      <c r="AB21" s="315"/>
      <c r="AC21" s="315"/>
      <c r="AD21" s="315"/>
      <c r="AE21" s="315"/>
      <c r="AF21" s="315"/>
      <c r="AG21" s="315"/>
      <c r="AH21" s="315"/>
      <c r="AI21" s="316"/>
      <c r="AJ21" s="314"/>
      <c r="AK21" s="315"/>
      <c r="AL21" s="316"/>
      <c r="AM21" s="314"/>
      <c r="AN21" s="315"/>
      <c r="AO21" s="316"/>
      <c r="AP21" s="314"/>
      <c r="AQ21" s="315"/>
      <c r="AR21" s="315"/>
      <c r="AS21" s="315"/>
      <c r="AT21" s="316"/>
      <c r="AU21" s="314" t="s">
        <v>148</v>
      </c>
      <c r="AV21" s="315" t="s">
        <v>148</v>
      </c>
      <c r="AW21" s="315" t="s">
        <v>148</v>
      </c>
      <c r="AX21" s="315" t="s">
        <v>147</v>
      </c>
      <c r="AY21" s="315" t="s">
        <v>147</v>
      </c>
      <c r="AZ21" s="315"/>
      <c r="BA21" s="315" t="s">
        <v>147</v>
      </c>
      <c r="BB21" s="316" t="s">
        <v>147</v>
      </c>
      <c r="BC21" s="314" t="s">
        <v>147</v>
      </c>
      <c r="BD21" s="315" t="s">
        <v>149</v>
      </c>
      <c r="BE21" s="315"/>
      <c r="BF21" s="315" t="s">
        <v>147</v>
      </c>
      <c r="BG21" s="316"/>
      <c r="BH21" s="314"/>
      <c r="BI21" s="315"/>
      <c r="BJ21" s="316"/>
      <c r="BK21" s="314"/>
      <c r="BL21" s="315" t="s">
        <v>150</v>
      </c>
      <c r="BM21" s="315"/>
      <c r="BN21" s="316" t="s">
        <v>147</v>
      </c>
      <c r="BO21" s="314"/>
      <c r="BP21" s="315"/>
      <c r="BQ21" s="315" t="s">
        <v>148</v>
      </c>
      <c r="BR21" s="315"/>
      <c r="BS21" s="315" t="s">
        <v>147</v>
      </c>
      <c r="BT21" s="315" t="s">
        <v>148</v>
      </c>
      <c r="BU21" s="315" t="s">
        <v>150</v>
      </c>
      <c r="BV21" s="316"/>
      <c r="BW21" s="314" t="s">
        <v>47</v>
      </c>
      <c r="BX21" s="315"/>
      <c r="BY21" s="315" t="s">
        <v>147</v>
      </c>
      <c r="BZ21" s="315"/>
      <c r="CA21" s="315" t="s">
        <v>150</v>
      </c>
      <c r="CB21" s="316" t="s">
        <v>147</v>
      </c>
      <c r="CC21" s="314"/>
      <c r="CD21" s="315" t="s">
        <v>147</v>
      </c>
      <c r="CE21" s="316"/>
      <c r="CF21" s="314"/>
      <c r="CG21" s="315"/>
      <c r="CH21" s="315"/>
      <c r="CI21" s="317"/>
      <c r="CK21" s="236">
        <f t="shared" si="5"/>
        <v>1</v>
      </c>
      <c r="CL21" s="237">
        <f t="shared" si="6"/>
        <v>11</v>
      </c>
      <c r="CM21" s="237">
        <f t="shared" si="7"/>
        <v>5</v>
      </c>
      <c r="CN21" s="237">
        <f t="shared" si="8"/>
        <v>3</v>
      </c>
      <c r="CO21" s="238">
        <f t="shared" si="9"/>
        <v>1</v>
      </c>
      <c r="CQ21" s="236" t="str">
        <f>desired_skills(C21,"Specifieke Risico / IAM-kennis/IT Security","o")</f>
        <v/>
      </c>
      <c r="CR21" s="237" t="str">
        <f>desired_skills(C21,"Specifieke Risico / IAM-kennis/IT Security","j")</f>
        <v/>
      </c>
      <c r="CS21" s="237" t="str">
        <f>desired_skills(C21,"Specifieke Risico / IAM-kennis/IT Security","m")</f>
        <v/>
      </c>
      <c r="CT21" s="237" t="str">
        <f>desired_skills(C21,"Specifieke Risico / IAM-kennis/IT Security","s")</f>
        <v>14</v>
      </c>
      <c r="CU21" s="238" t="str">
        <f>desired_skills(C21,"Specifieke Risico / IAM-kennis/IT Security","e")</f>
        <v/>
      </c>
      <c r="CW21" s="236" t="str">
        <f>calc_gap('Matrix 171007_1812'!$CK$21,'Matrix 171007_1812'!$CQ$21)</f>
        <v/>
      </c>
      <c r="CX21" s="237" t="str">
        <f>calc_gap('Matrix 171007_1812'!$CL$21,'Matrix 171007_1812'!$CR$21)</f>
        <v/>
      </c>
      <c r="CY21" s="237" t="str">
        <f>calc_gap('Matrix 171007_1812'!$CM$21,'Matrix 171007_1812'!$CS$21)</f>
        <v/>
      </c>
      <c r="CZ21" s="237" t="str">
        <f>calc_gap('Matrix 171007_1812'!$CN$21,'Matrix 171007_1812'!$CT$21)</f>
        <v>11</v>
      </c>
      <c r="DA21" s="238" t="str">
        <f>calc_gap('Matrix 171007_1812'!$CO$21,'Matrix 171007_1812'!$CU$21)</f>
        <v/>
      </c>
    </row>
    <row r="22" spans="2:105" x14ac:dyDescent="0.25">
      <c r="B22" s="435"/>
      <c r="C22" s="291" t="s">
        <v>66</v>
      </c>
      <c r="D22" s="314"/>
      <c r="E22" s="315"/>
      <c r="F22" s="315"/>
      <c r="G22" s="315"/>
      <c r="H22" s="315"/>
      <c r="I22" s="315"/>
      <c r="J22" s="315"/>
      <c r="K22" s="316"/>
      <c r="L22" s="314"/>
      <c r="M22" s="315"/>
      <c r="N22" s="315"/>
      <c r="O22" s="316"/>
      <c r="P22" s="314"/>
      <c r="Q22" s="315"/>
      <c r="R22" s="315"/>
      <c r="S22" s="315"/>
      <c r="T22" s="315"/>
      <c r="U22" s="315"/>
      <c r="V22" s="315"/>
      <c r="W22" s="315"/>
      <c r="X22" s="315"/>
      <c r="Y22" s="315"/>
      <c r="Z22" s="315"/>
      <c r="AA22" s="315"/>
      <c r="AB22" s="315"/>
      <c r="AC22" s="315"/>
      <c r="AD22" s="315"/>
      <c r="AE22" s="315"/>
      <c r="AF22" s="315"/>
      <c r="AG22" s="315"/>
      <c r="AH22" s="315"/>
      <c r="AI22" s="316"/>
      <c r="AJ22" s="314"/>
      <c r="AK22" s="315"/>
      <c r="AL22" s="316"/>
      <c r="AM22" s="314"/>
      <c r="AN22" s="315"/>
      <c r="AO22" s="316"/>
      <c r="AP22" s="314"/>
      <c r="AQ22" s="315"/>
      <c r="AR22" s="315"/>
      <c r="AS22" s="315"/>
      <c r="AT22" s="316"/>
      <c r="AU22" s="314" t="s">
        <v>47</v>
      </c>
      <c r="AV22" s="315" t="s">
        <v>150</v>
      </c>
      <c r="AW22" s="315" t="s">
        <v>148</v>
      </c>
      <c r="AX22" s="315" t="s">
        <v>150</v>
      </c>
      <c r="AY22" s="315" t="s">
        <v>147</v>
      </c>
      <c r="AZ22" s="315" t="s">
        <v>147</v>
      </c>
      <c r="BA22" s="315" t="s">
        <v>147</v>
      </c>
      <c r="BB22" s="316" t="s">
        <v>148</v>
      </c>
      <c r="BC22" s="314" t="s">
        <v>148</v>
      </c>
      <c r="BD22" s="315" t="s">
        <v>147</v>
      </c>
      <c r="BE22" s="315"/>
      <c r="BF22" s="315" t="s">
        <v>147</v>
      </c>
      <c r="BG22" s="316"/>
      <c r="BH22" s="314"/>
      <c r="BI22" s="315"/>
      <c r="BJ22" s="316"/>
      <c r="BK22" s="314" t="s">
        <v>147</v>
      </c>
      <c r="BL22" s="315"/>
      <c r="BM22" s="315"/>
      <c r="BN22" s="316" t="s">
        <v>149</v>
      </c>
      <c r="BO22" s="314" t="s">
        <v>147</v>
      </c>
      <c r="BP22" s="315"/>
      <c r="BQ22" s="315" t="s">
        <v>147</v>
      </c>
      <c r="BR22" s="315"/>
      <c r="BS22" s="315"/>
      <c r="BT22" s="315" t="s">
        <v>147</v>
      </c>
      <c r="BU22" s="315" t="s">
        <v>150</v>
      </c>
      <c r="BV22" s="316"/>
      <c r="BW22" s="314" t="s">
        <v>148</v>
      </c>
      <c r="BX22" s="315"/>
      <c r="BY22" s="315" t="s">
        <v>150</v>
      </c>
      <c r="BZ22" s="315" t="s">
        <v>47</v>
      </c>
      <c r="CA22" s="315" t="s">
        <v>150</v>
      </c>
      <c r="CB22" s="316" t="s">
        <v>150</v>
      </c>
      <c r="CC22" s="314"/>
      <c r="CD22" s="315" t="s">
        <v>147</v>
      </c>
      <c r="CE22" s="316"/>
      <c r="CF22" s="314"/>
      <c r="CG22" s="315"/>
      <c r="CH22" s="315"/>
      <c r="CI22" s="317"/>
      <c r="CK22" s="236">
        <f t="shared" si="5"/>
        <v>1</v>
      </c>
      <c r="CL22" s="237">
        <f t="shared" si="6"/>
        <v>10</v>
      </c>
      <c r="CM22" s="237">
        <f t="shared" si="7"/>
        <v>4</v>
      </c>
      <c r="CN22" s="237">
        <f t="shared" si="8"/>
        <v>6</v>
      </c>
      <c r="CO22" s="238">
        <f t="shared" si="9"/>
        <v>2</v>
      </c>
      <c r="CQ22" s="236" t="str">
        <f>desired_skills(C22,"Specifieke Risico / IAM-kennis/Cross domain","o")</f>
        <v/>
      </c>
      <c r="CR22" s="237" t="str">
        <f>desired_skills(C22,"Specifieke Risico / IAM-kennis/Cross domain","j")</f>
        <v/>
      </c>
      <c r="CS22" s="237" t="str">
        <f>desired_skills(C22,"Specifieke Risico / IAM-kennis/Cross domain","m")</f>
        <v/>
      </c>
      <c r="CT22" s="237" t="str">
        <f>desired_skills(C22,"Specifieke Risico / IAM-kennis/Cross domain","s")</f>
        <v/>
      </c>
      <c r="CU22" s="238" t="str">
        <f>desired_skills(C22,"Specifieke Risico / IAM-kennis/Cross domain","e")</f>
        <v>15</v>
      </c>
      <c r="CW22" s="236" t="str">
        <f>calc_gap('Matrix 171007_1812'!$CK$22,'Matrix 171007_1812'!$CQ$22)</f>
        <v/>
      </c>
      <c r="CX22" s="237" t="str">
        <f>calc_gap('Matrix 171007_1812'!$CL$22,'Matrix 171007_1812'!$CR$22)</f>
        <v/>
      </c>
      <c r="CY22" s="237" t="str">
        <f>calc_gap('Matrix 171007_1812'!$CM$22,'Matrix 171007_1812'!$CS$22)</f>
        <v/>
      </c>
      <c r="CZ22" s="237" t="str">
        <f>calc_gap('Matrix 171007_1812'!$CN$22,'Matrix 171007_1812'!$CT$22)</f>
        <v/>
      </c>
      <c r="DA22" s="238" t="str">
        <f>calc_gap('Matrix 171007_1812'!$CO$22,'Matrix 171007_1812'!$CU$22)</f>
        <v>13</v>
      </c>
    </row>
    <row r="23" spans="2:105" x14ac:dyDescent="0.25">
      <c r="B23" s="435"/>
      <c r="C23" s="291" t="s">
        <v>67</v>
      </c>
      <c r="D23" s="314"/>
      <c r="E23" s="315"/>
      <c r="F23" s="315"/>
      <c r="G23" s="315"/>
      <c r="H23" s="315"/>
      <c r="I23" s="315"/>
      <c r="J23" s="315"/>
      <c r="K23" s="316"/>
      <c r="L23" s="314"/>
      <c r="M23" s="315"/>
      <c r="N23" s="315"/>
      <c r="O23" s="316"/>
      <c r="P23" s="314"/>
      <c r="Q23" s="315"/>
      <c r="R23" s="315"/>
      <c r="S23" s="315"/>
      <c r="T23" s="315"/>
      <c r="U23" s="315"/>
      <c r="V23" s="315"/>
      <c r="W23" s="315"/>
      <c r="X23" s="315"/>
      <c r="Y23" s="315"/>
      <c r="Z23" s="315"/>
      <c r="AA23" s="315"/>
      <c r="AB23" s="315"/>
      <c r="AC23" s="315"/>
      <c r="AD23" s="315"/>
      <c r="AE23" s="315"/>
      <c r="AF23" s="315"/>
      <c r="AG23" s="315"/>
      <c r="AH23" s="315"/>
      <c r="AI23" s="316"/>
      <c r="AJ23" s="314"/>
      <c r="AK23" s="315"/>
      <c r="AL23" s="316"/>
      <c r="AM23" s="314"/>
      <c r="AN23" s="315"/>
      <c r="AO23" s="316"/>
      <c r="AP23" s="314"/>
      <c r="AQ23" s="315"/>
      <c r="AR23" s="315"/>
      <c r="AS23" s="315"/>
      <c r="AT23" s="316"/>
      <c r="AU23" s="314" t="s">
        <v>148</v>
      </c>
      <c r="AV23" s="315" t="s">
        <v>148</v>
      </c>
      <c r="AW23" s="315" t="s">
        <v>148</v>
      </c>
      <c r="AX23" s="315" t="s">
        <v>148</v>
      </c>
      <c r="AY23" s="315" t="s">
        <v>150</v>
      </c>
      <c r="AZ23" s="315"/>
      <c r="BA23" s="315"/>
      <c r="BB23" s="316" t="s">
        <v>148</v>
      </c>
      <c r="BC23" s="314" t="s">
        <v>148</v>
      </c>
      <c r="BD23" s="315" t="s">
        <v>147</v>
      </c>
      <c r="BE23" s="315"/>
      <c r="BF23" s="315" t="s">
        <v>147</v>
      </c>
      <c r="BG23" s="316"/>
      <c r="BH23" s="314"/>
      <c r="BI23" s="315"/>
      <c r="BJ23" s="316"/>
      <c r="BK23" s="314"/>
      <c r="BL23" s="315"/>
      <c r="BM23" s="315"/>
      <c r="BN23" s="316"/>
      <c r="BO23" s="314"/>
      <c r="BP23" s="315"/>
      <c r="BQ23" s="315" t="s">
        <v>148</v>
      </c>
      <c r="BR23" s="315"/>
      <c r="BS23" s="315"/>
      <c r="BT23" s="315" t="s">
        <v>147</v>
      </c>
      <c r="BU23" s="315" t="s">
        <v>150</v>
      </c>
      <c r="BV23" s="316"/>
      <c r="BW23" s="314" t="s">
        <v>150</v>
      </c>
      <c r="BX23" s="315"/>
      <c r="BY23" s="315" t="s">
        <v>148</v>
      </c>
      <c r="BZ23" s="315" t="s">
        <v>150</v>
      </c>
      <c r="CA23" s="315" t="s">
        <v>150</v>
      </c>
      <c r="CB23" s="316" t="s">
        <v>148</v>
      </c>
      <c r="CC23" s="314"/>
      <c r="CD23" s="315" t="s">
        <v>147</v>
      </c>
      <c r="CE23" s="316"/>
      <c r="CF23" s="314"/>
      <c r="CG23" s="315"/>
      <c r="CH23" s="315"/>
      <c r="CI23" s="317"/>
      <c r="CK23" s="236" t="str">
        <f t="shared" si="5"/>
        <v/>
      </c>
      <c r="CL23" s="237">
        <f t="shared" si="6"/>
        <v>4</v>
      </c>
      <c r="CM23" s="237">
        <f t="shared" si="7"/>
        <v>9</v>
      </c>
      <c r="CN23" s="237">
        <f t="shared" si="8"/>
        <v>5</v>
      </c>
      <c r="CO23" s="238" t="str">
        <f t="shared" si="9"/>
        <v/>
      </c>
      <c r="CQ23" s="236" t="str">
        <f>desired_skills(C23,"Specifieke Risico / IAM-kennis/FSE's","o")</f>
        <v/>
      </c>
      <c r="CR23" s="237" t="str">
        <f>desired_skills(C23,"Specifieke Risico / IAM-kennis/FSE's","j")</f>
        <v/>
      </c>
      <c r="CS23" s="237" t="str">
        <f>desired_skills(C23,"Specifieke Risico / IAM-kennis/FSE's","m")</f>
        <v/>
      </c>
      <c r="CT23" s="237" t="str">
        <f>desired_skills(C23,"Specifieke Risico / IAM-kennis/FSE's","s")</f>
        <v/>
      </c>
      <c r="CU23" s="238" t="str">
        <f>desired_skills(C23,"Specifieke Risico / IAM-kennis/FSE's","e")</f>
        <v/>
      </c>
      <c r="CW23" s="236" t="str">
        <f>calc_gap('Matrix 171007_1812'!$CK$23,'Matrix 171007_1812'!$CQ$23)</f>
        <v/>
      </c>
      <c r="CX23" s="237" t="str">
        <f>calc_gap('Matrix 171007_1812'!$CL$23,'Matrix 171007_1812'!$CR$23)</f>
        <v/>
      </c>
      <c r="CY23" s="237" t="str">
        <f>calc_gap('Matrix 171007_1812'!$CM$23,'Matrix 171007_1812'!$CS$23)</f>
        <v/>
      </c>
      <c r="CZ23" s="237" t="str">
        <f>calc_gap('Matrix 171007_1812'!$CN$23,'Matrix 171007_1812'!$CT$23)</f>
        <v/>
      </c>
      <c r="DA23" s="238" t="str">
        <f>calc_gap('Matrix 171007_1812'!$CO$23,'Matrix 171007_1812'!$CU$23)</f>
        <v/>
      </c>
    </row>
    <row r="24" spans="2:105" x14ac:dyDescent="0.25">
      <c r="B24" s="435"/>
      <c r="C24" s="291" t="s">
        <v>68</v>
      </c>
      <c r="D24" s="314"/>
      <c r="E24" s="315"/>
      <c r="F24" s="315"/>
      <c r="G24" s="315"/>
      <c r="H24" s="315"/>
      <c r="I24" s="315"/>
      <c r="J24" s="315"/>
      <c r="K24" s="316"/>
      <c r="L24" s="314"/>
      <c r="M24" s="315"/>
      <c r="N24" s="315"/>
      <c r="O24" s="316"/>
      <c r="P24" s="314"/>
      <c r="Q24" s="315"/>
      <c r="R24" s="315"/>
      <c r="S24" s="315"/>
      <c r="T24" s="315"/>
      <c r="U24" s="315"/>
      <c r="V24" s="315"/>
      <c r="W24" s="315"/>
      <c r="X24" s="315"/>
      <c r="Y24" s="315"/>
      <c r="Z24" s="315"/>
      <c r="AA24" s="315"/>
      <c r="AB24" s="315"/>
      <c r="AC24" s="315"/>
      <c r="AD24" s="315"/>
      <c r="AE24" s="315"/>
      <c r="AF24" s="315"/>
      <c r="AG24" s="315"/>
      <c r="AH24" s="315"/>
      <c r="AI24" s="316"/>
      <c r="AJ24" s="314"/>
      <c r="AK24" s="315"/>
      <c r="AL24" s="316"/>
      <c r="AM24" s="314"/>
      <c r="AN24" s="315"/>
      <c r="AO24" s="316"/>
      <c r="AP24" s="314"/>
      <c r="AQ24" s="315"/>
      <c r="AR24" s="315"/>
      <c r="AS24" s="315"/>
      <c r="AT24" s="316"/>
      <c r="AU24" s="314" t="s">
        <v>148</v>
      </c>
      <c r="AV24" s="315" t="s">
        <v>148</v>
      </c>
      <c r="AW24" s="315" t="s">
        <v>150</v>
      </c>
      <c r="AX24" s="315" t="s">
        <v>47</v>
      </c>
      <c r="AY24" s="315" t="s">
        <v>150</v>
      </c>
      <c r="AZ24" s="315"/>
      <c r="BA24" s="315"/>
      <c r="BB24" s="316" t="s">
        <v>150</v>
      </c>
      <c r="BC24" s="314" t="s">
        <v>147</v>
      </c>
      <c r="BD24" s="315"/>
      <c r="BE24" s="315"/>
      <c r="BF24" s="315" t="s">
        <v>147</v>
      </c>
      <c r="BG24" s="316"/>
      <c r="BH24" s="314"/>
      <c r="BI24" s="315"/>
      <c r="BJ24" s="316"/>
      <c r="BK24" s="314" t="s">
        <v>150</v>
      </c>
      <c r="BL24" s="315" t="s">
        <v>147</v>
      </c>
      <c r="BM24" s="315"/>
      <c r="BN24" s="316" t="s">
        <v>149</v>
      </c>
      <c r="BO24" s="314" t="s">
        <v>148</v>
      </c>
      <c r="BP24" s="315" t="s">
        <v>47</v>
      </c>
      <c r="BQ24" s="315" t="s">
        <v>147</v>
      </c>
      <c r="BR24" s="315"/>
      <c r="BS24" s="315" t="s">
        <v>148</v>
      </c>
      <c r="BT24" s="315" t="s">
        <v>147</v>
      </c>
      <c r="BU24" s="315" t="s">
        <v>150</v>
      </c>
      <c r="BV24" s="316"/>
      <c r="BW24" s="314" t="s">
        <v>150</v>
      </c>
      <c r="BX24" s="315"/>
      <c r="BY24" s="315" t="s">
        <v>148</v>
      </c>
      <c r="BZ24" s="315" t="s">
        <v>47</v>
      </c>
      <c r="CA24" s="315" t="s">
        <v>148</v>
      </c>
      <c r="CB24" s="316" t="s">
        <v>148</v>
      </c>
      <c r="CC24" s="314"/>
      <c r="CD24" s="315" t="s">
        <v>148</v>
      </c>
      <c r="CE24" s="316"/>
      <c r="CF24" s="314"/>
      <c r="CG24" s="315"/>
      <c r="CH24" s="315"/>
      <c r="CI24" s="317"/>
      <c r="CK24" s="236">
        <f t="shared" si="5"/>
        <v>1</v>
      </c>
      <c r="CL24" s="237">
        <f t="shared" si="6"/>
        <v>5</v>
      </c>
      <c r="CM24" s="237">
        <f t="shared" si="7"/>
        <v>8</v>
      </c>
      <c r="CN24" s="237">
        <f t="shared" si="8"/>
        <v>6</v>
      </c>
      <c r="CO24" s="238">
        <f t="shared" si="9"/>
        <v>3</v>
      </c>
      <c r="CQ24" s="236" t="str">
        <f>desired_skills(C24,"Specifieke Risico / IAM-kennis/Toerusten","o")</f>
        <v/>
      </c>
      <c r="CR24" s="237" t="str">
        <f>desired_skills(C24,"Specifieke Risico / IAM-kennis/Toerusten","j")</f>
        <v/>
      </c>
      <c r="CS24" s="237" t="str">
        <f>desired_skills(C24,"Specifieke Risico / IAM-kennis/Toerusten","m")</f>
        <v/>
      </c>
      <c r="CT24" s="237" t="str">
        <f>desired_skills(C24,"Specifieke Risico / IAM-kennis/Toerusten","s")</f>
        <v/>
      </c>
      <c r="CU24" s="238" t="str">
        <f>desired_skills(C24,"Specifieke Risico / IAM-kennis/Toerusten","e")</f>
        <v/>
      </c>
      <c r="CW24" s="236" t="str">
        <f>calc_gap('Matrix 171007_1812'!$CK$24,'Matrix 171007_1812'!$CQ$24)</f>
        <v/>
      </c>
      <c r="CX24" s="237" t="str">
        <f>calc_gap('Matrix 171007_1812'!$CL$24,'Matrix 171007_1812'!$CR$24)</f>
        <v/>
      </c>
      <c r="CY24" s="237" t="str">
        <f>calc_gap('Matrix 171007_1812'!$CM$24,'Matrix 171007_1812'!$CS$24)</f>
        <v/>
      </c>
      <c r="CZ24" s="237" t="str">
        <f>calc_gap('Matrix 171007_1812'!$CN$24,'Matrix 171007_1812'!$CT$24)</f>
        <v/>
      </c>
      <c r="DA24" s="238" t="str">
        <f>calc_gap('Matrix 171007_1812'!$CO$24,'Matrix 171007_1812'!$CU$24)</f>
        <v/>
      </c>
    </row>
    <row r="25" spans="2:105" x14ac:dyDescent="0.25">
      <c r="B25" s="435"/>
      <c r="C25" s="291" t="s">
        <v>69</v>
      </c>
      <c r="D25" s="314"/>
      <c r="E25" s="315"/>
      <c r="F25" s="315"/>
      <c r="G25" s="315"/>
      <c r="H25" s="315"/>
      <c r="I25" s="315"/>
      <c r="J25" s="315"/>
      <c r="K25" s="316"/>
      <c r="L25" s="314"/>
      <c r="M25" s="315"/>
      <c r="N25" s="315"/>
      <c r="O25" s="316"/>
      <c r="P25" s="314"/>
      <c r="Q25" s="315"/>
      <c r="R25" s="315"/>
      <c r="S25" s="315"/>
      <c r="T25" s="315"/>
      <c r="U25" s="315"/>
      <c r="V25" s="315"/>
      <c r="W25" s="315"/>
      <c r="X25" s="315"/>
      <c r="Y25" s="315"/>
      <c r="Z25" s="315"/>
      <c r="AA25" s="315"/>
      <c r="AB25" s="315"/>
      <c r="AC25" s="315"/>
      <c r="AD25" s="315"/>
      <c r="AE25" s="315"/>
      <c r="AF25" s="315"/>
      <c r="AG25" s="315"/>
      <c r="AH25" s="315"/>
      <c r="AI25" s="316"/>
      <c r="AJ25" s="314"/>
      <c r="AK25" s="315"/>
      <c r="AL25" s="316"/>
      <c r="AM25" s="314"/>
      <c r="AN25" s="315"/>
      <c r="AO25" s="316"/>
      <c r="AP25" s="314"/>
      <c r="AQ25" s="315"/>
      <c r="AR25" s="315"/>
      <c r="AS25" s="315"/>
      <c r="AT25" s="316"/>
      <c r="AU25" s="314" t="s">
        <v>148</v>
      </c>
      <c r="AV25" s="315" t="s">
        <v>148</v>
      </c>
      <c r="AW25" s="315" t="s">
        <v>148</v>
      </c>
      <c r="AX25" s="315" t="s">
        <v>150</v>
      </c>
      <c r="AY25" s="315" t="s">
        <v>150</v>
      </c>
      <c r="AZ25" s="315"/>
      <c r="BA25" s="315"/>
      <c r="BB25" s="316" t="s">
        <v>148</v>
      </c>
      <c r="BC25" s="314" t="s">
        <v>147</v>
      </c>
      <c r="BD25" s="315"/>
      <c r="BE25" s="315"/>
      <c r="BF25" s="315" t="s">
        <v>147</v>
      </c>
      <c r="BG25" s="316"/>
      <c r="BH25" s="314"/>
      <c r="BI25" s="315"/>
      <c r="BJ25" s="316"/>
      <c r="BK25" s="314" t="s">
        <v>147</v>
      </c>
      <c r="BL25" s="315" t="s">
        <v>147</v>
      </c>
      <c r="BM25" s="315"/>
      <c r="BN25" s="316" t="s">
        <v>147</v>
      </c>
      <c r="BO25" s="314"/>
      <c r="BP25" s="315" t="s">
        <v>150</v>
      </c>
      <c r="BQ25" s="315" t="s">
        <v>147</v>
      </c>
      <c r="BR25" s="315"/>
      <c r="BS25" s="315"/>
      <c r="BT25" s="315" t="s">
        <v>147</v>
      </c>
      <c r="BU25" s="315" t="s">
        <v>150</v>
      </c>
      <c r="BV25" s="316"/>
      <c r="BW25" s="314" t="s">
        <v>148</v>
      </c>
      <c r="BX25" s="315"/>
      <c r="BY25" s="315" t="s">
        <v>147</v>
      </c>
      <c r="BZ25" s="315" t="s">
        <v>150</v>
      </c>
      <c r="CA25" s="315" t="s">
        <v>147</v>
      </c>
      <c r="CB25" s="316" t="s">
        <v>147</v>
      </c>
      <c r="CC25" s="314"/>
      <c r="CD25" s="315" t="s">
        <v>147</v>
      </c>
      <c r="CE25" s="316"/>
      <c r="CF25" s="314"/>
      <c r="CG25" s="315"/>
      <c r="CH25" s="315"/>
      <c r="CI25" s="317"/>
      <c r="CK25" s="236" t="str">
        <f t="shared" si="5"/>
        <v/>
      </c>
      <c r="CL25" s="237">
        <f t="shared" si="6"/>
        <v>11</v>
      </c>
      <c r="CM25" s="237">
        <f t="shared" si="7"/>
        <v>5</v>
      </c>
      <c r="CN25" s="237">
        <f t="shared" si="8"/>
        <v>5</v>
      </c>
      <c r="CO25" s="238" t="str">
        <f t="shared" si="9"/>
        <v/>
      </c>
      <c r="CQ25" s="236" t="str">
        <f>desired_skills(C25,"Specifieke Risico / IAM-kennis/Authenthiseren","o")</f>
        <v/>
      </c>
      <c r="CR25" s="237" t="str">
        <f>desired_skills(C25,"Specifieke Risico / IAM-kennis/Authenthiseren","j")</f>
        <v/>
      </c>
      <c r="CS25" s="237" t="str">
        <f>desired_skills(C25,"Specifieke Risico / IAM-kennis/Authenthiseren","m")</f>
        <v/>
      </c>
      <c r="CT25" s="237" t="str">
        <f>desired_skills(C25,"Specifieke Risico / IAM-kennis/Authenthiseren","s")</f>
        <v/>
      </c>
      <c r="CU25" s="238" t="str">
        <f>desired_skills(C25,"Specifieke Risico / IAM-kennis/Authenthiseren","e")</f>
        <v/>
      </c>
      <c r="CW25" s="236" t="str">
        <f>calc_gap('Matrix 171007_1812'!$CK$25,'Matrix 171007_1812'!$CQ$25)</f>
        <v/>
      </c>
      <c r="CX25" s="237" t="str">
        <f>calc_gap('Matrix 171007_1812'!$CL$25,'Matrix 171007_1812'!$CR$25)</f>
        <v/>
      </c>
      <c r="CY25" s="237" t="str">
        <f>calc_gap('Matrix 171007_1812'!$CM$25,'Matrix 171007_1812'!$CS$25)</f>
        <v/>
      </c>
      <c r="CZ25" s="237" t="str">
        <f>calc_gap('Matrix 171007_1812'!$CN$25,'Matrix 171007_1812'!$CT$25)</f>
        <v/>
      </c>
      <c r="DA25" s="238" t="str">
        <f>calc_gap('Matrix 171007_1812'!$CO$25,'Matrix 171007_1812'!$CU$25)</f>
        <v/>
      </c>
    </row>
    <row r="26" spans="2:105" ht="15.75" thickBot="1" x14ac:dyDescent="0.3">
      <c r="B26" s="435"/>
      <c r="C26" s="292" t="s">
        <v>75</v>
      </c>
      <c r="D26" s="318"/>
      <c r="E26" s="319"/>
      <c r="F26" s="319"/>
      <c r="G26" s="319"/>
      <c r="H26" s="319"/>
      <c r="I26" s="319"/>
      <c r="J26" s="319"/>
      <c r="K26" s="320"/>
      <c r="L26" s="318"/>
      <c r="M26" s="319"/>
      <c r="N26" s="319"/>
      <c r="O26" s="320"/>
      <c r="P26" s="318"/>
      <c r="Q26" s="319"/>
      <c r="R26" s="319"/>
      <c r="S26" s="319"/>
      <c r="T26" s="319"/>
      <c r="U26" s="319"/>
      <c r="V26" s="319"/>
      <c r="W26" s="319"/>
      <c r="X26" s="319"/>
      <c r="Y26" s="319"/>
      <c r="Z26" s="319"/>
      <c r="AA26" s="319"/>
      <c r="AB26" s="319"/>
      <c r="AC26" s="319"/>
      <c r="AD26" s="319"/>
      <c r="AE26" s="319"/>
      <c r="AF26" s="319"/>
      <c r="AG26" s="319"/>
      <c r="AH26" s="319"/>
      <c r="AI26" s="320"/>
      <c r="AJ26" s="318"/>
      <c r="AK26" s="319"/>
      <c r="AL26" s="320"/>
      <c r="AM26" s="318"/>
      <c r="AN26" s="319"/>
      <c r="AO26" s="320"/>
      <c r="AP26" s="318"/>
      <c r="AQ26" s="319"/>
      <c r="AR26" s="319"/>
      <c r="AS26" s="319"/>
      <c r="AT26" s="320"/>
      <c r="AU26" s="318" t="s">
        <v>148</v>
      </c>
      <c r="AV26" s="319" t="s">
        <v>47</v>
      </c>
      <c r="AW26" s="319" t="s">
        <v>150</v>
      </c>
      <c r="AX26" s="319" t="s">
        <v>150</v>
      </c>
      <c r="AY26" s="319" t="s">
        <v>150</v>
      </c>
      <c r="AZ26" s="319"/>
      <c r="BA26" s="319" t="s">
        <v>150</v>
      </c>
      <c r="BB26" s="320" t="s">
        <v>150</v>
      </c>
      <c r="BC26" s="318" t="s">
        <v>147</v>
      </c>
      <c r="BD26" s="319"/>
      <c r="BE26" s="319"/>
      <c r="BF26" s="319" t="s">
        <v>147</v>
      </c>
      <c r="BG26" s="320"/>
      <c r="BH26" s="318"/>
      <c r="BI26" s="319" t="s">
        <v>147</v>
      </c>
      <c r="BJ26" s="320"/>
      <c r="BK26" s="318" t="s">
        <v>148</v>
      </c>
      <c r="BL26" s="319" t="s">
        <v>148</v>
      </c>
      <c r="BM26" s="319"/>
      <c r="BN26" s="320" t="s">
        <v>147</v>
      </c>
      <c r="BO26" s="318" t="s">
        <v>150</v>
      </c>
      <c r="BP26" s="319"/>
      <c r="BQ26" s="319" t="s">
        <v>150</v>
      </c>
      <c r="BR26" s="319"/>
      <c r="BS26" s="319" t="s">
        <v>147</v>
      </c>
      <c r="BT26" s="319" t="s">
        <v>47</v>
      </c>
      <c r="BU26" s="319" t="s">
        <v>47</v>
      </c>
      <c r="BV26" s="320"/>
      <c r="BW26" s="318" t="s">
        <v>47</v>
      </c>
      <c r="BX26" s="319" t="s">
        <v>148</v>
      </c>
      <c r="BY26" s="319" t="s">
        <v>47</v>
      </c>
      <c r="BZ26" s="319" t="s">
        <v>150</v>
      </c>
      <c r="CA26" s="319" t="s">
        <v>47</v>
      </c>
      <c r="CB26" s="320" t="s">
        <v>47</v>
      </c>
      <c r="CC26" s="318"/>
      <c r="CD26" s="319" t="s">
        <v>148</v>
      </c>
      <c r="CE26" s="320"/>
      <c r="CF26" s="318"/>
      <c r="CG26" s="319"/>
      <c r="CH26" s="319"/>
      <c r="CI26" s="321"/>
      <c r="CK26" s="239" t="str">
        <f t="shared" si="5"/>
        <v/>
      </c>
      <c r="CL26" s="240">
        <f t="shared" si="6"/>
        <v>5</v>
      </c>
      <c r="CM26" s="240">
        <f t="shared" si="7"/>
        <v>5</v>
      </c>
      <c r="CN26" s="240">
        <f t="shared" si="8"/>
        <v>8</v>
      </c>
      <c r="CO26" s="241">
        <f t="shared" si="9"/>
        <v>7</v>
      </c>
      <c r="CQ26" s="239" t="str">
        <f>desired_skills(C26,"Specifieke Risico / IAM-kennis/Rolmodellen (RBAC)","o")</f>
        <v/>
      </c>
      <c r="CR26" s="240" t="str">
        <f>desired_skills(C26,"Specifieke Risico / IAM-kennis/Rolmodellen (RBAC)","j")</f>
        <v/>
      </c>
      <c r="CS26" s="240" t="str">
        <f>desired_skills(C26,"Specifieke Risico / IAM-kennis/Rolmodellen (RBAC)","m")</f>
        <v/>
      </c>
      <c r="CT26" s="240" t="str">
        <f>desired_skills(C26,"Specifieke Risico / IAM-kennis/Rolmodellen (RBAC)","s")</f>
        <v/>
      </c>
      <c r="CU26" s="241" t="str">
        <f>desired_skills(C26,"Specifieke Risico / IAM-kennis/Rolmodellen (RBAC)","e")</f>
        <v/>
      </c>
      <c r="CW26" s="239" t="str">
        <f>calc_gap('Matrix 171007_1812'!$CK$26,'Matrix 171007_1812'!$CQ$26)</f>
        <v/>
      </c>
      <c r="CX26" s="240" t="str">
        <f>calc_gap('Matrix 171007_1812'!$CL$26,'Matrix 171007_1812'!$CR$26)</f>
        <v/>
      </c>
      <c r="CY26" s="240" t="str">
        <f>calc_gap('Matrix 171007_1812'!$CM$26,'Matrix 171007_1812'!$CS$26)</f>
        <v/>
      </c>
      <c r="CZ26" s="240" t="str">
        <f>calc_gap('Matrix 171007_1812'!$CN$26,'Matrix 171007_1812'!$CT$26)</f>
        <v/>
      </c>
      <c r="DA26" s="241" t="str">
        <f>calc_gap('Matrix 171007_1812'!$CO$26,'Matrix 171007_1812'!$CU$26)</f>
        <v/>
      </c>
    </row>
    <row r="27" spans="2:105" ht="12.75" customHeight="1" thickTop="1" thickBot="1" x14ac:dyDescent="0.3">
      <c r="B27" s="436"/>
      <c r="C27" s="248"/>
      <c r="D27" s="322"/>
      <c r="E27" s="322"/>
      <c r="F27" s="322"/>
      <c r="G27" s="322"/>
      <c r="H27" s="322"/>
      <c r="I27" s="322"/>
      <c r="J27" s="322"/>
      <c r="K27" s="322"/>
      <c r="L27" s="322"/>
      <c r="M27" s="322"/>
      <c r="N27" s="322"/>
      <c r="O27" s="322"/>
      <c r="P27" s="322"/>
      <c r="Q27" s="322"/>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K27" s="249"/>
      <c r="CL27" s="249"/>
      <c r="CM27" s="249"/>
      <c r="CN27" s="249"/>
      <c r="CO27" s="249"/>
      <c r="CQ27" s="249"/>
      <c r="CR27" s="249"/>
      <c r="CS27" s="249"/>
      <c r="CT27" s="249"/>
      <c r="CU27" s="249"/>
      <c r="CW27" s="249"/>
      <c r="CX27" s="249"/>
      <c r="CY27" s="249"/>
      <c r="CZ27" s="249"/>
      <c r="DA27" s="249"/>
    </row>
    <row r="28" spans="2:105" ht="15.75" thickTop="1" x14ac:dyDescent="0.25">
      <c r="B28" s="434" t="s">
        <v>70</v>
      </c>
      <c r="C28" s="290" t="s">
        <v>71</v>
      </c>
      <c r="D28" s="310"/>
      <c r="E28" s="311"/>
      <c r="F28" s="311"/>
      <c r="G28" s="311"/>
      <c r="H28" s="311"/>
      <c r="I28" s="311"/>
      <c r="J28" s="311"/>
      <c r="K28" s="312"/>
      <c r="L28" s="310"/>
      <c r="M28" s="311"/>
      <c r="N28" s="311"/>
      <c r="O28" s="312"/>
      <c r="P28" s="310"/>
      <c r="Q28" s="311"/>
      <c r="R28" s="311"/>
      <c r="S28" s="311"/>
      <c r="T28" s="311"/>
      <c r="U28" s="311"/>
      <c r="V28" s="311"/>
      <c r="W28" s="311"/>
      <c r="X28" s="311"/>
      <c r="Y28" s="311"/>
      <c r="Z28" s="311"/>
      <c r="AA28" s="311"/>
      <c r="AB28" s="311"/>
      <c r="AC28" s="311"/>
      <c r="AD28" s="311"/>
      <c r="AE28" s="311"/>
      <c r="AF28" s="311"/>
      <c r="AG28" s="311"/>
      <c r="AH28" s="311"/>
      <c r="AI28" s="312"/>
      <c r="AJ28" s="310"/>
      <c r="AK28" s="311"/>
      <c r="AL28" s="312"/>
      <c r="AM28" s="310"/>
      <c r="AN28" s="311"/>
      <c r="AO28" s="312"/>
      <c r="AP28" s="310"/>
      <c r="AQ28" s="311"/>
      <c r="AR28" s="311"/>
      <c r="AS28" s="311"/>
      <c r="AT28" s="312"/>
      <c r="AU28" s="310" t="s">
        <v>148</v>
      </c>
      <c r="AV28" s="311" t="s">
        <v>150</v>
      </c>
      <c r="AW28" s="311" t="s">
        <v>150</v>
      </c>
      <c r="AX28" s="311" t="s">
        <v>150</v>
      </c>
      <c r="AY28" s="311" t="s">
        <v>150</v>
      </c>
      <c r="AZ28" s="311" t="s">
        <v>148</v>
      </c>
      <c r="BA28" s="311" t="s">
        <v>148</v>
      </c>
      <c r="BB28" s="312" t="s">
        <v>47</v>
      </c>
      <c r="BC28" s="310" t="s">
        <v>148</v>
      </c>
      <c r="BD28" s="311" t="s">
        <v>148</v>
      </c>
      <c r="BE28" s="311"/>
      <c r="BF28" s="311" t="s">
        <v>150</v>
      </c>
      <c r="BG28" s="312"/>
      <c r="BH28" s="310"/>
      <c r="BI28" s="311" t="s">
        <v>148</v>
      </c>
      <c r="BJ28" s="312"/>
      <c r="BK28" s="310" t="s">
        <v>147</v>
      </c>
      <c r="BL28" s="311" t="s">
        <v>150</v>
      </c>
      <c r="BM28" s="311"/>
      <c r="BN28" s="312" t="s">
        <v>149</v>
      </c>
      <c r="BO28" s="310" t="s">
        <v>147</v>
      </c>
      <c r="BP28" s="311" t="s">
        <v>150</v>
      </c>
      <c r="BQ28" s="311" t="s">
        <v>147</v>
      </c>
      <c r="BR28" s="311"/>
      <c r="BS28" s="311"/>
      <c r="BT28" s="311" t="s">
        <v>150</v>
      </c>
      <c r="BU28" s="311" t="s">
        <v>148</v>
      </c>
      <c r="BV28" s="312"/>
      <c r="BW28" s="310" t="s">
        <v>148</v>
      </c>
      <c r="BX28" s="311" t="s">
        <v>148</v>
      </c>
      <c r="BY28" s="311" t="s">
        <v>150</v>
      </c>
      <c r="BZ28" s="311" t="s">
        <v>150</v>
      </c>
      <c r="CA28" s="311" t="s">
        <v>150</v>
      </c>
      <c r="CB28" s="312" t="s">
        <v>150</v>
      </c>
      <c r="CC28" s="310" t="s">
        <v>147</v>
      </c>
      <c r="CD28" s="311" t="s">
        <v>148</v>
      </c>
      <c r="CE28" s="312"/>
      <c r="CF28" s="310"/>
      <c r="CG28" s="311"/>
      <c r="CH28" s="311"/>
      <c r="CI28" s="313"/>
      <c r="CK28" s="233">
        <f t="shared" ref="CK28:CK37" si="10">IF(COUNTIF(D28:CI28,"o")&gt;0,COUNTIF(D28:CI28,"o"),"")</f>
        <v>1</v>
      </c>
      <c r="CL28" s="234">
        <f t="shared" ref="CL28:CL37" si="11">IF(COUNTIF(D28:CI28,"j")&gt;0,COUNTIF(D28:CI28,"j"),"")</f>
        <v>4</v>
      </c>
      <c r="CM28" s="234">
        <f t="shared" ref="CM28:CM37" si="12">IF(COUNTIF(D28:CI28,"m")&gt;0,COUNTIF(D28:CI28,"m"),"")</f>
        <v>10</v>
      </c>
      <c r="CN28" s="234">
        <f t="shared" ref="CN28:CN37" si="13">IF(COUNTIF(D28:CI28,"s")&gt;0,COUNTIF(D28:CI28,"s"),"")</f>
        <v>12</v>
      </c>
      <c r="CO28" s="235">
        <f t="shared" ref="CO28:CO37" si="14">IF(COUNTIF(D28:CI28,"e")&gt;0,COUNTIF(D28:CI28,"e"),"")</f>
        <v>1</v>
      </c>
      <c r="CQ28" s="233" t="str">
        <f>desired_skills(C28,"Methodieken/Lean","o")</f>
        <v>16</v>
      </c>
      <c r="CR28" s="234" t="str">
        <f>desired_skills(C28,"Methodieken/Lean","j")</f>
        <v/>
      </c>
      <c r="CS28" s="234" t="str">
        <f>desired_skills(C28,"Methodieken/Lean","m")</f>
        <v/>
      </c>
      <c r="CT28" s="234" t="str">
        <f>desired_skills(C28,"Methodieken/Lean","s")</f>
        <v/>
      </c>
      <c r="CU28" s="235" t="str">
        <f>desired_skills(C28,"Methodieken/Lean","e")</f>
        <v/>
      </c>
      <c r="CW28" s="233" t="str">
        <f>calc_gap('Matrix 171007_1812'!$CK$28,'Matrix 171007_1812'!$CQ$28)</f>
        <v>15</v>
      </c>
      <c r="CX28" s="234" t="str">
        <f>calc_gap('Matrix 171007_1812'!$CL$28,'Matrix 171007_1812'!$CR$28)</f>
        <v/>
      </c>
      <c r="CY28" s="234" t="str">
        <f>calc_gap('Matrix 171007_1812'!$CM$28,'Matrix 171007_1812'!$CS$28)</f>
        <v/>
      </c>
      <c r="CZ28" s="234" t="str">
        <f>calc_gap('Matrix 171007_1812'!$CN$28,'Matrix 171007_1812'!$CT$28)</f>
        <v/>
      </c>
      <c r="DA28" s="235" t="str">
        <f>calc_gap('Matrix 171007_1812'!$CO$28,'Matrix 171007_1812'!$CU$28)</f>
        <v/>
      </c>
    </row>
    <row r="29" spans="2:105" x14ac:dyDescent="0.25">
      <c r="B29" s="435"/>
      <c r="C29" s="291" t="s">
        <v>72</v>
      </c>
      <c r="D29" s="314"/>
      <c r="E29" s="315"/>
      <c r="F29" s="315"/>
      <c r="G29" s="315"/>
      <c r="H29" s="315"/>
      <c r="I29" s="315"/>
      <c r="J29" s="315"/>
      <c r="K29" s="316"/>
      <c r="L29" s="314"/>
      <c r="M29" s="315"/>
      <c r="N29" s="315"/>
      <c r="O29" s="316"/>
      <c r="P29" s="314"/>
      <c r="Q29" s="315"/>
      <c r="R29" s="315"/>
      <c r="S29" s="315"/>
      <c r="T29" s="315"/>
      <c r="U29" s="315"/>
      <c r="V29" s="315"/>
      <c r="W29" s="315"/>
      <c r="X29" s="315"/>
      <c r="Y29" s="315"/>
      <c r="Z29" s="315"/>
      <c r="AA29" s="315"/>
      <c r="AB29" s="315"/>
      <c r="AC29" s="315"/>
      <c r="AD29" s="315"/>
      <c r="AE29" s="315"/>
      <c r="AF29" s="315"/>
      <c r="AG29" s="315"/>
      <c r="AH29" s="315"/>
      <c r="AI29" s="316"/>
      <c r="AJ29" s="314"/>
      <c r="AK29" s="315"/>
      <c r="AL29" s="316"/>
      <c r="AM29" s="314"/>
      <c r="AN29" s="315"/>
      <c r="AO29" s="316"/>
      <c r="AP29" s="314"/>
      <c r="AQ29" s="315"/>
      <c r="AR29" s="315"/>
      <c r="AS29" s="315"/>
      <c r="AT29" s="316"/>
      <c r="AU29" s="314" t="s">
        <v>147</v>
      </c>
      <c r="AV29" s="315" t="s">
        <v>147</v>
      </c>
      <c r="AW29" s="315" t="s">
        <v>149</v>
      </c>
      <c r="AX29" s="315" t="s">
        <v>148</v>
      </c>
      <c r="AY29" s="315" t="s">
        <v>148</v>
      </c>
      <c r="AZ29" s="315"/>
      <c r="BA29" s="315" t="s">
        <v>147</v>
      </c>
      <c r="BB29" s="316" t="s">
        <v>148</v>
      </c>
      <c r="BC29" s="314" t="s">
        <v>150</v>
      </c>
      <c r="BD29" s="315" t="s">
        <v>147</v>
      </c>
      <c r="BE29" s="315"/>
      <c r="BF29" s="315" t="s">
        <v>147</v>
      </c>
      <c r="BG29" s="316"/>
      <c r="BH29" s="314"/>
      <c r="BI29" s="315"/>
      <c r="BJ29" s="316"/>
      <c r="BK29" s="314"/>
      <c r="BL29" s="315" t="s">
        <v>150</v>
      </c>
      <c r="BM29" s="315"/>
      <c r="BN29" s="316"/>
      <c r="BO29" s="314" t="s">
        <v>147</v>
      </c>
      <c r="BP29" s="315" t="s">
        <v>148</v>
      </c>
      <c r="BQ29" s="315"/>
      <c r="BR29" s="315"/>
      <c r="BS29" s="315"/>
      <c r="BT29" s="315"/>
      <c r="BU29" s="315" t="s">
        <v>148</v>
      </c>
      <c r="BV29" s="316"/>
      <c r="BW29" s="314" t="s">
        <v>147</v>
      </c>
      <c r="BX29" s="315"/>
      <c r="BY29" s="315"/>
      <c r="BZ29" s="315" t="s">
        <v>148</v>
      </c>
      <c r="CA29" s="315"/>
      <c r="CB29" s="316"/>
      <c r="CC29" s="314"/>
      <c r="CD29" s="315" t="s">
        <v>147</v>
      </c>
      <c r="CE29" s="316"/>
      <c r="CF29" s="314"/>
      <c r="CG29" s="315"/>
      <c r="CH29" s="315"/>
      <c r="CI29" s="317"/>
      <c r="CK29" s="236">
        <f t="shared" si="10"/>
        <v>1</v>
      </c>
      <c r="CL29" s="237">
        <f t="shared" si="11"/>
        <v>8</v>
      </c>
      <c r="CM29" s="237">
        <f t="shared" si="12"/>
        <v>6</v>
      </c>
      <c r="CN29" s="237">
        <f t="shared" si="13"/>
        <v>2</v>
      </c>
      <c r="CO29" s="238" t="str">
        <f t="shared" si="14"/>
        <v/>
      </c>
      <c r="CQ29" s="236" t="str">
        <f>desired_skills(C29,"Methodieken/DevOps","o")</f>
        <v/>
      </c>
      <c r="CR29" s="237" t="str">
        <f>desired_skills(C29,"Methodieken/DevOps","j")</f>
        <v>17</v>
      </c>
      <c r="CS29" s="237" t="str">
        <f>desired_skills(C29,"Methodieken/DevOps","m")</f>
        <v/>
      </c>
      <c r="CT29" s="237" t="str">
        <f>desired_skills(C29,"Methodieken/DevOps","s")</f>
        <v/>
      </c>
      <c r="CU29" s="238" t="str">
        <f>desired_skills(C29,"Methodieken/DevOps","e")</f>
        <v/>
      </c>
      <c r="CW29" s="236" t="str">
        <f>calc_gap('Matrix 171007_1812'!$CK$29,'Matrix 171007_1812'!$CQ$29)</f>
        <v/>
      </c>
      <c r="CX29" s="237" t="str">
        <f>calc_gap('Matrix 171007_1812'!$CL$29,'Matrix 171007_1812'!$CR$29)</f>
        <v>9</v>
      </c>
      <c r="CY29" s="237" t="str">
        <f>calc_gap('Matrix 171007_1812'!$CM$29,'Matrix 171007_1812'!$CS$29)</f>
        <v/>
      </c>
      <c r="CZ29" s="237" t="str">
        <f>calc_gap('Matrix 171007_1812'!$CN$29,'Matrix 171007_1812'!$CT$29)</f>
        <v/>
      </c>
      <c r="DA29" s="238" t="str">
        <f>calc_gap('Matrix 171007_1812'!$CO$29,'Matrix 171007_1812'!$CU$29)</f>
        <v/>
      </c>
    </row>
    <row r="30" spans="2:105" x14ac:dyDescent="0.25">
      <c r="B30" s="435"/>
      <c r="C30" s="291" t="s">
        <v>73</v>
      </c>
      <c r="D30" s="314"/>
      <c r="E30" s="315"/>
      <c r="F30" s="315"/>
      <c r="G30" s="315"/>
      <c r="H30" s="315"/>
      <c r="I30" s="315"/>
      <c r="J30" s="315"/>
      <c r="K30" s="316"/>
      <c r="L30" s="314"/>
      <c r="M30" s="315"/>
      <c r="N30" s="315"/>
      <c r="O30" s="316"/>
      <c r="P30" s="314"/>
      <c r="Q30" s="315"/>
      <c r="R30" s="315"/>
      <c r="S30" s="315"/>
      <c r="T30" s="315"/>
      <c r="U30" s="315"/>
      <c r="V30" s="315"/>
      <c r="W30" s="315"/>
      <c r="X30" s="315"/>
      <c r="Y30" s="315"/>
      <c r="Z30" s="315"/>
      <c r="AA30" s="315"/>
      <c r="AB30" s="315"/>
      <c r="AC30" s="315"/>
      <c r="AD30" s="315"/>
      <c r="AE30" s="315"/>
      <c r="AF30" s="315"/>
      <c r="AG30" s="315"/>
      <c r="AH30" s="315"/>
      <c r="AI30" s="316"/>
      <c r="AJ30" s="314"/>
      <c r="AK30" s="315"/>
      <c r="AL30" s="316"/>
      <c r="AM30" s="314"/>
      <c r="AN30" s="315"/>
      <c r="AO30" s="316"/>
      <c r="AP30" s="314"/>
      <c r="AQ30" s="315"/>
      <c r="AR30" s="315"/>
      <c r="AS30" s="315"/>
      <c r="AT30" s="316"/>
      <c r="AU30" s="314" t="s">
        <v>148</v>
      </c>
      <c r="AV30" s="315" t="s">
        <v>148</v>
      </c>
      <c r="AW30" s="315" t="s">
        <v>150</v>
      </c>
      <c r="AX30" s="315" t="s">
        <v>150</v>
      </c>
      <c r="AY30" s="315" t="s">
        <v>150</v>
      </c>
      <c r="AZ30" s="315" t="s">
        <v>147</v>
      </c>
      <c r="BA30" s="315" t="s">
        <v>150</v>
      </c>
      <c r="BB30" s="316" t="s">
        <v>148</v>
      </c>
      <c r="BC30" s="314" t="s">
        <v>47</v>
      </c>
      <c r="BD30" s="315" t="s">
        <v>147</v>
      </c>
      <c r="BE30" s="315"/>
      <c r="BF30" s="315" t="s">
        <v>148</v>
      </c>
      <c r="BG30" s="316"/>
      <c r="BH30" s="314"/>
      <c r="BI30" s="315" t="s">
        <v>148</v>
      </c>
      <c r="BJ30" s="316"/>
      <c r="BK30" s="314"/>
      <c r="BL30" s="315" t="s">
        <v>150</v>
      </c>
      <c r="BM30" s="315"/>
      <c r="BN30" s="316" t="s">
        <v>149</v>
      </c>
      <c r="BO30" s="314"/>
      <c r="BP30" s="315"/>
      <c r="BQ30" s="315"/>
      <c r="BR30" s="315"/>
      <c r="BS30" s="315"/>
      <c r="BT30" s="315" t="s">
        <v>147</v>
      </c>
      <c r="BU30" s="315" t="s">
        <v>148</v>
      </c>
      <c r="BV30" s="316"/>
      <c r="BW30" s="314" t="s">
        <v>147</v>
      </c>
      <c r="BX30" s="315"/>
      <c r="BY30" s="315" t="s">
        <v>147</v>
      </c>
      <c r="BZ30" s="315" t="s">
        <v>147</v>
      </c>
      <c r="CA30" s="315" t="s">
        <v>147</v>
      </c>
      <c r="CB30" s="316" t="s">
        <v>147</v>
      </c>
      <c r="CC30" s="314"/>
      <c r="CD30" s="315" t="s">
        <v>147</v>
      </c>
      <c r="CE30" s="316"/>
      <c r="CF30" s="314"/>
      <c r="CG30" s="315"/>
      <c r="CH30" s="315"/>
      <c r="CI30" s="317"/>
      <c r="CK30" s="236">
        <f t="shared" si="10"/>
        <v>1</v>
      </c>
      <c r="CL30" s="237">
        <f t="shared" si="11"/>
        <v>9</v>
      </c>
      <c r="CM30" s="237">
        <f t="shared" si="12"/>
        <v>6</v>
      </c>
      <c r="CN30" s="237">
        <f t="shared" si="13"/>
        <v>5</v>
      </c>
      <c r="CO30" s="238">
        <f t="shared" si="14"/>
        <v>1</v>
      </c>
      <c r="CQ30" s="236" t="str">
        <f>desired_skills(C30,"Methodieken/Agile/scrum","o")</f>
        <v/>
      </c>
      <c r="CR30" s="237" t="str">
        <f>desired_skills(C30,"Methodieken/Agile/scrum","j")</f>
        <v/>
      </c>
      <c r="CS30" s="237" t="str">
        <f>desired_skills(C30,"Methodieken/Agile/scrum","m")</f>
        <v>18</v>
      </c>
      <c r="CT30" s="237" t="str">
        <f>desired_skills(C30,"Methodieken/Agile/scrum","s")</f>
        <v/>
      </c>
      <c r="CU30" s="238" t="str">
        <f>desired_skills(C30,"Methodieken/Agile/scrum","e")</f>
        <v/>
      </c>
      <c r="CW30" s="236" t="str">
        <f>calc_gap('Matrix 171007_1812'!$CK$30,'Matrix 171007_1812'!$CQ$30)</f>
        <v/>
      </c>
      <c r="CX30" s="237" t="str">
        <f>calc_gap('Matrix 171007_1812'!$CL$30,'Matrix 171007_1812'!$CR$30)</f>
        <v/>
      </c>
      <c r="CY30" s="237" t="str">
        <f>calc_gap('Matrix 171007_1812'!$CM$30,'Matrix 171007_1812'!$CS$30)</f>
        <v>12</v>
      </c>
      <c r="CZ30" s="237" t="str">
        <f>calc_gap('Matrix 171007_1812'!$CN$30,'Matrix 171007_1812'!$CT$30)</f>
        <v/>
      </c>
      <c r="DA30" s="238" t="str">
        <f>calc_gap('Matrix 171007_1812'!$CO$30,'Matrix 171007_1812'!$CU$30)</f>
        <v/>
      </c>
    </row>
    <row r="31" spans="2:105" x14ac:dyDescent="0.25">
      <c r="B31" s="435"/>
      <c r="C31" s="291" t="s">
        <v>74</v>
      </c>
      <c r="D31" s="314"/>
      <c r="E31" s="315"/>
      <c r="F31" s="315"/>
      <c r="G31" s="315"/>
      <c r="H31" s="315"/>
      <c r="I31" s="315"/>
      <c r="J31" s="315"/>
      <c r="K31" s="316"/>
      <c r="L31" s="314"/>
      <c r="M31" s="315"/>
      <c r="N31" s="315"/>
      <c r="O31" s="316"/>
      <c r="P31" s="314"/>
      <c r="Q31" s="315"/>
      <c r="R31" s="315"/>
      <c r="S31" s="315"/>
      <c r="T31" s="315"/>
      <c r="U31" s="315"/>
      <c r="V31" s="315"/>
      <c r="W31" s="315"/>
      <c r="X31" s="315"/>
      <c r="Y31" s="315"/>
      <c r="Z31" s="315"/>
      <c r="AA31" s="315"/>
      <c r="AB31" s="315"/>
      <c r="AC31" s="315"/>
      <c r="AD31" s="315"/>
      <c r="AE31" s="315"/>
      <c r="AF31" s="315"/>
      <c r="AG31" s="315"/>
      <c r="AH31" s="315"/>
      <c r="AI31" s="316"/>
      <c r="AJ31" s="314"/>
      <c r="AK31" s="315"/>
      <c r="AL31" s="316"/>
      <c r="AM31" s="314"/>
      <c r="AN31" s="315"/>
      <c r="AO31" s="316"/>
      <c r="AP31" s="314"/>
      <c r="AQ31" s="315"/>
      <c r="AR31" s="315"/>
      <c r="AS31" s="315"/>
      <c r="AT31" s="316"/>
      <c r="AU31" s="314" t="s">
        <v>147</v>
      </c>
      <c r="AV31" s="315" t="s">
        <v>147</v>
      </c>
      <c r="AW31" s="315" t="s">
        <v>147</v>
      </c>
      <c r="AX31" s="315" t="s">
        <v>148</v>
      </c>
      <c r="AY31" s="315" t="s">
        <v>147</v>
      </c>
      <c r="AZ31" s="315"/>
      <c r="BA31" s="315" t="s">
        <v>149</v>
      </c>
      <c r="BB31" s="316" t="s">
        <v>148</v>
      </c>
      <c r="BC31" s="314" t="s">
        <v>147</v>
      </c>
      <c r="BD31" s="315" t="s">
        <v>147</v>
      </c>
      <c r="BE31" s="315"/>
      <c r="BF31" s="315" t="s">
        <v>150</v>
      </c>
      <c r="BG31" s="316"/>
      <c r="BH31" s="314"/>
      <c r="BI31" s="315" t="s">
        <v>148</v>
      </c>
      <c r="BJ31" s="316"/>
      <c r="BK31" s="314"/>
      <c r="BL31" s="315" t="s">
        <v>147</v>
      </c>
      <c r="BM31" s="315"/>
      <c r="BN31" s="316" t="s">
        <v>148</v>
      </c>
      <c r="BO31" s="314"/>
      <c r="BP31" s="315"/>
      <c r="BQ31" s="315"/>
      <c r="BR31" s="315"/>
      <c r="BS31" s="315" t="s">
        <v>147</v>
      </c>
      <c r="BT31" s="315" t="s">
        <v>148</v>
      </c>
      <c r="BU31" s="315" t="s">
        <v>150</v>
      </c>
      <c r="BV31" s="316"/>
      <c r="BW31" s="314"/>
      <c r="BX31" s="315"/>
      <c r="BY31" s="315" t="s">
        <v>148</v>
      </c>
      <c r="BZ31" s="315"/>
      <c r="CA31" s="315" t="s">
        <v>147</v>
      </c>
      <c r="CB31" s="316" t="s">
        <v>147</v>
      </c>
      <c r="CC31" s="314"/>
      <c r="CD31" s="315" t="s">
        <v>147</v>
      </c>
      <c r="CE31" s="316"/>
      <c r="CF31" s="314"/>
      <c r="CG31" s="315"/>
      <c r="CH31" s="315"/>
      <c r="CI31" s="317"/>
      <c r="CK31" s="236">
        <f t="shared" si="10"/>
        <v>1</v>
      </c>
      <c r="CL31" s="237">
        <f t="shared" si="11"/>
        <v>11</v>
      </c>
      <c r="CM31" s="237">
        <f t="shared" si="12"/>
        <v>6</v>
      </c>
      <c r="CN31" s="237">
        <f t="shared" si="13"/>
        <v>2</v>
      </c>
      <c r="CO31" s="238" t="str">
        <f t="shared" si="14"/>
        <v/>
      </c>
      <c r="CQ31" s="236" t="str">
        <f>desired_skills(C31,"Methodieken/BiSL","o")</f>
        <v/>
      </c>
      <c r="CR31" s="237" t="str">
        <f>desired_skills(C31,"Methodieken/BiSL","j")</f>
        <v/>
      </c>
      <c r="CS31" s="237" t="str">
        <f>desired_skills(C31,"Methodieken/BiSL","m")</f>
        <v/>
      </c>
      <c r="CT31" s="237" t="str">
        <f>desired_skills(C31,"Methodieken/BiSL","s")</f>
        <v>19</v>
      </c>
      <c r="CU31" s="238" t="str">
        <f>desired_skills(C31,"Methodieken/BiSL","e")</f>
        <v/>
      </c>
      <c r="CW31" s="236" t="str">
        <f>calc_gap('Matrix 171007_1812'!$CK$31,'Matrix 171007_1812'!$CQ$31)</f>
        <v/>
      </c>
      <c r="CX31" s="237" t="str">
        <f>calc_gap('Matrix 171007_1812'!$CL$31,'Matrix 171007_1812'!$CR$31)</f>
        <v/>
      </c>
      <c r="CY31" s="237" t="str">
        <f>calc_gap('Matrix 171007_1812'!$CM$31,'Matrix 171007_1812'!$CS$31)</f>
        <v/>
      </c>
      <c r="CZ31" s="237" t="str">
        <f>calc_gap('Matrix 171007_1812'!$CN$31,'Matrix 171007_1812'!$CT$31)</f>
        <v>17</v>
      </c>
      <c r="DA31" s="238" t="str">
        <f>calc_gap('Matrix 171007_1812'!$CO$31,'Matrix 171007_1812'!$CU$31)</f>
        <v/>
      </c>
    </row>
    <row r="32" spans="2:105" x14ac:dyDescent="0.25">
      <c r="B32" s="435"/>
      <c r="C32" s="291" t="s">
        <v>76</v>
      </c>
      <c r="D32" s="314"/>
      <c r="E32" s="315"/>
      <c r="F32" s="315"/>
      <c r="G32" s="315"/>
      <c r="H32" s="315"/>
      <c r="I32" s="315"/>
      <c r="J32" s="315"/>
      <c r="K32" s="316"/>
      <c r="L32" s="314"/>
      <c r="M32" s="315"/>
      <c r="N32" s="315"/>
      <c r="O32" s="316"/>
      <c r="P32" s="314"/>
      <c r="Q32" s="315"/>
      <c r="R32" s="315"/>
      <c r="S32" s="315"/>
      <c r="T32" s="315"/>
      <c r="U32" s="315"/>
      <c r="V32" s="315"/>
      <c r="W32" s="315"/>
      <c r="X32" s="315"/>
      <c r="Y32" s="315"/>
      <c r="Z32" s="315"/>
      <c r="AA32" s="315"/>
      <c r="AB32" s="315"/>
      <c r="AC32" s="315"/>
      <c r="AD32" s="315"/>
      <c r="AE32" s="315"/>
      <c r="AF32" s="315"/>
      <c r="AG32" s="315"/>
      <c r="AH32" s="315"/>
      <c r="AI32" s="316"/>
      <c r="AJ32" s="314"/>
      <c r="AK32" s="315"/>
      <c r="AL32" s="316"/>
      <c r="AM32" s="314"/>
      <c r="AN32" s="315"/>
      <c r="AO32" s="316"/>
      <c r="AP32" s="314"/>
      <c r="AQ32" s="315"/>
      <c r="AR32" s="315"/>
      <c r="AS32" s="315"/>
      <c r="AT32" s="316"/>
      <c r="AU32" s="314" t="s">
        <v>150</v>
      </c>
      <c r="AV32" s="315" t="s">
        <v>148</v>
      </c>
      <c r="AW32" s="315" t="s">
        <v>148</v>
      </c>
      <c r="AX32" s="315" t="s">
        <v>150</v>
      </c>
      <c r="AY32" s="315" t="s">
        <v>150</v>
      </c>
      <c r="AZ32" s="315"/>
      <c r="BA32" s="315" t="s">
        <v>150</v>
      </c>
      <c r="BB32" s="316" t="s">
        <v>150</v>
      </c>
      <c r="BC32" s="314" t="s">
        <v>147</v>
      </c>
      <c r="BD32" s="315" t="s">
        <v>149</v>
      </c>
      <c r="BE32" s="315"/>
      <c r="BF32" s="315" t="s">
        <v>147</v>
      </c>
      <c r="BG32" s="316"/>
      <c r="BH32" s="314"/>
      <c r="BI32" s="315"/>
      <c r="BJ32" s="316"/>
      <c r="BK32" s="314"/>
      <c r="BL32" s="315" t="s">
        <v>149</v>
      </c>
      <c r="BM32" s="315"/>
      <c r="BN32" s="316" t="s">
        <v>149</v>
      </c>
      <c r="BO32" s="314"/>
      <c r="BP32" s="315"/>
      <c r="BQ32" s="315"/>
      <c r="BR32" s="315"/>
      <c r="BS32" s="315"/>
      <c r="BT32" s="315"/>
      <c r="BU32" s="315" t="s">
        <v>148</v>
      </c>
      <c r="BV32" s="316"/>
      <c r="BW32" s="314" t="s">
        <v>147</v>
      </c>
      <c r="BX32" s="315"/>
      <c r="BY32" s="315" t="s">
        <v>147</v>
      </c>
      <c r="BZ32" s="315"/>
      <c r="CA32" s="315" t="s">
        <v>147</v>
      </c>
      <c r="CB32" s="316" t="s">
        <v>148</v>
      </c>
      <c r="CC32" s="314"/>
      <c r="CD32" s="315"/>
      <c r="CE32" s="316"/>
      <c r="CF32" s="314"/>
      <c r="CG32" s="315"/>
      <c r="CH32" s="315"/>
      <c r="CI32" s="317"/>
      <c r="CK32" s="236">
        <f t="shared" si="10"/>
        <v>3</v>
      </c>
      <c r="CL32" s="237">
        <f t="shared" si="11"/>
        <v>5</v>
      </c>
      <c r="CM32" s="237">
        <f t="shared" si="12"/>
        <v>4</v>
      </c>
      <c r="CN32" s="237">
        <f t="shared" si="13"/>
        <v>5</v>
      </c>
      <c r="CO32" s="238" t="str">
        <f t="shared" si="14"/>
        <v/>
      </c>
      <c r="CQ32" s="236" t="str">
        <f>desired_skills(C32,"Methodieken/Opstellen (KC)Frameworks","o")</f>
        <v/>
      </c>
      <c r="CR32" s="237" t="str">
        <f>desired_skills(C32,"Methodieken/Opstellen (KC)Frameworks","j")</f>
        <v/>
      </c>
      <c r="CS32" s="237" t="str">
        <f>desired_skills(C32,"Methodieken/Opstellen (KC)Frameworks","m")</f>
        <v/>
      </c>
      <c r="CT32" s="237" t="str">
        <f>desired_skills(C32,"Methodieken/Opstellen (KC)Frameworks","s")</f>
        <v/>
      </c>
      <c r="CU32" s="238" t="str">
        <f>desired_skills(C32,"Methodieken/Opstellen (KC)Frameworks","e")</f>
        <v>20</v>
      </c>
      <c r="CW32" s="236" t="str">
        <f>calc_gap('Matrix 171007_1812'!$CK$32,'Matrix 171007_1812'!$CQ$32)</f>
        <v/>
      </c>
      <c r="CX32" s="237" t="str">
        <f>calc_gap('Matrix 171007_1812'!$CL$32,'Matrix 171007_1812'!$CR$32)</f>
        <v/>
      </c>
      <c r="CY32" s="237" t="str">
        <f>calc_gap('Matrix 171007_1812'!$CM$32,'Matrix 171007_1812'!$CS$32)</f>
        <v/>
      </c>
      <c r="CZ32" s="237" t="str">
        <f>calc_gap('Matrix 171007_1812'!$CN$32,'Matrix 171007_1812'!$CT$32)</f>
        <v/>
      </c>
      <c r="DA32" s="238" t="str">
        <f>calc_gap('Matrix 171007_1812'!$CO$32,'Matrix 171007_1812'!$CU$32)</f>
        <v/>
      </c>
    </row>
    <row r="33" spans="2:105" x14ac:dyDescent="0.25">
      <c r="B33" s="435"/>
      <c r="C33" s="291" t="s">
        <v>77</v>
      </c>
      <c r="D33" s="314"/>
      <c r="E33" s="315"/>
      <c r="F33" s="315"/>
      <c r="G33" s="315"/>
      <c r="H33" s="315"/>
      <c r="I33" s="315"/>
      <c r="J33" s="315"/>
      <c r="K33" s="316"/>
      <c r="L33" s="314"/>
      <c r="M33" s="315"/>
      <c r="N33" s="315"/>
      <c r="O33" s="316"/>
      <c r="P33" s="314"/>
      <c r="Q33" s="315"/>
      <c r="R33" s="315"/>
      <c r="S33" s="315"/>
      <c r="T33" s="315"/>
      <c r="U33" s="315"/>
      <c r="V33" s="315"/>
      <c r="W33" s="315"/>
      <c r="X33" s="315"/>
      <c r="Y33" s="315"/>
      <c r="Z33" s="315"/>
      <c r="AA33" s="315"/>
      <c r="AB33" s="315"/>
      <c r="AC33" s="315"/>
      <c r="AD33" s="315"/>
      <c r="AE33" s="315"/>
      <c r="AF33" s="315"/>
      <c r="AG33" s="315"/>
      <c r="AH33" s="315"/>
      <c r="AI33" s="316"/>
      <c r="AJ33" s="314"/>
      <c r="AK33" s="315"/>
      <c r="AL33" s="316"/>
      <c r="AM33" s="314"/>
      <c r="AN33" s="315"/>
      <c r="AO33" s="316"/>
      <c r="AP33" s="314"/>
      <c r="AQ33" s="315"/>
      <c r="AR33" s="315"/>
      <c r="AS33" s="315"/>
      <c r="AT33" s="316"/>
      <c r="AU33" s="314" t="s">
        <v>148</v>
      </c>
      <c r="AV33" s="315" t="s">
        <v>147</v>
      </c>
      <c r="AW33" s="315" t="s">
        <v>149</v>
      </c>
      <c r="AX33" s="315" t="s">
        <v>148</v>
      </c>
      <c r="AY33" s="315" t="s">
        <v>147</v>
      </c>
      <c r="AZ33" s="315"/>
      <c r="BA33" s="315" t="s">
        <v>149</v>
      </c>
      <c r="BB33" s="316" t="s">
        <v>147</v>
      </c>
      <c r="BC33" s="314" t="s">
        <v>147</v>
      </c>
      <c r="BD33" s="315" t="s">
        <v>150</v>
      </c>
      <c r="BE33" s="315"/>
      <c r="BF33" s="315" t="s">
        <v>150</v>
      </c>
      <c r="BG33" s="316"/>
      <c r="BH33" s="314"/>
      <c r="BI33" s="315" t="s">
        <v>148</v>
      </c>
      <c r="BJ33" s="316"/>
      <c r="BK33" s="314" t="s">
        <v>147</v>
      </c>
      <c r="BL33" s="315" t="s">
        <v>150</v>
      </c>
      <c r="BM33" s="315"/>
      <c r="BN33" s="316" t="s">
        <v>47</v>
      </c>
      <c r="BO33" s="314" t="s">
        <v>148</v>
      </c>
      <c r="BP33" s="315" t="s">
        <v>150</v>
      </c>
      <c r="BQ33" s="315" t="s">
        <v>148</v>
      </c>
      <c r="BR33" s="315"/>
      <c r="BS33" s="315" t="s">
        <v>147</v>
      </c>
      <c r="BT33" s="315" t="s">
        <v>147</v>
      </c>
      <c r="BU33" s="315" t="s">
        <v>150</v>
      </c>
      <c r="BV33" s="316"/>
      <c r="BW33" s="314" t="s">
        <v>148</v>
      </c>
      <c r="BX33" s="315"/>
      <c r="BY33" s="315" t="s">
        <v>150</v>
      </c>
      <c r="BZ33" s="315" t="s">
        <v>150</v>
      </c>
      <c r="CA33" s="315" t="s">
        <v>150</v>
      </c>
      <c r="CB33" s="316" t="s">
        <v>148</v>
      </c>
      <c r="CC33" s="314"/>
      <c r="CD33" s="315"/>
      <c r="CE33" s="316"/>
      <c r="CF33" s="314"/>
      <c r="CG33" s="315"/>
      <c r="CH33" s="315"/>
      <c r="CI33" s="317"/>
      <c r="CK33" s="236">
        <f t="shared" si="10"/>
        <v>2</v>
      </c>
      <c r="CL33" s="237">
        <f t="shared" si="11"/>
        <v>7</v>
      </c>
      <c r="CM33" s="237">
        <f t="shared" si="12"/>
        <v>7</v>
      </c>
      <c r="CN33" s="237">
        <f t="shared" si="13"/>
        <v>8</v>
      </c>
      <c r="CO33" s="238">
        <f t="shared" si="14"/>
        <v>1</v>
      </c>
      <c r="CQ33" s="236" t="str">
        <f>desired_skills(C33,"Methodieken/ITIL","o")</f>
        <v/>
      </c>
      <c r="CR33" s="237" t="str">
        <f>desired_skills(C33,"Methodieken/ITIL","j")</f>
        <v/>
      </c>
      <c r="CS33" s="237" t="str">
        <f>desired_skills(C33,"Methodieken/ITIL","m")</f>
        <v/>
      </c>
      <c r="CT33" s="237" t="str">
        <f>desired_skills(C33,"Methodieken/ITIL","s")</f>
        <v/>
      </c>
      <c r="CU33" s="238" t="str">
        <f>desired_skills(C33,"Methodieken/ITIL","e")</f>
        <v/>
      </c>
      <c r="CW33" s="236" t="str">
        <f>calc_gap('Matrix 171007_1812'!$CK$33,'Matrix 171007_1812'!$CQ$33)</f>
        <v/>
      </c>
      <c r="CX33" s="237" t="str">
        <f>calc_gap('Matrix 171007_1812'!$CL$33,'Matrix 171007_1812'!$CR$33)</f>
        <v/>
      </c>
      <c r="CY33" s="237" t="str">
        <f>calc_gap('Matrix 171007_1812'!$CM$33,'Matrix 171007_1812'!$CS$33)</f>
        <v/>
      </c>
      <c r="CZ33" s="237" t="str">
        <f>calc_gap('Matrix 171007_1812'!$CN$33,'Matrix 171007_1812'!$CT$33)</f>
        <v/>
      </c>
      <c r="DA33" s="238" t="str">
        <f>calc_gap('Matrix 171007_1812'!$CO$33,'Matrix 171007_1812'!$CU$33)</f>
        <v/>
      </c>
    </row>
    <row r="34" spans="2:105" x14ac:dyDescent="0.25">
      <c r="B34" s="435"/>
      <c r="C34" s="291" t="s">
        <v>78</v>
      </c>
      <c r="D34" s="314"/>
      <c r="E34" s="315"/>
      <c r="F34" s="315"/>
      <c r="G34" s="315"/>
      <c r="H34" s="315"/>
      <c r="I34" s="315"/>
      <c r="J34" s="315"/>
      <c r="K34" s="316"/>
      <c r="L34" s="314"/>
      <c r="M34" s="315"/>
      <c r="N34" s="315"/>
      <c r="O34" s="316"/>
      <c r="P34" s="314"/>
      <c r="Q34" s="315"/>
      <c r="R34" s="315"/>
      <c r="S34" s="315"/>
      <c r="T34" s="315"/>
      <c r="U34" s="315"/>
      <c r="V34" s="315"/>
      <c r="W34" s="315"/>
      <c r="X34" s="315"/>
      <c r="Y34" s="315"/>
      <c r="Z34" s="315"/>
      <c r="AA34" s="315"/>
      <c r="AB34" s="315"/>
      <c r="AC34" s="315"/>
      <c r="AD34" s="315"/>
      <c r="AE34" s="315"/>
      <c r="AF34" s="315"/>
      <c r="AG34" s="315"/>
      <c r="AH34" s="315"/>
      <c r="AI34" s="316"/>
      <c r="AJ34" s="314"/>
      <c r="AK34" s="315"/>
      <c r="AL34" s="316"/>
      <c r="AM34" s="314"/>
      <c r="AN34" s="315"/>
      <c r="AO34" s="316"/>
      <c r="AP34" s="314"/>
      <c r="AQ34" s="315"/>
      <c r="AR34" s="315"/>
      <c r="AS34" s="315"/>
      <c r="AT34" s="316"/>
      <c r="AU34" s="314" t="s">
        <v>150</v>
      </c>
      <c r="AV34" s="315" t="s">
        <v>147</v>
      </c>
      <c r="AW34" s="315" t="s">
        <v>148</v>
      </c>
      <c r="AX34" s="315" t="s">
        <v>150</v>
      </c>
      <c r="AY34" s="315" t="s">
        <v>148</v>
      </c>
      <c r="AZ34" s="315" t="s">
        <v>150</v>
      </c>
      <c r="BA34" s="315" t="s">
        <v>47</v>
      </c>
      <c r="BB34" s="316" t="s">
        <v>148</v>
      </c>
      <c r="BC34" s="314" t="s">
        <v>147</v>
      </c>
      <c r="BD34" s="315" t="s">
        <v>149</v>
      </c>
      <c r="BE34" s="315"/>
      <c r="BF34" s="315" t="s">
        <v>150</v>
      </c>
      <c r="BG34" s="316"/>
      <c r="BH34" s="314"/>
      <c r="BI34" s="315" t="s">
        <v>148</v>
      </c>
      <c r="BJ34" s="316"/>
      <c r="BK34" s="314" t="s">
        <v>147</v>
      </c>
      <c r="BL34" s="315" t="s">
        <v>150</v>
      </c>
      <c r="BM34" s="315"/>
      <c r="BN34" s="316" t="s">
        <v>148</v>
      </c>
      <c r="BO34" s="314" t="s">
        <v>148</v>
      </c>
      <c r="BP34" s="315" t="s">
        <v>150</v>
      </c>
      <c r="BQ34" s="315" t="s">
        <v>148</v>
      </c>
      <c r="BR34" s="315"/>
      <c r="BS34" s="315"/>
      <c r="BT34" s="315" t="s">
        <v>148</v>
      </c>
      <c r="BU34" s="315" t="s">
        <v>148</v>
      </c>
      <c r="BV34" s="316"/>
      <c r="BW34" s="314" t="s">
        <v>150</v>
      </c>
      <c r="BX34" s="315" t="s">
        <v>148</v>
      </c>
      <c r="BY34" s="315" t="s">
        <v>150</v>
      </c>
      <c r="BZ34" s="315" t="s">
        <v>148</v>
      </c>
      <c r="CA34" s="315" t="s">
        <v>150</v>
      </c>
      <c r="CB34" s="316" t="s">
        <v>150</v>
      </c>
      <c r="CC34" s="314"/>
      <c r="CD34" s="315" t="s">
        <v>148</v>
      </c>
      <c r="CE34" s="316"/>
      <c r="CF34" s="314"/>
      <c r="CG34" s="315"/>
      <c r="CH34" s="315"/>
      <c r="CI34" s="317"/>
      <c r="CK34" s="236">
        <f t="shared" si="10"/>
        <v>1</v>
      </c>
      <c r="CL34" s="237">
        <f t="shared" si="11"/>
        <v>3</v>
      </c>
      <c r="CM34" s="237">
        <f t="shared" si="12"/>
        <v>12</v>
      </c>
      <c r="CN34" s="237">
        <f t="shared" si="13"/>
        <v>10</v>
      </c>
      <c r="CO34" s="238">
        <f t="shared" si="14"/>
        <v>1</v>
      </c>
      <c r="CQ34" s="236" t="str">
        <f>desired_skills(C34,"Methodieken/Prince 2","o")</f>
        <v/>
      </c>
      <c r="CR34" s="237" t="str">
        <f>desired_skills(C34,"Methodieken/Prince 2","j")</f>
        <v/>
      </c>
      <c r="CS34" s="237" t="str">
        <f>desired_skills(C34,"Methodieken/Prince 2","m")</f>
        <v/>
      </c>
      <c r="CT34" s="237" t="str">
        <f>desired_skills(C34,"Methodieken/Prince 2","s")</f>
        <v/>
      </c>
      <c r="CU34" s="238" t="str">
        <f>desired_skills(C34,"Methodieken/Prince 2","e")</f>
        <v/>
      </c>
      <c r="CW34" s="236" t="str">
        <f>calc_gap('Matrix 171007_1812'!$CK$34,'Matrix 171007_1812'!$CQ$34)</f>
        <v/>
      </c>
      <c r="CX34" s="237" t="str">
        <f>calc_gap('Matrix 171007_1812'!$CL$34,'Matrix 171007_1812'!$CR$34)</f>
        <v/>
      </c>
      <c r="CY34" s="237" t="str">
        <f>calc_gap('Matrix 171007_1812'!$CM$34,'Matrix 171007_1812'!$CS$34)</f>
        <v/>
      </c>
      <c r="CZ34" s="237" t="str">
        <f>calc_gap('Matrix 171007_1812'!$CN$34,'Matrix 171007_1812'!$CT$34)</f>
        <v/>
      </c>
      <c r="DA34" s="238" t="str">
        <f>calc_gap('Matrix 171007_1812'!$CO$34,'Matrix 171007_1812'!$CU$34)</f>
        <v/>
      </c>
    </row>
    <row r="35" spans="2:105" x14ac:dyDescent="0.25">
      <c r="B35" s="435"/>
      <c r="C35" s="291" t="s">
        <v>79</v>
      </c>
      <c r="D35" s="314"/>
      <c r="E35" s="315"/>
      <c r="F35" s="315"/>
      <c r="G35" s="315"/>
      <c r="H35" s="315"/>
      <c r="I35" s="315"/>
      <c r="J35" s="315"/>
      <c r="K35" s="316"/>
      <c r="L35" s="314"/>
      <c r="M35" s="315"/>
      <c r="N35" s="315"/>
      <c r="O35" s="316"/>
      <c r="P35" s="314"/>
      <c r="Q35" s="315"/>
      <c r="R35" s="315"/>
      <c r="S35" s="315"/>
      <c r="T35" s="315"/>
      <c r="U35" s="315"/>
      <c r="V35" s="315"/>
      <c r="W35" s="315"/>
      <c r="X35" s="315"/>
      <c r="Y35" s="315"/>
      <c r="Z35" s="315"/>
      <c r="AA35" s="315"/>
      <c r="AB35" s="315"/>
      <c r="AC35" s="315"/>
      <c r="AD35" s="315"/>
      <c r="AE35" s="315"/>
      <c r="AF35" s="315"/>
      <c r="AG35" s="315"/>
      <c r="AH35" s="315"/>
      <c r="AI35" s="316"/>
      <c r="AJ35" s="314"/>
      <c r="AK35" s="315"/>
      <c r="AL35" s="316"/>
      <c r="AM35" s="314"/>
      <c r="AN35" s="315"/>
      <c r="AO35" s="316"/>
      <c r="AP35" s="314"/>
      <c r="AQ35" s="315"/>
      <c r="AR35" s="315"/>
      <c r="AS35" s="315"/>
      <c r="AT35" s="316"/>
      <c r="AU35" s="314" t="s">
        <v>150</v>
      </c>
      <c r="AV35" s="315" t="s">
        <v>150</v>
      </c>
      <c r="AW35" s="315" t="s">
        <v>150</v>
      </c>
      <c r="AX35" s="315" t="s">
        <v>47</v>
      </c>
      <c r="AY35" s="315" t="s">
        <v>47</v>
      </c>
      <c r="AZ35" s="315"/>
      <c r="BA35" s="315" t="s">
        <v>150</v>
      </c>
      <c r="BB35" s="316" t="s">
        <v>148</v>
      </c>
      <c r="BC35" s="314" t="s">
        <v>147</v>
      </c>
      <c r="BD35" s="315" t="s">
        <v>149</v>
      </c>
      <c r="BE35" s="315"/>
      <c r="BF35" s="315"/>
      <c r="BG35" s="316"/>
      <c r="BH35" s="314"/>
      <c r="BI35" s="315"/>
      <c r="BJ35" s="316"/>
      <c r="BK35" s="314"/>
      <c r="BL35" s="315" t="s">
        <v>150</v>
      </c>
      <c r="BM35" s="315"/>
      <c r="BN35" s="316"/>
      <c r="BO35" s="314"/>
      <c r="BP35" s="315" t="s">
        <v>148</v>
      </c>
      <c r="BQ35" s="315" t="s">
        <v>147</v>
      </c>
      <c r="BR35" s="315"/>
      <c r="BS35" s="315"/>
      <c r="BT35" s="315" t="s">
        <v>148</v>
      </c>
      <c r="BU35" s="315" t="s">
        <v>148</v>
      </c>
      <c r="BV35" s="316"/>
      <c r="BW35" s="314" t="s">
        <v>148</v>
      </c>
      <c r="BX35" s="315" t="s">
        <v>148</v>
      </c>
      <c r="BY35" s="315" t="s">
        <v>150</v>
      </c>
      <c r="BZ35" s="315" t="s">
        <v>147</v>
      </c>
      <c r="CA35" s="315" t="s">
        <v>150</v>
      </c>
      <c r="CB35" s="316" t="s">
        <v>150</v>
      </c>
      <c r="CC35" s="314"/>
      <c r="CD35" s="315"/>
      <c r="CE35" s="316"/>
      <c r="CF35" s="314"/>
      <c r="CG35" s="315"/>
      <c r="CH35" s="315"/>
      <c r="CI35" s="317"/>
      <c r="CK35" s="236">
        <f t="shared" si="10"/>
        <v>1</v>
      </c>
      <c r="CL35" s="237">
        <f t="shared" si="11"/>
        <v>3</v>
      </c>
      <c r="CM35" s="237">
        <f t="shared" si="12"/>
        <v>6</v>
      </c>
      <c r="CN35" s="237">
        <f t="shared" si="13"/>
        <v>8</v>
      </c>
      <c r="CO35" s="238">
        <f t="shared" si="14"/>
        <v>2</v>
      </c>
      <c r="CQ35" s="236" t="str">
        <f>desired_skills(C35,"Methodieken/Sox","o")</f>
        <v/>
      </c>
      <c r="CR35" s="237" t="str">
        <f>desired_skills(C35,"Methodieken/Sox","j")</f>
        <v/>
      </c>
      <c r="CS35" s="237" t="str">
        <f>desired_skills(C35,"Methodieken/Sox","m")</f>
        <v/>
      </c>
      <c r="CT35" s="237" t="str">
        <f>desired_skills(C35,"Methodieken/Sox","s")</f>
        <v/>
      </c>
      <c r="CU35" s="238" t="str">
        <f>desired_skills(C35,"Methodieken/Sox","e")</f>
        <v/>
      </c>
      <c r="CW35" s="236" t="str">
        <f>calc_gap('Matrix 171007_1812'!$CK$35,'Matrix 171007_1812'!$CQ$35)</f>
        <v/>
      </c>
      <c r="CX35" s="237" t="str">
        <f>calc_gap('Matrix 171007_1812'!$CL$35,'Matrix 171007_1812'!$CR$35)</f>
        <v/>
      </c>
      <c r="CY35" s="237" t="str">
        <f>calc_gap('Matrix 171007_1812'!$CM$35,'Matrix 171007_1812'!$CS$35)</f>
        <v/>
      </c>
      <c r="CZ35" s="237" t="str">
        <f>calc_gap('Matrix 171007_1812'!$CN$35,'Matrix 171007_1812'!$CT$35)</f>
        <v/>
      </c>
      <c r="DA35" s="238" t="str">
        <f>calc_gap('Matrix 171007_1812'!$CO$35,'Matrix 171007_1812'!$CU$35)</f>
        <v/>
      </c>
    </row>
    <row r="36" spans="2:105" x14ac:dyDescent="0.25">
      <c r="B36" s="435"/>
      <c r="C36" s="291" t="s">
        <v>80</v>
      </c>
      <c r="D36" s="314"/>
      <c r="E36" s="315"/>
      <c r="F36" s="315"/>
      <c r="G36" s="315"/>
      <c r="H36" s="315"/>
      <c r="I36" s="315"/>
      <c r="J36" s="315"/>
      <c r="K36" s="316"/>
      <c r="L36" s="314"/>
      <c r="M36" s="315"/>
      <c r="N36" s="315"/>
      <c r="O36" s="316"/>
      <c r="P36" s="314"/>
      <c r="Q36" s="315"/>
      <c r="R36" s="315"/>
      <c r="S36" s="315"/>
      <c r="T36" s="315"/>
      <c r="U36" s="315"/>
      <c r="V36" s="315"/>
      <c r="W36" s="315"/>
      <c r="X36" s="315"/>
      <c r="Y36" s="315"/>
      <c r="Z36" s="315"/>
      <c r="AA36" s="315"/>
      <c r="AB36" s="315"/>
      <c r="AC36" s="315"/>
      <c r="AD36" s="315"/>
      <c r="AE36" s="315"/>
      <c r="AF36" s="315"/>
      <c r="AG36" s="315"/>
      <c r="AH36" s="315"/>
      <c r="AI36" s="316"/>
      <c r="AJ36" s="314"/>
      <c r="AK36" s="315"/>
      <c r="AL36" s="316"/>
      <c r="AM36" s="314"/>
      <c r="AN36" s="315"/>
      <c r="AO36" s="316"/>
      <c r="AP36" s="314"/>
      <c r="AQ36" s="315"/>
      <c r="AR36" s="315"/>
      <c r="AS36" s="315"/>
      <c r="AT36" s="316"/>
      <c r="AU36" s="314" t="s">
        <v>150</v>
      </c>
      <c r="AV36" s="315" t="s">
        <v>148</v>
      </c>
      <c r="AW36" s="315" t="s">
        <v>150</v>
      </c>
      <c r="AX36" s="315" t="s">
        <v>150</v>
      </c>
      <c r="AY36" s="315" t="s">
        <v>150</v>
      </c>
      <c r="AZ36" s="315"/>
      <c r="BA36" s="315" t="s">
        <v>147</v>
      </c>
      <c r="BB36" s="316" t="s">
        <v>148</v>
      </c>
      <c r="BC36" s="314" t="s">
        <v>147</v>
      </c>
      <c r="BD36" s="315"/>
      <c r="BE36" s="315"/>
      <c r="BF36" s="315"/>
      <c r="BG36" s="316"/>
      <c r="BH36" s="314"/>
      <c r="BI36" s="315" t="s">
        <v>148</v>
      </c>
      <c r="BJ36" s="316"/>
      <c r="BK36" s="314"/>
      <c r="BL36" s="315" t="s">
        <v>149</v>
      </c>
      <c r="BM36" s="315"/>
      <c r="BN36" s="316"/>
      <c r="BO36" s="314"/>
      <c r="BP36" s="315" t="s">
        <v>147</v>
      </c>
      <c r="BQ36" s="315"/>
      <c r="BR36" s="315"/>
      <c r="BS36" s="315"/>
      <c r="BT36" s="315"/>
      <c r="BU36" s="315" t="s">
        <v>148</v>
      </c>
      <c r="BV36" s="316"/>
      <c r="BW36" s="314" t="s">
        <v>148</v>
      </c>
      <c r="BX36" s="315"/>
      <c r="BY36" s="315" t="s">
        <v>147</v>
      </c>
      <c r="BZ36" s="315"/>
      <c r="CA36" s="315" t="s">
        <v>150</v>
      </c>
      <c r="CB36" s="316" t="s">
        <v>148</v>
      </c>
      <c r="CC36" s="314"/>
      <c r="CD36" s="315"/>
      <c r="CE36" s="316"/>
      <c r="CF36" s="314"/>
      <c r="CG36" s="315"/>
      <c r="CH36" s="315"/>
      <c r="CI36" s="317"/>
      <c r="CK36" s="236">
        <f t="shared" si="10"/>
        <v>1</v>
      </c>
      <c r="CL36" s="237">
        <f t="shared" si="11"/>
        <v>4</v>
      </c>
      <c r="CM36" s="237">
        <f t="shared" si="12"/>
        <v>6</v>
      </c>
      <c r="CN36" s="237">
        <f t="shared" si="13"/>
        <v>5</v>
      </c>
      <c r="CO36" s="238" t="str">
        <f t="shared" si="14"/>
        <v/>
      </c>
      <c r="CQ36" s="236" t="str">
        <f>desired_skills(C36,"Methodieken/Cobit","o")</f>
        <v/>
      </c>
      <c r="CR36" s="237" t="str">
        <f>desired_skills(C36,"Methodieken/Cobit","j")</f>
        <v/>
      </c>
      <c r="CS36" s="237" t="str">
        <f>desired_skills(C36,"Methodieken/Cobit","m")</f>
        <v/>
      </c>
      <c r="CT36" s="237" t="str">
        <f>desired_skills(C36,"Methodieken/Cobit","s")</f>
        <v/>
      </c>
      <c r="CU36" s="238" t="str">
        <f>desired_skills(C36,"Methodieken/Cobit","e")</f>
        <v/>
      </c>
      <c r="CW36" s="236" t="str">
        <f>calc_gap('Matrix 171007_1812'!$CK$36,'Matrix 171007_1812'!$CQ$36)</f>
        <v/>
      </c>
      <c r="CX36" s="237" t="str">
        <f>calc_gap('Matrix 171007_1812'!$CL$36,'Matrix 171007_1812'!$CR$36)</f>
        <v/>
      </c>
      <c r="CY36" s="237" t="str">
        <f>calc_gap('Matrix 171007_1812'!$CM$36,'Matrix 171007_1812'!$CS$36)</f>
        <v/>
      </c>
      <c r="CZ36" s="237" t="str">
        <f>calc_gap('Matrix 171007_1812'!$CN$36,'Matrix 171007_1812'!$CT$36)</f>
        <v/>
      </c>
      <c r="DA36" s="238" t="str">
        <f>calc_gap('Matrix 171007_1812'!$CO$36,'Matrix 171007_1812'!$CU$36)</f>
        <v/>
      </c>
    </row>
    <row r="37" spans="2:105" ht="15.75" thickBot="1" x14ac:dyDescent="0.3">
      <c r="B37" s="435"/>
      <c r="C37" s="292" t="s">
        <v>225</v>
      </c>
      <c r="D37" s="318"/>
      <c r="E37" s="319"/>
      <c r="F37" s="319"/>
      <c r="G37" s="319"/>
      <c r="H37" s="319"/>
      <c r="I37" s="319"/>
      <c r="J37" s="319"/>
      <c r="K37" s="320"/>
      <c r="L37" s="318"/>
      <c r="M37" s="319"/>
      <c r="N37" s="319"/>
      <c r="O37" s="320"/>
      <c r="P37" s="318"/>
      <c r="Q37" s="319"/>
      <c r="R37" s="319"/>
      <c r="S37" s="319"/>
      <c r="T37" s="319"/>
      <c r="U37" s="319"/>
      <c r="V37" s="319"/>
      <c r="W37" s="319"/>
      <c r="X37" s="319"/>
      <c r="Y37" s="319"/>
      <c r="Z37" s="319"/>
      <c r="AA37" s="319"/>
      <c r="AB37" s="319"/>
      <c r="AC37" s="319"/>
      <c r="AD37" s="319"/>
      <c r="AE37" s="319"/>
      <c r="AF37" s="319"/>
      <c r="AG37" s="319"/>
      <c r="AH37" s="319"/>
      <c r="AI37" s="320"/>
      <c r="AJ37" s="318"/>
      <c r="AK37" s="319"/>
      <c r="AL37" s="320"/>
      <c r="AM37" s="318"/>
      <c r="AN37" s="319"/>
      <c r="AO37" s="320"/>
      <c r="AP37" s="318"/>
      <c r="AQ37" s="319"/>
      <c r="AR37" s="319"/>
      <c r="AS37" s="319"/>
      <c r="AT37" s="320"/>
      <c r="AU37" s="318"/>
      <c r="AV37" s="319"/>
      <c r="AW37" s="319"/>
      <c r="AX37" s="319"/>
      <c r="AY37" s="319"/>
      <c r="AZ37" s="319"/>
      <c r="BA37" s="319"/>
      <c r="BB37" s="320"/>
      <c r="BC37" s="318"/>
      <c r="BD37" s="319"/>
      <c r="BE37" s="319"/>
      <c r="BF37" s="319"/>
      <c r="BG37" s="320"/>
      <c r="BH37" s="318"/>
      <c r="BI37" s="319"/>
      <c r="BJ37" s="320"/>
      <c r="BK37" s="318"/>
      <c r="BL37" s="319"/>
      <c r="BM37" s="319"/>
      <c r="BN37" s="320"/>
      <c r="BO37" s="318"/>
      <c r="BP37" s="319"/>
      <c r="BQ37" s="319"/>
      <c r="BR37" s="319"/>
      <c r="BS37" s="319"/>
      <c r="BT37" s="319"/>
      <c r="BU37" s="319"/>
      <c r="BV37" s="320"/>
      <c r="BW37" s="318"/>
      <c r="BX37" s="319"/>
      <c r="BY37" s="319"/>
      <c r="BZ37" s="319"/>
      <c r="CA37" s="319"/>
      <c r="CB37" s="320"/>
      <c r="CC37" s="318"/>
      <c r="CD37" s="319"/>
      <c r="CE37" s="320"/>
      <c r="CF37" s="318"/>
      <c r="CG37" s="319"/>
      <c r="CH37" s="319"/>
      <c r="CI37" s="321"/>
      <c r="CK37" s="239" t="str">
        <f t="shared" si="10"/>
        <v/>
      </c>
      <c r="CL37" s="240" t="str">
        <f t="shared" si="11"/>
        <v/>
      </c>
      <c r="CM37" s="240" t="str">
        <f t="shared" si="12"/>
        <v/>
      </c>
      <c r="CN37" s="240" t="str">
        <f t="shared" si="13"/>
        <v/>
      </c>
      <c r="CO37" s="241" t="str">
        <f t="shared" si="14"/>
        <v/>
      </c>
      <c r="CQ37" s="239" t="str">
        <f>desired_skills(C37,"Methodieken/CISM/CISSP","o")</f>
        <v/>
      </c>
      <c r="CR37" s="240" t="str">
        <f>desired_skills(C37,"Methodieken/CISM/CISSP","j")</f>
        <v/>
      </c>
      <c r="CS37" s="240" t="str">
        <f>desired_skills(C37,"Methodieken/CISM/CISSP","m")</f>
        <v/>
      </c>
      <c r="CT37" s="240" t="str">
        <f>desired_skills(C37,"Methodieken/CISM/CISSP","s")</f>
        <v/>
      </c>
      <c r="CU37" s="241" t="str">
        <f>desired_skills(C37,"Methodieken/CISM/CISSP","e")</f>
        <v/>
      </c>
      <c r="CW37" s="239" t="str">
        <f>calc_gap('Matrix 171007_1812'!$CK$37,'Matrix 171007_1812'!$CQ$37)</f>
        <v/>
      </c>
      <c r="CX37" s="240" t="str">
        <f>calc_gap('Matrix 171007_1812'!$CL$37,'Matrix 171007_1812'!$CR$37)</f>
        <v/>
      </c>
      <c r="CY37" s="240" t="str">
        <f>calc_gap('Matrix 171007_1812'!$CM$37,'Matrix 171007_1812'!$CS$37)</f>
        <v/>
      </c>
      <c r="CZ37" s="240" t="str">
        <f>calc_gap('Matrix 171007_1812'!$CN$37,'Matrix 171007_1812'!$CT$37)</f>
        <v/>
      </c>
      <c r="DA37" s="241" t="str">
        <f>calc_gap('Matrix 171007_1812'!$CO$37,'Matrix 171007_1812'!$CU$37)</f>
        <v/>
      </c>
    </row>
    <row r="38" spans="2:105" ht="12.75" customHeight="1" thickTop="1" thickBot="1" x14ac:dyDescent="0.3">
      <c r="B38" s="436"/>
      <c r="C38" s="248"/>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c r="BA38" s="322"/>
      <c r="BB38" s="322"/>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2"/>
      <c r="CH38" s="322"/>
      <c r="CI38" s="322"/>
      <c r="CK38" s="249"/>
      <c r="CL38" s="249"/>
      <c r="CM38" s="249"/>
      <c r="CN38" s="249"/>
      <c r="CO38" s="249"/>
      <c r="CQ38" s="249"/>
      <c r="CR38" s="249"/>
      <c r="CS38" s="249"/>
      <c r="CT38" s="249"/>
      <c r="CU38" s="249"/>
      <c r="CW38" s="249"/>
      <c r="CX38" s="249"/>
      <c r="CY38" s="249"/>
      <c r="CZ38" s="249"/>
      <c r="DA38" s="249"/>
    </row>
    <row r="39" spans="2:105" ht="15.75" thickTop="1" x14ac:dyDescent="0.25">
      <c r="B39" s="434" t="s">
        <v>81</v>
      </c>
      <c r="C39" s="290" t="s">
        <v>82</v>
      </c>
      <c r="D39" s="310"/>
      <c r="E39" s="311"/>
      <c r="F39" s="311"/>
      <c r="G39" s="311"/>
      <c r="H39" s="311"/>
      <c r="I39" s="311"/>
      <c r="J39" s="311"/>
      <c r="K39" s="312"/>
      <c r="L39" s="310"/>
      <c r="M39" s="311"/>
      <c r="N39" s="311"/>
      <c r="O39" s="312"/>
      <c r="P39" s="310"/>
      <c r="Q39" s="311"/>
      <c r="R39" s="311"/>
      <c r="S39" s="311"/>
      <c r="T39" s="311"/>
      <c r="U39" s="311"/>
      <c r="V39" s="311"/>
      <c r="W39" s="311"/>
      <c r="X39" s="311"/>
      <c r="Y39" s="311"/>
      <c r="Z39" s="311"/>
      <c r="AA39" s="311"/>
      <c r="AB39" s="311"/>
      <c r="AC39" s="311"/>
      <c r="AD39" s="311"/>
      <c r="AE39" s="311"/>
      <c r="AF39" s="311"/>
      <c r="AG39" s="311"/>
      <c r="AH39" s="311"/>
      <c r="AI39" s="312"/>
      <c r="AJ39" s="310"/>
      <c r="AK39" s="311"/>
      <c r="AL39" s="312"/>
      <c r="AM39" s="310"/>
      <c r="AN39" s="311"/>
      <c r="AO39" s="312"/>
      <c r="AP39" s="310"/>
      <c r="AQ39" s="311"/>
      <c r="AR39" s="311"/>
      <c r="AS39" s="311"/>
      <c r="AT39" s="312"/>
      <c r="AU39" s="310" t="s">
        <v>150</v>
      </c>
      <c r="AV39" s="311" t="s">
        <v>148</v>
      </c>
      <c r="AW39" s="311" t="s">
        <v>150</v>
      </c>
      <c r="AX39" s="311" t="s">
        <v>150</v>
      </c>
      <c r="AY39" s="311" t="s">
        <v>148</v>
      </c>
      <c r="AZ39" s="311" t="s">
        <v>148</v>
      </c>
      <c r="BA39" s="311" t="s">
        <v>148</v>
      </c>
      <c r="BB39" s="312" t="s">
        <v>150</v>
      </c>
      <c r="BC39" s="310" t="s">
        <v>148</v>
      </c>
      <c r="BD39" s="311" t="s">
        <v>148</v>
      </c>
      <c r="BE39" s="311"/>
      <c r="BF39" s="311" t="s">
        <v>150</v>
      </c>
      <c r="BG39" s="312"/>
      <c r="BH39" s="310"/>
      <c r="BI39" s="311" t="s">
        <v>147</v>
      </c>
      <c r="BJ39" s="312"/>
      <c r="BK39" s="310" t="s">
        <v>148</v>
      </c>
      <c r="BL39" s="311" t="s">
        <v>150</v>
      </c>
      <c r="BM39" s="311"/>
      <c r="BN39" s="312" t="s">
        <v>148</v>
      </c>
      <c r="BO39" s="310" t="s">
        <v>148</v>
      </c>
      <c r="BP39" s="311" t="s">
        <v>47</v>
      </c>
      <c r="BQ39" s="311" t="s">
        <v>148</v>
      </c>
      <c r="BR39" s="311"/>
      <c r="BS39" s="311"/>
      <c r="BT39" s="311" t="s">
        <v>150</v>
      </c>
      <c r="BU39" s="311" t="s">
        <v>148</v>
      </c>
      <c r="BV39" s="312"/>
      <c r="BW39" s="310" t="s">
        <v>147</v>
      </c>
      <c r="BX39" s="311" t="s">
        <v>148</v>
      </c>
      <c r="BY39" s="311" t="s">
        <v>148</v>
      </c>
      <c r="BZ39" s="311" t="s">
        <v>150</v>
      </c>
      <c r="CA39" s="311" t="s">
        <v>150</v>
      </c>
      <c r="CB39" s="312" t="s">
        <v>150</v>
      </c>
      <c r="CC39" s="310" t="s">
        <v>148</v>
      </c>
      <c r="CD39" s="311" t="s">
        <v>150</v>
      </c>
      <c r="CE39" s="312"/>
      <c r="CF39" s="310"/>
      <c r="CG39" s="311"/>
      <c r="CH39" s="311"/>
      <c r="CI39" s="313"/>
      <c r="CK39" s="233" t="str">
        <f t="shared" ref="CK39:CK50" si="15">IF(COUNTIF(D39:CI39,"o")&gt;0,COUNTIF(D39:CI39,"o"),"")</f>
        <v/>
      </c>
      <c r="CL39" s="234">
        <f t="shared" ref="CL39:CL50" si="16">IF(COUNTIF(D39:CI39,"j")&gt;0,COUNTIF(D39:CI39,"j"),"")</f>
        <v>2</v>
      </c>
      <c r="CM39" s="234">
        <f t="shared" ref="CM39:CM50" si="17">IF(COUNTIF(D39:CI39,"m")&gt;0,COUNTIF(D39:CI39,"m"),"")</f>
        <v>14</v>
      </c>
      <c r="CN39" s="234">
        <f t="shared" ref="CN39:CN50" si="18">IF(COUNTIF(D39:CI39,"s")&gt;0,COUNTIF(D39:CI39,"s"),"")</f>
        <v>11</v>
      </c>
      <c r="CO39" s="235">
        <f t="shared" ref="CO39:CO50" si="19">IF(COUNTIF(D39:CI39,"e")&gt;0,COUNTIF(D39:CI39,"e"),"")</f>
        <v>1</v>
      </c>
      <c r="CQ39" s="233" t="str">
        <f>desired_skills(C39,"Competenties/Overtuigingskracht","o")</f>
        <v>21</v>
      </c>
      <c r="CR39" s="234" t="str">
        <f>desired_skills(C39,"Competenties/Overtuigingskracht","j")</f>
        <v/>
      </c>
      <c r="CS39" s="234" t="str">
        <f>desired_skills(C39,"Competenties/Overtuigingskracht","m")</f>
        <v/>
      </c>
      <c r="CT39" s="234" t="str">
        <f>desired_skills(C39,"Competenties/Overtuigingskracht","s")</f>
        <v/>
      </c>
      <c r="CU39" s="235" t="str">
        <f>desired_skills(C39,"Competenties/Overtuigingskracht","e")</f>
        <v/>
      </c>
      <c r="CW39" s="233" t="str">
        <f>calc_gap('Matrix 171007_1812'!$CK$39,'Matrix 171007_1812'!$CQ$39)</f>
        <v/>
      </c>
      <c r="CX39" s="234" t="str">
        <f>calc_gap('Matrix 171007_1812'!$CL$39,'Matrix 171007_1812'!$CR$39)</f>
        <v/>
      </c>
      <c r="CY39" s="234" t="str">
        <f>calc_gap('Matrix 171007_1812'!$CM$39,'Matrix 171007_1812'!$CS$39)</f>
        <v/>
      </c>
      <c r="CZ39" s="234" t="str">
        <f>calc_gap('Matrix 171007_1812'!$CN$39,'Matrix 171007_1812'!$CT$39)</f>
        <v/>
      </c>
      <c r="DA39" s="235" t="str">
        <f>calc_gap('Matrix 171007_1812'!$CO$39,'Matrix 171007_1812'!$CU$39)</f>
        <v/>
      </c>
    </row>
    <row r="40" spans="2:105" x14ac:dyDescent="0.25">
      <c r="B40" s="435"/>
      <c r="C40" s="291" t="s">
        <v>83</v>
      </c>
      <c r="D40" s="314"/>
      <c r="E40" s="315"/>
      <c r="F40" s="315"/>
      <c r="G40" s="315"/>
      <c r="H40" s="315"/>
      <c r="I40" s="315"/>
      <c r="J40" s="315"/>
      <c r="K40" s="316"/>
      <c r="L40" s="314"/>
      <c r="M40" s="315"/>
      <c r="N40" s="315"/>
      <c r="O40" s="316"/>
      <c r="P40" s="314"/>
      <c r="Q40" s="315"/>
      <c r="R40" s="315"/>
      <c r="S40" s="315"/>
      <c r="T40" s="315"/>
      <c r="U40" s="315"/>
      <c r="V40" s="315"/>
      <c r="W40" s="315"/>
      <c r="X40" s="315"/>
      <c r="Y40" s="315"/>
      <c r="Z40" s="315"/>
      <c r="AA40" s="315"/>
      <c r="AB40" s="315"/>
      <c r="AC40" s="315"/>
      <c r="AD40" s="315"/>
      <c r="AE40" s="315"/>
      <c r="AF40" s="315"/>
      <c r="AG40" s="315"/>
      <c r="AH40" s="315"/>
      <c r="AI40" s="316"/>
      <c r="AJ40" s="314"/>
      <c r="AK40" s="315"/>
      <c r="AL40" s="316"/>
      <c r="AM40" s="314"/>
      <c r="AN40" s="315"/>
      <c r="AO40" s="316"/>
      <c r="AP40" s="314"/>
      <c r="AQ40" s="315"/>
      <c r="AR40" s="315"/>
      <c r="AS40" s="315"/>
      <c r="AT40" s="316"/>
      <c r="AU40" s="314" t="s">
        <v>47</v>
      </c>
      <c r="AV40" s="315" t="s">
        <v>150</v>
      </c>
      <c r="AW40" s="315" t="s">
        <v>150</v>
      </c>
      <c r="AX40" s="315" t="s">
        <v>150</v>
      </c>
      <c r="AY40" s="315" t="s">
        <v>150</v>
      </c>
      <c r="AZ40" s="315" t="s">
        <v>47</v>
      </c>
      <c r="BA40" s="315" t="s">
        <v>47</v>
      </c>
      <c r="BB40" s="316" t="s">
        <v>47</v>
      </c>
      <c r="BC40" s="314" t="s">
        <v>150</v>
      </c>
      <c r="BD40" s="315" t="s">
        <v>148</v>
      </c>
      <c r="BE40" s="315"/>
      <c r="BF40" s="315" t="s">
        <v>47</v>
      </c>
      <c r="BG40" s="316"/>
      <c r="BH40" s="314"/>
      <c r="BI40" s="315" t="s">
        <v>150</v>
      </c>
      <c r="BJ40" s="316"/>
      <c r="BK40" s="314" t="s">
        <v>147</v>
      </c>
      <c r="BL40" s="315" t="s">
        <v>148</v>
      </c>
      <c r="BM40" s="315"/>
      <c r="BN40" s="316" t="s">
        <v>149</v>
      </c>
      <c r="BO40" s="314" t="s">
        <v>148</v>
      </c>
      <c r="BP40" s="315" t="s">
        <v>150</v>
      </c>
      <c r="BQ40" s="315" t="s">
        <v>150</v>
      </c>
      <c r="BR40" s="315"/>
      <c r="BS40" s="315"/>
      <c r="BT40" s="315" t="s">
        <v>150</v>
      </c>
      <c r="BU40" s="315" t="s">
        <v>150</v>
      </c>
      <c r="BV40" s="316"/>
      <c r="BW40" s="314" t="s">
        <v>150</v>
      </c>
      <c r="BX40" s="315" t="s">
        <v>148</v>
      </c>
      <c r="BY40" s="315" t="s">
        <v>150</v>
      </c>
      <c r="BZ40" s="315" t="s">
        <v>150</v>
      </c>
      <c r="CA40" s="315" t="s">
        <v>150</v>
      </c>
      <c r="CB40" s="316" t="s">
        <v>150</v>
      </c>
      <c r="CC40" s="314" t="s">
        <v>147</v>
      </c>
      <c r="CD40" s="315" t="s">
        <v>150</v>
      </c>
      <c r="CE40" s="316"/>
      <c r="CF40" s="314"/>
      <c r="CG40" s="315"/>
      <c r="CH40" s="315"/>
      <c r="CI40" s="317"/>
      <c r="CK40" s="236">
        <f t="shared" si="15"/>
        <v>1</v>
      </c>
      <c r="CL40" s="237">
        <f t="shared" si="16"/>
        <v>2</v>
      </c>
      <c r="CM40" s="237">
        <f t="shared" si="17"/>
        <v>4</v>
      </c>
      <c r="CN40" s="237">
        <f t="shared" si="18"/>
        <v>16</v>
      </c>
      <c r="CO40" s="238">
        <f t="shared" si="19"/>
        <v>5</v>
      </c>
      <c r="CQ40" s="236" t="str">
        <f>desired_skills(C40,"Competenties/Ketendenken/helicopterview","o")</f>
        <v/>
      </c>
      <c r="CR40" s="237" t="str">
        <f>desired_skills(C40,"Competenties/Ketendenken/helicopterview","j")</f>
        <v>22</v>
      </c>
      <c r="CS40" s="237" t="str">
        <f>desired_skills(C40,"Competenties/Ketendenken/helicopterview","m")</f>
        <v/>
      </c>
      <c r="CT40" s="237" t="str">
        <f>desired_skills(C40,"Competenties/Ketendenken/helicopterview","s")</f>
        <v/>
      </c>
      <c r="CU40" s="238" t="str">
        <f>desired_skills(C40,"Competenties/Ketendenken/helicopterview","e")</f>
        <v/>
      </c>
      <c r="CW40" s="236" t="str">
        <f>calc_gap('Matrix 171007_1812'!$CK$40,'Matrix 171007_1812'!$CQ$40)</f>
        <v/>
      </c>
      <c r="CX40" s="237" t="str">
        <f>calc_gap('Matrix 171007_1812'!$CL$40,'Matrix 171007_1812'!$CR$40)</f>
        <v>20</v>
      </c>
      <c r="CY40" s="237" t="str">
        <f>calc_gap('Matrix 171007_1812'!$CM$40,'Matrix 171007_1812'!$CS$40)</f>
        <v/>
      </c>
      <c r="CZ40" s="237" t="str">
        <f>calc_gap('Matrix 171007_1812'!$CN$40,'Matrix 171007_1812'!$CT$40)</f>
        <v/>
      </c>
      <c r="DA40" s="238" t="str">
        <f>calc_gap('Matrix 171007_1812'!$CO$40,'Matrix 171007_1812'!$CU$40)</f>
        <v/>
      </c>
    </row>
    <row r="41" spans="2:105" x14ac:dyDescent="0.25">
      <c r="B41" s="435"/>
      <c r="C41" s="291" t="s">
        <v>84</v>
      </c>
      <c r="D41" s="314"/>
      <c r="E41" s="315"/>
      <c r="F41" s="315"/>
      <c r="G41" s="315"/>
      <c r="H41" s="315"/>
      <c r="I41" s="315"/>
      <c r="J41" s="315"/>
      <c r="K41" s="316"/>
      <c r="L41" s="314"/>
      <c r="M41" s="315"/>
      <c r="N41" s="315"/>
      <c r="O41" s="316"/>
      <c r="P41" s="314"/>
      <c r="Q41" s="315"/>
      <c r="R41" s="315"/>
      <c r="S41" s="315"/>
      <c r="T41" s="315"/>
      <c r="U41" s="315"/>
      <c r="V41" s="315"/>
      <c r="W41" s="315"/>
      <c r="X41" s="315"/>
      <c r="Y41" s="315"/>
      <c r="Z41" s="315"/>
      <c r="AA41" s="315"/>
      <c r="AB41" s="315"/>
      <c r="AC41" s="315"/>
      <c r="AD41" s="315"/>
      <c r="AE41" s="315"/>
      <c r="AF41" s="315"/>
      <c r="AG41" s="315"/>
      <c r="AH41" s="315"/>
      <c r="AI41" s="316"/>
      <c r="AJ41" s="314"/>
      <c r="AK41" s="315"/>
      <c r="AL41" s="316"/>
      <c r="AM41" s="314"/>
      <c r="AN41" s="315"/>
      <c r="AO41" s="316"/>
      <c r="AP41" s="314"/>
      <c r="AQ41" s="315"/>
      <c r="AR41" s="315"/>
      <c r="AS41" s="315"/>
      <c r="AT41" s="316"/>
      <c r="AU41" s="314" t="s">
        <v>150</v>
      </c>
      <c r="AV41" s="315" t="s">
        <v>150</v>
      </c>
      <c r="AW41" s="315" t="s">
        <v>150</v>
      </c>
      <c r="AX41" s="315" t="s">
        <v>150</v>
      </c>
      <c r="AY41" s="315" t="s">
        <v>148</v>
      </c>
      <c r="AZ41" s="315" t="s">
        <v>150</v>
      </c>
      <c r="BA41" s="315" t="s">
        <v>148</v>
      </c>
      <c r="BB41" s="316" t="s">
        <v>150</v>
      </c>
      <c r="BC41" s="314" t="s">
        <v>47</v>
      </c>
      <c r="BD41" s="315" t="s">
        <v>148</v>
      </c>
      <c r="BE41" s="315"/>
      <c r="BF41" s="315" t="s">
        <v>150</v>
      </c>
      <c r="BG41" s="316"/>
      <c r="BH41" s="314"/>
      <c r="BI41" s="315" t="s">
        <v>148</v>
      </c>
      <c r="BJ41" s="316"/>
      <c r="BK41" s="314" t="s">
        <v>147</v>
      </c>
      <c r="BL41" s="315" t="s">
        <v>150</v>
      </c>
      <c r="BM41" s="315"/>
      <c r="BN41" s="316" t="s">
        <v>148</v>
      </c>
      <c r="BO41" s="314" t="s">
        <v>147</v>
      </c>
      <c r="BP41" s="315" t="s">
        <v>148</v>
      </c>
      <c r="BQ41" s="315" t="s">
        <v>148</v>
      </c>
      <c r="BR41" s="315"/>
      <c r="BS41" s="315"/>
      <c r="BT41" s="315" t="s">
        <v>148</v>
      </c>
      <c r="BU41" s="315" t="s">
        <v>148</v>
      </c>
      <c r="BV41" s="316"/>
      <c r="BW41" s="314" t="s">
        <v>148</v>
      </c>
      <c r="BX41" s="315" t="s">
        <v>148</v>
      </c>
      <c r="BY41" s="315" t="s">
        <v>148</v>
      </c>
      <c r="BZ41" s="315" t="s">
        <v>150</v>
      </c>
      <c r="CA41" s="315" t="s">
        <v>148</v>
      </c>
      <c r="CB41" s="316" t="s">
        <v>148</v>
      </c>
      <c r="CC41" s="314" t="s">
        <v>147</v>
      </c>
      <c r="CD41" s="315" t="s">
        <v>148</v>
      </c>
      <c r="CE41" s="316"/>
      <c r="CF41" s="314"/>
      <c r="CG41" s="315"/>
      <c r="CH41" s="315"/>
      <c r="CI41" s="317"/>
      <c r="CK41" s="236" t="str">
        <f t="shared" si="15"/>
        <v/>
      </c>
      <c r="CL41" s="237">
        <f t="shared" si="16"/>
        <v>3</v>
      </c>
      <c r="CM41" s="237">
        <f t="shared" si="17"/>
        <v>15</v>
      </c>
      <c r="CN41" s="237">
        <f t="shared" si="18"/>
        <v>9</v>
      </c>
      <c r="CO41" s="238">
        <f t="shared" si="19"/>
        <v>1</v>
      </c>
      <c r="CQ41" s="236" t="str">
        <f>desired_skills(C41,"Competenties/Presentatievaardigheden","o")</f>
        <v/>
      </c>
      <c r="CR41" s="237" t="str">
        <f>desired_skills(C41,"Competenties/Presentatievaardigheden","j")</f>
        <v/>
      </c>
      <c r="CS41" s="237" t="str">
        <f>desired_skills(C41,"Competenties/Presentatievaardigheden","m")</f>
        <v>23</v>
      </c>
      <c r="CT41" s="237" t="str">
        <f>desired_skills(C41,"Competenties/Presentatievaardigheden","s")</f>
        <v/>
      </c>
      <c r="CU41" s="238" t="str">
        <f>desired_skills(C41,"Competenties/Presentatievaardigheden","e")</f>
        <v/>
      </c>
      <c r="CW41" s="236" t="str">
        <f>calc_gap('Matrix 171007_1812'!$CK$41,'Matrix 171007_1812'!$CQ$41)</f>
        <v/>
      </c>
      <c r="CX41" s="237" t="str">
        <f>calc_gap('Matrix 171007_1812'!$CL$41,'Matrix 171007_1812'!$CR$41)</f>
        <v/>
      </c>
      <c r="CY41" s="237" t="str">
        <f>calc_gap('Matrix 171007_1812'!$CM$41,'Matrix 171007_1812'!$CS$41)</f>
        <v>8</v>
      </c>
      <c r="CZ41" s="237" t="str">
        <f>calc_gap('Matrix 171007_1812'!$CN$41,'Matrix 171007_1812'!$CT$41)</f>
        <v/>
      </c>
      <c r="DA41" s="238" t="str">
        <f>calc_gap('Matrix 171007_1812'!$CO$41,'Matrix 171007_1812'!$CU$41)</f>
        <v/>
      </c>
    </row>
    <row r="42" spans="2:105" x14ac:dyDescent="0.25">
      <c r="B42" s="435"/>
      <c r="C42" s="291" t="s">
        <v>85</v>
      </c>
      <c r="D42" s="314"/>
      <c r="E42" s="315"/>
      <c r="F42" s="315"/>
      <c r="G42" s="315"/>
      <c r="H42" s="315"/>
      <c r="I42" s="315"/>
      <c r="J42" s="315"/>
      <c r="K42" s="316"/>
      <c r="L42" s="314"/>
      <c r="M42" s="315"/>
      <c r="N42" s="315"/>
      <c r="O42" s="316"/>
      <c r="P42" s="314"/>
      <c r="Q42" s="315"/>
      <c r="R42" s="315"/>
      <c r="S42" s="315"/>
      <c r="T42" s="315"/>
      <c r="U42" s="315"/>
      <c r="V42" s="315"/>
      <c r="W42" s="315"/>
      <c r="X42" s="315"/>
      <c r="Y42" s="315"/>
      <c r="Z42" s="315"/>
      <c r="AA42" s="315"/>
      <c r="AB42" s="315"/>
      <c r="AC42" s="315"/>
      <c r="AD42" s="315"/>
      <c r="AE42" s="315"/>
      <c r="AF42" s="315"/>
      <c r="AG42" s="315"/>
      <c r="AH42" s="315"/>
      <c r="AI42" s="316"/>
      <c r="AJ42" s="314"/>
      <c r="AK42" s="315"/>
      <c r="AL42" s="316"/>
      <c r="AM42" s="314"/>
      <c r="AN42" s="315"/>
      <c r="AO42" s="316"/>
      <c r="AP42" s="314"/>
      <c r="AQ42" s="315"/>
      <c r="AR42" s="315"/>
      <c r="AS42" s="315"/>
      <c r="AT42" s="316"/>
      <c r="AU42" s="314" t="s">
        <v>150</v>
      </c>
      <c r="AV42" s="315" t="s">
        <v>148</v>
      </c>
      <c r="AW42" s="315" t="s">
        <v>150</v>
      </c>
      <c r="AX42" s="315" t="s">
        <v>150</v>
      </c>
      <c r="AY42" s="315" t="s">
        <v>150</v>
      </c>
      <c r="AZ42" s="315" t="s">
        <v>150</v>
      </c>
      <c r="BA42" s="315" t="s">
        <v>150</v>
      </c>
      <c r="BB42" s="316" t="s">
        <v>150</v>
      </c>
      <c r="BC42" s="314" t="s">
        <v>150</v>
      </c>
      <c r="BD42" s="315" t="s">
        <v>148</v>
      </c>
      <c r="BE42" s="315"/>
      <c r="BF42" s="315" t="s">
        <v>150</v>
      </c>
      <c r="BG42" s="316"/>
      <c r="BH42" s="314"/>
      <c r="BI42" s="315" t="s">
        <v>149</v>
      </c>
      <c r="BJ42" s="316"/>
      <c r="BK42" s="314" t="s">
        <v>148</v>
      </c>
      <c r="BL42" s="315" t="s">
        <v>148</v>
      </c>
      <c r="BM42" s="315"/>
      <c r="BN42" s="316"/>
      <c r="BO42" s="314" t="s">
        <v>147</v>
      </c>
      <c r="BP42" s="315" t="s">
        <v>150</v>
      </c>
      <c r="BQ42" s="315" t="s">
        <v>148</v>
      </c>
      <c r="BR42" s="315"/>
      <c r="BS42" s="315"/>
      <c r="BT42" s="315" t="s">
        <v>148</v>
      </c>
      <c r="BU42" s="315" t="s">
        <v>148</v>
      </c>
      <c r="BV42" s="316"/>
      <c r="BW42" s="314" t="s">
        <v>148</v>
      </c>
      <c r="BX42" s="315"/>
      <c r="BY42" s="315" t="s">
        <v>150</v>
      </c>
      <c r="BZ42" s="315" t="s">
        <v>150</v>
      </c>
      <c r="CA42" s="315" t="s">
        <v>47</v>
      </c>
      <c r="CB42" s="316" t="s">
        <v>150</v>
      </c>
      <c r="CC42" s="314"/>
      <c r="CD42" s="315" t="s">
        <v>150</v>
      </c>
      <c r="CE42" s="316"/>
      <c r="CF42" s="314"/>
      <c r="CG42" s="315"/>
      <c r="CH42" s="315"/>
      <c r="CI42" s="317"/>
      <c r="CK42" s="236">
        <f t="shared" si="15"/>
        <v>1</v>
      </c>
      <c r="CL42" s="237">
        <f t="shared" si="16"/>
        <v>1</v>
      </c>
      <c r="CM42" s="237">
        <f t="shared" si="17"/>
        <v>8</v>
      </c>
      <c r="CN42" s="237">
        <f t="shared" si="18"/>
        <v>14</v>
      </c>
      <c r="CO42" s="238">
        <f t="shared" si="19"/>
        <v>1</v>
      </c>
      <c r="CQ42" s="236" t="str">
        <f>desired_skills(C42,"Competenties/Stakeholdermanagement","o")</f>
        <v/>
      </c>
      <c r="CR42" s="237" t="str">
        <f>desired_skills(C42,"Competenties/Stakeholdermanagement","j")</f>
        <v/>
      </c>
      <c r="CS42" s="237" t="str">
        <f>desired_skills(C42,"Competenties/Stakeholdermanagement","m")</f>
        <v/>
      </c>
      <c r="CT42" s="237" t="str">
        <f>desired_skills(C42,"Competenties/Stakeholdermanagement","s")</f>
        <v>24</v>
      </c>
      <c r="CU42" s="238" t="str">
        <f>desired_skills(C42,"Competenties/Stakeholdermanagement","e")</f>
        <v/>
      </c>
      <c r="CW42" s="236" t="str">
        <f>calc_gap('Matrix 171007_1812'!$CK$42,'Matrix 171007_1812'!$CQ$42)</f>
        <v/>
      </c>
      <c r="CX42" s="237" t="str">
        <f>calc_gap('Matrix 171007_1812'!$CL$42,'Matrix 171007_1812'!$CR$42)</f>
        <v/>
      </c>
      <c r="CY42" s="237" t="str">
        <f>calc_gap('Matrix 171007_1812'!$CM$42,'Matrix 171007_1812'!$CS$42)</f>
        <v/>
      </c>
      <c r="CZ42" s="237" t="str">
        <f>calc_gap('Matrix 171007_1812'!$CN$42,'Matrix 171007_1812'!$CT$42)</f>
        <v>10</v>
      </c>
      <c r="DA42" s="238" t="str">
        <f>calc_gap('Matrix 171007_1812'!$CO$42,'Matrix 171007_1812'!$CU$42)</f>
        <v/>
      </c>
    </row>
    <row r="43" spans="2:105" x14ac:dyDescent="0.25">
      <c r="B43" s="435"/>
      <c r="C43" s="291" t="s">
        <v>86</v>
      </c>
      <c r="D43" s="314"/>
      <c r="E43" s="315"/>
      <c r="F43" s="315"/>
      <c r="G43" s="315"/>
      <c r="H43" s="315"/>
      <c r="I43" s="315"/>
      <c r="J43" s="315"/>
      <c r="K43" s="316"/>
      <c r="L43" s="314"/>
      <c r="M43" s="315"/>
      <c r="N43" s="315"/>
      <c r="O43" s="316"/>
      <c r="P43" s="314"/>
      <c r="Q43" s="315"/>
      <c r="R43" s="315"/>
      <c r="S43" s="315"/>
      <c r="T43" s="315"/>
      <c r="U43" s="315"/>
      <c r="V43" s="315"/>
      <c r="W43" s="315"/>
      <c r="X43" s="315"/>
      <c r="Y43" s="315"/>
      <c r="Z43" s="315"/>
      <c r="AA43" s="315"/>
      <c r="AB43" s="315"/>
      <c r="AC43" s="315"/>
      <c r="AD43" s="315"/>
      <c r="AE43" s="315"/>
      <c r="AF43" s="315"/>
      <c r="AG43" s="315"/>
      <c r="AH43" s="315"/>
      <c r="AI43" s="316"/>
      <c r="AJ43" s="314"/>
      <c r="AK43" s="315"/>
      <c r="AL43" s="316"/>
      <c r="AM43" s="314"/>
      <c r="AN43" s="315"/>
      <c r="AO43" s="316"/>
      <c r="AP43" s="314"/>
      <c r="AQ43" s="315"/>
      <c r="AR43" s="315"/>
      <c r="AS43" s="315"/>
      <c r="AT43" s="316"/>
      <c r="AU43" s="314" t="s">
        <v>150</v>
      </c>
      <c r="AV43" s="315" t="s">
        <v>150</v>
      </c>
      <c r="AW43" s="315" t="s">
        <v>150</v>
      </c>
      <c r="AX43" s="315" t="s">
        <v>150</v>
      </c>
      <c r="AY43" s="315" t="s">
        <v>150</v>
      </c>
      <c r="AZ43" s="315" t="s">
        <v>150</v>
      </c>
      <c r="BA43" s="315" t="s">
        <v>148</v>
      </c>
      <c r="BB43" s="316" t="s">
        <v>150</v>
      </c>
      <c r="BC43" s="314" t="s">
        <v>150</v>
      </c>
      <c r="BD43" s="315" t="s">
        <v>148</v>
      </c>
      <c r="BE43" s="315"/>
      <c r="BF43" s="315" t="s">
        <v>47</v>
      </c>
      <c r="BG43" s="316"/>
      <c r="BH43" s="314"/>
      <c r="BI43" s="315" t="s">
        <v>150</v>
      </c>
      <c r="BJ43" s="316"/>
      <c r="BK43" s="314" t="s">
        <v>147</v>
      </c>
      <c r="BL43" s="315" t="s">
        <v>148</v>
      </c>
      <c r="BM43" s="315"/>
      <c r="BN43" s="316" t="s">
        <v>148</v>
      </c>
      <c r="BO43" s="314" t="s">
        <v>150</v>
      </c>
      <c r="BP43" s="315" t="s">
        <v>150</v>
      </c>
      <c r="BQ43" s="315" t="s">
        <v>150</v>
      </c>
      <c r="BR43" s="315"/>
      <c r="BS43" s="315" t="s">
        <v>147</v>
      </c>
      <c r="BT43" s="315" t="s">
        <v>150</v>
      </c>
      <c r="BU43" s="315" t="s">
        <v>150</v>
      </c>
      <c r="BV43" s="316"/>
      <c r="BW43" s="314" t="s">
        <v>150</v>
      </c>
      <c r="BX43" s="315" t="s">
        <v>148</v>
      </c>
      <c r="BY43" s="315" t="s">
        <v>47</v>
      </c>
      <c r="BZ43" s="315" t="s">
        <v>150</v>
      </c>
      <c r="CA43" s="315" t="s">
        <v>47</v>
      </c>
      <c r="CB43" s="316" t="s">
        <v>47</v>
      </c>
      <c r="CC43" s="314"/>
      <c r="CD43" s="315" t="s">
        <v>150</v>
      </c>
      <c r="CE43" s="316"/>
      <c r="CF43" s="314"/>
      <c r="CG43" s="315"/>
      <c r="CH43" s="315"/>
      <c r="CI43" s="317"/>
      <c r="CK43" s="236" t="str">
        <f t="shared" si="15"/>
        <v/>
      </c>
      <c r="CL43" s="237">
        <f t="shared" si="16"/>
        <v>2</v>
      </c>
      <c r="CM43" s="237">
        <f t="shared" si="17"/>
        <v>5</v>
      </c>
      <c r="CN43" s="237">
        <f t="shared" si="18"/>
        <v>17</v>
      </c>
      <c r="CO43" s="238">
        <f t="shared" si="19"/>
        <v>4</v>
      </c>
      <c r="CQ43" s="236" t="str">
        <f>desired_skills(C43,"Competenties/Analyse &amp; advies","o")</f>
        <v/>
      </c>
      <c r="CR43" s="237" t="str">
        <f>desired_skills(C43,"Competenties/Analyse &amp; advies","j")</f>
        <v/>
      </c>
      <c r="CS43" s="237" t="str">
        <f>desired_skills(C43,"Competenties/Analyse &amp; advies","m")</f>
        <v/>
      </c>
      <c r="CT43" s="237" t="str">
        <f>desired_skills(C43,"Competenties/Analyse &amp; advies","s")</f>
        <v/>
      </c>
      <c r="CU43" s="238" t="str">
        <f>desired_skills(C43,"Competenties/Analyse &amp; advies","e")</f>
        <v>25</v>
      </c>
      <c r="CW43" s="236" t="str">
        <f>calc_gap('Matrix 171007_1812'!$CK$43,'Matrix 171007_1812'!$CQ$43)</f>
        <v/>
      </c>
      <c r="CX43" s="237" t="str">
        <f>calc_gap('Matrix 171007_1812'!$CL$43,'Matrix 171007_1812'!$CR$43)</f>
        <v/>
      </c>
      <c r="CY43" s="237" t="str">
        <f>calc_gap('Matrix 171007_1812'!$CM$43,'Matrix 171007_1812'!$CS$43)</f>
        <v/>
      </c>
      <c r="CZ43" s="237" t="str">
        <f>calc_gap('Matrix 171007_1812'!$CN$43,'Matrix 171007_1812'!$CT$43)</f>
        <v/>
      </c>
      <c r="DA43" s="238" t="str">
        <f>calc_gap('Matrix 171007_1812'!$CO$43,'Matrix 171007_1812'!$CU$43)</f>
        <v>21</v>
      </c>
    </row>
    <row r="44" spans="2:105" x14ac:dyDescent="0.25">
      <c r="B44" s="435"/>
      <c r="C44" s="291" t="s">
        <v>87</v>
      </c>
      <c r="D44" s="314"/>
      <c r="E44" s="315"/>
      <c r="F44" s="315"/>
      <c r="G44" s="315"/>
      <c r="H44" s="315"/>
      <c r="I44" s="315"/>
      <c r="J44" s="315"/>
      <c r="K44" s="316"/>
      <c r="L44" s="314"/>
      <c r="M44" s="315"/>
      <c r="N44" s="315"/>
      <c r="O44" s="316"/>
      <c r="P44" s="314"/>
      <c r="Q44" s="315"/>
      <c r="R44" s="315"/>
      <c r="S44" s="315"/>
      <c r="T44" s="315"/>
      <c r="U44" s="315"/>
      <c r="V44" s="315"/>
      <c r="W44" s="315"/>
      <c r="X44" s="315"/>
      <c r="Y44" s="315"/>
      <c r="Z44" s="315"/>
      <c r="AA44" s="315"/>
      <c r="AB44" s="315"/>
      <c r="AC44" s="315"/>
      <c r="AD44" s="315"/>
      <c r="AE44" s="315"/>
      <c r="AF44" s="315"/>
      <c r="AG44" s="315"/>
      <c r="AH44" s="315"/>
      <c r="AI44" s="316"/>
      <c r="AJ44" s="314"/>
      <c r="AK44" s="315"/>
      <c r="AL44" s="316"/>
      <c r="AM44" s="314"/>
      <c r="AN44" s="315"/>
      <c r="AO44" s="316"/>
      <c r="AP44" s="314"/>
      <c r="AQ44" s="315"/>
      <c r="AR44" s="315"/>
      <c r="AS44" s="315"/>
      <c r="AT44" s="316"/>
      <c r="AU44" s="314" t="s">
        <v>150</v>
      </c>
      <c r="AV44" s="315" t="s">
        <v>148</v>
      </c>
      <c r="AW44" s="315" t="s">
        <v>150</v>
      </c>
      <c r="AX44" s="315" t="s">
        <v>150</v>
      </c>
      <c r="AY44" s="315" t="s">
        <v>150</v>
      </c>
      <c r="AZ44" s="315" t="s">
        <v>150</v>
      </c>
      <c r="BA44" s="315" t="s">
        <v>150</v>
      </c>
      <c r="BB44" s="316" t="s">
        <v>150</v>
      </c>
      <c r="BC44" s="314" t="s">
        <v>148</v>
      </c>
      <c r="BD44" s="315" t="s">
        <v>148</v>
      </c>
      <c r="BE44" s="315"/>
      <c r="BF44" s="315" t="s">
        <v>150</v>
      </c>
      <c r="BG44" s="316"/>
      <c r="BH44" s="314"/>
      <c r="BI44" s="315" t="s">
        <v>149</v>
      </c>
      <c r="BJ44" s="316"/>
      <c r="BK44" s="314" t="s">
        <v>148</v>
      </c>
      <c r="BL44" s="315" t="s">
        <v>148</v>
      </c>
      <c r="BM44" s="315"/>
      <c r="BN44" s="316" t="s">
        <v>150</v>
      </c>
      <c r="BO44" s="314" t="s">
        <v>148</v>
      </c>
      <c r="BP44" s="315" t="s">
        <v>150</v>
      </c>
      <c r="BQ44" s="315" t="s">
        <v>148</v>
      </c>
      <c r="BR44" s="315"/>
      <c r="BS44" s="315"/>
      <c r="BT44" s="315" t="s">
        <v>150</v>
      </c>
      <c r="BU44" s="315" t="s">
        <v>148</v>
      </c>
      <c r="BV44" s="316"/>
      <c r="BW44" s="314" t="s">
        <v>148</v>
      </c>
      <c r="BX44" s="315" t="s">
        <v>148</v>
      </c>
      <c r="BY44" s="315" t="s">
        <v>47</v>
      </c>
      <c r="BZ44" s="315" t="s">
        <v>148</v>
      </c>
      <c r="CA44" s="315" t="s">
        <v>150</v>
      </c>
      <c r="CB44" s="316" t="s">
        <v>150</v>
      </c>
      <c r="CC44" s="314"/>
      <c r="CD44" s="315" t="s">
        <v>47</v>
      </c>
      <c r="CE44" s="316"/>
      <c r="CF44" s="314"/>
      <c r="CG44" s="315"/>
      <c r="CH44" s="315"/>
      <c r="CI44" s="317"/>
      <c r="CK44" s="236">
        <f t="shared" si="15"/>
        <v>1</v>
      </c>
      <c r="CL44" s="237" t="str">
        <f t="shared" si="16"/>
        <v/>
      </c>
      <c r="CM44" s="237">
        <f t="shared" si="17"/>
        <v>11</v>
      </c>
      <c r="CN44" s="237">
        <f t="shared" si="18"/>
        <v>13</v>
      </c>
      <c r="CO44" s="238">
        <f t="shared" si="19"/>
        <v>2</v>
      </c>
      <c r="CQ44" s="236" t="str">
        <f>desired_skills(C44,"Competenties/Veranderkracht","o")</f>
        <v/>
      </c>
      <c r="CR44" s="237" t="str">
        <f>desired_skills(C44,"Competenties/Veranderkracht","j")</f>
        <v/>
      </c>
      <c r="CS44" s="237" t="str">
        <f>desired_skills(C44,"Competenties/Veranderkracht","m")</f>
        <v/>
      </c>
      <c r="CT44" s="237" t="str">
        <f>desired_skills(C44,"Competenties/Veranderkracht","s")</f>
        <v/>
      </c>
      <c r="CU44" s="238" t="str">
        <f>desired_skills(C44,"Competenties/Veranderkracht","e")</f>
        <v/>
      </c>
      <c r="CW44" s="236" t="str">
        <f>calc_gap('Matrix 171007_1812'!$CK$44,'Matrix 171007_1812'!$CQ$44)</f>
        <v/>
      </c>
      <c r="CX44" s="237" t="str">
        <f>calc_gap('Matrix 171007_1812'!$CL$44,'Matrix 171007_1812'!$CR$44)</f>
        <v/>
      </c>
      <c r="CY44" s="237" t="str">
        <f>calc_gap('Matrix 171007_1812'!$CM$44,'Matrix 171007_1812'!$CS$44)</f>
        <v/>
      </c>
      <c r="CZ44" s="237" t="str">
        <f>calc_gap('Matrix 171007_1812'!$CN$44,'Matrix 171007_1812'!$CT$44)</f>
        <v/>
      </c>
      <c r="DA44" s="238" t="str">
        <f>calc_gap('Matrix 171007_1812'!$CO$44,'Matrix 171007_1812'!$CU$44)</f>
        <v/>
      </c>
    </row>
    <row r="45" spans="2:105" x14ac:dyDescent="0.25">
      <c r="B45" s="435"/>
      <c r="C45" s="291" t="s">
        <v>88</v>
      </c>
      <c r="D45" s="314"/>
      <c r="E45" s="315"/>
      <c r="F45" s="315"/>
      <c r="G45" s="315"/>
      <c r="H45" s="315"/>
      <c r="I45" s="315"/>
      <c r="J45" s="315"/>
      <c r="K45" s="316"/>
      <c r="L45" s="314"/>
      <c r="M45" s="315"/>
      <c r="N45" s="315"/>
      <c r="O45" s="316"/>
      <c r="P45" s="314"/>
      <c r="Q45" s="315"/>
      <c r="R45" s="315"/>
      <c r="S45" s="315"/>
      <c r="T45" s="315"/>
      <c r="U45" s="315"/>
      <c r="V45" s="315"/>
      <c r="W45" s="315"/>
      <c r="X45" s="315"/>
      <c r="Y45" s="315"/>
      <c r="Z45" s="315"/>
      <c r="AA45" s="315"/>
      <c r="AB45" s="315"/>
      <c r="AC45" s="315"/>
      <c r="AD45" s="315"/>
      <c r="AE45" s="315"/>
      <c r="AF45" s="315"/>
      <c r="AG45" s="315"/>
      <c r="AH45" s="315"/>
      <c r="AI45" s="316"/>
      <c r="AJ45" s="314"/>
      <c r="AK45" s="315"/>
      <c r="AL45" s="316"/>
      <c r="AM45" s="314"/>
      <c r="AN45" s="315"/>
      <c r="AO45" s="316"/>
      <c r="AP45" s="314"/>
      <c r="AQ45" s="315"/>
      <c r="AR45" s="315"/>
      <c r="AS45" s="315"/>
      <c r="AT45" s="316"/>
      <c r="AU45" s="314" t="s">
        <v>47</v>
      </c>
      <c r="AV45" s="315" t="s">
        <v>150</v>
      </c>
      <c r="AW45" s="315" t="s">
        <v>150</v>
      </c>
      <c r="AX45" s="315" t="s">
        <v>150</v>
      </c>
      <c r="AY45" s="315" t="s">
        <v>150</v>
      </c>
      <c r="AZ45" s="315" t="s">
        <v>150</v>
      </c>
      <c r="BA45" s="315" t="s">
        <v>150</v>
      </c>
      <c r="BB45" s="316" t="s">
        <v>150</v>
      </c>
      <c r="BC45" s="314" t="s">
        <v>150</v>
      </c>
      <c r="BD45" s="315" t="s">
        <v>150</v>
      </c>
      <c r="BE45" s="315"/>
      <c r="BF45" s="315" t="s">
        <v>150</v>
      </c>
      <c r="BG45" s="316"/>
      <c r="BH45" s="314"/>
      <c r="BI45" s="315" t="s">
        <v>148</v>
      </c>
      <c r="BJ45" s="316"/>
      <c r="BK45" s="314" t="s">
        <v>148</v>
      </c>
      <c r="BL45" s="315" t="s">
        <v>148</v>
      </c>
      <c r="BM45" s="315"/>
      <c r="BN45" s="316" t="s">
        <v>150</v>
      </c>
      <c r="BO45" s="314" t="s">
        <v>150</v>
      </c>
      <c r="BP45" s="315" t="s">
        <v>150</v>
      </c>
      <c r="BQ45" s="315" t="s">
        <v>150</v>
      </c>
      <c r="BR45" s="315"/>
      <c r="BS45" s="315" t="s">
        <v>147</v>
      </c>
      <c r="BT45" s="315" t="s">
        <v>150</v>
      </c>
      <c r="BU45" s="315" t="s">
        <v>150</v>
      </c>
      <c r="BV45" s="316"/>
      <c r="BW45" s="314" t="s">
        <v>150</v>
      </c>
      <c r="BX45" s="315" t="s">
        <v>148</v>
      </c>
      <c r="BY45" s="315" t="s">
        <v>150</v>
      </c>
      <c r="BZ45" s="315" t="s">
        <v>150</v>
      </c>
      <c r="CA45" s="315" t="s">
        <v>47</v>
      </c>
      <c r="CB45" s="316" t="s">
        <v>47</v>
      </c>
      <c r="CC45" s="314" t="s">
        <v>150</v>
      </c>
      <c r="CD45" s="315" t="s">
        <v>150</v>
      </c>
      <c r="CE45" s="316"/>
      <c r="CF45" s="314"/>
      <c r="CG45" s="315"/>
      <c r="CH45" s="315"/>
      <c r="CI45" s="317"/>
      <c r="CK45" s="236" t="str">
        <f t="shared" si="15"/>
        <v/>
      </c>
      <c r="CL45" s="237">
        <f t="shared" si="16"/>
        <v>1</v>
      </c>
      <c r="CM45" s="237">
        <f t="shared" si="17"/>
        <v>4</v>
      </c>
      <c r="CN45" s="237">
        <f t="shared" si="18"/>
        <v>21</v>
      </c>
      <c r="CO45" s="238">
        <f t="shared" si="19"/>
        <v>3</v>
      </c>
      <c r="CQ45" s="236" t="str">
        <f>desired_skills(C45,"Competenties/Zelfsturend","o")</f>
        <v/>
      </c>
      <c r="CR45" s="237" t="str">
        <f>desired_skills(C45,"Competenties/Zelfsturend","j")</f>
        <v/>
      </c>
      <c r="CS45" s="237" t="str">
        <f>desired_skills(C45,"Competenties/Zelfsturend","m")</f>
        <v/>
      </c>
      <c r="CT45" s="237" t="str">
        <f>desired_skills(C45,"Competenties/Zelfsturend","s")</f>
        <v/>
      </c>
      <c r="CU45" s="238" t="str">
        <f>desired_skills(C45,"Competenties/Zelfsturend","e")</f>
        <v/>
      </c>
      <c r="CW45" s="236" t="str">
        <f>calc_gap('Matrix 171007_1812'!$CK$45,'Matrix 171007_1812'!$CQ$45)</f>
        <v/>
      </c>
      <c r="CX45" s="237" t="str">
        <f>calc_gap('Matrix 171007_1812'!$CL$45,'Matrix 171007_1812'!$CR$45)</f>
        <v/>
      </c>
      <c r="CY45" s="237" t="str">
        <f>calc_gap('Matrix 171007_1812'!$CM$45,'Matrix 171007_1812'!$CS$45)</f>
        <v/>
      </c>
      <c r="CZ45" s="237" t="str">
        <f>calc_gap('Matrix 171007_1812'!$CN$45,'Matrix 171007_1812'!$CT$45)</f>
        <v/>
      </c>
      <c r="DA45" s="238" t="str">
        <f>calc_gap('Matrix 171007_1812'!$CO$45,'Matrix 171007_1812'!$CU$45)</f>
        <v/>
      </c>
    </row>
    <row r="46" spans="2:105" x14ac:dyDescent="0.25">
      <c r="B46" s="435"/>
      <c r="C46" s="291" t="s">
        <v>89</v>
      </c>
      <c r="D46" s="314"/>
      <c r="E46" s="315"/>
      <c r="F46" s="315"/>
      <c r="G46" s="315"/>
      <c r="H46" s="315"/>
      <c r="I46" s="315"/>
      <c r="J46" s="315"/>
      <c r="K46" s="316"/>
      <c r="L46" s="314"/>
      <c r="M46" s="315"/>
      <c r="N46" s="315"/>
      <c r="O46" s="316"/>
      <c r="P46" s="314"/>
      <c r="Q46" s="315"/>
      <c r="R46" s="315"/>
      <c r="S46" s="315"/>
      <c r="T46" s="315"/>
      <c r="U46" s="315"/>
      <c r="V46" s="315"/>
      <c r="W46" s="315"/>
      <c r="X46" s="315"/>
      <c r="Y46" s="315"/>
      <c r="Z46" s="315"/>
      <c r="AA46" s="315"/>
      <c r="AB46" s="315"/>
      <c r="AC46" s="315"/>
      <c r="AD46" s="315"/>
      <c r="AE46" s="315"/>
      <c r="AF46" s="315"/>
      <c r="AG46" s="315"/>
      <c r="AH46" s="315"/>
      <c r="AI46" s="316"/>
      <c r="AJ46" s="314"/>
      <c r="AK46" s="315"/>
      <c r="AL46" s="316"/>
      <c r="AM46" s="314"/>
      <c r="AN46" s="315"/>
      <c r="AO46" s="316"/>
      <c r="AP46" s="314"/>
      <c r="AQ46" s="315"/>
      <c r="AR46" s="315"/>
      <c r="AS46" s="315"/>
      <c r="AT46" s="316"/>
      <c r="AU46" s="314" t="s">
        <v>150</v>
      </c>
      <c r="AV46" s="315" t="s">
        <v>148</v>
      </c>
      <c r="AW46" s="315" t="s">
        <v>150</v>
      </c>
      <c r="AX46" s="315" t="s">
        <v>150</v>
      </c>
      <c r="AY46" s="315" t="s">
        <v>148</v>
      </c>
      <c r="AZ46" s="315" t="s">
        <v>150</v>
      </c>
      <c r="BA46" s="315" t="s">
        <v>150</v>
      </c>
      <c r="BB46" s="316" t="s">
        <v>150</v>
      </c>
      <c r="BC46" s="314" t="s">
        <v>150</v>
      </c>
      <c r="BD46" s="315" t="s">
        <v>148</v>
      </c>
      <c r="BE46" s="315"/>
      <c r="BF46" s="315" t="s">
        <v>148</v>
      </c>
      <c r="BG46" s="316"/>
      <c r="BH46" s="314"/>
      <c r="BI46" s="315" t="s">
        <v>147</v>
      </c>
      <c r="BJ46" s="316"/>
      <c r="BK46" s="314" t="s">
        <v>147</v>
      </c>
      <c r="BL46" s="315" t="s">
        <v>148</v>
      </c>
      <c r="BM46" s="315"/>
      <c r="BN46" s="316" t="s">
        <v>148</v>
      </c>
      <c r="BO46" s="314" t="s">
        <v>148</v>
      </c>
      <c r="BP46" s="315" t="s">
        <v>150</v>
      </c>
      <c r="BQ46" s="315" t="s">
        <v>148</v>
      </c>
      <c r="BR46" s="315"/>
      <c r="BS46" s="315"/>
      <c r="BT46" s="315" t="s">
        <v>148</v>
      </c>
      <c r="BU46" s="315" t="s">
        <v>150</v>
      </c>
      <c r="BV46" s="316"/>
      <c r="BW46" s="314" t="s">
        <v>148</v>
      </c>
      <c r="BX46" s="315" t="s">
        <v>148</v>
      </c>
      <c r="BY46" s="315" t="s">
        <v>148</v>
      </c>
      <c r="BZ46" s="315" t="s">
        <v>150</v>
      </c>
      <c r="CA46" s="315" t="s">
        <v>150</v>
      </c>
      <c r="CB46" s="316" t="s">
        <v>148</v>
      </c>
      <c r="CC46" s="314" t="s">
        <v>148</v>
      </c>
      <c r="CD46" s="315" t="s">
        <v>47</v>
      </c>
      <c r="CE46" s="316"/>
      <c r="CF46" s="314"/>
      <c r="CG46" s="315"/>
      <c r="CH46" s="315"/>
      <c r="CI46" s="317"/>
      <c r="CK46" s="236" t="str">
        <f t="shared" si="15"/>
        <v/>
      </c>
      <c r="CL46" s="237">
        <f t="shared" si="16"/>
        <v>2</v>
      </c>
      <c r="CM46" s="237">
        <f t="shared" si="17"/>
        <v>14</v>
      </c>
      <c r="CN46" s="237">
        <f t="shared" si="18"/>
        <v>11</v>
      </c>
      <c r="CO46" s="238">
        <f t="shared" si="19"/>
        <v>1</v>
      </c>
      <c r="CQ46" s="236" t="str">
        <f>desired_skills(C46,"Competenties/Inspireren &amp; beïnvloeden","o")</f>
        <v/>
      </c>
      <c r="CR46" s="237" t="str">
        <f>desired_skills(C46,"Competenties/Inspireren &amp; beïnvloeden","j")</f>
        <v/>
      </c>
      <c r="CS46" s="237" t="str">
        <f>desired_skills(C46,"Competenties/Inspireren &amp; beïnvloeden","m")</f>
        <v/>
      </c>
      <c r="CT46" s="237" t="str">
        <f>desired_skills(C46,"Competenties/Inspireren &amp; beïnvloeden","s")</f>
        <v/>
      </c>
      <c r="CU46" s="238" t="str">
        <f>desired_skills(C46,"Competenties/Inspireren &amp; beïnvloeden","e")</f>
        <v/>
      </c>
      <c r="CW46" s="236" t="str">
        <f>calc_gap('Matrix 171007_1812'!$CK$46,'Matrix 171007_1812'!$CQ$46)</f>
        <v/>
      </c>
      <c r="CX46" s="237" t="str">
        <f>calc_gap('Matrix 171007_1812'!$CL$46,'Matrix 171007_1812'!$CR$46)</f>
        <v/>
      </c>
      <c r="CY46" s="237" t="str">
        <f>calc_gap('Matrix 171007_1812'!$CM$46,'Matrix 171007_1812'!$CS$46)</f>
        <v/>
      </c>
      <c r="CZ46" s="237" t="str">
        <f>calc_gap('Matrix 171007_1812'!$CN$46,'Matrix 171007_1812'!$CT$46)</f>
        <v/>
      </c>
      <c r="DA46" s="238" t="str">
        <f>calc_gap('Matrix 171007_1812'!$CO$46,'Matrix 171007_1812'!$CU$46)</f>
        <v/>
      </c>
    </row>
    <row r="47" spans="2:105" x14ac:dyDescent="0.25">
      <c r="B47" s="435"/>
      <c r="C47" s="291" t="s">
        <v>90</v>
      </c>
      <c r="D47" s="314"/>
      <c r="E47" s="315"/>
      <c r="F47" s="315"/>
      <c r="G47" s="315"/>
      <c r="H47" s="315"/>
      <c r="I47" s="315"/>
      <c r="J47" s="315"/>
      <c r="K47" s="316"/>
      <c r="L47" s="314"/>
      <c r="M47" s="315"/>
      <c r="N47" s="315"/>
      <c r="O47" s="316"/>
      <c r="P47" s="314"/>
      <c r="Q47" s="315"/>
      <c r="R47" s="315"/>
      <c r="S47" s="315"/>
      <c r="T47" s="315"/>
      <c r="U47" s="315"/>
      <c r="V47" s="315"/>
      <c r="W47" s="315"/>
      <c r="X47" s="315"/>
      <c r="Y47" s="315"/>
      <c r="Z47" s="315"/>
      <c r="AA47" s="315"/>
      <c r="AB47" s="315"/>
      <c r="AC47" s="315"/>
      <c r="AD47" s="315"/>
      <c r="AE47" s="315"/>
      <c r="AF47" s="315"/>
      <c r="AG47" s="315"/>
      <c r="AH47" s="315"/>
      <c r="AI47" s="316"/>
      <c r="AJ47" s="314"/>
      <c r="AK47" s="315"/>
      <c r="AL47" s="316"/>
      <c r="AM47" s="314"/>
      <c r="AN47" s="315"/>
      <c r="AO47" s="316"/>
      <c r="AP47" s="314"/>
      <c r="AQ47" s="315"/>
      <c r="AR47" s="315"/>
      <c r="AS47" s="315"/>
      <c r="AT47" s="316"/>
      <c r="AU47" s="314" t="s">
        <v>47</v>
      </c>
      <c r="AV47" s="315" t="s">
        <v>150</v>
      </c>
      <c r="AW47" s="315" t="s">
        <v>150</v>
      </c>
      <c r="AX47" s="315" t="s">
        <v>150</v>
      </c>
      <c r="AY47" s="315" t="s">
        <v>150</v>
      </c>
      <c r="AZ47" s="315" t="s">
        <v>150</v>
      </c>
      <c r="BA47" s="315" t="s">
        <v>150</v>
      </c>
      <c r="BB47" s="316" t="s">
        <v>150</v>
      </c>
      <c r="BC47" s="314" t="s">
        <v>150</v>
      </c>
      <c r="BD47" s="315" t="s">
        <v>148</v>
      </c>
      <c r="BE47" s="315"/>
      <c r="BF47" s="315" t="s">
        <v>150</v>
      </c>
      <c r="BG47" s="316"/>
      <c r="BH47" s="314"/>
      <c r="BI47" s="315" t="s">
        <v>148</v>
      </c>
      <c r="BJ47" s="316"/>
      <c r="BK47" s="314" t="s">
        <v>148</v>
      </c>
      <c r="BL47" s="315" t="s">
        <v>148</v>
      </c>
      <c r="BM47" s="315"/>
      <c r="BN47" s="316" t="s">
        <v>150</v>
      </c>
      <c r="BO47" s="314" t="s">
        <v>148</v>
      </c>
      <c r="BP47" s="315" t="s">
        <v>150</v>
      </c>
      <c r="BQ47" s="315" t="s">
        <v>150</v>
      </c>
      <c r="BR47" s="315"/>
      <c r="BS47" s="315"/>
      <c r="BT47" s="315" t="s">
        <v>150</v>
      </c>
      <c r="BU47" s="315" t="s">
        <v>150</v>
      </c>
      <c r="BV47" s="316"/>
      <c r="BW47" s="314" t="s">
        <v>150</v>
      </c>
      <c r="BX47" s="315" t="s">
        <v>150</v>
      </c>
      <c r="BY47" s="315" t="s">
        <v>47</v>
      </c>
      <c r="BZ47" s="315" t="s">
        <v>148</v>
      </c>
      <c r="CA47" s="315" t="s">
        <v>47</v>
      </c>
      <c r="CB47" s="316" t="s">
        <v>150</v>
      </c>
      <c r="CC47" s="314" t="s">
        <v>147</v>
      </c>
      <c r="CD47" s="315" t="s">
        <v>150</v>
      </c>
      <c r="CE47" s="316"/>
      <c r="CF47" s="314"/>
      <c r="CG47" s="315"/>
      <c r="CH47" s="315"/>
      <c r="CI47" s="317"/>
      <c r="CK47" s="236" t="str">
        <f t="shared" si="15"/>
        <v/>
      </c>
      <c r="CL47" s="237">
        <f t="shared" si="16"/>
        <v>1</v>
      </c>
      <c r="CM47" s="237">
        <f t="shared" si="17"/>
        <v>6</v>
      </c>
      <c r="CN47" s="237">
        <f t="shared" si="18"/>
        <v>18</v>
      </c>
      <c r="CO47" s="238">
        <f t="shared" si="19"/>
        <v>3</v>
      </c>
      <c r="CQ47" s="236" t="str">
        <f>desired_skills(C47,"Competenties/Resultaatgerichtheid","o")</f>
        <v/>
      </c>
      <c r="CR47" s="237" t="str">
        <f>desired_skills(C47,"Competenties/Resultaatgerichtheid","j")</f>
        <v/>
      </c>
      <c r="CS47" s="237" t="str">
        <f>desired_skills(C47,"Competenties/Resultaatgerichtheid","m")</f>
        <v/>
      </c>
      <c r="CT47" s="237" t="str">
        <f>desired_skills(C47,"Competenties/Resultaatgerichtheid","s")</f>
        <v/>
      </c>
      <c r="CU47" s="238" t="str">
        <f>desired_skills(C47,"Competenties/Resultaatgerichtheid","e")</f>
        <v/>
      </c>
      <c r="CW47" s="236" t="str">
        <f>calc_gap('Matrix 171007_1812'!$CK$47,'Matrix 171007_1812'!$CQ$47)</f>
        <v/>
      </c>
      <c r="CX47" s="237" t="str">
        <f>calc_gap('Matrix 171007_1812'!$CL$47,'Matrix 171007_1812'!$CR$47)</f>
        <v/>
      </c>
      <c r="CY47" s="237" t="str">
        <f>calc_gap('Matrix 171007_1812'!$CM$47,'Matrix 171007_1812'!$CS$47)</f>
        <v/>
      </c>
      <c r="CZ47" s="237" t="str">
        <f>calc_gap('Matrix 171007_1812'!$CN$47,'Matrix 171007_1812'!$CT$47)</f>
        <v/>
      </c>
      <c r="DA47" s="238" t="str">
        <f>calc_gap('Matrix 171007_1812'!$CO$47,'Matrix 171007_1812'!$CU$47)</f>
        <v/>
      </c>
    </row>
    <row r="48" spans="2:105" x14ac:dyDescent="0.25">
      <c r="B48" s="435"/>
      <c r="C48" s="291" t="s">
        <v>91</v>
      </c>
      <c r="D48" s="314"/>
      <c r="E48" s="315"/>
      <c r="F48" s="315"/>
      <c r="G48" s="315"/>
      <c r="H48" s="315"/>
      <c r="I48" s="315"/>
      <c r="J48" s="315"/>
      <c r="K48" s="316"/>
      <c r="L48" s="314"/>
      <c r="M48" s="315"/>
      <c r="N48" s="315"/>
      <c r="O48" s="316"/>
      <c r="P48" s="314"/>
      <c r="Q48" s="315"/>
      <c r="R48" s="315"/>
      <c r="S48" s="315"/>
      <c r="T48" s="315"/>
      <c r="U48" s="315"/>
      <c r="V48" s="315"/>
      <c r="W48" s="315"/>
      <c r="X48" s="315"/>
      <c r="Y48" s="315"/>
      <c r="Z48" s="315"/>
      <c r="AA48" s="315"/>
      <c r="AB48" s="315"/>
      <c r="AC48" s="315"/>
      <c r="AD48" s="315"/>
      <c r="AE48" s="315"/>
      <c r="AF48" s="315"/>
      <c r="AG48" s="315"/>
      <c r="AH48" s="315"/>
      <c r="AI48" s="316"/>
      <c r="AJ48" s="314"/>
      <c r="AK48" s="315"/>
      <c r="AL48" s="316"/>
      <c r="AM48" s="314"/>
      <c r="AN48" s="315"/>
      <c r="AO48" s="316"/>
      <c r="AP48" s="314"/>
      <c r="AQ48" s="315"/>
      <c r="AR48" s="315"/>
      <c r="AS48" s="315"/>
      <c r="AT48" s="316"/>
      <c r="AU48" s="314" t="s">
        <v>148</v>
      </c>
      <c r="AV48" s="315" t="s">
        <v>150</v>
      </c>
      <c r="AW48" s="315" t="s">
        <v>150</v>
      </c>
      <c r="AX48" s="315" t="s">
        <v>148</v>
      </c>
      <c r="AY48" s="315" t="s">
        <v>148</v>
      </c>
      <c r="AZ48" s="315" t="s">
        <v>150</v>
      </c>
      <c r="BA48" s="315" t="s">
        <v>150</v>
      </c>
      <c r="BB48" s="316" t="s">
        <v>150</v>
      </c>
      <c r="BC48" s="314" t="s">
        <v>150</v>
      </c>
      <c r="BD48" s="315" t="s">
        <v>148</v>
      </c>
      <c r="BE48" s="315"/>
      <c r="BF48" s="315" t="s">
        <v>150</v>
      </c>
      <c r="BG48" s="316"/>
      <c r="BH48" s="314"/>
      <c r="BI48" s="315" t="s">
        <v>148</v>
      </c>
      <c r="BJ48" s="316"/>
      <c r="BK48" s="314" t="s">
        <v>147</v>
      </c>
      <c r="BL48" s="315" t="s">
        <v>148</v>
      </c>
      <c r="BM48" s="315"/>
      <c r="BN48" s="316" t="s">
        <v>150</v>
      </c>
      <c r="BO48" s="314" t="s">
        <v>148</v>
      </c>
      <c r="BP48" s="315" t="s">
        <v>150</v>
      </c>
      <c r="BQ48" s="315" t="s">
        <v>148</v>
      </c>
      <c r="BR48" s="315"/>
      <c r="BS48" s="315" t="s">
        <v>147</v>
      </c>
      <c r="BT48" s="315" t="s">
        <v>150</v>
      </c>
      <c r="BU48" s="315" t="s">
        <v>148</v>
      </c>
      <c r="BV48" s="316"/>
      <c r="BW48" s="314" t="s">
        <v>150</v>
      </c>
      <c r="BX48" s="315" t="s">
        <v>150</v>
      </c>
      <c r="BY48" s="315" t="s">
        <v>150</v>
      </c>
      <c r="BZ48" s="315" t="s">
        <v>148</v>
      </c>
      <c r="CA48" s="315" t="s">
        <v>47</v>
      </c>
      <c r="CB48" s="316" t="s">
        <v>150</v>
      </c>
      <c r="CC48" s="314" t="s">
        <v>148</v>
      </c>
      <c r="CD48" s="315" t="s">
        <v>150</v>
      </c>
      <c r="CE48" s="316"/>
      <c r="CF48" s="314"/>
      <c r="CG48" s="315"/>
      <c r="CH48" s="315"/>
      <c r="CI48" s="317"/>
      <c r="CK48" s="236" t="str">
        <f t="shared" si="15"/>
        <v/>
      </c>
      <c r="CL48" s="237">
        <f t="shared" si="16"/>
        <v>2</v>
      </c>
      <c r="CM48" s="237">
        <f t="shared" si="17"/>
        <v>11</v>
      </c>
      <c r="CN48" s="237">
        <f t="shared" si="18"/>
        <v>15</v>
      </c>
      <c r="CO48" s="238">
        <f t="shared" si="19"/>
        <v>1</v>
      </c>
      <c r="CQ48" s="236" t="str">
        <f>desired_skills(C48,"Competenties/Organisatiesensitiviteit","o")</f>
        <v/>
      </c>
      <c r="CR48" s="237" t="str">
        <f>desired_skills(C48,"Competenties/Organisatiesensitiviteit","j")</f>
        <v/>
      </c>
      <c r="CS48" s="237" t="str">
        <f>desired_skills(C48,"Competenties/Organisatiesensitiviteit","m")</f>
        <v/>
      </c>
      <c r="CT48" s="237" t="str">
        <f>desired_skills(C48,"Competenties/Organisatiesensitiviteit","s")</f>
        <v/>
      </c>
      <c r="CU48" s="238" t="str">
        <f>desired_skills(C48,"Competenties/Organisatiesensitiviteit","e")</f>
        <v/>
      </c>
      <c r="CW48" s="236" t="str">
        <f>calc_gap('Matrix 171007_1812'!$CK$48,'Matrix 171007_1812'!$CQ$48)</f>
        <v/>
      </c>
      <c r="CX48" s="237" t="str">
        <f>calc_gap('Matrix 171007_1812'!$CL$48,'Matrix 171007_1812'!$CR$48)</f>
        <v/>
      </c>
      <c r="CY48" s="237" t="str">
        <f>calc_gap('Matrix 171007_1812'!$CM$48,'Matrix 171007_1812'!$CS$48)</f>
        <v/>
      </c>
      <c r="CZ48" s="237" t="str">
        <f>calc_gap('Matrix 171007_1812'!$CN$48,'Matrix 171007_1812'!$CT$48)</f>
        <v/>
      </c>
      <c r="DA48" s="238" t="str">
        <f>calc_gap('Matrix 171007_1812'!$CO$48,'Matrix 171007_1812'!$CU$48)</f>
        <v/>
      </c>
    </row>
    <row r="49" spans="2:105" x14ac:dyDescent="0.25">
      <c r="B49" s="435"/>
      <c r="C49" s="291" t="s">
        <v>226</v>
      </c>
      <c r="D49" s="314"/>
      <c r="E49" s="315"/>
      <c r="F49" s="315"/>
      <c r="G49" s="315"/>
      <c r="H49" s="315"/>
      <c r="I49" s="315"/>
      <c r="J49" s="315"/>
      <c r="K49" s="316"/>
      <c r="L49" s="314"/>
      <c r="M49" s="315"/>
      <c r="N49" s="315"/>
      <c r="O49" s="316"/>
      <c r="P49" s="314"/>
      <c r="Q49" s="315"/>
      <c r="R49" s="315"/>
      <c r="S49" s="315"/>
      <c r="T49" s="315"/>
      <c r="U49" s="315"/>
      <c r="V49" s="315"/>
      <c r="W49" s="315"/>
      <c r="X49" s="315"/>
      <c r="Y49" s="315"/>
      <c r="Z49" s="315"/>
      <c r="AA49" s="315"/>
      <c r="AB49" s="315"/>
      <c r="AC49" s="315"/>
      <c r="AD49" s="315"/>
      <c r="AE49" s="315"/>
      <c r="AF49" s="315"/>
      <c r="AG49" s="315"/>
      <c r="AH49" s="315"/>
      <c r="AI49" s="316"/>
      <c r="AJ49" s="314"/>
      <c r="AK49" s="315"/>
      <c r="AL49" s="316"/>
      <c r="AM49" s="314"/>
      <c r="AN49" s="315"/>
      <c r="AO49" s="316"/>
      <c r="AP49" s="314"/>
      <c r="AQ49" s="315"/>
      <c r="AR49" s="315"/>
      <c r="AS49" s="315"/>
      <c r="AT49" s="316"/>
      <c r="AU49" s="314"/>
      <c r="AV49" s="315"/>
      <c r="AW49" s="315"/>
      <c r="AX49" s="315"/>
      <c r="AY49" s="315"/>
      <c r="AZ49" s="315"/>
      <c r="BA49" s="315"/>
      <c r="BB49" s="316"/>
      <c r="BC49" s="314"/>
      <c r="BD49" s="315"/>
      <c r="BE49" s="315"/>
      <c r="BF49" s="315"/>
      <c r="BG49" s="316"/>
      <c r="BH49" s="314"/>
      <c r="BI49" s="315"/>
      <c r="BJ49" s="316"/>
      <c r="BK49" s="314"/>
      <c r="BL49" s="315"/>
      <c r="BM49" s="315"/>
      <c r="BN49" s="316"/>
      <c r="BO49" s="314"/>
      <c r="BP49" s="315"/>
      <c r="BQ49" s="315"/>
      <c r="BR49" s="315"/>
      <c r="BS49" s="315"/>
      <c r="BT49" s="315"/>
      <c r="BU49" s="315"/>
      <c r="BV49" s="316"/>
      <c r="BW49" s="314"/>
      <c r="BX49" s="315"/>
      <c r="BY49" s="315"/>
      <c r="BZ49" s="315"/>
      <c r="CA49" s="315"/>
      <c r="CB49" s="316"/>
      <c r="CC49" s="314"/>
      <c r="CD49" s="315"/>
      <c r="CE49" s="316"/>
      <c r="CF49" s="314"/>
      <c r="CG49" s="315"/>
      <c r="CH49" s="315"/>
      <c r="CI49" s="317"/>
      <c r="CK49" s="236" t="str">
        <f t="shared" si="15"/>
        <v/>
      </c>
      <c r="CL49" s="237" t="str">
        <f t="shared" si="16"/>
        <v/>
      </c>
      <c r="CM49" s="237" t="str">
        <f t="shared" si="17"/>
        <v/>
      </c>
      <c r="CN49" s="237" t="str">
        <f t="shared" si="18"/>
        <v/>
      </c>
      <c r="CO49" s="238" t="str">
        <f t="shared" si="19"/>
        <v/>
      </c>
      <c r="CQ49" s="236" t="str">
        <f>desired_skills(C49,"Competenties/Netwerken en contacten onderhouden en uitbouwen","o")</f>
        <v/>
      </c>
      <c r="CR49" s="237" t="str">
        <f>desired_skills(C49,"Competenties/Netwerken en contacten onderhouden en uitbouwen","j")</f>
        <v/>
      </c>
      <c r="CS49" s="237" t="str">
        <f>desired_skills(C49,"Competenties/Netwerken en contacten onderhouden en uitbouwen","m")</f>
        <v/>
      </c>
      <c r="CT49" s="237" t="str">
        <f>desired_skills(C49,"Competenties/Netwerken en contacten onderhouden en uitbouwen","s")</f>
        <v/>
      </c>
      <c r="CU49" s="238" t="str">
        <f>desired_skills(C49,"Competenties/Netwerken en contacten onderhouden en uitbouwen","e")</f>
        <v/>
      </c>
      <c r="CW49" s="236" t="str">
        <f>calc_gap('Matrix 171007_1812'!$CK$49,'Matrix 171007_1812'!$CQ$49)</f>
        <v/>
      </c>
      <c r="CX49" s="237" t="str">
        <f>calc_gap('Matrix 171007_1812'!$CL$49,'Matrix 171007_1812'!$CR$49)</f>
        <v/>
      </c>
      <c r="CY49" s="237" t="str">
        <f>calc_gap('Matrix 171007_1812'!$CM$49,'Matrix 171007_1812'!$CS$49)</f>
        <v/>
      </c>
      <c r="CZ49" s="237" t="str">
        <f>calc_gap('Matrix 171007_1812'!$CN$49,'Matrix 171007_1812'!$CT$49)</f>
        <v/>
      </c>
      <c r="DA49" s="238" t="str">
        <f>calc_gap('Matrix 171007_1812'!$CO$49,'Matrix 171007_1812'!$CU$49)</f>
        <v/>
      </c>
    </row>
    <row r="50" spans="2:105" ht="15.75" thickBot="1" x14ac:dyDescent="0.3">
      <c r="B50" s="435"/>
      <c r="C50" s="292" t="s">
        <v>227</v>
      </c>
      <c r="D50" s="318"/>
      <c r="E50" s="319"/>
      <c r="F50" s="319"/>
      <c r="G50" s="319"/>
      <c r="H50" s="319"/>
      <c r="I50" s="319"/>
      <c r="J50" s="319"/>
      <c r="K50" s="320"/>
      <c r="L50" s="318"/>
      <c r="M50" s="319"/>
      <c r="N50" s="319"/>
      <c r="O50" s="320"/>
      <c r="P50" s="318"/>
      <c r="Q50" s="319"/>
      <c r="R50" s="319"/>
      <c r="S50" s="319"/>
      <c r="T50" s="319"/>
      <c r="U50" s="319"/>
      <c r="V50" s="319"/>
      <c r="W50" s="319"/>
      <c r="X50" s="319"/>
      <c r="Y50" s="319"/>
      <c r="Z50" s="319"/>
      <c r="AA50" s="319"/>
      <c r="AB50" s="319"/>
      <c r="AC50" s="319"/>
      <c r="AD50" s="319"/>
      <c r="AE50" s="319"/>
      <c r="AF50" s="319"/>
      <c r="AG50" s="319"/>
      <c r="AH50" s="319"/>
      <c r="AI50" s="320"/>
      <c r="AJ50" s="318"/>
      <c r="AK50" s="319"/>
      <c r="AL50" s="320"/>
      <c r="AM50" s="318"/>
      <c r="AN50" s="319"/>
      <c r="AO50" s="320"/>
      <c r="AP50" s="318"/>
      <c r="AQ50" s="319"/>
      <c r="AR50" s="319"/>
      <c r="AS50" s="319"/>
      <c r="AT50" s="320"/>
      <c r="AU50" s="318"/>
      <c r="AV50" s="319"/>
      <c r="AW50" s="319"/>
      <c r="AX50" s="319"/>
      <c r="AY50" s="319"/>
      <c r="AZ50" s="319"/>
      <c r="BA50" s="319"/>
      <c r="BB50" s="320"/>
      <c r="BC50" s="318"/>
      <c r="BD50" s="319"/>
      <c r="BE50" s="319"/>
      <c r="BF50" s="319"/>
      <c r="BG50" s="320"/>
      <c r="BH50" s="318"/>
      <c r="BI50" s="319"/>
      <c r="BJ50" s="320"/>
      <c r="BK50" s="318"/>
      <c r="BL50" s="319"/>
      <c r="BM50" s="319"/>
      <c r="BN50" s="320"/>
      <c r="BO50" s="318"/>
      <c r="BP50" s="319"/>
      <c r="BQ50" s="319"/>
      <c r="BR50" s="319"/>
      <c r="BS50" s="319"/>
      <c r="BT50" s="319"/>
      <c r="BU50" s="319"/>
      <c r="BV50" s="320"/>
      <c r="BW50" s="318"/>
      <c r="BX50" s="319"/>
      <c r="BY50" s="319"/>
      <c r="BZ50" s="319"/>
      <c r="CA50" s="319"/>
      <c r="CB50" s="320"/>
      <c r="CC50" s="318"/>
      <c r="CD50" s="319"/>
      <c r="CE50" s="320"/>
      <c r="CF50" s="318"/>
      <c r="CG50" s="319"/>
      <c r="CH50" s="319"/>
      <c r="CI50" s="321"/>
      <c r="CK50" s="239" t="str">
        <f t="shared" si="15"/>
        <v/>
      </c>
      <c r="CL50" s="240" t="str">
        <f t="shared" si="16"/>
        <v/>
      </c>
      <c r="CM50" s="240" t="str">
        <f t="shared" si="17"/>
        <v/>
      </c>
      <c r="CN50" s="240" t="str">
        <f t="shared" si="18"/>
        <v/>
      </c>
      <c r="CO50" s="241" t="str">
        <f t="shared" si="19"/>
        <v/>
      </c>
      <c r="CQ50" s="239" t="str">
        <f>desired_skills(C50,"Competenties/Werken in zelfsturend team","o")</f>
        <v/>
      </c>
      <c r="CR50" s="240" t="str">
        <f>desired_skills(C50,"Competenties/Werken in zelfsturend team","j")</f>
        <v/>
      </c>
      <c r="CS50" s="240" t="str">
        <f>desired_skills(C50,"Competenties/Werken in zelfsturend team","m")</f>
        <v/>
      </c>
      <c r="CT50" s="240" t="str">
        <f>desired_skills(C50,"Competenties/Werken in zelfsturend team","s")</f>
        <v/>
      </c>
      <c r="CU50" s="241" t="str">
        <f>desired_skills(C50,"Competenties/Werken in zelfsturend team","e")</f>
        <v/>
      </c>
      <c r="CW50" s="239" t="str">
        <f>calc_gap('Matrix 171007_1812'!$CK$50,'Matrix 171007_1812'!$CQ$50)</f>
        <v/>
      </c>
      <c r="CX50" s="240" t="str">
        <f>calc_gap('Matrix 171007_1812'!$CL$50,'Matrix 171007_1812'!$CR$50)</f>
        <v/>
      </c>
      <c r="CY50" s="240" t="str">
        <f>calc_gap('Matrix 171007_1812'!$CM$50,'Matrix 171007_1812'!$CS$50)</f>
        <v/>
      </c>
      <c r="CZ50" s="240" t="str">
        <f>calc_gap('Matrix 171007_1812'!$CN$50,'Matrix 171007_1812'!$CT$50)</f>
        <v/>
      </c>
      <c r="DA50" s="241" t="str">
        <f>calc_gap('Matrix 171007_1812'!$CO$50,'Matrix 171007_1812'!$CU$50)</f>
        <v/>
      </c>
    </row>
    <row r="51" spans="2:105" ht="12.75" customHeight="1" thickTop="1" thickBot="1" x14ac:dyDescent="0.3">
      <c r="B51" s="436"/>
      <c r="C51" s="248"/>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2"/>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2"/>
      <c r="CH51" s="322"/>
      <c r="CI51" s="322"/>
      <c r="CK51" s="249"/>
      <c r="CL51" s="249"/>
      <c r="CM51" s="249"/>
      <c r="CN51" s="249"/>
      <c r="CO51" s="249"/>
      <c r="CQ51" s="249"/>
      <c r="CR51" s="249"/>
      <c r="CS51" s="249"/>
      <c r="CT51" s="249"/>
      <c r="CU51" s="249"/>
      <c r="CW51" s="249"/>
      <c r="CX51" s="249"/>
      <c r="CY51" s="249"/>
      <c r="CZ51" s="249"/>
      <c r="DA51" s="249"/>
    </row>
    <row r="52" spans="2:105" ht="15.75" thickTop="1" x14ac:dyDescent="0.25">
      <c r="B52" s="434" t="s">
        <v>122</v>
      </c>
      <c r="C52" s="290" t="s">
        <v>92</v>
      </c>
      <c r="D52" s="310"/>
      <c r="E52" s="311"/>
      <c r="F52" s="311"/>
      <c r="G52" s="311"/>
      <c r="H52" s="311"/>
      <c r="I52" s="311"/>
      <c r="J52" s="311"/>
      <c r="K52" s="312"/>
      <c r="L52" s="310"/>
      <c r="M52" s="311"/>
      <c r="N52" s="311"/>
      <c r="O52" s="312"/>
      <c r="P52" s="310"/>
      <c r="Q52" s="311"/>
      <c r="R52" s="311"/>
      <c r="S52" s="311"/>
      <c r="T52" s="311"/>
      <c r="U52" s="311"/>
      <c r="V52" s="311"/>
      <c r="W52" s="311"/>
      <c r="X52" s="311"/>
      <c r="Y52" s="311"/>
      <c r="Z52" s="311"/>
      <c r="AA52" s="311"/>
      <c r="AB52" s="311"/>
      <c r="AC52" s="311"/>
      <c r="AD52" s="311"/>
      <c r="AE52" s="311"/>
      <c r="AF52" s="311"/>
      <c r="AG52" s="311"/>
      <c r="AH52" s="311"/>
      <c r="AI52" s="312"/>
      <c r="AJ52" s="310"/>
      <c r="AK52" s="311"/>
      <c r="AL52" s="312"/>
      <c r="AM52" s="310"/>
      <c r="AN52" s="311"/>
      <c r="AO52" s="312"/>
      <c r="AP52" s="310"/>
      <c r="AQ52" s="311"/>
      <c r="AR52" s="311"/>
      <c r="AS52" s="311"/>
      <c r="AT52" s="312"/>
      <c r="AU52" s="310" t="s">
        <v>148</v>
      </c>
      <c r="AV52" s="311" t="s">
        <v>148</v>
      </c>
      <c r="AW52" s="311" t="s">
        <v>147</v>
      </c>
      <c r="AX52" s="311" t="s">
        <v>148</v>
      </c>
      <c r="AY52" s="311" t="s">
        <v>148</v>
      </c>
      <c r="AZ52" s="311" t="s">
        <v>147</v>
      </c>
      <c r="BA52" s="311" t="s">
        <v>147</v>
      </c>
      <c r="BB52" s="312" t="s">
        <v>148</v>
      </c>
      <c r="BC52" s="310" t="s">
        <v>147</v>
      </c>
      <c r="BD52" s="311" t="s">
        <v>148</v>
      </c>
      <c r="BE52" s="311"/>
      <c r="BF52" s="311" t="s">
        <v>150</v>
      </c>
      <c r="BG52" s="312"/>
      <c r="BH52" s="310"/>
      <c r="BI52" s="311" t="s">
        <v>148</v>
      </c>
      <c r="BJ52" s="312"/>
      <c r="BK52" s="310" t="s">
        <v>147</v>
      </c>
      <c r="BL52" s="311" t="s">
        <v>148</v>
      </c>
      <c r="BM52" s="311"/>
      <c r="BN52" s="312" t="s">
        <v>150</v>
      </c>
      <c r="BO52" s="310" t="s">
        <v>148</v>
      </c>
      <c r="BP52" s="311" t="s">
        <v>148</v>
      </c>
      <c r="BQ52" s="311" t="s">
        <v>150</v>
      </c>
      <c r="BR52" s="311"/>
      <c r="BS52" s="311" t="s">
        <v>147</v>
      </c>
      <c r="BT52" s="311" t="s">
        <v>148</v>
      </c>
      <c r="BU52" s="311" t="s">
        <v>148</v>
      </c>
      <c r="BV52" s="312"/>
      <c r="BW52" s="310" t="s">
        <v>150</v>
      </c>
      <c r="BX52" s="311" t="s">
        <v>148</v>
      </c>
      <c r="BY52" s="311" t="s">
        <v>150</v>
      </c>
      <c r="BZ52" s="311" t="s">
        <v>148</v>
      </c>
      <c r="CA52" s="311" t="s">
        <v>150</v>
      </c>
      <c r="CB52" s="312" t="s">
        <v>150</v>
      </c>
      <c r="CC52" s="310" t="s">
        <v>150</v>
      </c>
      <c r="CD52" s="311" t="s">
        <v>148</v>
      </c>
      <c r="CE52" s="312"/>
      <c r="CF52" s="310"/>
      <c r="CG52" s="311"/>
      <c r="CH52" s="311"/>
      <c r="CI52" s="313"/>
      <c r="CK52" s="233" t="str">
        <f t="shared" ref="CK52:CK59" si="20">IF(COUNTIF(D52:CI52,"o")&gt;0,COUNTIF(D52:CI52,"o"),"")</f>
        <v/>
      </c>
      <c r="CL52" s="234">
        <f t="shared" ref="CL52:CL59" si="21">IF(COUNTIF(D52:CI52,"j")&gt;0,COUNTIF(D52:CI52,"j"),"")</f>
        <v>6</v>
      </c>
      <c r="CM52" s="234">
        <f t="shared" ref="CM52:CM59" si="22">IF(COUNTIF(D52:CI52,"m")&gt;0,COUNTIF(D52:CI52,"m"),"")</f>
        <v>15</v>
      </c>
      <c r="CN52" s="234">
        <f t="shared" ref="CN52:CN59" si="23">IF(COUNTIF(D52:CI52,"s")&gt;0,COUNTIF(D52:CI52,"s"),"")</f>
        <v>8</v>
      </c>
      <c r="CO52" s="235" t="str">
        <f t="shared" ref="CO52:CO59" si="24">IF(COUNTIF(D52:CI52,"e")&gt;0,COUNTIF(D52:CI52,"e"),"")</f>
        <v/>
      </c>
      <c r="CQ52" s="233" t="str">
        <f>desired_skills(C52,"Vaardigheden/Excel/VBA","o")</f>
        <v>26</v>
      </c>
      <c r="CR52" s="234" t="str">
        <f>desired_skills(C52,"Vaardigheden/Excel/VBA","j")</f>
        <v/>
      </c>
      <c r="CS52" s="234" t="str">
        <f>desired_skills(C52,"Vaardigheden/Excel/VBA","m")</f>
        <v/>
      </c>
      <c r="CT52" s="234" t="str">
        <f>desired_skills(C52,"Vaardigheden/Excel/VBA","s")</f>
        <v/>
      </c>
      <c r="CU52" s="235" t="str">
        <f>desired_skills(C52,"Vaardigheden/Excel/VBA","e")</f>
        <v/>
      </c>
      <c r="CW52" s="233" t="str">
        <f>calc_gap('Matrix 171007_1812'!$CK$52,'Matrix 171007_1812'!$CQ$52)</f>
        <v/>
      </c>
      <c r="CX52" s="234" t="str">
        <f>calc_gap('Matrix 171007_1812'!$CL$52,'Matrix 171007_1812'!$CR$52)</f>
        <v/>
      </c>
      <c r="CY52" s="234" t="str">
        <f>calc_gap('Matrix 171007_1812'!$CM$52,'Matrix 171007_1812'!$CS$52)</f>
        <v/>
      </c>
      <c r="CZ52" s="234" t="str">
        <f>calc_gap('Matrix 171007_1812'!$CN$52,'Matrix 171007_1812'!$CT$52)</f>
        <v/>
      </c>
      <c r="DA52" s="235" t="str">
        <f>calc_gap('Matrix 171007_1812'!$CO$52,'Matrix 171007_1812'!$CU$52)</f>
        <v/>
      </c>
    </row>
    <row r="53" spans="2:105" x14ac:dyDescent="0.25">
      <c r="B53" s="435"/>
      <c r="C53" s="291" t="s">
        <v>93</v>
      </c>
      <c r="D53" s="314"/>
      <c r="E53" s="315"/>
      <c r="F53" s="315"/>
      <c r="G53" s="315"/>
      <c r="H53" s="315"/>
      <c r="I53" s="315"/>
      <c r="J53" s="315"/>
      <c r="K53" s="316"/>
      <c r="L53" s="314"/>
      <c r="M53" s="315"/>
      <c r="N53" s="315"/>
      <c r="O53" s="316"/>
      <c r="P53" s="314"/>
      <c r="Q53" s="315"/>
      <c r="R53" s="315"/>
      <c r="S53" s="315"/>
      <c r="T53" s="315"/>
      <c r="U53" s="315"/>
      <c r="V53" s="315"/>
      <c r="W53" s="315"/>
      <c r="X53" s="315"/>
      <c r="Y53" s="315"/>
      <c r="Z53" s="315"/>
      <c r="AA53" s="315"/>
      <c r="AB53" s="315"/>
      <c r="AC53" s="315"/>
      <c r="AD53" s="315"/>
      <c r="AE53" s="315"/>
      <c r="AF53" s="315"/>
      <c r="AG53" s="315"/>
      <c r="AH53" s="315"/>
      <c r="AI53" s="316"/>
      <c r="AJ53" s="314"/>
      <c r="AK53" s="315"/>
      <c r="AL53" s="316"/>
      <c r="AM53" s="314"/>
      <c r="AN53" s="315"/>
      <c r="AO53" s="316"/>
      <c r="AP53" s="314"/>
      <c r="AQ53" s="315"/>
      <c r="AR53" s="315"/>
      <c r="AS53" s="315"/>
      <c r="AT53" s="316"/>
      <c r="AU53" s="314" t="s">
        <v>147</v>
      </c>
      <c r="AV53" s="315" t="s">
        <v>148</v>
      </c>
      <c r="AW53" s="315" t="s">
        <v>150</v>
      </c>
      <c r="AX53" s="315" t="s">
        <v>150</v>
      </c>
      <c r="AY53" s="315" t="s">
        <v>150</v>
      </c>
      <c r="AZ53" s="315" t="s">
        <v>148</v>
      </c>
      <c r="BA53" s="315"/>
      <c r="BB53" s="316" t="s">
        <v>150</v>
      </c>
      <c r="BC53" s="314" t="s">
        <v>47</v>
      </c>
      <c r="BD53" s="315" t="s">
        <v>149</v>
      </c>
      <c r="BE53" s="315"/>
      <c r="BF53" s="315" t="s">
        <v>150</v>
      </c>
      <c r="BG53" s="316"/>
      <c r="BH53" s="314"/>
      <c r="BI53" s="315"/>
      <c r="BJ53" s="316"/>
      <c r="BK53" s="314"/>
      <c r="BL53" s="315" t="s">
        <v>148</v>
      </c>
      <c r="BM53" s="315"/>
      <c r="BN53" s="316" t="s">
        <v>148</v>
      </c>
      <c r="BO53" s="314"/>
      <c r="BP53" s="315" t="s">
        <v>148</v>
      </c>
      <c r="BQ53" s="315"/>
      <c r="BR53" s="315"/>
      <c r="BS53" s="315"/>
      <c r="BT53" s="315"/>
      <c r="BU53" s="315" t="s">
        <v>150</v>
      </c>
      <c r="BV53" s="316"/>
      <c r="BW53" s="314" t="s">
        <v>147</v>
      </c>
      <c r="BX53" s="315"/>
      <c r="BY53" s="315"/>
      <c r="BZ53" s="315"/>
      <c r="CA53" s="315" t="s">
        <v>147</v>
      </c>
      <c r="CB53" s="316"/>
      <c r="CC53" s="314"/>
      <c r="CD53" s="315" t="s">
        <v>148</v>
      </c>
      <c r="CE53" s="316"/>
      <c r="CF53" s="314"/>
      <c r="CG53" s="315"/>
      <c r="CH53" s="315"/>
      <c r="CI53" s="317"/>
      <c r="CK53" s="236">
        <f t="shared" si="20"/>
        <v>1</v>
      </c>
      <c r="CL53" s="237">
        <f t="shared" si="21"/>
        <v>3</v>
      </c>
      <c r="CM53" s="237">
        <f t="shared" si="22"/>
        <v>6</v>
      </c>
      <c r="CN53" s="237">
        <f t="shared" si="23"/>
        <v>6</v>
      </c>
      <c r="CO53" s="238">
        <f t="shared" si="24"/>
        <v>1</v>
      </c>
      <c r="CQ53" s="236" t="str">
        <f>desired_skills(C53,"Vaardigheden/Product ownership","o")</f>
        <v/>
      </c>
      <c r="CR53" s="237" t="str">
        <f>desired_skills(C53,"Vaardigheden/Product ownership","j")</f>
        <v>27</v>
      </c>
      <c r="CS53" s="237" t="str">
        <f>desired_skills(C53,"Vaardigheden/Product ownership","m")</f>
        <v/>
      </c>
      <c r="CT53" s="237" t="str">
        <f>desired_skills(C53,"Vaardigheden/Product ownership","s")</f>
        <v/>
      </c>
      <c r="CU53" s="238" t="str">
        <f>desired_skills(C53,"Vaardigheden/Product ownership","e")</f>
        <v/>
      </c>
      <c r="CW53" s="236" t="str">
        <f>calc_gap('Matrix 171007_1812'!$CK$53,'Matrix 171007_1812'!$CQ$53)</f>
        <v/>
      </c>
      <c r="CX53" s="237" t="str">
        <f>calc_gap('Matrix 171007_1812'!$CL$53,'Matrix 171007_1812'!$CR$53)</f>
        <v>24</v>
      </c>
      <c r="CY53" s="237" t="str">
        <f>calc_gap('Matrix 171007_1812'!$CM$53,'Matrix 171007_1812'!$CS$53)</f>
        <v/>
      </c>
      <c r="CZ53" s="237" t="str">
        <f>calc_gap('Matrix 171007_1812'!$CN$53,'Matrix 171007_1812'!$CT$53)</f>
        <v/>
      </c>
      <c r="DA53" s="238" t="str">
        <f>calc_gap('Matrix 171007_1812'!$CO$53,'Matrix 171007_1812'!$CU$53)</f>
        <v/>
      </c>
    </row>
    <row r="54" spans="2:105" x14ac:dyDescent="0.25">
      <c r="B54" s="435"/>
      <c r="C54" s="291" t="s">
        <v>94</v>
      </c>
      <c r="D54" s="314"/>
      <c r="E54" s="315"/>
      <c r="F54" s="315"/>
      <c r="G54" s="315"/>
      <c r="H54" s="315"/>
      <c r="I54" s="315"/>
      <c r="J54" s="315"/>
      <c r="K54" s="316"/>
      <c r="L54" s="314"/>
      <c r="M54" s="315"/>
      <c r="N54" s="315"/>
      <c r="O54" s="316"/>
      <c r="P54" s="314"/>
      <c r="Q54" s="315"/>
      <c r="R54" s="315"/>
      <c r="S54" s="315"/>
      <c r="T54" s="315"/>
      <c r="U54" s="315"/>
      <c r="V54" s="315"/>
      <c r="W54" s="315"/>
      <c r="X54" s="315"/>
      <c r="Y54" s="315"/>
      <c r="Z54" s="315"/>
      <c r="AA54" s="315"/>
      <c r="AB54" s="315"/>
      <c r="AC54" s="315"/>
      <c r="AD54" s="315"/>
      <c r="AE54" s="315"/>
      <c r="AF54" s="315"/>
      <c r="AG54" s="315"/>
      <c r="AH54" s="315"/>
      <c r="AI54" s="316"/>
      <c r="AJ54" s="314"/>
      <c r="AK54" s="315"/>
      <c r="AL54" s="316"/>
      <c r="AM54" s="314"/>
      <c r="AN54" s="315"/>
      <c r="AO54" s="316"/>
      <c r="AP54" s="314"/>
      <c r="AQ54" s="315"/>
      <c r="AR54" s="315"/>
      <c r="AS54" s="315"/>
      <c r="AT54" s="316"/>
      <c r="AU54" s="314" t="s">
        <v>147</v>
      </c>
      <c r="AV54" s="315" t="s">
        <v>148</v>
      </c>
      <c r="AW54" s="315" t="s">
        <v>149</v>
      </c>
      <c r="AX54" s="315" t="s">
        <v>148</v>
      </c>
      <c r="AY54" s="315" t="s">
        <v>148</v>
      </c>
      <c r="AZ54" s="315" t="s">
        <v>47</v>
      </c>
      <c r="BA54" s="315"/>
      <c r="BB54" s="316" t="s">
        <v>147</v>
      </c>
      <c r="BC54" s="314" t="s">
        <v>147</v>
      </c>
      <c r="BD54" s="315" t="s">
        <v>149</v>
      </c>
      <c r="BE54" s="315"/>
      <c r="BF54" s="315" t="s">
        <v>148</v>
      </c>
      <c r="BG54" s="316"/>
      <c r="BH54" s="314"/>
      <c r="BI54" s="315" t="s">
        <v>47</v>
      </c>
      <c r="BJ54" s="316"/>
      <c r="BK54" s="314"/>
      <c r="BL54" s="315"/>
      <c r="BM54" s="315"/>
      <c r="BN54" s="316"/>
      <c r="BO54" s="314"/>
      <c r="BP54" s="315"/>
      <c r="BQ54" s="315"/>
      <c r="BR54" s="315"/>
      <c r="BS54" s="315"/>
      <c r="BT54" s="315"/>
      <c r="BU54" s="315" t="s">
        <v>150</v>
      </c>
      <c r="BV54" s="316"/>
      <c r="BW54" s="314" t="s">
        <v>148</v>
      </c>
      <c r="BX54" s="315"/>
      <c r="BY54" s="315" t="s">
        <v>147</v>
      </c>
      <c r="BZ54" s="315" t="s">
        <v>148</v>
      </c>
      <c r="CA54" s="315" t="s">
        <v>147</v>
      </c>
      <c r="CB54" s="316"/>
      <c r="CC54" s="314"/>
      <c r="CD54" s="315"/>
      <c r="CE54" s="316"/>
      <c r="CF54" s="314"/>
      <c r="CG54" s="315"/>
      <c r="CH54" s="315"/>
      <c r="CI54" s="317"/>
      <c r="CK54" s="236">
        <f t="shared" si="20"/>
        <v>2</v>
      </c>
      <c r="CL54" s="237">
        <f t="shared" si="21"/>
        <v>5</v>
      </c>
      <c r="CM54" s="237">
        <f t="shared" si="22"/>
        <v>6</v>
      </c>
      <c r="CN54" s="237">
        <f t="shared" si="23"/>
        <v>1</v>
      </c>
      <c r="CO54" s="238">
        <f t="shared" si="24"/>
        <v>2</v>
      </c>
      <c r="CQ54" s="236" t="str">
        <f>desired_skills(C54,"Vaardigheden/Proces mining","o")</f>
        <v/>
      </c>
      <c r="CR54" s="237" t="str">
        <f>desired_skills(C54,"Vaardigheden/Proces mining","j")</f>
        <v/>
      </c>
      <c r="CS54" s="237" t="str">
        <f>desired_skills(C54,"Vaardigheden/Proces mining","m")</f>
        <v>28</v>
      </c>
      <c r="CT54" s="237" t="str">
        <f>desired_skills(C54,"Vaardigheden/Proces mining","s")</f>
        <v/>
      </c>
      <c r="CU54" s="238" t="str">
        <f>desired_skills(C54,"Vaardigheden/Proces mining","e")</f>
        <v/>
      </c>
      <c r="CW54" s="236" t="str">
        <f>calc_gap('Matrix 171007_1812'!$CK$54,'Matrix 171007_1812'!$CQ$54)</f>
        <v/>
      </c>
      <c r="CX54" s="237" t="str">
        <f>calc_gap('Matrix 171007_1812'!$CL$54,'Matrix 171007_1812'!$CR$54)</f>
        <v/>
      </c>
      <c r="CY54" s="237" t="str">
        <f>calc_gap('Matrix 171007_1812'!$CM$54,'Matrix 171007_1812'!$CS$54)</f>
        <v>22</v>
      </c>
      <c r="CZ54" s="237" t="str">
        <f>calc_gap('Matrix 171007_1812'!$CN$54,'Matrix 171007_1812'!$CT$54)</f>
        <v/>
      </c>
      <c r="DA54" s="238" t="str">
        <f>calc_gap('Matrix 171007_1812'!$CO$54,'Matrix 171007_1812'!$CU$54)</f>
        <v/>
      </c>
    </row>
    <row r="55" spans="2:105" x14ac:dyDescent="0.25">
      <c r="B55" s="435"/>
      <c r="C55" s="291" t="s">
        <v>95</v>
      </c>
      <c r="D55" s="314"/>
      <c r="E55" s="315"/>
      <c r="F55" s="315"/>
      <c r="G55" s="315"/>
      <c r="H55" s="315"/>
      <c r="I55" s="315"/>
      <c r="J55" s="315"/>
      <c r="K55" s="316"/>
      <c r="L55" s="314"/>
      <c r="M55" s="315"/>
      <c r="N55" s="315"/>
      <c r="O55" s="316"/>
      <c r="P55" s="314"/>
      <c r="Q55" s="315"/>
      <c r="R55" s="315"/>
      <c r="S55" s="315"/>
      <c r="T55" s="315"/>
      <c r="U55" s="315"/>
      <c r="V55" s="315"/>
      <c r="W55" s="315"/>
      <c r="X55" s="315"/>
      <c r="Y55" s="315"/>
      <c r="Z55" s="315"/>
      <c r="AA55" s="315"/>
      <c r="AB55" s="315"/>
      <c r="AC55" s="315"/>
      <c r="AD55" s="315"/>
      <c r="AE55" s="315"/>
      <c r="AF55" s="315"/>
      <c r="AG55" s="315"/>
      <c r="AH55" s="315"/>
      <c r="AI55" s="316"/>
      <c r="AJ55" s="314"/>
      <c r="AK55" s="315"/>
      <c r="AL55" s="316"/>
      <c r="AM55" s="314"/>
      <c r="AN55" s="315"/>
      <c r="AO55" s="316"/>
      <c r="AP55" s="314"/>
      <c r="AQ55" s="315"/>
      <c r="AR55" s="315"/>
      <c r="AS55" s="315"/>
      <c r="AT55" s="316"/>
      <c r="AU55" s="314"/>
      <c r="AV55" s="315" t="s">
        <v>149</v>
      </c>
      <c r="AW55" s="315" t="s">
        <v>149</v>
      </c>
      <c r="AX55" s="315" t="s">
        <v>148</v>
      </c>
      <c r="AY55" s="315" t="s">
        <v>147</v>
      </c>
      <c r="AZ55" s="315"/>
      <c r="BA55" s="315"/>
      <c r="BB55" s="316" t="s">
        <v>147</v>
      </c>
      <c r="BC55" s="314" t="s">
        <v>147</v>
      </c>
      <c r="BD55" s="315" t="s">
        <v>149</v>
      </c>
      <c r="BE55" s="315"/>
      <c r="BF55" s="315" t="s">
        <v>147</v>
      </c>
      <c r="BG55" s="316"/>
      <c r="BH55" s="314"/>
      <c r="BI55" s="315" t="s">
        <v>147</v>
      </c>
      <c r="BJ55" s="316"/>
      <c r="BK55" s="314"/>
      <c r="BL55" s="315"/>
      <c r="BM55" s="315"/>
      <c r="BN55" s="316"/>
      <c r="BO55" s="314"/>
      <c r="BP55" s="315"/>
      <c r="BQ55" s="315" t="s">
        <v>148</v>
      </c>
      <c r="BR55" s="315"/>
      <c r="BS55" s="315" t="s">
        <v>149</v>
      </c>
      <c r="BT55" s="315" t="s">
        <v>147</v>
      </c>
      <c r="BU55" s="315" t="s">
        <v>150</v>
      </c>
      <c r="BV55" s="316"/>
      <c r="BW55" s="314" t="s">
        <v>148</v>
      </c>
      <c r="BX55" s="315"/>
      <c r="BY55" s="315" t="s">
        <v>147</v>
      </c>
      <c r="BZ55" s="315" t="s">
        <v>147</v>
      </c>
      <c r="CA55" s="315" t="s">
        <v>147</v>
      </c>
      <c r="CB55" s="316" t="s">
        <v>147</v>
      </c>
      <c r="CC55" s="314"/>
      <c r="CD55" s="315"/>
      <c r="CE55" s="316"/>
      <c r="CF55" s="314"/>
      <c r="CG55" s="315"/>
      <c r="CH55" s="315"/>
      <c r="CI55" s="317"/>
      <c r="CK55" s="236">
        <f t="shared" si="20"/>
        <v>4</v>
      </c>
      <c r="CL55" s="237">
        <f t="shared" si="21"/>
        <v>10</v>
      </c>
      <c r="CM55" s="237">
        <f t="shared" si="22"/>
        <v>3</v>
      </c>
      <c r="CN55" s="237">
        <f t="shared" si="23"/>
        <v>1</v>
      </c>
      <c r="CO55" s="238" t="str">
        <f t="shared" si="24"/>
        <v/>
      </c>
      <c r="CQ55" s="236" t="str">
        <f>desired_skills(C55,"Vaardigheden/Data mining / big data","o")</f>
        <v/>
      </c>
      <c r="CR55" s="237" t="str">
        <f>desired_skills(C55,"Vaardigheden/Data mining / big data","j")</f>
        <v/>
      </c>
      <c r="CS55" s="237" t="str">
        <f>desired_skills(C55,"Vaardigheden/Data mining / big data","m")</f>
        <v/>
      </c>
      <c r="CT55" s="237" t="str">
        <f>desired_skills(C55,"Vaardigheden/Data mining / big data","s")</f>
        <v>29</v>
      </c>
      <c r="CU55" s="238" t="str">
        <f>desired_skills(C55,"Vaardigheden/Data mining / big data","e")</f>
        <v/>
      </c>
      <c r="CW55" s="236" t="str">
        <f>calc_gap('Matrix 171007_1812'!$CK$55,'Matrix 171007_1812'!$CQ$55)</f>
        <v/>
      </c>
      <c r="CX55" s="237" t="str">
        <f>calc_gap('Matrix 171007_1812'!$CL$55,'Matrix 171007_1812'!$CR$55)</f>
        <v/>
      </c>
      <c r="CY55" s="237" t="str">
        <f>calc_gap('Matrix 171007_1812'!$CM$55,'Matrix 171007_1812'!$CS$55)</f>
        <v/>
      </c>
      <c r="CZ55" s="237" t="str">
        <f>calc_gap('Matrix 171007_1812'!$CN$55,'Matrix 171007_1812'!$CT$55)</f>
        <v>28</v>
      </c>
      <c r="DA55" s="238" t="str">
        <f>calc_gap('Matrix 171007_1812'!$CO$55,'Matrix 171007_1812'!$CU$55)</f>
        <v/>
      </c>
    </row>
    <row r="56" spans="2:105" x14ac:dyDescent="0.25">
      <c r="B56" s="435"/>
      <c r="C56" s="291" t="s">
        <v>96</v>
      </c>
      <c r="D56" s="314"/>
      <c r="E56" s="315"/>
      <c r="F56" s="315"/>
      <c r="G56" s="315"/>
      <c r="H56" s="315"/>
      <c r="I56" s="315"/>
      <c r="J56" s="315"/>
      <c r="K56" s="316"/>
      <c r="L56" s="314"/>
      <c r="M56" s="315"/>
      <c r="N56" s="315"/>
      <c r="O56" s="316"/>
      <c r="P56" s="314"/>
      <c r="Q56" s="315"/>
      <c r="R56" s="315"/>
      <c r="S56" s="315"/>
      <c r="T56" s="315"/>
      <c r="U56" s="315"/>
      <c r="V56" s="315"/>
      <c r="W56" s="315"/>
      <c r="X56" s="315"/>
      <c r="Y56" s="315"/>
      <c r="Z56" s="315"/>
      <c r="AA56" s="315"/>
      <c r="AB56" s="315"/>
      <c r="AC56" s="315"/>
      <c r="AD56" s="315"/>
      <c r="AE56" s="315"/>
      <c r="AF56" s="315"/>
      <c r="AG56" s="315"/>
      <c r="AH56" s="315"/>
      <c r="AI56" s="316"/>
      <c r="AJ56" s="314"/>
      <c r="AK56" s="315"/>
      <c r="AL56" s="316"/>
      <c r="AM56" s="314"/>
      <c r="AN56" s="315"/>
      <c r="AO56" s="316"/>
      <c r="AP56" s="314"/>
      <c r="AQ56" s="315"/>
      <c r="AR56" s="315"/>
      <c r="AS56" s="315"/>
      <c r="AT56" s="316"/>
      <c r="AU56" s="314" t="s">
        <v>148</v>
      </c>
      <c r="AV56" s="315" t="s">
        <v>149</v>
      </c>
      <c r="AW56" s="315" t="s">
        <v>148</v>
      </c>
      <c r="AX56" s="315" t="s">
        <v>148</v>
      </c>
      <c r="AY56" s="315" t="s">
        <v>148</v>
      </c>
      <c r="AZ56" s="315" t="s">
        <v>150</v>
      </c>
      <c r="BA56" s="315"/>
      <c r="BB56" s="316" t="s">
        <v>147</v>
      </c>
      <c r="BC56" s="314" t="s">
        <v>148</v>
      </c>
      <c r="BD56" s="315" t="s">
        <v>149</v>
      </c>
      <c r="BE56" s="315"/>
      <c r="BF56" s="315" t="s">
        <v>148</v>
      </c>
      <c r="BG56" s="316"/>
      <c r="BH56" s="314"/>
      <c r="BI56" s="315" t="s">
        <v>147</v>
      </c>
      <c r="BJ56" s="316"/>
      <c r="BK56" s="314"/>
      <c r="BL56" s="315" t="s">
        <v>149</v>
      </c>
      <c r="BM56" s="315"/>
      <c r="BN56" s="316" t="s">
        <v>147</v>
      </c>
      <c r="BO56" s="314"/>
      <c r="BP56" s="315"/>
      <c r="BQ56" s="315"/>
      <c r="BR56" s="315"/>
      <c r="BS56" s="315"/>
      <c r="BT56" s="315"/>
      <c r="BU56" s="315" t="s">
        <v>148</v>
      </c>
      <c r="BV56" s="316"/>
      <c r="BW56" s="314" t="s">
        <v>148</v>
      </c>
      <c r="BX56" s="315"/>
      <c r="BY56" s="315"/>
      <c r="BZ56" s="315" t="s">
        <v>150</v>
      </c>
      <c r="CA56" s="315" t="s">
        <v>147</v>
      </c>
      <c r="CB56" s="316" t="s">
        <v>147</v>
      </c>
      <c r="CC56" s="314"/>
      <c r="CD56" s="315"/>
      <c r="CE56" s="316"/>
      <c r="CF56" s="314"/>
      <c r="CG56" s="315"/>
      <c r="CH56" s="315"/>
      <c r="CI56" s="317"/>
      <c r="CK56" s="236">
        <f t="shared" si="20"/>
        <v>3</v>
      </c>
      <c r="CL56" s="237">
        <f t="shared" si="21"/>
        <v>5</v>
      </c>
      <c r="CM56" s="237">
        <f t="shared" si="22"/>
        <v>8</v>
      </c>
      <c r="CN56" s="237">
        <f t="shared" si="23"/>
        <v>2</v>
      </c>
      <c r="CO56" s="238" t="str">
        <f t="shared" si="24"/>
        <v/>
      </c>
      <c r="CQ56" s="236" t="str">
        <f>desired_skills(C56,"Vaardigheden/Business Intelligence","o")</f>
        <v/>
      </c>
      <c r="CR56" s="237" t="str">
        <f>desired_skills(C56,"Vaardigheden/Business Intelligence","j")</f>
        <v/>
      </c>
      <c r="CS56" s="237" t="str">
        <f>desired_skills(C56,"Vaardigheden/Business Intelligence","m")</f>
        <v/>
      </c>
      <c r="CT56" s="237" t="str">
        <f>desired_skills(C56,"Vaardigheden/Business Intelligence","s")</f>
        <v/>
      </c>
      <c r="CU56" s="238" t="str">
        <f>desired_skills(C56,"Vaardigheden/Business Intelligence","e")</f>
        <v>30</v>
      </c>
      <c r="CW56" s="236" t="str">
        <f>calc_gap('Matrix 171007_1812'!$CK$56,'Matrix 171007_1812'!$CQ$56)</f>
        <v/>
      </c>
      <c r="CX56" s="237" t="str">
        <f>calc_gap('Matrix 171007_1812'!$CL$56,'Matrix 171007_1812'!$CR$56)</f>
        <v/>
      </c>
      <c r="CY56" s="237" t="str">
        <f>calc_gap('Matrix 171007_1812'!$CM$56,'Matrix 171007_1812'!$CS$56)</f>
        <v/>
      </c>
      <c r="CZ56" s="237" t="str">
        <f>calc_gap('Matrix 171007_1812'!$CN$56,'Matrix 171007_1812'!$CT$56)</f>
        <v/>
      </c>
      <c r="DA56" s="238" t="str">
        <f>calc_gap('Matrix 171007_1812'!$CO$56,'Matrix 171007_1812'!$CU$56)</f>
        <v/>
      </c>
    </row>
    <row r="57" spans="2:105" x14ac:dyDescent="0.25">
      <c r="B57" s="435"/>
      <c r="C57" s="291" t="s">
        <v>97</v>
      </c>
      <c r="D57" s="314"/>
      <c r="E57" s="315"/>
      <c r="F57" s="315"/>
      <c r="G57" s="315"/>
      <c r="H57" s="315"/>
      <c r="I57" s="315"/>
      <c r="J57" s="315"/>
      <c r="K57" s="316"/>
      <c r="L57" s="314"/>
      <c r="M57" s="315"/>
      <c r="N57" s="315"/>
      <c r="O57" s="316"/>
      <c r="P57" s="314"/>
      <c r="Q57" s="315"/>
      <c r="R57" s="315"/>
      <c r="S57" s="315"/>
      <c r="T57" s="315"/>
      <c r="U57" s="315"/>
      <c r="V57" s="315"/>
      <c r="W57" s="315"/>
      <c r="X57" s="315"/>
      <c r="Y57" s="315"/>
      <c r="Z57" s="315"/>
      <c r="AA57" s="315"/>
      <c r="AB57" s="315"/>
      <c r="AC57" s="315"/>
      <c r="AD57" s="315"/>
      <c r="AE57" s="315"/>
      <c r="AF57" s="315"/>
      <c r="AG57" s="315"/>
      <c r="AH57" s="315"/>
      <c r="AI57" s="316"/>
      <c r="AJ57" s="314"/>
      <c r="AK57" s="315"/>
      <c r="AL57" s="316"/>
      <c r="AM57" s="314"/>
      <c r="AN57" s="315"/>
      <c r="AO57" s="316"/>
      <c r="AP57" s="314"/>
      <c r="AQ57" s="315"/>
      <c r="AR57" s="315"/>
      <c r="AS57" s="315"/>
      <c r="AT57" s="316"/>
      <c r="AU57" s="314" t="s">
        <v>47</v>
      </c>
      <c r="AV57" s="315" t="s">
        <v>150</v>
      </c>
      <c r="AW57" s="315" t="s">
        <v>150</v>
      </c>
      <c r="AX57" s="315" t="s">
        <v>150</v>
      </c>
      <c r="AY57" s="315" t="s">
        <v>47</v>
      </c>
      <c r="AZ57" s="315" t="s">
        <v>150</v>
      </c>
      <c r="BA57" s="315" t="s">
        <v>150</v>
      </c>
      <c r="BB57" s="316" t="s">
        <v>150</v>
      </c>
      <c r="BC57" s="314" t="s">
        <v>148</v>
      </c>
      <c r="BD57" s="315" t="s">
        <v>148</v>
      </c>
      <c r="BE57" s="315"/>
      <c r="BF57" s="315" t="s">
        <v>150</v>
      </c>
      <c r="BG57" s="316"/>
      <c r="BH57" s="314"/>
      <c r="BI57" s="315" t="s">
        <v>148</v>
      </c>
      <c r="BJ57" s="316"/>
      <c r="BK57" s="314" t="s">
        <v>148</v>
      </c>
      <c r="BL57" s="315"/>
      <c r="BM57" s="315"/>
      <c r="BN57" s="316"/>
      <c r="BO57" s="314"/>
      <c r="BP57" s="315"/>
      <c r="BQ57" s="315"/>
      <c r="BR57" s="315"/>
      <c r="BS57" s="315"/>
      <c r="BT57" s="315"/>
      <c r="BU57" s="315" t="s">
        <v>148</v>
      </c>
      <c r="BV57" s="316"/>
      <c r="BW57" s="314" t="s">
        <v>148</v>
      </c>
      <c r="BX57" s="315" t="s">
        <v>150</v>
      </c>
      <c r="BY57" s="315" t="s">
        <v>150</v>
      </c>
      <c r="BZ57" s="315" t="s">
        <v>148</v>
      </c>
      <c r="CA57" s="315" t="s">
        <v>150</v>
      </c>
      <c r="CB57" s="316" t="s">
        <v>150</v>
      </c>
      <c r="CC57" s="314"/>
      <c r="CD57" s="315" t="s">
        <v>150</v>
      </c>
      <c r="CE57" s="316"/>
      <c r="CF57" s="314"/>
      <c r="CG57" s="315"/>
      <c r="CH57" s="315"/>
      <c r="CI57" s="317"/>
      <c r="CK57" s="236" t="str">
        <f t="shared" si="20"/>
        <v/>
      </c>
      <c r="CL57" s="237" t="str">
        <f t="shared" si="21"/>
        <v/>
      </c>
      <c r="CM57" s="237">
        <f t="shared" si="22"/>
        <v>7</v>
      </c>
      <c r="CN57" s="237">
        <f t="shared" si="23"/>
        <v>12</v>
      </c>
      <c r="CO57" s="238">
        <f t="shared" si="24"/>
        <v>2</v>
      </c>
      <c r="CQ57" s="236" t="str">
        <f>desired_skills(C57,"Vaardigheden/PDCA (in het algemeen)","o")</f>
        <v/>
      </c>
      <c r="CR57" s="237" t="str">
        <f>desired_skills(C57,"Vaardigheden/PDCA (in het algemeen)","j")</f>
        <v/>
      </c>
      <c r="CS57" s="237" t="str">
        <f>desired_skills(C57,"Vaardigheden/PDCA (in het algemeen)","m")</f>
        <v/>
      </c>
      <c r="CT57" s="237" t="str">
        <f>desired_skills(C57,"Vaardigheden/PDCA (in het algemeen)","s")</f>
        <v/>
      </c>
      <c r="CU57" s="238" t="str">
        <f>desired_skills(C57,"Vaardigheden/PDCA (in het algemeen)","e")</f>
        <v/>
      </c>
      <c r="CW57" s="236" t="str">
        <f>calc_gap('Matrix 171007_1812'!$CK$57,'Matrix 171007_1812'!$CQ$57)</f>
        <v/>
      </c>
      <c r="CX57" s="237" t="str">
        <f>calc_gap('Matrix 171007_1812'!$CL$57,'Matrix 171007_1812'!$CR$57)</f>
        <v/>
      </c>
      <c r="CY57" s="237" t="str">
        <f>calc_gap('Matrix 171007_1812'!$CM$57,'Matrix 171007_1812'!$CS$57)</f>
        <v/>
      </c>
      <c r="CZ57" s="237" t="str">
        <f>calc_gap('Matrix 171007_1812'!$CN$57,'Matrix 171007_1812'!$CT$57)</f>
        <v/>
      </c>
      <c r="DA57" s="238" t="str">
        <f>calc_gap('Matrix 171007_1812'!$CO$57,'Matrix 171007_1812'!$CU$57)</f>
        <v/>
      </c>
    </row>
    <row r="58" spans="2:105" x14ac:dyDescent="0.25">
      <c r="B58" s="435"/>
      <c r="C58" s="291" t="s">
        <v>228</v>
      </c>
      <c r="D58" s="314"/>
      <c r="E58" s="315"/>
      <c r="F58" s="315"/>
      <c r="G58" s="315"/>
      <c r="H58" s="315"/>
      <c r="I58" s="315"/>
      <c r="J58" s="315"/>
      <c r="K58" s="316"/>
      <c r="L58" s="314"/>
      <c r="M58" s="315"/>
      <c r="N58" s="315"/>
      <c r="O58" s="316"/>
      <c r="P58" s="314"/>
      <c r="Q58" s="315"/>
      <c r="R58" s="315"/>
      <c r="S58" s="315"/>
      <c r="T58" s="315"/>
      <c r="U58" s="315"/>
      <c r="V58" s="315"/>
      <c r="W58" s="315"/>
      <c r="X58" s="315"/>
      <c r="Y58" s="315"/>
      <c r="Z58" s="315"/>
      <c r="AA58" s="315"/>
      <c r="AB58" s="315"/>
      <c r="AC58" s="315"/>
      <c r="AD58" s="315"/>
      <c r="AE58" s="315"/>
      <c r="AF58" s="315"/>
      <c r="AG58" s="315"/>
      <c r="AH58" s="315"/>
      <c r="AI58" s="316"/>
      <c r="AJ58" s="314"/>
      <c r="AK58" s="315"/>
      <c r="AL58" s="316"/>
      <c r="AM58" s="314"/>
      <c r="AN58" s="315"/>
      <c r="AO58" s="316"/>
      <c r="AP58" s="314"/>
      <c r="AQ58" s="315"/>
      <c r="AR58" s="315"/>
      <c r="AS58" s="315"/>
      <c r="AT58" s="316"/>
      <c r="AU58" s="314"/>
      <c r="AV58" s="315"/>
      <c r="AW58" s="315"/>
      <c r="AX58" s="315"/>
      <c r="AY58" s="315"/>
      <c r="AZ58" s="315"/>
      <c r="BA58" s="315"/>
      <c r="BB58" s="316"/>
      <c r="BC58" s="314"/>
      <c r="BD58" s="315"/>
      <c r="BE58" s="315"/>
      <c r="BF58" s="315"/>
      <c r="BG58" s="316"/>
      <c r="BH58" s="314"/>
      <c r="BI58" s="315"/>
      <c r="BJ58" s="316"/>
      <c r="BK58" s="314"/>
      <c r="BL58" s="315"/>
      <c r="BM58" s="315"/>
      <c r="BN58" s="316"/>
      <c r="BO58" s="314"/>
      <c r="BP58" s="315"/>
      <c r="BQ58" s="315"/>
      <c r="BR58" s="315"/>
      <c r="BS58" s="315"/>
      <c r="BT58" s="315"/>
      <c r="BU58" s="315"/>
      <c r="BV58" s="316"/>
      <c r="BW58" s="314"/>
      <c r="BX58" s="315"/>
      <c r="BY58" s="315"/>
      <c r="BZ58" s="315"/>
      <c r="CA58" s="315"/>
      <c r="CB58" s="316"/>
      <c r="CC58" s="314"/>
      <c r="CD58" s="315"/>
      <c r="CE58" s="316"/>
      <c r="CF58" s="314"/>
      <c r="CG58" s="315"/>
      <c r="CH58" s="315"/>
      <c r="CI58" s="317"/>
      <c r="CK58" s="236" t="str">
        <f t="shared" si="20"/>
        <v/>
      </c>
      <c r="CL58" s="237" t="str">
        <f t="shared" si="21"/>
        <v/>
      </c>
      <c r="CM58" s="237" t="str">
        <f t="shared" si="22"/>
        <v/>
      </c>
      <c r="CN58" s="237" t="str">
        <f t="shared" si="23"/>
        <v/>
      </c>
      <c r="CO58" s="238" t="str">
        <f t="shared" si="24"/>
        <v/>
      </c>
      <c r="CQ58" s="236" t="str">
        <f>desired_skills(C58,"Vaardigheden/PowerPoint (Presentaties)","o")</f>
        <v/>
      </c>
      <c r="CR58" s="237" t="str">
        <f>desired_skills(C58,"Vaardigheden/PowerPoint (Presentaties)","j")</f>
        <v/>
      </c>
      <c r="CS58" s="237" t="str">
        <f>desired_skills(C58,"Vaardigheden/PowerPoint (Presentaties)","m")</f>
        <v/>
      </c>
      <c r="CT58" s="237" t="str">
        <f>desired_skills(C58,"Vaardigheden/PowerPoint (Presentaties)","s")</f>
        <v/>
      </c>
      <c r="CU58" s="238" t="str">
        <f>desired_skills(C58,"Vaardigheden/PowerPoint (Presentaties)","e")</f>
        <v/>
      </c>
      <c r="CW58" s="236" t="str">
        <f>calc_gap('Matrix 171007_1812'!$CK$58,'Matrix 171007_1812'!$CQ$58)</f>
        <v/>
      </c>
      <c r="CX58" s="237" t="str">
        <f>calc_gap('Matrix 171007_1812'!$CL$58,'Matrix 171007_1812'!$CR$58)</f>
        <v/>
      </c>
      <c r="CY58" s="237" t="str">
        <f>calc_gap('Matrix 171007_1812'!$CM$58,'Matrix 171007_1812'!$CS$58)</f>
        <v/>
      </c>
      <c r="CZ58" s="237" t="str">
        <f>calc_gap('Matrix 171007_1812'!$CN$58,'Matrix 171007_1812'!$CT$58)</f>
        <v/>
      </c>
      <c r="DA58" s="238" t="str">
        <f>calc_gap('Matrix 171007_1812'!$CO$58,'Matrix 171007_1812'!$CU$58)</f>
        <v/>
      </c>
    </row>
    <row r="59" spans="2:105" ht="15.75" thickBot="1" x14ac:dyDescent="0.3">
      <c r="B59" s="435"/>
      <c r="C59" s="292" t="s">
        <v>229</v>
      </c>
      <c r="D59" s="318"/>
      <c r="E59" s="319"/>
      <c r="F59" s="319"/>
      <c r="G59" s="319"/>
      <c r="H59" s="319"/>
      <c r="I59" s="319"/>
      <c r="J59" s="319"/>
      <c r="K59" s="320"/>
      <c r="L59" s="318"/>
      <c r="M59" s="319"/>
      <c r="N59" s="319"/>
      <c r="O59" s="320"/>
      <c r="P59" s="318"/>
      <c r="Q59" s="319"/>
      <c r="R59" s="319"/>
      <c r="S59" s="319"/>
      <c r="T59" s="319"/>
      <c r="U59" s="319"/>
      <c r="V59" s="319"/>
      <c r="W59" s="319"/>
      <c r="X59" s="319"/>
      <c r="Y59" s="319"/>
      <c r="Z59" s="319"/>
      <c r="AA59" s="319"/>
      <c r="AB59" s="319"/>
      <c r="AC59" s="319"/>
      <c r="AD59" s="319"/>
      <c r="AE59" s="319"/>
      <c r="AF59" s="319"/>
      <c r="AG59" s="319"/>
      <c r="AH59" s="319"/>
      <c r="AI59" s="320"/>
      <c r="AJ59" s="318"/>
      <c r="AK59" s="319"/>
      <c r="AL59" s="320"/>
      <c r="AM59" s="318"/>
      <c r="AN59" s="319"/>
      <c r="AO59" s="320"/>
      <c r="AP59" s="318"/>
      <c r="AQ59" s="319"/>
      <c r="AR59" s="319"/>
      <c r="AS59" s="319"/>
      <c r="AT59" s="320"/>
      <c r="AU59" s="318"/>
      <c r="AV59" s="319"/>
      <c r="AW59" s="319"/>
      <c r="AX59" s="319"/>
      <c r="AY59" s="319"/>
      <c r="AZ59" s="319"/>
      <c r="BA59" s="319"/>
      <c r="BB59" s="320"/>
      <c r="BC59" s="318"/>
      <c r="BD59" s="319"/>
      <c r="BE59" s="319"/>
      <c r="BF59" s="319"/>
      <c r="BG59" s="320"/>
      <c r="BH59" s="318"/>
      <c r="BI59" s="319"/>
      <c r="BJ59" s="320"/>
      <c r="BK59" s="318"/>
      <c r="BL59" s="319"/>
      <c r="BM59" s="319"/>
      <c r="BN59" s="320"/>
      <c r="BO59" s="318"/>
      <c r="BP59" s="319"/>
      <c r="BQ59" s="319"/>
      <c r="BR59" s="319"/>
      <c r="BS59" s="319"/>
      <c r="BT59" s="319"/>
      <c r="BU59" s="319"/>
      <c r="BV59" s="320"/>
      <c r="BW59" s="318"/>
      <c r="BX59" s="319"/>
      <c r="BY59" s="319"/>
      <c r="BZ59" s="319"/>
      <c r="CA59" s="319"/>
      <c r="CB59" s="320"/>
      <c r="CC59" s="318"/>
      <c r="CD59" s="319"/>
      <c r="CE59" s="320"/>
      <c r="CF59" s="318"/>
      <c r="CG59" s="319"/>
      <c r="CH59" s="319"/>
      <c r="CI59" s="321"/>
      <c r="CK59" s="239" t="str">
        <f t="shared" si="20"/>
        <v/>
      </c>
      <c r="CL59" s="240" t="str">
        <f t="shared" si="21"/>
        <v/>
      </c>
      <c r="CM59" s="240" t="str">
        <f t="shared" si="22"/>
        <v/>
      </c>
      <c r="CN59" s="240" t="str">
        <f t="shared" si="23"/>
        <v/>
      </c>
      <c r="CO59" s="241" t="str">
        <f t="shared" si="24"/>
        <v/>
      </c>
      <c r="CQ59" s="239" t="str">
        <f>desired_skills(C59,"Vaardigheden/Uitvoeren impactanalyse","o")</f>
        <v/>
      </c>
      <c r="CR59" s="240" t="str">
        <f>desired_skills(C59,"Vaardigheden/Uitvoeren impactanalyse","j")</f>
        <v/>
      </c>
      <c r="CS59" s="240" t="str">
        <f>desired_skills(C59,"Vaardigheden/Uitvoeren impactanalyse","m")</f>
        <v/>
      </c>
      <c r="CT59" s="240" t="str">
        <f>desired_skills(C59,"Vaardigheden/Uitvoeren impactanalyse","s")</f>
        <v/>
      </c>
      <c r="CU59" s="241" t="str">
        <f>desired_skills(C59,"Vaardigheden/Uitvoeren impactanalyse","e")</f>
        <v/>
      </c>
      <c r="CW59" s="239" t="str">
        <f>calc_gap('Matrix 171007_1812'!$CK$59,'Matrix 171007_1812'!$CQ$59)</f>
        <v/>
      </c>
      <c r="CX59" s="240" t="str">
        <f>calc_gap('Matrix 171007_1812'!$CL$59,'Matrix 171007_1812'!$CR$59)</f>
        <v/>
      </c>
      <c r="CY59" s="240" t="str">
        <f>calc_gap('Matrix 171007_1812'!$CM$59,'Matrix 171007_1812'!$CS$59)</f>
        <v/>
      </c>
      <c r="CZ59" s="240" t="str">
        <f>calc_gap('Matrix 171007_1812'!$CN$59,'Matrix 171007_1812'!$CT$59)</f>
        <v/>
      </c>
      <c r="DA59" s="241" t="str">
        <f>calc_gap('Matrix 171007_1812'!$CO$59,'Matrix 171007_1812'!$CU$59)</f>
        <v/>
      </c>
    </row>
    <row r="60" spans="2:105" ht="12.75" customHeight="1" thickTop="1" thickBot="1" x14ac:dyDescent="0.3">
      <c r="B60" s="436"/>
      <c r="C60" s="248"/>
      <c r="D60" s="322"/>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c r="BA60" s="322"/>
      <c r="BB60" s="322"/>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2"/>
      <c r="CH60" s="322"/>
      <c r="CI60" s="322"/>
      <c r="CK60" s="249"/>
      <c r="CL60" s="249"/>
      <c r="CM60" s="249"/>
      <c r="CN60" s="249"/>
      <c r="CO60" s="249"/>
      <c r="CQ60" s="249"/>
      <c r="CR60" s="249"/>
      <c r="CS60" s="249"/>
      <c r="CT60" s="249"/>
      <c r="CU60" s="249"/>
      <c r="CW60" s="249"/>
      <c r="CX60" s="249"/>
      <c r="CY60" s="249"/>
      <c r="CZ60" s="249"/>
      <c r="DA60" s="249"/>
    </row>
    <row r="61" spans="2:105" ht="15.75" thickTop="1" x14ac:dyDescent="0.25">
      <c r="B61" s="434" t="s">
        <v>98</v>
      </c>
      <c r="C61" s="290" t="s">
        <v>99</v>
      </c>
      <c r="D61" s="310"/>
      <c r="E61" s="311"/>
      <c r="F61" s="311"/>
      <c r="G61" s="311"/>
      <c r="H61" s="311"/>
      <c r="I61" s="311"/>
      <c r="J61" s="311"/>
      <c r="K61" s="312"/>
      <c r="L61" s="310"/>
      <c r="M61" s="311"/>
      <c r="N61" s="311"/>
      <c r="O61" s="312"/>
      <c r="P61" s="310"/>
      <c r="Q61" s="311"/>
      <c r="R61" s="311"/>
      <c r="S61" s="311"/>
      <c r="T61" s="311"/>
      <c r="U61" s="311"/>
      <c r="V61" s="311"/>
      <c r="W61" s="311"/>
      <c r="X61" s="311"/>
      <c r="Y61" s="311"/>
      <c r="Z61" s="311"/>
      <c r="AA61" s="311"/>
      <c r="AB61" s="311"/>
      <c r="AC61" s="311"/>
      <c r="AD61" s="311"/>
      <c r="AE61" s="311"/>
      <c r="AF61" s="311"/>
      <c r="AG61" s="311"/>
      <c r="AH61" s="311"/>
      <c r="AI61" s="312"/>
      <c r="AJ61" s="310"/>
      <c r="AK61" s="311"/>
      <c r="AL61" s="312"/>
      <c r="AM61" s="310"/>
      <c r="AN61" s="311"/>
      <c r="AO61" s="312"/>
      <c r="AP61" s="310"/>
      <c r="AQ61" s="311"/>
      <c r="AR61" s="311"/>
      <c r="AS61" s="311"/>
      <c r="AT61" s="312"/>
      <c r="AU61" s="310" t="s">
        <v>147</v>
      </c>
      <c r="AV61" s="311" t="s">
        <v>47</v>
      </c>
      <c r="AW61" s="311" t="s">
        <v>148</v>
      </c>
      <c r="AX61" s="311" t="s">
        <v>150</v>
      </c>
      <c r="AY61" s="311" t="s">
        <v>148</v>
      </c>
      <c r="AZ61" s="311" t="s">
        <v>147</v>
      </c>
      <c r="BA61" s="311"/>
      <c r="BB61" s="312" t="s">
        <v>148</v>
      </c>
      <c r="BC61" s="310" t="s">
        <v>149</v>
      </c>
      <c r="BD61" s="311" t="s">
        <v>147</v>
      </c>
      <c r="BE61" s="311"/>
      <c r="BF61" s="311" t="s">
        <v>147</v>
      </c>
      <c r="BG61" s="312"/>
      <c r="BH61" s="310"/>
      <c r="BI61" s="311"/>
      <c r="BJ61" s="312"/>
      <c r="BK61" s="310"/>
      <c r="BL61" s="311"/>
      <c r="BM61" s="311"/>
      <c r="BN61" s="312"/>
      <c r="BO61" s="310"/>
      <c r="BP61" s="311"/>
      <c r="BQ61" s="311"/>
      <c r="BR61" s="311"/>
      <c r="BS61" s="311" t="s">
        <v>149</v>
      </c>
      <c r="BT61" s="311"/>
      <c r="BU61" s="311" t="s">
        <v>150</v>
      </c>
      <c r="BV61" s="312"/>
      <c r="BW61" s="310" t="s">
        <v>147</v>
      </c>
      <c r="BX61" s="311" t="s">
        <v>148</v>
      </c>
      <c r="BY61" s="311" t="s">
        <v>150</v>
      </c>
      <c r="BZ61" s="311" t="s">
        <v>147</v>
      </c>
      <c r="CA61" s="311" t="s">
        <v>47</v>
      </c>
      <c r="CB61" s="312" t="s">
        <v>47</v>
      </c>
      <c r="CC61" s="310"/>
      <c r="CD61" s="311" t="s">
        <v>148</v>
      </c>
      <c r="CE61" s="312"/>
      <c r="CF61" s="310"/>
      <c r="CG61" s="311"/>
      <c r="CH61" s="311"/>
      <c r="CI61" s="313"/>
      <c r="CK61" s="233">
        <f t="shared" ref="CK61:CK78" si="25">IF(COUNTIF(D61:CI61,"o")&gt;0,COUNTIF(D61:CI61,"o"),"")</f>
        <v>2</v>
      </c>
      <c r="CL61" s="234">
        <f t="shared" ref="CL61:CL78" si="26">IF(COUNTIF(D61:CI61,"j")&gt;0,COUNTIF(D61:CI61,"j"),"")</f>
        <v>6</v>
      </c>
      <c r="CM61" s="234">
        <f t="shared" ref="CM61:CM78" si="27">IF(COUNTIF(D61:CI61,"m")&gt;0,COUNTIF(D61:CI61,"m"),"")</f>
        <v>5</v>
      </c>
      <c r="CN61" s="234">
        <f t="shared" ref="CN61:CN78" si="28">IF(COUNTIF(D61:CI61,"s")&gt;0,COUNTIF(D61:CI61,"s"),"")</f>
        <v>3</v>
      </c>
      <c r="CO61" s="235">
        <f t="shared" ref="CO61:CO78" si="29">IF(COUNTIF(D61:CI61,"e")&gt;0,COUNTIF(D61:CI61,"e"),"")</f>
        <v>3</v>
      </c>
      <c r="CQ61" s="233" t="str">
        <f>desired_skills(C61,"Organisatie / klantomgeving/LB - PPB","o")</f>
        <v>31</v>
      </c>
      <c r="CR61" s="234" t="str">
        <f>desired_skills(C61,"Organisatie / klantomgeving/LB - PPB","j")</f>
        <v/>
      </c>
      <c r="CS61" s="234" t="str">
        <f>desired_skills(C61,"Organisatie / klantomgeving/LB - PPB","m")</f>
        <v/>
      </c>
      <c r="CT61" s="234" t="str">
        <f>desired_skills(C61,"Organisatie / klantomgeving/LB - PPB","s")</f>
        <v/>
      </c>
      <c r="CU61" s="235" t="str">
        <f>desired_skills(C61,"Organisatie / klantomgeving/LB - PPB","e")</f>
        <v/>
      </c>
      <c r="CW61" s="233" t="str">
        <f>calc_gap('Matrix 171007_1812'!$CK$61,'Matrix 171007_1812'!$CQ$61)</f>
        <v>29</v>
      </c>
      <c r="CX61" s="234" t="str">
        <f>calc_gap('Matrix 171007_1812'!$CL$61,'Matrix 171007_1812'!$CR$61)</f>
        <v/>
      </c>
      <c r="CY61" s="234" t="str">
        <f>calc_gap('Matrix 171007_1812'!$CM$61,'Matrix 171007_1812'!$CS$61)</f>
        <v/>
      </c>
      <c r="CZ61" s="234" t="str">
        <f>calc_gap('Matrix 171007_1812'!$CN$61,'Matrix 171007_1812'!$CT$61)</f>
        <v/>
      </c>
      <c r="DA61" s="235" t="str">
        <f>calc_gap('Matrix 171007_1812'!$CO$61,'Matrix 171007_1812'!$CU$61)</f>
        <v/>
      </c>
    </row>
    <row r="62" spans="2:105" x14ac:dyDescent="0.25">
      <c r="B62" s="435"/>
      <c r="C62" s="291" t="s">
        <v>100</v>
      </c>
      <c r="D62" s="314"/>
      <c r="E62" s="315"/>
      <c r="F62" s="315"/>
      <c r="G62" s="315"/>
      <c r="H62" s="315"/>
      <c r="I62" s="315"/>
      <c r="J62" s="315"/>
      <c r="K62" s="316"/>
      <c r="L62" s="314"/>
      <c r="M62" s="315"/>
      <c r="N62" s="315"/>
      <c r="O62" s="316"/>
      <c r="P62" s="314"/>
      <c r="Q62" s="315"/>
      <c r="R62" s="315"/>
      <c r="S62" s="315"/>
      <c r="T62" s="315"/>
      <c r="U62" s="315"/>
      <c r="V62" s="315"/>
      <c r="W62" s="315"/>
      <c r="X62" s="315"/>
      <c r="Y62" s="315"/>
      <c r="Z62" s="315"/>
      <c r="AA62" s="315"/>
      <c r="AB62" s="315"/>
      <c r="AC62" s="315"/>
      <c r="AD62" s="315"/>
      <c r="AE62" s="315"/>
      <c r="AF62" s="315"/>
      <c r="AG62" s="315"/>
      <c r="AH62" s="315"/>
      <c r="AI62" s="316"/>
      <c r="AJ62" s="314"/>
      <c r="AK62" s="315"/>
      <c r="AL62" s="316"/>
      <c r="AM62" s="314"/>
      <c r="AN62" s="315"/>
      <c r="AO62" s="316"/>
      <c r="AP62" s="314"/>
      <c r="AQ62" s="315"/>
      <c r="AR62" s="315"/>
      <c r="AS62" s="315"/>
      <c r="AT62" s="316"/>
      <c r="AU62" s="314" t="s">
        <v>147</v>
      </c>
      <c r="AV62" s="315" t="s">
        <v>150</v>
      </c>
      <c r="AW62" s="315" t="s">
        <v>148</v>
      </c>
      <c r="AX62" s="315" t="s">
        <v>150</v>
      </c>
      <c r="AY62" s="315" t="s">
        <v>148</v>
      </c>
      <c r="AZ62" s="315" t="s">
        <v>147</v>
      </c>
      <c r="BA62" s="315"/>
      <c r="BB62" s="316" t="s">
        <v>148</v>
      </c>
      <c r="BC62" s="314" t="s">
        <v>149</v>
      </c>
      <c r="BD62" s="315" t="s">
        <v>147</v>
      </c>
      <c r="BE62" s="315"/>
      <c r="BF62" s="315" t="s">
        <v>147</v>
      </c>
      <c r="BG62" s="316"/>
      <c r="BH62" s="314"/>
      <c r="BI62" s="315"/>
      <c r="BJ62" s="316"/>
      <c r="BK62" s="314"/>
      <c r="BL62" s="315"/>
      <c r="BM62" s="315"/>
      <c r="BN62" s="316"/>
      <c r="BO62" s="314"/>
      <c r="BP62" s="315"/>
      <c r="BQ62" s="315"/>
      <c r="BR62" s="315"/>
      <c r="BS62" s="315" t="s">
        <v>149</v>
      </c>
      <c r="BT62" s="315"/>
      <c r="BU62" s="315" t="s">
        <v>150</v>
      </c>
      <c r="BV62" s="316"/>
      <c r="BW62" s="314" t="s">
        <v>147</v>
      </c>
      <c r="BX62" s="315" t="s">
        <v>148</v>
      </c>
      <c r="BY62" s="315" t="s">
        <v>150</v>
      </c>
      <c r="BZ62" s="315" t="s">
        <v>147</v>
      </c>
      <c r="CA62" s="315" t="s">
        <v>47</v>
      </c>
      <c r="CB62" s="316" t="s">
        <v>150</v>
      </c>
      <c r="CC62" s="314"/>
      <c r="CD62" s="315" t="s">
        <v>148</v>
      </c>
      <c r="CE62" s="316"/>
      <c r="CF62" s="314"/>
      <c r="CG62" s="315"/>
      <c r="CH62" s="315"/>
      <c r="CI62" s="317"/>
      <c r="CK62" s="236">
        <f t="shared" si="25"/>
        <v>2</v>
      </c>
      <c r="CL62" s="237">
        <f t="shared" si="26"/>
        <v>6</v>
      </c>
      <c r="CM62" s="237">
        <f t="shared" si="27"/>
        <v>5</v>
      </c>
      <c r="CN62" s="237">
        <f t="shared" si="28"/>
        <v>5</v>
      </c>
      <c r="CO62" s="238">
        <f t="shared" si="29"/>
        <v>1</v>
      </c>
      <c r="CQ62" s="236" t="str">
        <f>desired_skills(C62,"Organisatie / klantomgeving/LB - Bedrijven","o")</f>
        <v/>
      </c>
      <c r="CR62" s="237" t="str">
        <f>desired_skills(C62,"Organisatie / klantomgeving/LB - Bedrijven","j")</f>
        <v>32</v>
      </c>
      <c r="CS62" s="237" t="str">
        <f>desired_skills(C62,"Organisatie / klantomgeving/LB - Bedrijven","m")</f>
        <v/>
      </c>
      <c r="CT62" s="237" t="str">
        <f>desired_skills(C62,"Organisatie / klantomgeving/LB - Bedrijven","s")</f>
        <v/>
      </c>
      <c r="CU62" s="238" t="str">
        <f>desired_skills(C62,"Organisatie / klantomgeving/LB - Bedrijven","e")</f>
        <v/>
      </c>
      <c r="CW62" s="236" t="str">
        <f>calc_gap('Matrix 171007_1812'!$CK$62,'Matrix 171007_1812'!$CQ$62)</f>
        <v/>
      </c>
      <c r="CX62" s="237" t="str">
        <f>calc_gap('Matrix 171007_1812'!$CL$62,'Matrix 171007_1812'!$CR$62)</f>
        <v>26</v>
      </c>
      <c r="CY62" s="237" t="str">
        <f>calc_gap('Matrix 171007_1812'!$CM$62,'Matrix 171007_1812'!$CS$62)</f>
        <v/>
      </c>
      <c r="CZ62" s="237" t="str">
        <f>calc_gap('Matrix 171007_1812'!$CN$62,'Matrix 171007_1812'!$CT$62)</f>
        <v/>
      </c>
      <c r="DA62" s="238" t="str">
        <f>calc_gap('Matrix 171007_1812'!$CO$62,'Matrix 171007_1812'!$CU$62)</f>
        <v/>
      </c>
    </row>
    <row r="63" spans="2:105" x14ac:dyDescent="0.25">
      <c r="B63" s="435"/>
      <c r="C63" s="291" t="s">
        <v>101</v>
      </c>
      <c r="D63" s="314"/>
      <c r="E63" s="315"/>
      <c r="F63" s="315"/>
      <c r="G63" s="315"/>
      <c r="H63" s="315"/>
      <c r="I63" s="315"/>
      <c r="J63" s="315"/>
      <c r="K63" s="316"/>
      <c r="L63" s="314"/>
      <c r="M63" s="315"/>
      <c r="N63" s="315"/>
      <c r="O63" s="316"/>
      <c r="P63" s="314"/>
      <c r="Q63" s="315"/>
      <c r="R63" s="315"/>
      <c r="S63" s="315"/>
      <c r="T63" s="315"/>
      <c r="U63" s="315"/>
      <c r="V63" s="315"/>
      <c r="W63" s="315"/>
      <c r="X63" s="315"/>
      <c r="Y63" s="315"/>
      <c r="Z63" s="315"/>
      <c r="AA63" s="315"/>
      <c r="AB63" s="315"/>
      <c r="AC63" s="315"/>
      <c r="AD63" s="315"/>
      <c r="AE63" s="315"/>
      <c r="AF63" s="315"/>
      <c r="AG63" s="315"/>
      <c r="AH63" s="315"/>
      <c r="AI63" s="316"/>
      <c r="AJ63" s="314"/>
      <c r="AK63" s="315"/>
      <c r="AL63" s="316"/>
      <c r="AM63" s="314"/>
      <c r="AN63" s="315"/>
      <c r="AO63" s="316"/>
      <c r="AP63" s="314"/>
      <c r="AQ63" s="315"/>
      <c r="AR63" s="315"/>
      <c r="AS63" s="315"/>
      <c r="AT63" s="316"/>
      <c r="AU63" s="314" t="s">
        <v>150</v>
      </c>
      <c r="AV63" s="315" t="s">
        <v>47</v>
      </c>
      <c r="AW63" s="315" t="s">
        <v>148</v>
      </c>
      <c r="AX63" s="315" t="s">
        <v>150</v>
      </c>
      <c r="AY63" s="315" t="s">
        <v>148</v>
      </c>
      <c r="AZ63" s="315"/>
      <c r="BA63" s="315"/>
      <c r="BB63" s="316" t="s">
        <v>148</v>
      </c>
      <c r="BC63" s="314" t="s">
        <v>149</v>
      </c>
      <c r="BD63" s="315" t="s">
        <v>147</v>
      </c>
      <c r="BE63" s="315"/>
      <c r="BF63" s="315" t="s">
        <v>150</v>
      </c>
      <c r="BG63" s="316"/>
      <c r="BH63" s="314"/>
      <c r="BI63" s="315"/>
      <c r="BJ63" s="316"/>
      <c r="BK63" s="314"/>
      <c r="BL63" s="315"/>
      <c r="BM63" s="315"/>
      <c r="BN63" s="316"/>
      <c r="BO63" s="314"/>
      <c r="BP63" s="315"/>
      <c r="BQ63" s="315"/>
      <c r="BR63" s="315"/>
      <c r="BS63" s="315" t="s">
        <v>149</v>
      </c>
      <c r="BT63" s="315"/>
      <c r="BU63" s="315" t="s">
        <v>150</v>
      </c>
      <c r="BV63" s="316"/>
      <c r="BW63" s="314" t="s">
        <v>147</v>
      </c>
      <c r="BX63" s="315" t="s">
        <v>148</v>
      </c>
      <c r="BY63" s="315" t="s">
        <v>47</v>
      </c>
      <c r="BZ63" s="315" t="s">
        <v>147</v>
      </c>
      <c r="CA63" s="315" t="s">
        <v>150</v>
      </c>
      <c r="CB63" s="316" t="s">
        <v>47</v>
      </c>
      <c r="CC63" s="314"/>
      <c r="CD63" s="315" t="s">
        <v>148</v>
      </c>
      <c r="CE63" s="316"/>
      <c r="CF63" s="314"/>
      <c r="CG63" s="315"/>
      <c r="CH63" s="315"/>
      <c r="CI63" s="317"/>
      <c r="CK63" s="236">
        <f t="shared" si="25"/>
        <v>2</v>
      </c>
      <c r="CL63" s="237">
        <f t="shared" si="26"/>
        <v>3</v>
      </c>
      <c r="CM63" s="237">
        <f t="shared" si="27"/>
        <v>5</v>
      </c>
      <c r="CN63" s="237">
        <f t="shared" si="28"/>
        <v>5</v>
      </c>
      <c r="CO63" s="238">
        <f t="shared" si="29"/>
        <v>3</v>
      </c>
      <c r="CQ63" s="236" t="str">
        <f>desired_skills(C63,"Organisatie / klantomgeving/LB - Business Support","o")</f>
        <v/>
      </c>
      <c r="CR63" s="237" t="str">
        <f>desired_skills(C63,"Organisatie / klantomgeving/LB - Business Support","j")</f>
        <v/>
      </c>
      <c r="CS63" s="237" t="str">
        <f>desired_skills(C63,"Organisatie / klantomgeving/LB - Business Support","m")</f>
        <v>33</v>
      </c>
      <c r="CT63" s="237" t="str">
        <f>desired_skills(C63,"Organisatie / klantomgeving/LB - Business Support","s")</f>
        <v/>
      </c>
      <c r="CU63" s="238" t="str">
        <f>desired_skills(C63,"Organisatie / klantomgeving/LB - Business Support","e")</f>
        <v/>
      </c>
      <c r="CW63" s="236" t="str">
        <f>calc_gap('Matrix 171007_1812'!$CK$63,'Matrix 171007_1812'!$CQ$63)</f>
        <v/>
      </c>
      <c r="CX63" s="237" t="str">
        <f>calc_gap('Matrix 171007_1812'!$CL$63,'Matrix 171007_1812'!$CR$63)</f>
        <v/>
      </c>
      <c r="CY63" s="237" t="str">
        <f>calc_gap('Matrix 171007_1812'!$CM$63,'Matrix 171007_1812'!$CS$63)</f>
        <v>28</v>
      </c>
      <c r="CZ63" s="237" t="str">
        <f>calc_gap('Matrix 171007_1812'!$CN$63,'Matrix 171007_1812'!$CT$63)</f>
        <v/>
      </c>
      <c r="DA63" s="238" t="str">
        <f>calc_gap('Matrix 171007_1812'!$CO$63,'Matrix 171007_1812'!$CU$63)</f>
        <v/>
      </c>
    </row>
    <row r="64" spans="2:105" x14ac:dyDescent="0.25">
      <c r="B64" s="435"/>
      <c r="C64" s="291" t="s">
        <v>102</v>
      </c>
      <c r="D64" s="314"/>
      <c r="E64" s="315"/>
      <c r="F64" s="315"/>
      <c r="G64" s="315"/>
      <c r="H64" s="315"/>
      <c r="I64" s="315"/>
      <c r="J64" s="315"/>
      <c r="K64" s="316"/>
      <c r="L64" s="314"/>
      <c r="M64" s="315"/>
      <c r="N64" s="315"/>
      <c r="O64" s="316"/>
      <c r="P64" s="314"/>
      <c r="Q64" s="315"/>
      <c r="R64" s="315"/>
      <c r="S64" s="315"/>
      <c r="T64" s="315"/>
      <c r="U64" s="315"/>
      <c r="V64" s="315"/>
      <c r="W64" s="315"/>
      <c r="X64" s="315"/>
      <c r="Y64" s="315"/>
      <c r="Z64" s="315"/>
      <c r="AA64" s="315"/>
      <c r="AB64" s="315"/>
      <c r="AC64" s="315"/>
      <c r="AD64" s="315"/>
      <c r="AE64" s="315"/>
      <c r="AF64" s="315"/>
      <c r="AG64" s="315"/>
      <c r="AH64" s="315"/>
      <c r="AI64" s="316"/>
      <c r="AJ64" s="314"/>
      <c r="AK64" s="315"/>
      <c r="AL64" s="316"/>
      <c r="AM64" s="314"/>
      <c r="AN64" s="315"/>
      <c r="AO64" s="316"/>
      <c r="AP64" s="314"/>
      <c r="AQ64" s="315"/>
      <c r="AR64" s="315"/>
      <c r="AS64" s="315"/>
      <c r="AT64" s="316"/>
      <c r="AU64" s="314" t="s">
        <v>147</v>
      </c>
      <c r="AV64" s="315" t="s">
        <v>47</v>
      </c>
      <c r="AW64" s="315" t="s">
        <v>148</v>
      </c>
      <c r="AX64" s="315" t="s">
        <v>150</v>
      </c>
      <c r="AY64" s="315" t="s">
        <v>148</v>
      </c>
      <c r="AZ64" s="315"/>
      <c r="BA64" s="315"/>
      <c r="BB64" s="316" t="s">
        <v>148</v>
      </c>
      <c r="BC64" s="314" t="s">
        <v>149</v>
      </c>
      <c r="BD64" s="315" t="s">
        <v>147</v>
      </c>
      <c r="BE64" s="315"/>
      <c r="BF64" s="315" t="s">
        <v>147</v>
      </c>
      <c r="BG64" s="316"/>
      <c r="BH64" s="314"/>
      <c r="BI64" s="315"/>
      <c r="BJ64" s="316"/>
      <c r="BK64" s="314"/>
      <c r="BL64" s="315"/>
      <c r="BM64" s="315"/>
      <c r="BN64" s="316"/>
      <c r="BO64" s="314" t="s">
        <v>148</v>
      </c>
      <c r="BP64" s="315" t="s">
        <v>150</v>
      </c>
      <c r="BQ64" s="315"/>
      <c r="BR64" s="315"/>
      <c r="BS64" s="315" t="s">
        <v>149</v>
      </c>
      <c r="BT64" s="315"/>
      <c r="BU64" s="315" t="s">
        <v>150</v>
      </c>
      <c r="BV64" s="316"/>
      <c r="BW64" s="314" t="s">
        <v>148</v>
      </c>
      <c r="BX64" s="315" t="s">
        <v>147</v>
      </c>
      <c r="BY64" s="315" t="s">
        <v>147</v>
      </c>
      <c r="BZ64" s="315" t="s">
        <v>148</v>
      </c>
      <c r="CA64" s="315" t="s">
        <v>150</v>
      </c>
      <c r="CB64" s="316" t="s">
        <v>47</v>
      </c>
      <c r="CC64" s="314"/>
      <c r="CD64" s="315" t="s">
        <v>148</v>
      </c>
      <c r="CE64" s="316"/>
      <c r="CF64" s="314"/>
      <c r="CG64" s="315"/>
      <c r="CH64" s="315"/>
      <c r="CI64" s="317"/>
      <c r="CK64" s="236">
        <f t="shared" si="25"/>
        <v>2</v>
      </c>
      <c r="CL64" s="237">
        <f t="shared" si="26"/>
        <v>5</v>
      </c>
      <c r="CM64" s="237">
        <f t="shared" si="27"/>
        <v>7</v>
      </c>
      <c r="CN64" s="237">
        <f t="shared" si="28"/>
        <v>4</v>
      </c>
      <c r="CO64" s="238">
        <f t="shared" si="29"/>
        <v>2</v>
      </c>
      <c r="CQ64" s="236" t="str">
        <f>desired_skills(C64,"Organisatie / klantomgeving/PPB","o")</f>
        <v/>
      </c>
      <c r="CR64" s="237" t="str">
        <f>desired_skills(C64,"Organisatie / klantomgeving/PPB","j")</f>
        <v/>
      </c>
      <c r="CS64" s="237" t="str">
        <f>desired_skills(C64,"Organisatie / klantomgeving/PPB","m")</f>
        <v/>
      </c>
      <c r="CT64" s="237" t="str">
        <f>desired_skills(C64,"Organisatie / klantomgeving/PPB","s")</f>
        <v>34</v>
      </c>
      <c r="CU64" s="238" t="str">
        <f>desired_skills(C64,"Organisatie / klantomgeving/PPB","e")</f>
        <v/>
      </c>
      <c r="CW64" s="236" t="str">
        <f>calc_gap('Matrix 171007_1812'!$CK$64,'Matrix 171007_1812'!$CQ$64)</f>
        <v/>
      </c>
      <c r="CX64" s="237" t="str">
        <f>calc_gap('Matrix 171007_1812'!$CL$64,'Matrix 171007_1812'!$CR$64)</f>
        <v/>
      </c>
      <c r="CY64" s="237" t="str">
        <f>calc_gap('Matrix 171007_1812'!$CM$64,'Matrix 171007_1812'!$CS$64)</f>
        <v/>
      </c>
      <c r="CZ64" s="237" t="str">
        <f>calc_gap('Matrix 171007_1812'!$CN$64,'Matrix 171007_1812'!$CT$64)</f>
        <v>30</v>
      </c>
      <c r="DA64" s="238" t="str">
        <f>calc_gap('Matrix 171007_1812'!$CO$64,'Matrix 171007_1812'!$CU$64)</f>
        <v/>
      </c>
    </row>
    <row r="65" spans="2:105" x14ac:dyDescent="0.25">
      <c r="B65" s="435"/>
      <c r="C65" s="291" t="s">
        <v>103</v>
      </c>
      <c r="D65" s="314"/>
      <c r="E65" s="315"/>
      <c r="F65" s="315"/>
      <c r="G65" s="315"/>
      <c r="H65" s="315"/>
      <c r="I65" s="315"/>
      <c r="J65" s="315"/>
      <c r="K65" s="316"/>
      <c r="L65" s="314"/>
      <c r="M65" s="315"/>
      <c r="N65" s="315"/>
      <c r="O65" s="316"/>
      <c r="P65" s="314"/>
      <c r="Q65" s="315"/>
      <c r="R65" s="315"/>
      <c r="S65" s="315"/>
      <c r="T65" s="315"/>
      <c r="U65" s="315"/>
      <c r="V65" s="315"/>
      <c r="W65" s="315"/>
      <c r="X65" s="315"/>
      <c r="Y65" s="315"/>
      <c r="Z65" s="315"/>
      <c r="AA65" s="315"/>
      <c r="AB65" s="315"/>
      <c r="AC65" s="315"/>
      <c r="AD65" s="315"/>
      <c r="AE65" s="315"/>
      <c r="AF65" s="315"/>
      <c r="AG65" s="315"/>
      <c r="AH65" s="315"/>
      <c r="AI65" s="316"/>
      <c r="AJ65" s="314"/>
      <c r="AK65" s="315"/>
      <c r="AL65" s="316"/>
      <c r="AM65" s="314"/>
      <c r="AN65" s="315"/>
      <c r="AO65" s="316"/>
      <c r="AP65" s="314"/>
      <c r="AQ65" s="315"/>
      <c r="AR65" s="315"/>
      <c r="AS65" s="315"/>
      <c r="AT65" s="316"/>
      <c r="AU65" s="314" t="s">
        <v>148</v>
      </c>
      <c r="AV65" s="315" t="s">
        <v>148</v>
      </c>
      <c r="AW65" s="315" t="s">
        <v>148</v>
      </c>
      <c r="AX65" s="315" t="s">
        <v>150</v>
      </c>
      <c r="AY65" s="315" t="s">
        <v>148</v>
      </c>
      <c r="AZ65" s="315"/>
      <c r="BA65" s="315"/>
      <c r="BB65" s="316" t="s">
        <v>148</v>
      </c>
      <c r="BC65" s="314" t="s">
        <v>149</v>
      </c>
      <c r="BD65" s="315" t="s">
        <v>147</v>
      </c>
      <c r="BE65" s="315"/>
      <c r="BF65" s="315" t="s">
        <v>147</v>
      </c>
      <c r="BG65" s="316"/>
      <c r="BH65" s="314"/>
      <c r="BI65" s="315"/>
      <c r="BJ65" s="316"/>
      <c r="BK65" s="314"/>
      <c r="BL65" s="315"/>
      <c r="BM65" s="315"/>
      <c r="BN65" s="316"/>
      <c r="BO65" s="314" t="s">
        <v>148</v>
      </c>
      <c r="BP65" s="315" t="s">
        <v>150</v>
      </c>
      <c r="BQ65" s="315"/>
      <c r="BR65" s="315"/>
      <c r="BS65" s="315" t="s">
        <v>149</v>
      </c>
      <c r="BT65" s="315"/>
      <c r="BU65" s="315" t="s">
        <v>150</v>
      </c>
      <c r="BV65" s="316"/>
      <c r="BW65" s="314" t="s">
        <v>148</v>
      </c>
      <c r="BX65" s="315" t="s">
        <v>147</v>
      </c>
      <c r="BY65" s="315" t="s">
        <v>147</v>
      </c>
      <c r="BZ65" s="315" t="s">
        <v>148</v>
      </c>
      <c r="CA65" s="315" t="s">
        <v>47</v>
      </c>
      <c r="CB65" s="316" t="s">
        <v>148</v>
      </c>
      <c r="CC65" s="314"/>
      <c r="CD65" s="315" t="s">
        <v>148</v>
      </c>
      <c r="CE65" s="316"/>
      <c r="CF65" s="314"/>
      <c r="CG65" s="315"/>
      <c r="CH65" s="315"/>
      <c r="CI65" s="317"/>
      <c r="CK65" s="236">
        <f t="shared" si="25"/>
        <v>2</v>
      </c>
      <c r="CL65" s="237">
        <f t="shared" si="26"/>
        <v>4</v>
      </c>
      <c r="CM65" s="237">
        <f t="shared" si="27"/>
        <v>10</v>
      </c>
      <c r="CN65" s="237">
        <f t="shared" si="28"/>
        <v>3</v>
      </c>
      <c r="CO65" s="238">
        <f t="shared" si="29"/>
        <v>1</v>
      </c>
      <c r="CQ65" s="236" t="str">
        <f>desired_skills(C65,"Organisatie / klantomgeving/Bedrijven","o")</f>
        <v/>
      </c>
      <c r="CR65" s="237" t="str">
        <f>desired_skills(C65,"Organisatie / klantomgeving/Bedrijven","j")</f>
        <v/>
      </c>
      <c r="CS65" s="237" t="str">
        <f>desired_skills(C65,"Organisatie / klantomgeving/Bedrijven","m")</f>
        <v/>
      </c>
      <c r="CT65" s="237" t="str">
        <f>desired_skills(C65,"Organisatie / klantomgeving/Bedrijven","s")</f>
        <v/>
      </c>
      <c r="CU65" s="238" t="str">
        <f>desired_skills(C65,"Organisatie / klantomgeving/Bedrijven","e")</f>
        <v>35</v>
      </c>
      <c r="CW65" s="236" t="str">
        <f>calc_gap('Matrix 171007_1812'!$CK$65,'Matrix 171007_1812'!$CQ$65)</f>
        <v/>
      </c>
      <c r="CX65" s="237" t="str">
        <f>calc_gap('Matrix 171007_1812'!$CL$65,'Matrix 171007_1812'!$CR$65)</f>
        <v/>
      </c>
      <c r="CY65" s="237" t="str">
        <f>calc_gap('Matrix 171007_1812'!$CM$65,'Matrix 171007_1812'!$CS$65)</f>
        <v/>
      </c>
      <c r="CZ65" s="237" t="str">
        <f>calc_gap('Matrix 171007_1812'!$CN$65,'Matrix 171007_1812'!$CT$65)</f>
        <v/>
      </c>
      <c r="DA65" s="238" t="str">
        <f>calc_gap('Matrix 171007_1812'!$CO$65,'Matrix 171007_1812'!$CU$65)</f>
        <v>34</v>
      </c>
    </row>
    <row r="66" spans="2:105" x14ac:dyDescent="0.25">
      <c r="B66" s="435"/>
      <c r="C66" s="291" t="s">
        <v>104</v>
      </c>
      <c r="D66" s="314"/>
      <c r="E66" s="315"/>
      <c r="F66" s="315"/>
      <c r="G66" s="315"/>
      <c r="H66" s="315"/>
      <c r="I66" s="315"/>
      <c r="J66" s="315"/>
      <c r="K66" s="316"/>
      <c r="L66" s="314"/>
      <c r="M66" s="315"/>
      <c r="N66" s="315"/>
      <c r="O66" s="316"/>
      <c r="P66" s="314"/>
      <c r="Q66" s="315"/>
      <c r="R66" s="315"/>
      <c r="S66" s="315"/>
      <c r="T66" s="315"/>
      <c r="U66" s="315"/>
      <c r="V66" s="315"/>
      <c r="W66" s="315"/>
      <c r="X66" s="315"/>
      <c r="Y66" s="315"/>
      <c r="Z66" s="315"/>
      <c r="AA66" s="315"/>
      <c r="AB66" s="315"/>
      <c r="AC66" s="315"/>
      <c r="AD66" s="315"/>
      <c r="AE66" s="315"/>
      <c r="AF66" s="315"/>
      <c r="AG66" s="315"/>
      <c r="AH66" s="315"/>
      <c r="AI66" s="316"/>
      <c r="AJ66" s="314"/>
      <c r="AK66" s="315"/>
      <c r="AL66" s="316"/>
      <c r="AM66" s="314"/>
      <c r="AN66" s="315"/>
      <c r="AO66" s="316"/>
      <c r="AP66" s="314"/>
      <c r="AQ66" s="315"/>
      <c r="AR66" s="315"/>
      <c r="AS66" s="315"/>
      <c r="AT66" s="316"/>
      <c r="AU66" s="314" t="s">
        <v>147</v>
      </c>
      <c r="AV66" s="315" t="s">
        <v>148</v>
      </c>
      <c r="AW66" s="315" t="s">
        <v>147</v>
      </c>
      <c r="AX66" s="315" t="s">
        <v>150</v>
      </c>
      <c r="AY66" s="315" t="s">
        <v>148</v>
      </c>
      <c r="AZ66" s="315"/>
      <c r="BA66" s="315"/>
      <c r="BB66" s="316" t="s">
        <v>148</v>
      </c>
      <c r="BC66" s="314" t="s">
        <v>149</v>
      </c>
      <c r="BD66" s="315" t="s">
        <v>147</v>
      </c>
      <c r="BE66" s="315"/>
      <c r="BF66" s="315" t="s">
        <v>147</v>
      </c>
      <c r="BG66" s="316"/>
      <c r="BH66" s="314"/>
      <c r="BI66" s="315"/>
      <c r="BJ66" s="316"/>
      <c r="BK66" s="314"/>
      <c r="BL66" s="315"/>
      <c r="BM66" s="315"/>
      <c r="BN66" s="316"/>
      <c r="BO66" s="314" t="s">
        <v>147</v>
      </c>
      <c r="BP66" s="315" t="s">
        <v>147</v>
      </c>
      <c r="BQ66" s="315"/>
      <c r="BR66" s="315"/>
      <c r="BS66" s="315" t="s">
        <v>149</v>
      </c>
      <c r="BT66" s="315"/>
      <c r="BU66" s="315" t="s">
        <v>148</v>
      </c>
      <c r="BV66" s="316"/>
      <c r="BW66" s="314" t="s">
        <v>148</v>
      </c>
      <c r="BX66" s="315"/>
      <c r="BY66" s="315" t="s">
        <v>150</v>
      </c>
      <c r="BZ66" s="315" t="s">
        <v>148</v>
      </c>
      <c r="CA66" s="315" t="s">
        <v>47</v>
      </c>
      <c r="CB66" s="316" t="s">
        <v>150</v>
      </c>
      <c r="CC66" s="314"/>
      <c r="CD66" s="315" t="s">
        <v>148</v>
      </c>
      <c r="CE66" s="316"/>
      <c r="CF66" s="314"/>
      <c r="CG66" s="315"/>
      <c r="CH66" s="315"/>
      <c r="CI66" s="317"/>
      <c r="CK66" s="236">
        <f t="shared" si="25"/>
        <v>2</v>
      </c>
      <c r="CL66" s="237">
        <f t="shared" si="26"/>
        <v>6</v>
      </c>
      <c r="CM66" s="237">
        <f t="shared" si="27"/>
        <v>7</v>
      </c>
      <c r="CN66" s="237">
        <f t="shared" si="28"/>
        <v>3</v>
      </c>
      <c r="CO66" s="238">
        <f t="shared" si="29"/>
        <v>1</v>
      </c>
      <c r="CQ66" s="236" t="str">
        <f>desired_skills(C66,"Organisatie / klantomgeving/Digitale Bank","o")</f>
        <v/>
      </c>
      <c r="CR66" s="237" t="str">
        <f>desired_skills(C66,"Organisatie / klantomgeving/Digitale Bank","j")</f>
        <v/>
      </c>
      <c r="CS66" s="237" t="str">
        <f>desired_skills(C66,"Organisatie / klantomgeving/Digitale Bank","m")</f>
        <v/>
      </c>
      <c r="CT66" s="237" t="str">
        <f>desired_skills(C66,"Organisatie / klantomgeving/Digitale Bank","s")</f>
        <v/>
      </c>
      <c r="CU66" s="238" t="str">
        <f>desired_skills(C66,"Organisatie / klantomgeving/Digitale Bank","e")</f>
        <v/>
      </c>
      <c r="CW66" s="236" t="str">
        <f>calc_gap('Matrix 171007_1812'!$CK$66,'Matrix 171007_1812'!$CQ$66)</f>
        <v/>
      </c>
      <c r="CX66" s="237" t="str">
        <f>calc_gap('Matrix 171007_1812'!$CL$66,'Matrix 171007_1812'!$CR$66)</f>
        <v/>
      </c>
      <c r="CY66" s="237" t="str">
        <f>calc_gap('Matrix 171007_1812'!$CM$66,'Matrix 171007_1812'!$CS$66)</f>
        <v/>
      </c>
      <c r="CZ66" s="237" t="str">
        <f>calc_gap('Matrix 171007_1812'!$CN$66,'Matrix 171007_1812'!$CT$66)</f>
        <v/>
      </c>
      <c r="DA66" s="238" t="str">
        <f>calc_gap('Matrix 171007_1812'!$CO$66,'Matrix 171007_1812'!$CU$66)</f>
        <v/>
      </c>
    </row>
    <row r="67" spans="2:105" x14ac:dyDescent="0.25">
      <c r="B67" s="435"/>
      <c r="C67" s="291" t="s">
        <v>105</v>
      </c>
      <c r="D67" s="314"/>
      <c r="E67" s="315"/>
      <c r="F67" s="315"/>
      <c r="G67" s="315"/>
      <c r="H67" s="315"/>
      <c r="I67" s="315"/>
      <c r="J67" s="315"/>
      <c r="K67" s="316"/>
      <c r="L67" s="314"/>
      <c r="M67" s="315"/>
      <c r="N67" s="315"/>
      <c r="O67" s="316"/>
      <c r="P67" s="314"/>
      <c r="Q67" s="315"/>
      <c r="R67" s="315"/>
      <c r="S67" s="315"/>
      <c r="T67" s="315"/>
      <c r="U67" s="315"/>
      <c r="V67" s="315"/>
      <c r="W67" s="315"/>
      <c r="X67" s="315"/>
      <c r="Y67" s="315"/>
      <c r="Z67" s="315"/>
      <c r="AA67" s="315"/>
      <c r="AB67" s="315"/>
      <c r="AC67" s="315"/>
      <c r="AD67" s="315"/>
      <c r="AE67" s="315"/>
      <c r="AF67" s="315"/>
      <c r="AG67" s="315"/>
      <c r="AH67" s="315"/>
      <c r="AI67" s="316"/>
      <c r="AJ67" s="314"/>
      <c r="AK67" s="315"/>
      <c r="AL67" s="316"/>
      <c r="AM67" s="314"/>
      <c r="AN67" s="315"/>
      <c r="AO67" s="316"/>
      <c r="AP67" s="314"/>
      <c r="AQ67" s="315"/>
      <c r="AR67" s="315"/>
      <c r="AS67" s="315"/>
      <c r="AT67" s="316"/>
      <c r="AU67" s="314" t="s">
        <v>150</v>
      </c>
      <c r="AV67" s="315" t="s">
        <v>150</v>
      </c>
      <c r="AW67" s="315" t="s">
        <v>147</v>
      </c>
      <c r="AX67" s="315" t="s">
        <v>150</v>
      </c>
      <c r="AY67" s="315" t="s">
        <v>150</v>
      </c>
      <c r="AZ67" s="315"/>
      <c r="BA67" s="315"/>
      <c r="BB67" s="316" t="s">
        <v>147</v>
      </c>
      <c r="BC67" s="314" t="s">
        <v>149</v>
      </c>
      <c r="BD67" s="315" t="s">
        <v>147</v>
      </c>
      <c r="BE67" s="315"/>
      <c r="BF67" s="315" t="s">
        <v>147</v>
      </c>
      <c r="BG67" s="316"/>
      <c r="BH67" s="314"/>
      <c r="BI67" s="315"/>
      <c r="BJ67" s="316"/>
      <c r="BK67" s="314"/>
      <c r="BL67" s="315"/>
      <c r="BM67" s="315"/>
      <c r="BN67" s="316"/>
      <c r="BO67" s="314" t="s">
        <v>148</v>
      </c>
      <c r="BP67" s="315" t="s">
        <v>148</v>
      </c>
      <c r="BQ67" s="315"/>
      <c r="BR67" s="315"/>
      <c r="BS67" s="315" t="s">
        <v>149</v>
      </c>
      <c r="BT67" s="315"/>
      <c r="BU67" s="315" t="s">
        <v>150</v>
      </c>
      <c r="BV67" s="316"/>
      <c r="BW67" s="314" t="s">
        <v>148</v>
      </c>
      <c r="BX67" s="315"/>
      <c r="BY67" s="315"/>
      <c r="BZ67" s="315" t="s">
        <v>148</v>
      </c>
      <c r="CA67" s="315" t="s">
        <v>147</v>
      </c>
      <c r="CB67" s="316" t="s">
        <v>147</v>
      </c>
      <c r="CC67" s="314"/>
      <c r="CD67" s="315" t="s">
        <v>147</v>
      </c>
      <c r="CE67" s="316"/>
      <c r="CF67" s="314"/>
      <c r="CG67" s="315"/>
      <c r="CH67" s="315"/>
      <c r="CI67" s="317"/>
      <c r="CK67" s="236">
        <f t="shared" si="25"/>
        <v>2</v>
      </c>
      <c r="CL67" s="237">
        <f t="shared" si="26"/>
        <v>7</v>
      </c>
      <c r="CM67" s="237">
        <f t="shared" si="27"/>
        <v>4</v>
      </c>
      <c r="CN67" s="237">
        <f t="shared" si="28"/>
        <v>5</v>
      </c>
      <c r="CO67" s="238" t="str">
        <f t="shared" si="29"/>
        <v/>
      </c>
      <c r="CQ67" s="236" t="str">
        <f>desired_skills(C67,"Organisatie / klantomgeving/CRO","o")</f>
        <v/>
      </c>
      <c r="CR67" s="237" t="str">
        <f>desired_skills(C67,"Organisatie / klantomgeving/CRO","j")</f>
        <v/>
      </c>
      <c r="CS67" s="237" t="str">
        <f>desired_skills(C67,"Organisatie / klantomgeving/CRO","m")</f>
        <v/>
      </c>
      <c r="CT67" s="237" t="str">
        <f>desired_skills(C67,"Organisatie / klantomgeving/CRO","s")</f>
        <v/>
      </c>
      <c r="CU67" s="238" t="str">
        <f>desired_skills(C67,"Organisatie / klantomgeving/CRO","e")</f>
        <v/>
      </c>
      <c r="CW67" s="236" t="str">
        <f>calc_gap('Matrix 171007_1812'!$CK$67,'Matrix 171007_1812'!$CQ$67)</f>
        <v/>
      </c>
      <c r="CX67" s="237" t="str">
        <f>calc_gap('Matrix 171007_1812'!$CL$67,'Matrix 171007_1812'!$CR$67)</f>
        <v/>
      </c>
      <c r="CY67" s="237" t="str">
        <f>calc_gap('Matrix 171007_1812'!$CM$67,'Matrix 171007_1812'!$CS$67)</f>
        <v/>
      </c>
      <c r="CZ67" s="237" t="str">
        <f>calc_gap('Matrix 171007_1812'!$CN$67,'Matrix 171007_1812'!$CT$67)</f>
        <v/>
      </c>
      <c r="DA67" s="238" t="str">
        <f>calc_gap('Matrix 171007_1812'!$CO$67,'Matrix 171007_1812'!$CU$67)</f>
        <v/>
      </c>
    </row>
    <row r="68" spans="2:105" x14ac:dyDescent="0.25">
      <c r="B68" s="435"/>
      <c r="C68" s="291" t="s">
        <v>106</v>
      </c>
      <c r="D68" s="314"/>
      <c r="E68" s="315"/>
      <c r="F68" s="315"/>
      <c r="G68" s="315"/>
      <c r="H68" s="315"/>
      <c r="I68" s="315"/>
      <c r="J68" s="315"/>
      <c r="K68" s="316"/>
      <c r="L68" s="314"/>
      <c r="M68" s="315"/>
      <c r="N68" s="315"/>
      <c r="O68" s="316"/>
      <c r="P68" s="314"/>
      <c r="Q68" s="315"/>
      <c r="R68" s="315"/>
      <c r="S68" s="315"/>
      <c r="T68" s="315"/>
      <c r="U68" s="315"/>
      <c r="V68" s="315"/>
      <c r="W68" s="315"/>
      <c r="X68" s="315"/>
      <c r="Y68" s="315"/>
      <c r="Z68" s="315"/>
      <c r="AA68" s="315"/>
      <c r="AB68" s="315"/>
      <c r="AC68" s="315"/>
      <c r="AD68" s="315"/>
      <c r="AE68" s="315"/>
      <c r="AF68" s="315"/>
      <c r="AG68" s="315"/>
      <c r="AH68" s="315"/>
      <c r="AI68" s="316"/>
      <c r="AJ68" s="314"/>
      <c r="AK68" s="315"/>
      <c r="AL68" s="316"/>
      <c r="AM68" s="314"/>
      <c r="AN68" s="315"/>
      <c r="AO68" s="316"/>
      <c r="AP68" s="314"/>
      <c r="AQ68" s="315"/>
      <c r="AR68" s="315"/>
      <c r="AS68" s="315"/>
      <c r="AT68" s="316"/>
      <c r="AU68" s="314" t="s">
        <v>148</v>
      </c>
      <c r="AV68" s="315" t="s">
        <v>148</v>
      </c>
      <c r="AW68" s="315" t="s">
        <v>147</v>
      </c>
      <c r="AX68" s="315" t="s">
        <v>150</v>
      </c>
      <c r="AY68" s="315" t="s">
        <v>150</v>
      </c>
      <c r="AZ68" s="315"/>
      <c r="BA68" s="315"/>
      <c r="BB68" s="316" t="s">
        <v>148</v>
      </c>
      <c r="BC68" s="314" t="s">
        <v>149</v>
      </c>
      <c r="BD68" s="315" t="s">
        <v>147</v>
      </c>
      <c r="BE68" s="315"/>
      <c r="BF68" s="315"/>
      <c r="BG68" s="316"/>
      <c r="BH68" s="314"/>
      <c r="BI68" s="315"/>
      <c r="BJ68" s="316"/>
      <c r="BK68" s="314"/>
      <c r="BL68" s="315"/>
      <c r="BM68" s="315"/>
      <c r="BN68" s="316"/>
      <c r="BO68" s="314" t="s">
        <v>148</v>
      </c>
      <c r="BP68" s="315" t="s">
        <v>148</v>
      </c>
      <c r="BQ68" s="315"/>
      <c r="BR68" s="315"/>
      <c r="BS68" s="315" t="s">
        <v>149</v>
      </c>
      <c r="BT68" s="315"/>
      <c r="BU68" s="315" t="s">
        <v>150</v>
      </c>
      <c r="BV68" s="316"/>
      <c r="BW68" s="314" t="s">
        <v>148</v>
      </c>
      <c r="BX68" s="315"/>
      <c r="BY68" s="315"/>
      <c r="BZ68" s="315" t="s">
        <v>148</v>
      </c>
      <c r="CA68" s="315" t="s">
        <v>147</v>
      </c>
      <c r="CB68" s="316" t="s">
        <v>147</v>
      </c>
      <c r="CC68" s="314"/>
      <c r="CD68" s="315" t="s">
        <v>147</v>
      </c>
      <c r="CE68" s="316"/>
      <c r="CF68" s="314"/>
      <c r="CG68" s="315"/>
      <c r="CH68" s="315"/>
      <c r="CI68" s="317"/>
      <c r="CK68" s="236">
        <f t="shared" si="25"/>
        <v>2</v>
      </c>
      <c r="CL68" s="237">
        <f t="shared" si="26"/>
        <v>5</v>
      </c>
      <c r="CM68" s="237">
        <f t="shared" si="27"/>
        <v>7</v>
      </c>
      <c r="CN68" s="237">
        <f t="shared" si="28"/>
        <v>3</v>
      </c>
      <c r="CO68" s="238" t="str">
        <f t="shared" si="29"/>
        <v/>
      </c>
      <c r="CQ68" s="236" t="str">
        <f>desired_skills(C68,"Organisatie / klantomgeving/CFO","o")</f>
        <v/>
      </c>
      <c r="CR68" s="237" t="str">
        <f>desired_skills(C68,"Organisatie / klantomgeving/CFO","j")</f>
        <v/>
      </c>
      <c r="CS68" s="237" t="str">
        <f>desired_skills(C68,"Organisatie / klantomgeving/CFO","m")</f>
        <v/>
      </c>
      <c r="CT68" s="237" t="str">
        <f>desired_skills(C68,"Organisatie / klantomgeving/CFO","s")</f>
        <v/>
      </c>
      <c r="CU68" s="238" t="str">
        <f>desired_skills(C68,"Organisatie / klantomgeving/CFO","e")</f>
        <v/>
      </c>
      <c r="CW68" s="236" t="str">
        <f>calc_gap('Matrix 171007_1812'!$CK$68,'Matrix 171007_1812'!$CQ$68)</f>
        <v/>
      </c>
      <c r="CX68" s="237" t="str">
        <f>calc_gap('Matrix 171007_1812'!$CL$68,'Matrix 171007_1812'!$CR$68)</f>
        <v/>
      </c>
      <c r="CY68" s="237" t="str">
        <f>calc_gap('Matrix 171007_1812'!$CM$68,'Matrix 171007_1812'!$CS$68)</f>
        <v/>
      </c>
      <c r="CZ68" s="237" t="str">
        <f>calc_gap('Matrix 171007_1812'!$CN$68,'Matrix 171007_1812'!$CT$68)</f>
        <v/>
      </c>
      <c r="DA68" s="238" t="str">
        <f>calc_gap('Matrix 171007_1812'!$CO$68,'Matrix 171007_1812'!$CU$68)</f>
        <v/>
      </c>
    </row>
    <row r="69" spans="2:105" x14ac:dyDescent="0.25">
      <c r="B69" s="435"/>
      <c r="C69" s="291" t="s">
        <v>107</v>
      </c>
      <c r="D69" s="314"/>
      <c r="E69" s="315"/>
      <c r="F69" s="315"/>
      <c r="G69" s="315"/>
      <c r="H69" s="315"/>
      <c r="I69" s="315"/>
      <c r="J69" s="315"/>
      <c r="K69" s="316"/>
      <c r="L69" s="314"/>
      <c r="M69" s="315"/>
      <c r="N69" s="315"/>
      <c r="O69" s="316"/>
      <c r="P69" s="314"/>
      <c r="Q69" s="315"/>
      <c r="R69" s="315"/>
      <c r="S69" s="315"/>
      <c r="T69" s="315"/>
      <c r="U69" s="315"/>
      <c r="V69" s="315"/>
      <c r="W69" s="315"/>
      <c r="X69" s="315"/>
      <c r="Y69" s="315"/>
      <c r="Z69" s="315"/>
      <c r="AA69" s="315"/>
      <c r="AB69" s="315"/>
      <c r="AC69" s="315"/>
      <c r="AD69" s="315"/>
      <c r="AE69" s="315"/>
      <c r="AF69" s="315"/>
      <c r="AG69" s="315"/>
      <c r="AH69" s="315"/>
      <c r="AI69" s="316"/>
      <c r="AJ69" s="314"/>
      <c r="AK69" s="315"/>
      <c r="AL69" s="316"/>
      <c r="AM69" s="314"/>
      <c r="AN69" s="315"/>
      <c r="AO69" s="316"/>
      <c r="AP69" s="314"/>
      <c r="AQ69" s="315"/>
      <c r="AR69" s="315"/>
      <c r="AS69" s="315"/>
      <c r="AT69" s="316"/>
      <c r="AU69" s="314" t="s">
        <v>148</v>
      </c>
      <c r="AV69" s="315" t="s">
        <v>148</v>
      </c>
      <c r="AW69" s="315" t="s">
        <v>147</v>
      </c>
      <c r="AX69" s="315" t="s">
        <v>150</v>
      </c>
      <c r="AY69" s="315" t="s">
        <v>150</v>
      </c>
      <c r="AZ69" s="315"/>
      <c r="BA69" s="315"/>
      <c r="BB69" s="316" t="s">
        <v>148</v>
      </c>
      <c r="BC69" s="314" t="s">
        <v>149</v>
      </c>
      <c r="BD69" s="315" t="s">
        <v>147</v>
      </c>
      <c r="BE69" s="315"/>
      <c r="BF69" s="315"/>
      <c r="BG69" s="316"/>
      <c r="BH69" s="314"/>
      <c r="BI69" s="315"/>
      <c r="BJ69" s="316"/>
      <c r="BK69" s="314"/>
      <c r="BL69" s="315"/>
      <c r="BM69" s="315"/>
      <c r="BN69" s="316"/>
      <c r="BO69" s="314" t="s">
        <v>147</v>
      </c>
      <c r="BP69" s="315" t="s">
        <v>150</v>
      </c>
      <c r="BQ69" s="315"/>
      <c r="BR69" s="315"/>
      <c r="BS69" s="315" t="s">
        <v>149</v>
      </c>
      <c r="BT69" s="315"/>
      <c r="BU69" s="315" t="s">
        <v>150</v>
      </c>
      <c r="BV69" s="316"/>
      <c r="BW69" s="314" t="s">
        <v>148</v>
      </c>
      <c r="BX69" s="315"/>
      <c r="BY69" s="315"/>
      <c r="BZ69" s="315" t="s">
        <v>150</v>
      </c>
      <c r="CA69" s="315" t="s">
        <v>148</v>
      </c>
      <c r="CB69" s="316" t="s">
        <v>147</v>
      </c>
      <c r="CC69" s="314"/>
      <c r="CD69" s="315" t="s">
        <v>147</v>
      </c>
      <c r="CE69" s="316"/>
      <c r="CF69" s="314"/>
      <c r="CG69" s="315"/>
      <c r="CH69" s="315"/>
      <c r="CI69" s="317"/>
      <c r="CK69" s="236">
        <f t="shared" si="25"/>
        <v>2</v>
      </c>
      <c r="CL69" s="237">
        <f t="shared" si="26"/>
        <v>5</v>
      </c>
      <c r="CM69" s="237">
        <f t="shared" si="27"/>
        <v>5</v>
      </c>
      <c r="CN69" s="237">
        <f t="shared" si="28"/>
        <v>5</v>
      </c>
      <c r="CO69" s="238" t="str">
        <f t="shared" si="29"/>
        <v/>
      </c>
      <c r="CQ69" s="236" t="str">
        <f>desired_skills(C69,"Organisatie / klantomgeving/COO - OPS B&amp;V","o")</f>
        <v/>
      </c>
      <c r="CR69" s="237" t="str">
        <f>desired_skills(C69,"Organisatie / klantomgeving/COO - OPS B&amp;V","j")</f>
        <v/>
      </c>
      <c r="CS69" s="237" t="str">
        <f>desired_skills(C69,"Organisatie / klantomgeving/COO - OPS B&amp;V","m")</f>
        <v/>
      </c>
      <c r="CT69" s="237" t="str">
        <f>desired_skills(C69,"Organisatie / klantomgeving/COO - OPS B&amp;V","s")</f>
        <v/>
      </c>
      <c r="CU69" s="238" t="str">
        <f>desired_skills(C69,"Organisatie / klantomgeving/COO - OPS B&amp;V","e")</f>
        <v/>
      </c>
      <c r="CW69" s="236" t="str">
        <f>calc_gap('Matrix 171007_1812'!$CK$69,'Matrix 171007_1812'!$CQ$69)</f>
        <v/>
      </c>
      <c r="CX69" s="237" t="str">
        <f>calc_gap('Matrix 171007_1812'!$CL$69,'Matrix 171007_1812'!$CR$69)</f>
        <v/>
      </c>
      <c r="CY69" s="237" t="str">
        <f>calc_gap('Matrix 171007_1812'!$CM$69,'Matrix 171007_1812'!$CS$69)</f>
        <v/>
      </c>
      <c r="CZ69" s="237" t="str">
        <f>calc_gap('Matrix 171007_1812'!$CN$69,'Matrix 171007_1812'!$CT$69)</f>
        <v/>
      </c>
      <c r="DA69" s="238" t="str">
        <f>calc_gap('Matrix 171007_1812'!$CO$69,'Matrix 171007_1812'!$CU$69)</f>
        <v/>
      </c>
    </row>
    <row r="70" spans="2:105" x14ac:dyDescent="0.25">
      <c r="B70" s="435"/>
      <c r="C70" s="291" t="s">
        <v>108</v>
      </c>
      <c r="D70" s="314"/>
      <c r="E70" s="315"/>
      <c r="F70" s="315"/>
      <c r="G70" s="315"/>
      <c r="H70" s="315"/>
      <c r="I70" s="315"/>
      <c r="J70" s="315"/>
      <c r="K70" s="316"/>
      <c r="L70" s="314"/>
      <c r="M70" s="315"/>
      <c r="N70" s="315"/>
      <c r="O70" s="316"/>
      <c r="P70" s="314"/>
      <c r="Q70" s="315"/>
      <c r="R70" s="315"/>
      <c r="S70" s="315"/>
      <c r="T70" s="315"/>
      <c r="U70" s="315"/>
      <c r="V70" s="315"/>
      <c r="W70" s="315"/>
      <c r="X70" s="315"/>
      <c r="Y70" s="315"/>
      <c r="Z70" s="315"/>
      <c r="AA70" s="315"/>
      <c r="AB70" s="315"/>
      <c r="AC70" s="315"/>
      <c r="AD70" s="315"/>
      <c r="AE70" s="315"/>
      <c r="AF70" s="315"/>
      <c r="AG70" s="315"/>
      <c r="AH70" s="315"/>
      <c r="AI70" s="316"/>
      <c r="AJ70" s="314"/>
      <c r="AK70" s="315"/>
      <c r="AL70" s="316"/>
      <c r="AM70" s="314"/>
      <c r="AN70" s="315"/>
      <c r="AO70" s="316"/>
      <c r="AP70" s="314"/>
      <c r="AQ70" s="315"/>
      <c r="AR70" s="315"/>
      <c r="AS70" s="315"/>
      <c r="AT70" s="316"/>
      <c r="AU70" s="314" t="s">
        <v>148</v>
      </c>
      <c r="AV70" s="315" t="s">
        <v>148</v>
      </c>
      <c r="AW70" s="315" t="s">
        <v>147</v>
      </c>
      <c r="AX70" s="315" t="s">
        <v>150</v>
      </c>
      <c r="AY70" s="315" t="s">
        <v>150</v>
      </c>
      <c r="AZ70" s="315"/>
      <c r="BA70" s="315"/>
      <c r="BB70" s="316" t="s">
        <v>148</v>
      </c>
      <c r="BC70" s="314" t="s">
        <v>148</v>
      </c>
      <c r="BD70" s="315" t="s">
        <v>147</v>
      </c>
      <c r="BE70" s="315"/>
      <c r="BF70" s="315"/>
      <c r="BG70" s="316"/>
      <c r="BH70" s="314"/>
      <c r="BI70" s="315"/>
      <c r="BJ70" s="316"/>
      <c r="BK70" s="314"/>
      <c r="BL70" s="315"/>
      <c r="BM70" s="315"/>
      <c r="BN70" s="316"/>
      <c r="BO70" s="314" t="s">
        <v>147</v>
      </c>
      <c r="BP70" s="315" t="s">
        <v>150</v>
      </c>
      <c r="BQ70" s="315"/>
      <c r="BR70" s="315"/>
      <c r="BS70" s="315" t="s">
        <v>149</v>
      </c>
      <c r="BT70" s="315"/>
      <c r="BU70" s="315" t="s">
        <v>150</v>
      </c>
      <c r="BV70" s="316"/>
      <c r="BW70" s="314" t="s">
        <v>148</v>
      </c>
      <c r="BX70" s="315"/>
      <c r="BY70" s="315"/>
      <c r="BZ70" s="315" t="s">
        <v>150</v>
      </c>
      <c r="CA70" s="315" t="s">
        <v>150</v>
      </c>
      <c r="CB70" s="316" t="s">
        <v>147</v>
      </c>
      <c r="CC70" s="314"/>
      <c r="CD70" s="315" t="s">
        <v>147</v>
      </c>
      <c r="CE70" s="316"/>
      <c r="CF70" s="314"/>
      <c r="CG70" s="315"/>
      <c r="CH70" s="315"/>
      <c r="CI70" s="317"/>
      <c r="CK70" s="236">
        <f t="shared" si="25"/>
        <v>1</v>
      </c>
      <c r="CL70" s="237">
        <f t="shared" si="26"/>
        <v>5</v>
      </c>
      <c r="CM70" s="237">
        <f t="shared" si="27"/>
        <v>5</v>
      </c>
      <c r="CN70" s="237">
        <f t="shared" si="28"/>
        <v>6</v>
      </c>
      <c r="CO70" s="238" t="str">
        <f t="shared" si="29"/>
        <v/>
      </c>
      <c r="CQ70" s="236" t="str">
        <f>desired_skills(C70,"Organisatie / klantomgeving/COO - OPS FIN","o")</f>
        <v/>
      </c>
      <c r="CR70" s="237" t="str">
        <f>desired_skills(C70,"Organisatie / klantomgeving/COO - OPS FIN","j")</f>
        <v/>
      </c>
      <c r="CS70" s="237" t="str">
        <f>desired_skills(C70,"Organisatie / klantomgeving/COO - OPS FIN","m")</f>
        <v/>
      </c>
      <c r="CT70" s="237" t="str">
        <f>desired_skills(C70,"Organisatie / klantomgeving/COO - OPS FIN","s")</f>
        <v/>
      </c>
      <c r="CU70" s="238" t="str">
        <f>desired_skills(C70,"Organisatie / klantomgeving/COO - OPS FIN","e")</f>
        <v/>
      </c>
      <c r="CW70" s="236" t="str">
        <f>calc_gap('Matrix 171007_1812'!$CK$70,'Matrix 171007_1812'!$CQ$70)</f>
        <v/>
      </c>
      <c r="CX70" s="237" t="str">
        <f>calc_gap('Matrix 171007_1812'!$CL$70,'Matrix 171007_1812'!$CR$70)</f>
        <v/>
      </c>
      <c r="CY70" s="237" t="str">
        <f>calc_gap('Matrix 171007_1812'!$CM$70,'Matrix 171007_1812'!$CS$70)</f>
        <v/>
      </c>
      <c r="CZ70" s="237" t="str">
        <f>calc_gap('Matrix 171007_1812'!$CN$70,'Matrix 171007_1812'!$CT$70)</f>
        <v/>
      </c>
      <c r="DA70" s="238" t="str">
        <f>calc_gap('Matrix 171007_1812'!$CO$70,'Matrix 171007_1812'!$CU$70)</f>
        <v/>
      </c>
    </row>
    <row r="71" spans="2:105" x14ac:dyDescent="0.25">
      <c r="B71" s="435"/>
      <c r="C71" s="291" t="s">
        <v>109</v>
      </c>
      <c r="D71" s="314"/>
      <c r="E71" s="315"/>
      <c r="F71" s="315"/>
      <c r="G71" s="315"/>
      <c r="H71" s="315"/>
      <c r="I71" s="315"/>
      <c r="J71" s="315"/>
      <c r="K71" s="316"/>
      <c r="L71" s="314"/>
      <c r="M71" s="315"/>
      <c r="N71" s="315"/>
      <c r="O71" s="316"/>
      <c r="P71" s="314"/>
      <c r="Q71" s="315"/>
      <c r="R71" s="315"/>
      <c r="S71" s="315"/>
      <c r="T71" s="315"/>
      <c r="U71" s="315"/>
      <c r="V71" s="315"/>
      <c r="W71" s="315"/>
      <c r="X71" s="315"/>
      <c r="Y71" s="315"/>
      <c r="Z71" s="315"/>
      <c r="AA71" s="315"/>
      <c r="AB71" s="315"/>
      <c r="AC71" s="315"/>
      <c r="AD71" s="315"/>
      <c r="AE71" s="315"/>
      <c r="AF71" s="315"/>
      <c r="AG71" s="315"/>
      <c r="AH71" s="315"/>
      <c r="AI71" s="316"/>
      <c r="AJ71" s="314"/>
      <c r="AK71" s="315"/>
      <c r="AL71" s="316"/>
      <c r="AM71" s="314"/>
      <c r="AN71" s="315"/>
      <c r="AO71" s="316"/>
      <c r="AP71" s="314"/>
      <c r="AQ71" s="315"/>
      <c r="AR71" s="315"/>
      <c r="AS71" s="315"/>
      <c r="AT71" s="316"/>
      <c r="AU71" s="314" t="s">
        <v>147</v>
      </c>
      <c r="AV71" s="315" t="s">
        <v>148</v>
      </c>
      <c r="AW71" s="315" t="s">
        <v>147</v>
      </c>
      <c r="AX71" s="315" t="s">
        <v>150</v>
      </c>
      <c r="AY71" s="315" t="s">
        <v>150</v>
      </c>
      <c r="AZ71" s="315"/>
      <c r="BA71" s="315"/>
      <c r="BB71" s="316" t="s">
        <v>148</v>
      </c>
      <c r="BC71" s="314" t="s">
        <v>149</v>
      </c>
      <c r="BD71" s="315" t="s">
        <v>147</v>
      </c>
      <c r="BE71" s="315"/>
      <c r="BF71" s="315"/>
      <c r="BG71" s="316"/>
      <c r="BH71" s="314"/>
      <c r="BI71" s="315"/>
      <c r="BJ71" s="316"/>
      <c r="BK71" s="314"/>
      <c r="BL71" s="315"/>
      <c r="BM71" s="315"/>
      <c r="BN71" s="316"/>
      <c r="BO71" s="314" t="s">
        <v>147</v>
      </c>
      <c r="BP71" s="315" t="s">
        <v>150</v>
      </c>
      <c r="BQ71" s="315"/>
      <c r="BR71" s="315"/>
      <c r="BS71" s="315" t="s">
        <v>149</v>
      </c>
      <c r="BT71" s="315"/>
      <c r="BU71" s="315" t="s">
        <v>150</v>
      </c>
      <c r="BV71" s="316"/>
      <c r="BW71" s="314" t="s">
        <v>148</v>
      </c>
      <c r="BX71" s="315"/>
      <c r="BY71" s="315"/>
      <c r="BZ71" s="315" t="s">
        <v>150</v>
      </c>
      <c r="CA71" s="315" t="s">
        <v>148</v>
      </c>
      <c r="CB71" s="316" t="s">
        <v>147</v>
      </c>
      <c r="CC71" s="314"/>
      <c r="CD71" s="315" t="s">
        <v>147</v>
      </c>
      <c r="CE71" s="316"/>
      <c r="CF71" s="314"/>
      <c r="CG71" s="315"/>
      <c r="CH71" s="315"/>
      <c r="CI71" s="317"/>
      <c r="CK71" s="236">
        <f t="shared" si="25"/>
        <v>2</v>
      </c>
      <c r="CL71" s="237">
        <f t="shared" si="26"/>
        <v>6</v>
      </c>
      <c r="CM71" s="237">
        <f t="shared" si="27"/>
        <v>4</v>
      </c>
      <c r="CN71" s="237">
        <f t="shared" si="28"/>
        <v>5</v>
      </c>
      <c r="CO71" s="238" t="str">
        <f t="shared" si="29"/>
        <v/>
      </c>
      <c r="CQ71" s="236" t="str">
        <f>desired_skills(C71,"Organisatie / klantomgeving/COO - OPS Beleggen","o")</f>
        <v/>
      </c>
      <c r="CR71" s="237" t="str">
        <f>desired_skills(C71,"Organisatie / klantomgeving/COO - OPS Beleggen","j")</f>
        <v/>
      </c>
      <c r="CS71" s="237" t="str">
        <f>desired_skills(C71,"Organisatie / klantomgeving/COO - OPS Beleggen","m")</f>
        <v/>
      </c>
      <c r="CT71" s="237" t="str">
        <f>desired_skills(C71,"Organisatie / klantomgeving/COO - OPS Beleggen","s")</f>
        <v/>
      </c>
      <c r="CU71" s="238" t="str">
        <f>desired_skills(C71,"Organisatie / klantomgeving/COO - OPS Beleggen","e")</f>
        <v/>
      </c>
      <c r="CW71" s="236" t="str">
        <f>calc_gap('Matrix 171007_1812'!$CK$71,'Matrix 171007_1812'!$CQ$71)</f>
        <v/>
      </c>
      <c r="CX71" s="237" t="str">
        <f>calc_gap('Matrix 171007_1812'!$CL$71,'Matrix 171007_1812'!$CR$71)</f>
        <v/>
      </c>
      <c r="CY71" s="237" t="str">
        <f>calc_gap('Matrix 171007_1812'!$CM$71,'Matrix 171007_1812'!$CS$71)</f>
        <v/>
      </c>
      <c r="CZ71" s="237" t="str">
        <f>calc_gap('Matrix 171007_1812'!$CN$71,'Matrix 171007_1812'!$CT$71)</f>
        <v/>
      </c>
      <c r="DA71" s="238" t="str">
        <f>calc_gap('Matrix 171007_1812'!$CO$71,'Matrix 171007_1812'!$CU$71)</f>
        <v/>
      </c>
    </row>
    <row r="72" spans="2:105" x14ac:dyDescent="0.25">
      <c r="B72" s="435"/>
      <c r="C72" s="291" t="s">
        <v>110</v>
      </c>
      <c r="D72" s="314"/>
      <c r="E72" s="315"/>
      <c r="F72" s="315"/>
      <c r="G72" s="315"/>
      <c r="H72" s="315"/>
      <c r="I72" s="315"/>
      <c r="J72" s="315"/>
      <c r="K72" s="316"/>
      <c r="L72" s="314"/>
      <c r="M72" s="315"/>
      <c r="N72" s="315"/>
      <c r="O72" s="316"/>
      <c r="P72" s="314"/>
      <c r="Q72" s="315"/>
      <c r="R72" s="315"/>
      <c r="S72" s="315"/>
      <c r="T72" s="315"/>
      <c r="U72" s="315"/>
      <c r="V72" s="315"/>
      <c r="W72" s="315"/>
      <c r="X72" s="315"/>
      <c r="Y72" s="315"/>
      <c r="Z72" s="315"/>
      <c r="AA72" s="315"/>
      <c r="AB72" s="315"/>
      <c r="AC72" s="315"/>
      <c r="AD72" s="315"/>
      <c r="AE72" s="315"/>
      <c r="AF72" s="315"/>
      <c r="AG72" s="315"/>
      <c r="AH72" s="315"/>
      <c r="AI72" s="316"/>
      <c r="AJ72" s="314"/>
      <c r="AK72" s="315"/>
      <c r="AL72" s="316"/>
      <c r="AM72" s="314"/>
      <c r="AN72" s="315"/>
      <c r="AO72" s="316"/>
      <c r="AP72" s="314"/>
      <c r="AQ72" s="315"/>
      <c r="AR72" s="315"/>
      <c r="AS72" s="315"/>
      <c r="AT72" s="316"/>
      <c r="AU72" s="314" t="s">
        <v>147</v>
      </c>
      <c r="AV72" s="315" t="s">
        <v>148</v>
      </c>
      <c r="AW72" s="315" t="s">
        <v>147</v>
      </c>
      <c r="AX72" s="315" t="s">
        <v>150</v>
      </c>
      <c r="AY72" s="315" t="s">
        <v>148</v>
      </c>
      <c r="AZ72" s="315"/>
      <c r="BA72" s="315"/>
      <c r="BB72" s="316" t="s">
        <v>148</v>
      </c>
      <c r="BC72" s="314" t="s">
        <v>149</v>
      </c>
      <c r="BD72" s="315" t="s">
        <v>147</v>
      </c>
      <c r="BE72" s="315"/>
      <c r="BF72" s="315"/>
      <c r="BG72" s="316"/>
      <c r="BH72" s="314"/>
      <c r="BI72" s="315"/>
      <c r="BJ72" s="316"/>
      <c r="BK72" s="314"/>
      <c r="BL72" s="315"/>
      <c r="BM72" s="315"/>
      <c r="BN72" s="316"/>
      <c r="BO72" s="314" t="s">
        <v>147</v>
      </c>
      <c r="BP72" s="315" t="s">
        <v>150</v>
      </c>
      <c r="BQ72" s="315"/>
      <c r="BR72" s="315"/>
      <c r="BS72" s="315" t="s">
        <v>149</v>
      </c>
      <c r="BT72" s="315"/>
      <c r="BU72" s="315" t="s">
        <v>150</v>
      </c>
      <c r="BV72" s="316"/>
      <c r="BW72" s="314" t="s">
        <v>148</v>
      </c>
      <c r="BX72" s="315"/>
      <c r="BY72" s="315"/>
      <c r="BZ72" s="315" t="s">
        <v>150</v>
      </c>
      <c r="CA72" s="315" t="s">
        <v>147</v>
      </c>
      <c r="CB72" s="316"/>
      <c r="CC72" s="314"/>
      <c r="CD72" s="315" t="s">
        <v>147</v>
      </c>
      <c r="CE72" s="316"/>
      <c r="CF72" s="314"/>
      <c r="CG72" s="315"/>
      <c r="CH72" s="315"/>
      <c r="CI72" s="317"/>
      <c r="CK72" s="236">
        <f t="shared" si="25"/>
        <v>2</v>
      </c>
      <c r="CL72" s="237">
        <f t="shared" si="26"/>
        <v>6</v>
      </c>
      <c r="CM72" s="237">
        <f t="shared" si="27"/>
        <v>4</v>
      </c>
      <c r="CN72" s="237">
        <f t="shared" si="28"/>
        <v>4</v>
      </c>
      <c r="CO72" s="238" t="str">
        <f t="shared" si="29"/>
        <v/>
      </c>
      <c r="CQ72" s="236" t="str">
        <f>desired_skills(C72,"Organisatie / klantomgeving/COO - OPS overig","o")</f>
        <v/>
      </c>
      <c r="CR72" s="237" t="str">
        <f>desired_skills(C72,"Organisatie / klantomgeving/COO - OPS overig","j")</f>
        <v/>
      </c>
      <c r="CS72" s="237" t="str">
        <f>desired_skills(C72,"Organisatie / klantomgeving/COO - OPS overig","m")</f>
        <v/>
      </c>
      <c r="CT72" s="237" t="str">
        <f>desired_skills(C72,"Organisatie / klantomgeving/COO - OPS overig","s")</f>
        <v/>
      </c>
      <c r="CU72" s="238" t="str">
        <f>desired_skills(C72,"Organisatie / klantomgeving/COO - OPS overig","e")</f>
        <v/>
      </c>
      <c r="CW72" s="236" t="str">
        <f>calc_gap('Matrix 171007_1812'!$CK$72,'Matrix 171007_1812'!$CQ$72)</f>
        <v/>
      </c>
      <c r="CX72" s="237" t="str">
        <f>calc_gap('Matrix 171007_1812'!$CL$72,'Matrix 171007_1812'!$CR$72)</f>
        <v/>
      </c>
      <c r="CY72" s="237" t="str">
        <f>calc_gap('Matrix 171007_1812'!$CM$72,'Matrix 171007_1812'!$CS$72)</f>
        <v/>
      </c>
      <c r="CZ72" s="237" t="str">
        <f>calc_gap('Matrix 171007_1812'!$CN$72,'Matrix 171007_1812'!$CT$72)</f>
        <v/>
      </c>
      <c r="DA72" s="238" t="str">
        <f>calc_gap('Matrix 171007_1812'!$CO$72,'Matrix 171007_1812'!$CU$72)</f>
        <v/>
      </c>
    </row>
    <row r="73" spans="2:105" x14ac:dyDescent="0.25">
      <c r="B73" s="435"/>
      <c r="C73" s="291" t="s">
        <v>111</v>
      </c>
      <c r="D73" s="314"/>
      <c r="E73" s="315"/>
      <c r="F73" s="315"/>
      <c r="G73" s="315"/>
      <c r="H73" s="315"/>
      <c r="I73" s="315"/>
      <c r="J73" s="315"/>
      <c r="K73" s="316"/>
      <c r="L73" s="314"/>
      <c r="M73" s="315"/>
      <c r="N73" s="315"/>
      <c r="O73" s="316"/>
      <c r="P73" s="314"/>
      <c r="Q73" s="315"/>
      <c r="R73" s="315"/>
      <c r="S73" s="315"/>
      <c r="T73" s="315"/>
      <c r="U73" s="315"/>
      <c r="V73" s="315"/>
      <c r="W73" s="315"/>
      <c r="X73" s="315"/>
      <c r="Y73" s="315"/>
      <c r="Z73" s="315"/>
      <c r="AA73" s="315"/>
      <c r="AB73" s="315"/>
      <c r="AC73" s="315"/>
      <c r="AD73" s="315"/>
      <c r="AE73" s="315"/>
      <c r="AF73" s="315"/>
      <c r="AG73" s="315"/>
      <c r="AH73" s="315"/>
      <c r="AI73" s="316"/>
      <c r="AJ73" s="314"/>
      <c r="AK73" s="315"/>
      <c r="AL73" s="316"/>
      <c r="AM73" s="314"/>
      <c r="AN73" s="315"/>
      <c r="AO73" s="316"/>
      <c r="AP73" s="314"/>
      <c r="AQ73" s="315"/>
      <c r="AR73" s="315"/>
      <c r="AS73" s="315"/>
      <c r="AT73" s="316"/>
      <c r="AU73" s="314" t="s">
        <v>148</v>
      </c>
      <c r="AV73" s="315" t="s">
        <v>147</v>
      </c>
      <c r="AW73" s="315" t="s">
        <v>147</v>
      </c>
      <c r="AX73" s="315" t="s">
        <v>150</v>
      </c>
      <c r="AY73" s="315" t="s">
        <v>148</v>
      </c>
      <c r="AZ73" s="315"/>
      <c r="BA73" s="315"/>
      <c r="BB73" s="316" t="s">
        <v>148</v>
      </c>
      <c r="BC73" s="314" t="s">
        <v>149</v>
      </c>
      <c r="BD73" s="315" t="s">
        <v>147</v>
      </c>
      <c r="BE73" s="315"/>
      <c r="BF73" s="315"/>
      <c r="BG73" s="316"/>
      <c r="BH73" s="314"/>
      <c r="BI73" s="315"/>
      <c r="BJ73" s="316"/>
      <c r="BK73" s="314"/>
      <c r="BL73" s="315"/>
      <c r="BM73" s="315"/>
      <c r="BN73" s="316"/>
      <c r="BO73" s="314" t="s">
        <v>148</v>
      </c>
      <c r="BP73" s="315" t="s">
        <v>148</v>
      </c>
      <c r="BQ73" s="315"/>
      <c r="BR73" s="315"/>
      <c r="BS73" s="315" t="s">
        <v>149</v>
      </c>
      <c r="BT73" s="315"/>
      <c r="BU73" s="315" t="s">
        <v>150</v>
      </c>
      <c r="BV73" s="316"/>
      <c r="BW73" s="314" t="s">
        <v>148</v>
      </c>
      <c r="BX73" s="315"/>
      <c r="BY73" s="315"/>
      <c r="BZ73" s="315" t="s">
        <v>150</v>
      </c>
      <c r="CA73" s="315" t="s">
        <v>147</v>
      </c>
      <c r="CB73" s="316"/>
      <c r="CC73" s="314"/>
      <c r="CD73" s="315" t="s">
        <v>147</v>
      </c>
      <c r="CE73" s="316"/>
      <c r="CF73" s="314"/>
      <c r="CG73" s="315"/>
      <c r="CH73" s="315"/>
      <c r="CI73" s="317"/>
      <c r="CK73" s="236">
        <f t="shared" si="25"/>
        <v>2</v>
      </c>
      <c r="CL73" s="237">
        <f t="shared" si="26"/>
        <v>5</v>
      </c>
      <c r="CM73" s="237">
        <f t="shared" si="27"/>
        <v>6</v>
      </c>
      <c r="CN73" s="237">
        <f t="shared" si="28"/>
        <v>3</v>
      </c>
      <c r="CO73" s="238" t="str">
        <f t="shared" si="29"/>
        <v/>
      </c>
      <c r="CQ73" s="236" t="str">
        <f>desired_skills(C73,"Organisatie / klantomgeving/COO - ITS","o")</f>
        <v/>
      </c>
      <c r="CR73" s="237" t="str">
        <f>desired_skills(C73,"Organisatie / klantomgeving/COO - ITS","j")</f>
        <v/>
      </c>
      <c r="CS73" s="237" t="str">
        <f>desired_skills(C73,"Organisatie / klantomgeving/COO - ITS","m")</f>
        <v/>
      </c>
      <c r="CT73" s="237" t="str">
        <f>desired_skills(C73,"Organisatie / klantomgeving/COO - ITS","s")</f>
        <v/>
      </c>
      <c r="CU73" s="238" t="str">
        <f>desired_skills(C73,"Organisatie / klantomgeving/COO - ITS","e")</f>
        <v/>
      </c>
      <c r="CW73" s="236" t="str">
        <f>calc_gap('Matrix 171007_1812'!$CK$73,'Matrix 171007_1812'!$CQ$73)</f>
        <v/>
      </c>
      <c r="CX73" s="237" t="str">
        <f>calc_gap('Matrix 171007_1812'!$CL$73,'Matrix 171007_1812'!$CR$73)</f>
        <v/>
      </c>
      <c r="CY73" s="237" t="str">
        <f>calc_gap('Matrix 171007_1812'!$CM$73,'Matrix 171007_1812'!$CS$73)</f>
        <v/>
      </c>
      <c r="CZ73" s="237" t="str">
        <f>calc_gap('Matrix 171007_1812'!$CN$73,'Matrix 171007_1812'!$CT$73)</f>
        <v/>
      </c>
      <c r="DA73" s="238" t="str">
        <f>calc_gap('Matrix 171007_1812'!$CO$73,'Matrix 171007_1812'!$CU$73)</f>
        <v/>
      </c>
    </row>
    <row r="74" spans="2:105" x14ac:dyDescent="0.25">
      <c r="B74" s="435"/>
      <c r="C74" s="291" t="s">
        <v>112</v>
      </c>
      <c r="D74" s="314"/>
      <c r="E74" s="315"/>
      <c r="F74" s="315"/>
      <c r="G74" s="315"/>
      <c r="H74" s="315"/>
      <c r="I74" s="315"/>
      <c r="J74" s="315"/>
      <c r="K74" s="316"/>
      <c r="L74" s="314"/>
      <c r="M74" s="315"/>
      <c r="N74" s="315"/>
      <c r="O74" s="316"/>
      <c r="P74" s="314"/>
      <c r="Q74" s="315"/>
      <c r="R74" s="315"/>
      <c r="S74" s="315"/>
      <c r="T74" s="315"/>
      <c r="U74" s="315"/>
      <c r="V74" s="315"/>
      <c r="W74" s="315"/>
      <c r="X74" s="315"/>
      <c r="Y74" s="315"/>
      <c r="Z74" s="315"/>
      <c r="AA74" s="315"/>
      <c r="AB74" s="315"/>
      <c r="AC74" s="315"/>
      <c r="AD74" s="315"/>
      <c r="AE74" s="315"/>
      <c r="AF74" s="315"/>
      <c r="AG74" s="315"/>
      <c r="AH74" s="315"/>
      <c r="AI74" s="316"/>
      <c r="AJ74" s="314"/>
      <c r="AK74" s="315"/>
      <c r="AL74" s="316"/>
      <c r="AM74" s="314"/>
      <c r="AN74" s="315"/>
      <c r="AO74" s="316"/>
      <c r="AP74" s="314"/>
      <c r="AQ74" s="315"/>
      <c r="AR74" s="315"/>
      <c r="AS74" s="315"/>
      <c r="AT74" s="316"/>
      <c r="AU74" s="314" t="s">
        <v>147</v>
      </c>
      <c r="AV74" s="315" t="s">
        <v>147</v>
      </c>
      <c r="AW74" s="315" t="s">
        <v>147</v>
      </c>
      <c r="AX74" s="315" t="s">
        <v>150</v>
      </c>
      <c r="AY74" s="315" t="s">
        <v>148</v>
      </c>
      <c r="AZ74" s="315"/>
      <c r="BA74" s="315"/>
      <c r="BB74" s="316" t="s">
        <v>147</v>
      </c>
      <c r="BC74" s="314" t="s">
        <v>149</v>
      </c>
      <c r="BD74" s="315" t="s">
        <v>148</v>
      </c>
      <c r="BE74" s="315"/>
      <c r="BF74" s="315"/>
      <c r="BG74" s="316"/>
      <c r="BH74" s="314"/>
      <c r="BI74" s="315"/>
      <c r="BJ74" s="316"/>
      <c r="BK74" s="314"/>
      <c r="BL74" s="315"/>
      <c r="BM74" s="315"/>
      <c r="BN74" s="316"/>
      <c r="BO74" s="314" t="s">
        <v>148</v>
      </c>
      <c r="BP74" s="315" t="s">
        <v>148</v>
      </c>
      <c r="BQ74" s="315"/>
      <c r="BR74" s="315"/>
      <c r="BS74" s="315" t="s">
        <v>149</v>
      </c>
      <c r="BT74" s="315"/>
      <c r="BU74" s="315" t="s">
        <v>150</v>
      </c>
      <c r="BV74" s="316"/>
      <c r="BW74" s="314" t="s">
        <v>148</v>
      </c>
      <c r="BX74" s="315"/>
      <c r="BY74" s="315"/>
      <c r="BZ74" s="315" t="s">
        <v>148</v>
      </c>
      <c r="CA74" s="315" t="s">
        <v>147</v>
      </c>
      <c r="CB74" s="316"/>
      <c r="CC74" s="314"/>
      <c r="CD74" s="315" t="s">
        <v>147</v>
      </c>
      <c r="CE74" s="316"/>
      <c r="CF74" s="314"/>
      <c r="CG74" s="315"/>
      <c r="CH74" s="315"/>
      <c r="CI74" s="317"/>
      <c r="CK74" s="236">
        <f t="shared" si="25"/>
        <v>2</v>
      </c>
      <c r="CL74" s="237">
        <f t="shared" si="26"/>
        <v>6</v>
      </c>
      <c r="CM74" s="237">
        <f t="shared" si="27"/>
        <v>6</v>
      </c>
      <c r="CN74" s="237">
        <f t="shared" si="28"/>
        <v>2</v>
      </c>
      <c r="CO74" s="238" t="str">
        <f t="shared" si="29"/>
        <v/>
      </c>
      <c r="CQ74" s="236" t="str">
        <f>desired_skills(C74,"Organisatie / klantomgeving/COO - Infra","o")</f>
        <v/>
      </c>
      <c r="CR74" s="237" t="str">
        <f>desired_skills(C74,"Organisatie / klantomgeving/COO - Infra","j")</f>
        <v/>
      </c>
      <c r="CS74" s="237" t="str">
        <f>desired_skills(C74,"Organisatie / klantomgeving/COO - Infra","m")</f>
        <v/>
      </c>
      <c r="CT74" s="237" t="str">
        <f>desired_skills(C74,"Organisatie / klantomgeving/COO - Infra","s")</f>
        <v/>
      </c>
      <c r="CU74" s="238" t="str">
        <f>desired_skills(C74,"Organisatie / klantomgeving/COO - Infra","e")</f>
        <v/>
      </c>
      <c r="CW74" s="236" t="str">
        <f>calc_gap('Matrix 171007_1812'!$CK$74,'Matrix 171007_1812'!$CQ$74)</f>
        <v/>
      </c>
      <c r="CX74" s="237" t="str">
        <f>calc_gap('Matrix 171007_1812'!$CL$74,'Matrix 171007_1812'!$CR$74)</f>
        <v/>
      </c>
      <c r="CY74" s="237" t="str">
        <f>calc_gap('Matrix 171007_1812'!$CM$74,'Matrix 171007_1812'!$CS$74)</f>
        <v/>
      </c>
      <c r="CZ74" s="237" t="str">
        <f>calc_gap('Matrix 171007_1812'!$CN$74,'Matrix 171007_1812'!$CT$74)</f>
        <v/>
      </c>
      <c r="DA74" s="238" t="str">
        <f>calc_gap('Matrix 171007_1812'!$CO$74,'Matrix 171007_1812'!$CU$74)</f>
        <v/>
      </c>
    </row>
    <row r="75" spans="2:105" x14ac:dyDescent="0.25">
      <c r="B75" s="435"/>
      <c r="C75" s="291" t="s">
        <v>113</v>
      </c>
      <c r="D75" s="314"/>
      <c r="E75" s="315"/>
      <c r="F75" s="315"/>
      <c r="G75" s="315"/>
      <c r="H75" s="315"/>
      <c r="I75" s="315"/>
      <c r="J75" s="315"/>
      <c r="K75" s="316"/>
      <c r="L75" s="314"/>
      <c r="M75" s="315"/>
      <c r="N75" s="315"/>
      <c r="O75" s="316"/>
      <c r="P75" s="314"/>
      <c r="Q75" s="315"/>
      <c r="R75" s="315"/>
      <c r="S75" s="315"/>
      <c r="T75" s="315"/>
      <c r="U75" s="315"/>
      <c r="V75" s="315"/>
      <c r="W75" s="315"/>
      <c r="X75" s="315"/>
      <c r="Y75" s="315"/>
      <c r="Z75" s="315"/>
      <c r="AA75" s="315"/>
      <c r="AB75" s="315"/>
      <c r="AC75" s="315"/>
      <c r="AD75" s="315"/>
      <c r="AE75" s="315"/>
      <c r="AF75" s="315"/>
      <c r="AG75" s="315"/>
      <c r="AH75" s="315"/>
      <c r="AI75" s="316"/>
      <c r="AJ75" s="314"/>
      <c r="AK75" s="315"/>
      <c r="AL75" s="316"/>
      <c r="AM75" s="314"/>
      <c r="AN75" s="315"/>
      <c r="AO75" s="316"/>
      <c r="AP75" s="314"/>
      <c r="AQ75" s="315"/>
      <c r="AR75" s="315"/>
      <c r="AS75" s="315"/>
      <c r="AT75" s="316"/>
      <c r="AU75" s="314" t="s">
        <v>148</v>
      </c>
      <c r="AV75" s="315" t="s">
        <v>150</v>
      </c>
      <c r="AW75" s="315" t="s">
        <v>147</v>
      </c>
      <c r="AX75" s="315" t="s">
        <v>150</v>
      </c>
      <c r="AY75" s="315" t="s">
        <v>150</v>
      </c>
      <c r="AZ75" s="315"/>
      <c r="BA75" s="315"/>
      <c r="BB75" s="316" t="s">
        <v>148</v>
      </c>
      <c r="BC75" s="314" t="s">
        <v>149</v>
      </c>
      <c r="BD75" s="315" t="s">
        <v>148</v>
      </c>
      <c r="BE75" s="315"/>
      <c r="BF75" s="315"/>
      <c r="BG75" s="316"/>
      <c r="BH75" s="314"/>
      <c r="BI75" s="315"/>
      <c r="BJ75" s="316"/>
      <c r="BK75" s="314"/>
      <c r="BL75" s="315"/>
      <c r="BM75" s="315"/>
      <c r="BN75" s="316"/>
      <c r="BO75" s="314" t="s">
        <v>148</v>
      </c>
      <c r="BP75" s="315" t="s">
        <v>148</v>
      </c>
      <c r="BQ75" s="315"/>
      <c r="BR75" s="315"/>
      <c r="BS75" s="315" t="s">
        <v>149</v>
      </c>
      <c r="BT75" s="315"/>
      <c r="BU75" s="315" t="s">
        <v>150</v>
      </c>
      <c r="BV75" s="316"/>
      <c r="BW75" s="314" t="s">
        <v>148</v>
      </c>
      <c r="BX75" s="315"/>
      <c r="BY75" s="315"/>
      <c r="BZ75" s="315" t="s">
        <v>148</v>
      </c>
      <c r="CA75" s="315" t="s">
        <v>147</v>
      </c>
      <c r="CB75" s="316"/>
      <c r="CC75" s="314"/>
      <c r="CD75" s="315" t="s">
        <v>147</v>
      </c>
      <c r="CE75" s="316"/>
      <c r="CF75" s="314"/>
      <c r="CG75" s="315"/>
      <c r="CH75" s="315"/>
      <c r="CI75" s="317"/>
      <c r="CK75" s="236">
        <f t="shared" si="25"/>
        <v>2</v>
      </c>
      <c r="CL75" s="237">
        <f t="shared" si="26"/>
        <v>3</v>
      </c>
      <c r="CM75" s="237">
        <f t="shared" si="27"/>
        <v>7</v>
      </c>
      <c r="CN75" s="237">
        <f t="shared" si="28"/>
        <v>4</v>
      </c>
      <c r="CO75" s="238" t="str">
        <f t="shared" si="29"/>
        <v/>
      </c>
      <c r="CQ75" s="236" t="str">
        <f>desired_skills(C75,"Organisatie / klantomgeving/COO - RRS","o")</f>
        <v/>
      </c>
      <c r="CR75" s="237" t="str">
        <f>desired_skills(C75,"Organisatie / klantomgeving/COO - RRS","j")</f>
        <v/>
      </c>
      <c r="CS75" s="237" t="str">
        <f>desired_skills(C75,"Organisatie / klantomgeving/COO - RRS","m")</f>
        <v/>
      </c>
      <c r="CT75" s="237" t="str">
        <f>desired_skills(C75,"Organisatie / klantomgeving/COO - RRS","s")</f>
        <v/>
      </c>
      <c r="CU75" s="238" t="str">
        <f>desired_skills(C75,"Organisatie / klantomgeving/COO - RRS","e")</f>
        <v/>
      </c>
      <c r="CW75" s="236" t="str">
        <f>calc_gap('Matrix 171007_1812'!$CK$75,'Matrix 171007_1812'!$CQ$75)</f>
        <v/>
      </c>
      <c r="CX75" s="237" t="str">
        <f>calc_gap('Matrix 171007_1812'!$CL$75,'Matrix 171007_1812'!$CR$75)</f>
        <v/>
      </c>
      <c r="CY75" s="237" t="str">
        <f>calc_gap('Matrix 171007_1812'!$CM$75,'Matrix 171007_1812'!$CS$75)</f>
        <v/>
      </c>
      <c r="CZ75" s="237" t="str">
        <f>calc_gap('Matrix 171007_1812'!$CN$75,'Matrix 171007_1812'!$CT$75)</f>
        <v/>
      </c>
      <c r="DA75" s="238" t="str">
        <f>calc_gap('Matrix 171007_1812'!$CO$75,'Matrix 171007_1812'!$CU$75)</f>
        <v/>
      </c>
    </row>
    <row r="76" spans="2:105" x14ac:dyDescent="0.25">
      <c r="B76" s="435"/>
      <c r="C76" s="291" t="s">
        <v>114</v>
      </c>
      <c r="D76" s="314"/>
      <c r="E76" s="315"/>
      <c r="F76" s="315"/>
      <c r="G76" s="315"/>
      <c r="H76" s="315"/>
      <c r="I76" s="315"/>
      <c r="J76" s="315"/>
      <c r="K76" s="316"/>
      <c r="L76" s="314"/>
      <c r="M76" s="315"/>
      <c r="N76" s="315"/>
      <c r="O76" s="316"/>
      <c r="P76" s="314"/>
      <c r="Q76" s="315"/>
      <c r="R76" s="315"/>
      <c r="S76" s="315"/>
      <c r="T76" s="315"/>
      <c r="U76" s="315"/>
      <c r="V76" s="315"/>
      <c r="W76" s="315"/>
      <c r="X76" s="315"/>
      <c r="Y76" s="315"/>
      <c r="Z76" s="315"/>
      <c r="AA76" s="315"/>
      <c r="AB76" s="315"/>
      <c r="AC76" s="315"/>
      <c r="AD76" s="315"/>
      <c r="AE76" s="315"/>
      <c r="AF76" s="315"/>
      <c r="AG76" s="315"/>
      <c r="AH76" s="315"/>
      <c r="AI76" s="316"/>
      <c r="AJ76" s="314"/>
      <c r="AK76" s="315"/>
      <c r="AL76" s="316"/>
      <c r="AM76" s="314"/>
      <c r="AN76" s="315"/>
      <c r="AO76" s="316"/>
      <c r="AP76" s="314"/>
      <c r="AQ76" s="315"/>
      <c r="AR76" s="315"/>
      <c r="AS76" s="315"/>
      <c r="AT76" s="316"/>
      <c r="AU76" s="314" t="s">
        <v>148</v>
      </c>
      <c r="AV76" s="315" t="s">
        <v>150</v>
      </c>
      <c r="AW76" s="315" t="s">
        <v>150</v>
      </c>
      <c r="AX76" s="315" t="s">
        <v>150</v>
      </c>
      <c r="AY76" s="315" t="s">
        <v>150</v>
      </c>
      <c r="AZ76" s="315" t="s">
        <v>148</v>
      </c>
      <c r="BA76" s="315"/>
      <c r="BB76" s="316" t="s">
        <v>150</v>
      </c>
      <c r="BC76" s="314" t="s">
        <v>148</v>
      </c>
      <c r="BD76" s="315" t="s">
        <v>150</v>
      </c>
      <c r="BE76" s="315"/>
      <c r="BF76" s="315"/>
      <c r="BG76" s="316"/>
      <c r="BH76" s="314"/>
      <c r="BI76" s="315"/>
      <c r="BJ76" s="316"/>
      <c r="BK76" s="314"/>
      <c r="BL76" s="315"/>
      <c r="BM76" s="315"/>
      <c r="BN76" s="316"/>
      <c r="BO76" s="314" t="s">
        <v>148</v>
      </c>
      <c r="BP76" s="315" t="s">
        <v>148</v>
      </c>
      <c r="BQ76" s="315"/>
      <c r="BR76" s="315"/>
      <c r="BS76" s="315" t="s">
        <v>149</v>
      </c>
      <c r="BT76" s="315"/>
      <c r="BU76" s="315" t="s">
        <v>150</v>
      </c>
      <c r="BV76" s="316"/>
      <c r="BW76" s="314" t="s">
        <v>150</v>
      </c>
      <c r="BX76" s="315"/>
      <c r="BY76" s="315"/>
      <c r="BZ76" s="315" t="s">
        <v>150</v>
      </c>
      <c r="CA76" s="315" t="s">
        <v>147</v>
      </c>
      <c r="CB76" s="316" t="s">
        <v>147</v>
      </c>
      <c r="CC76" s="314"/>
      <c r="CD76" s="315" t="s">
        <v>147</v>
      </c>
      <c r="CE76" s="316"/>
      <c r="CF76" s="314"/>
      <c r="CG76" s="315"/>
      <c r="CH76" s="315"/>
      <c r="CI76" s="317"/>
      <c r="CK76" s="236">
        <f t="shared" si="25"/>
        <v>1</v>
      </c>
      <c r="CL76" s="237">
        <f t="shared" si="26"/>
        <v>3</v>
      </c>
      <c r="CM76" s="237">
        <f t="shared" si="27"/>
        <v>5</v>
      </c>
      <c r="CN76" s="237">
        <f t="shared" si="28"/>
        <v>9</v>
      </c>
      <c r="CO76" s="238" t="str">
        <f t="shared" si="29"/>
        <v/>
      </c>
      <c r="CQ76" s="236" t="str">
        <f>desired_skills(C76,"Organisatie / klantomgeving/COO - IAM","o")</f>
        <v/>
      </c>
      <c r="CR76" s="237" t="str">
        <f>desired_skills(C76,"Organisatie / klantomgeving/COO - IAM","j")</f>
        <v/>
      </c>
      <c r="CS76" s="237" t="str">
        <f>desired_skills(C76,"Organisatie / klantomgeving/COO - IAM","m")</f>
        <v/>
      </c>
      <c r="CT76" s="237" t="str">
        <f>desired_skills(C76,"Organisatie / klantomgeving/COO - IAM","s")</f>
        <v/>
      </c>
      <c r="CU76" s="238" t="str">
        <f>desired_skills(C76,"Organisatie / klantomgeving/COO - IAM","e")</f>
        <v/>
      </c>
      <c r="CW76" s="236" t="str">
        <f>calc_gap('Matrix 171007_1812'!$CK$76,'Matrix 171007_1812'!$CQ$76)</f>
        <v/>
      </c>
      <c r="CX76" s="237" t="str">
        <f>calc_gap('Matrix 171007_1812'!$CL$76,'Matrix 171007_1812'!$CR$76)</f>
        <v/>
      </c>
      <c r="CY76" s="237" t="str">
        <f>calc_gap('Matrix 171007_1812'!$CM$76,'Matrix 171007_1812'!$CS$76)</f>
        <v/>
      </c>
      <c r="CZ76" s="237" t="str">
        <f>calc_gap('Matrix 171007_1812'!$CN$76,'Matrix 171007_1812'!$CT$76)</f>
        <v/>
      </c>
      <c r="DA76" s="238" t="str">
        <f>calc_gap('Matrix 171007_1812'!$CO$76,'Matrix 171007_1812'!$CU$76)</f>
        <v/>
      </c>
    </row>
    <row r="77" spans="2:105" x14ac:dyDescent="0.25">
      <c r="B77" s="435"/>
      <c r="C77" s="291" t="s">
        <v>115</v>
      </c>
      <c r="D77" s="314"/>
      <c r="E77" s="315"/>
      <c r="F77" s="315"/>
      <c r="G77" s="315"/>
      <c r="H77" s="315"/>
      <c r="I77" s="315"/>
      <c r="J77" s="315"/>
      <c r="K77" s="316"/>
      <c r="L77" s="314"/>
      <c r="M77" s="315"/>
      <c r="N77" s="315"/>
      <c r="O77" s="316"/>
      <c r="P77" s="314"/>
      <c r="Q77" s="315"/>
      <c r="R77" s="315"/>
      <c r="S77" s="315"/>
      <c r="T77" s="315"/>
      <c r="U77" s="315"/>
      <c r="V77" s="315"/>
      <c r="W77" s="315"/>
      <c r="X77" s="315"/>
      <c r="Y77" s="315"/>
      <c r="Z77" s="315"/>
      <c r="AA77" s="315"/>
      <c r="AB77" s="315"/>
      <c r="AC77" s="315"/>
      <c r="AD77" s="315"/>
      <c r="AE77" s="315"/>
      <c r="AF77" s="315"/>
      <c r="AG77" s="315"/>
      <c r="AH77" s="315"/>
      <c r="AI77" s="316"/>
      <c r="AJ77" s="314"/>
      <c r="AK77" s="315"/>
      <c r="AL77" s="316"/>
      <c r="AM77" s="314"/>
      <c r="AN77" s="315"/>
      <c r="AO77" s="316"/>
      <c r="AP77" s="314"/>
      <c r="AQ77" s="315"/>
      <c r="AR77" s="315"/>
      <c r="AS77" s="315"/>
      <c r="AT77" s="316"/>
      <c r="AU77" s="314" t="s">
        <v>47</v>
      </c>
      <c r="AV77" s="315" t="s">
        <v>148</v>
      </c>
      <c r="AW77" s="315" t="s">
        <v>148</v>
      </c>
      <c r="AX77" s="315" t="s">
        <v>150</v>
      </c>
      <c r="AY77" s="315" t="s">
        <v>150</v>
      </c>
      <c r="AZ77" s="315" t="s">
        <v>148</v>
      </c>
      <c r="BA77" s="315" t="s">
        <v>148</v>
      </c>
      <c r="BB77" s="316" t="s">
        <v>148</v>
      </c>
      <c r="BC77" s="314" t="s">
        <v>148</v>
      </c>
      <c r="BD77" s="315" t="s">
        <v>148</v>
      </c>
      <c r="BE77" s="315"/>
      <c r="BF77" s="315"/>
      <c r="BG77" s="316"/>
      <c r="BH77" s="314"/>
      <c r="BI77" s="315" t="s">
        <v>148</v>
      </c>
      <c r="BJ77" s="316"/>
      <c r="BK77" s="314" t="s">
        <v>148</v>
      </c>
      <c r="BL77" s="315" t="s">
        <v>148</v>
      </c>
      <c r="BM77" s="315"/>
      <c r="BN77" s="316"/>
      <c r="BO77" s="314" t="s">
        <v>148</v>
      </c>
      <c r="BP77" s="315" t="s">
        <v>148</v>
      </c>
      <c r="BQ77" s="315"/>
      <c r="BR77" s="315"/>
      <c r="BS77" s="315" t="s">
        <v>149</v>
      </c>
      <c r="BT77" s="315" t="s">
        <v>147</v>
      </c>
      <c r="BU77" s="315" t="s">
        <v>150</v>
      </c>
      <c r="BV77" s="316"/>
      <c r="BW77" s="314" t="s">
        <v>148</v>
      </c>
      <c r="BX77" s="315"/>
      <c r="BY77" s="315" t="s">
        <v>147</v>
      </c>
      <c r="BZ77" s="315" t="s">
        <v>150</v>
      </c>
      <c r="CA77" s="315" t="s">
        <v>147</v>
      </c>
      <c r="CB77" s="316" t="s">
        <v>147</v>
      </c>
      <c r="CC77" s="314" t="s">
        <v>147</v>
      </c>
      <c r="CD77" s="315" t="s">
        <v>148</v>
      </c>
      <c r="CE77" s="316"/>
      <c r="CF77" s="314"/>
      <c r="CG77" s="315"/>
      <c r="CH77" s="315"/>
      <c r="CI77" s="317"/>
      <c r="CK77" s="236">
        <f t="shared" si="25"/>
        <v>1</v>
      </c>
      <c r="CL77" s="237">
        <f t="shared" si="26"/>
        <v>5</v>
      </c>
      <c r="CM77" s="237">
        <f t="shared" si="27"/>
        <v>14</v>
      </c>
      <c r="CN77" s="237">
        <f t="shared" si="28"/>
        <v>4</v>
      </c>
      <c r="CO77" s="238">
        <f t="shared" si="29"/>
        <v>1</v>
      </c>
      <c r="CQ77" s="236" t="str">
        <f>desired_skills(C77,"Organisatie / klantomgeving/HR (processen)","o")</f>
        <v/>
      </c>
      <c r="CR77" s="237" t="str">
        <f>desired_skills(C77,"Organisatie / klantomgeving/HR (processen)","j")</f>
        <v/>
      </c>
      <c r="CS77" s="237" t="str">
        <f>desired_skills(C77,"Organisatie / klantomgeving/HR (processen)","m")</f>
        <v/>
      </c>
      <c r="CT77" s="237" t="str">
        <f>desired_skills(C77,"Organisatie / klantomgeving/HR (processen)","s")</f>
        <v/>
      </c>
      <c r="CU77" s="238" t="str">
        <f>desired_skills(C77,"Organisatie / klantomgeving/HR (processen)","e")</f>
        <v/>
      </c>
      <c r="CW77" s="236" t="str">
        <f>calc_gap('Matrix 171007_1812'!$CK$77,'Matrix 171007_1812'!$CQ$77)</f>
        <v/>
      </c>
      <c r="CX77" s="237" t="str">
        <f>calc_gap('Matrix 171007_1812'!$CL$77,'Matrix 171007_1812'!$CR$77)</f>
        <v/>
      </c>
      <c r="CY77" s="237" t="str">
        <f>calc_gap('Matrix 171007_1812'!$CM$77,'Matrix 171007_1812'!$CS$77)</f>
        <v/>
      </c>
      <c r="CZ77" s="237" t="str">
        <f>calc_gap('Matrix 171007_1812'!$CN$77,'Matrix 171007_1812'!$CT$77)</f>
        <v/>
      </c>
      <c r="DA77" s="238" t="str">
        <f>calc_gap('Matrix 171007_1812'!$CO$77,'Matrix 171007_1812'!$CU$77)</f>
        <v/>
      </c>
    </row>
    <row r="78" spans="2:105" ht="15.75" thickBot="1" x14ac:dyDescent="0.3">
      <c r="B78" s="435"/>
      <c r="C78" s="292" t="s">
        <v>116</v>
      </c>
      <c r="D78" s="318"/>
      <c r="E78" s="319"/>
      <c r="F78" s="319"/>
      <c r="G78" s="319"/>
      <c r="H78" s="319"/>
      <c r="I78" s="319"/>
      <c r="J78" s="319"/>
      <c r="K78" s="320"/>
      <c r="L78" s="318"/>
      <c r="M78" s="319"/>
      <c r="N78" s="319"/>
      <c r="O78" s="320"/>
      <c r="P78" s="318"/>
      <c r="Q78" s="319"/>
      <c r="R78" s="319"/>
      <c r="S78" s="319"/>
      <c r="T78" s="319"/>
      <c r="U78" s="319"/>
      <c r="V78" s="319"/>
      <c r="W78" s="319"/>
      <c r="X78" s="319"/>
      <c r="Y78" s="319"/>
      <c r="Z78" s="319"/>
      <c r="AA78" s="319"/>
      <c r="AB78" s="319"/>
      <c r="AC78" s="319"/>
      <c r="AD78" s="319"/>
      <c r="AE78" s="319"/>
      <c r="AF78" s="319"/>
      <c r="AG78" s="319"/>
      <c r="AH78" s="319"/>
      <c r="AI78" s="320"/>
      <c r="AJ78" s="318"/>
      <c r="AK78" s="319"/>
      <c r="AL78" s="320"/>
      <c r="AM78" s="318"/>
      <c r="AN78" s="319"/>
      <c r="AO78" s="320"/>
      <c r="AP78" s="318"/>
      <c r="AQ78" s="319"/>
      <c r="AR78" s="319"/>
      <c r="AS78" s="319"/>
      <c r="AT78" s="320"/>
      <c r="AU78" s="318" t="s">
        <v>148</v>
      </c>
      <c r="AV78" s="319" t="s">
        <v>47</v>
      </c>
      <c r="AW78" s="319" t="s">
        <v>150</v>
      </c>
      <c r="AX78" s="319" t="s">
        <v>150</v>
      </c>
      <c r="AY78" s="319" t="s">
        <v>150</v>
      </c>
      <c r="AZ78" s="319" t="s">
        <v>147</v>
      </c>
      <c r="BA78" s="319" t="s">
        <v>148</v>
      </c>
      <c r="BB78" s="320" t="s">
        <v>150</v>
      </c>
      <c r="BC78" s="318" t="s">
        <v>147</v>
      </c>
      <c r="BD78" s="319" t="s">
        <v>148</v>
      </c>
      <c r="BE78" s="319"/>
      <c r="BF78" s="319" t="s">
        <v>147</v>
      </c>
      <c r="BG78" s="320"/>
      <c r="BH78" s="318"/>
      <c r="BI78" s="319"/>
      <c r="BJ78" s="320"/>
      <c r="BK78" s="318" t="s">
        <v>148</v>
      </c>
      <c r="BL78" s="319" t="s">
        <v>148</v>
      </c>
      <c r="BM78" s="319"/>
      <c r="BN78" s="320" t="s">
        <v>149</v>
      </c>
      <c r="BO78" s="318" t="s">
        <v>147</v>
      </c>
      <c r="BP78" s="319" t="s">
        <v>148</v>
      </c>
      <c r="BQ78" s="319" t="s">
        <v>148</v>
      </c>
      <c r="BR78" s="319"/>
      <c r="BS78" s="319" t="s">
        <v>149</v>
      </c>
      <c r="BT78" s="319" t="s">
        <v>148</v>
      </c>
      <c r="BU78" s="319" t="s">
        <v>150</v>
      </c>
      <c r="BV78" s="320"/>
      <c r="BW78" s="318" t="s">
        <v>150</v>
      </c>
      <c r="BX78" s="319"/>
      <c r="BY78" s="319" t="s">
        <v>150</v>
      </c>
      <c r="BZ78" s="319" t="s">
        <v>150</v>
      </c>
      <c r="CA78" s="319" t="s">
        <v>150</v>
      </c>
      <c r="CB78" s="320" t="s">
        <v>150</v>
      </c>
      <c r="CC78" s="318" t="s">
        <v>147</v>
      </c>
      <c r="CD78" s="319" t="s">
        <v>148</v>
      </c>
      <c r="CE78" s="320"/>
      <c r="CF78" s="318"/>
      <c r="CG78" s="319"/>
      <c r="CH78" s="319"/>
      <c r="CI78" s="321"/>
      <c r="CK78" s="239">
        <f t="shared" si="25"/>
        <v>2</v>
      </c>
      <c r="CL78" s="240">
        <f t="shared" si="26"/>
        <v>5</v>
      </c>
      <c r="CM78" s="240">
        <f t="shared" si="27"/>
        <v>9</v>
      </c>
      <c r="CN78" s="240">
        <f t="shared" si="28"/>
        <v>10</v>
      </c>
      <c r="CO78" s="241">
        <f t="shared" si="29"/>
        <v>1</v>
      </c>
      <c r="CQ78" s="239" t="str">
        <f>desired_skills(C78,"Organisatie / klantomgeving/LEX-en","o")</f>
        <v/>
      </c>
      <c r="CR78" s="240" t="str">
        <f>desired_skills(C78,"Organisatie / klantomgeving/LEX-en","j")</f>
        <v/>
      </c>
      <c r="CS78" s="240" t="str">
        <f>desired_skills(C78,"Organisatie / klantomgeving/LEX-en","m")</f>
        <v/>
      </c>
      <c r="CT78" s="240" t="str">
        <f>desired_skills(C78,"Organisatie / klantomgeving/LEX-en","s")</f>
        <v/>
      </c>
      <c r="CU78" s="241" t="str">
        <f>desired_skills(C78,"Organisatie / klantomgeving/LEX-en","e")</f>
        <v/>
      </c>
      <c r="CW78" s="239" t="str">
        <f>calc_gap('Matrix 171007_1812'!$CK$78,'Matrix 171007_1812'!$CQ$78)</f>
        <v/>
      </c>
      <c r="CX78" s="240" t="str">
        <f>calc_gap('Matrix 171007_1812'!$CL$78,'Matrix 171007_1812'!$CR$78)</f>
        <v/>
      </c>
      <c r="CY78" s="240" t="str">
        <f>calc_gap('Matrix 171007_1812'!$CM$78,'Matrix 171007_1812'!$CS$78)</f>
        <v/>
      </c>
      <c r="CZ78" s="240" t="str">
        <f>calc_gap('Matrix 171007_1812'!$CN$78,'Matrix 171007_1812'!$CT$78)</f>
        <v/>
      </c>
      <c r="DA78" s="241" t="str">
        <f>calc_gap('Matrix 171007_1812'!$CO$78,'Matrix 171007_1812'!$CU$78)</f>
        <v/>
      </c>
    </row>
    <row r="79" spans="2:105" ht="12.75" customHeight="1" thickTop="1" thickBot="1" x14ac:dyDescent="0.3">
      <c r="B79" s="436"/>
      <c r="C79" s="248"/>
      <c r="D79" s="322"/>
      <c r="E79" s="322"/>
      <c r="F79" s="322"/>
      <c r="G79" s="322"/>
      <c r="H79" s="322"/>
      <c r="I79" s="322"/>
      <c r="J79" s="322"/>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c r="BG79" s="322"/>
      <c r="BH79" s="322"/>
      <c r="BI79" s="322"/>
      <c r="BJ79" s="322"/>
      <c r="BK79" s="322"/>
      <c r="BL79" s="322"/>
      <c r="BM79" s="322"/>
      <c r="BN79" s="322"/>
      <c r="BO79" s="322"/>
      <c r="BP79" s="322"/>
      <c r="BQ79" s="322"/>
      <c r="BR79" s="322"/>
      <c r="BS79" s="322"/>
      <c r="BT79" s="322"/>
      <c r="BU79" s="322"/>
      <c r="BV79" s="322"/>
      <c r="BW79" s="322"/>
      <c r="BX79" s="322"/>
      <c r="BY79" s="322"/>
      <c r="BZ79" s="322"/>
      <c r="CA79" s="322"/>
      <c r="CB79" s="322"/>
      <c r="CC79" s="322"/>
      <c r="CD79" s="322"/>
      <c r="CE79" s="322"/>
      <c r="CF79" s="322"/>
      <c r="CG79" s="322"/>
      <c r="CH79" s="322"/>
      <c r="CI79" s="322"/>
      <c r="CK79" s="249"/>
      <c r="CL79" s="249"/>
      <c r="CM79" s="249"/>
      <c r="CN79" s="249"/>
      <c r="CO79" s="249"/>
      <c r="CQ79" s="249"/>
      <c r="CR79" s="249"/>
      <c r="CS79" s="249"/>
      <c r="CT79" s="249"/>
      <c r="CU79" s="249"/>
      <c r="CW79" s="249"/>
      <c r="CX79" s="249"/>
      <c r="CY79" s="249"/>
      <c r="CZ79" s="249"/>
      <c r="DA79" s="249"/>
    </row>
    <row r="80" spans="2:105" ht="15.75" thickTop="1" x14ac:dyDescent="0.25">
      <c r="B80" s="434" t="s">
        <v>267</v>
      </c>
      <c r="C80" s="290" t="s">
        <v>269</v>
      </c>
      <c r="D80" s="310"/>
      <c r="E80" s="311"/>
      <c r="F80" s="311"/>
      <c r="G80" s="311"/>
      <c r="H80" s="311"/>
      <c r="I80" s="311"/>
      <c r="J80" s="311"/>
      <c r="K80" s="312"/>
      <c r="L80" s="310"/>
      <c r="M80" s="311"/>
      <c r="N80" s="311"/>
      <c r="O80" s="312"/>
      <c r="P80" s="310"/>
      <c r="Q80" s="311"/>
      <c r="R80" s="311"/>
      <c r="S80" s="311"/>
      <c r="T80" s="311"/>
      <c r="U80" s="311"/>
      <c r="V80" s="311"/>
      <c r="W80" s="311"/>
      <c r="X80" s="311"/>
      <c r="Y80" s="311"/>
      <c r="Z80" s="311"/>
      <c r="AA80" s="311"/>
      <c r="AB80" s="311"/>
      <c r="AC80" s="311"/>
      <c r="AD80" s="311"/>
      <c r="AE80" s="311"/>
      <c r="AF80" s="311"/>
      <c r="AG80" s="311"/>
      <c r="AH80" s="311"/>
      <c r="AI80" s="312"/>
      <c r="AJ80" s="310"/>
      <c r="AK80" s="311"/>
      <c r="AL80" s="312"/>
      <c r="AM80" s="310"/>
      <c r="AN80" s="311"/>
      <c r="AO80" s="312"/>
      <c r="AP80" s="310"/>
      <c r="AQ80" s="311"/>
      <c r="AR80" s="311"/>
      <c r="AS80" s="311"/>
      <c r="AT80" s="312"/>
      <c r="AU80" s="310"/>
      <c r="AV80" s="311"/>
      <c r="AW80" s="311"/>
      <c r="AX80" s="311"/>
      <c r="AY80" s="311"/>
      <c r="AZ80" s="311"/>
      <c r="BA80" s="311"/>
      <c r="BB80" s="312"/>
      <c r="BC80" s="310"/>
      <c r="BD80" s="311"/>
      <c r="BE80" s="311"/>
      <c r="BF80" s="311"/>
      <c r="BG80" s="312"/>
      <c r="BH80" s="310"/>
      <c r="BI80" s="311"/>
      <c r="BJ80" s="312"/>
      <c r="BK80" s="310"/>
      <c r="BL80" s="311"/>
      <c r="BM80" s="311"/>
      <c r="BN80" s="312"/>
      <c r="BO80" s="310"/>
      <c r="BP80" s="311"/>
      <c r="BQ80" s="311"/>
      <c r="BR80" s="311"/>
      <c r="BS80" s="311"/>
      <c r="BT80" s="311"/>
      <c r="BU80" s="311"/>
      <c r="BV80" s="312"/>
      <c r="BW80" s="310"/>
      <c r="BX80" s="311"/>
      <c r="BY80" s="311"/>
      <c r="BZ80" s="311"/>
      <c r="CA80" s="311"/>
      <c r="CB80" s="312"/>
      <c r="CC80" s="310"/>
      <c r="CD80" s="311"/>
      <c r="CE80" s="312"/>
      <c r="CF80" s="310"/>
      <c r="CG80" s="311"/>
      <c r="CH80" s="311"/>
      <c r="CI80" s="313"/>
      <c r="CK80" s="233" t="str">
        <f t="shared" ref="CK80:CK94" si="30">IF(COUNTIF(D80:CI80,"o")&gt;0,COUNTIF(D80:CI80,"o"),"")</f>
        <v/>
      </c>
      <c r="CL80" s="234" t="str">
        <f t="shared" ref="CL80:CL94" si="31">IF(COUNTIF(D80:CI80,"j")&gt;0,COUNTIF(D80:CI80,"j"),"")</f>
        <v/>
      </c>
      <c r="CM80" s="234" t="str">
        <f t="shared" ref="CM80:CM94" si="32">IF(COUNTIF(D80:CI80,"m")&gt;0,COUNTIF(D80:CI80,"m"),"")</f>
        <v/>
      </c>
      <c r="CN80" s="234" t="str">
        <f t="shared" ref="CN80:CN94" si="33">IF(COUNTIF(D80:CI80,"s")&gt;0,COUNTIF(D80:CI80,"s"),"")</f>
        <v/>
      </c>
      <c r="CO80" s="235" t="str">
        <f t="shared" ref="CO80:CO94" si="34">IF(COUNTIF(D80:CI80,"e")&gt;0,COUNTIF(D80:CI80,"e"),"")</f>
        <v/>
      </c>
      <c r="CQ80" s="233" t="str">
        <f>desired_skills(C80,"Extra vaardigheden/Vormgeving/ontwerpen","o")</f>
        <v/>
      </c>
      <c r="CR80" s="234" t="str">
        <f>desired_skills(C80,"Extra vaardigheden/Vormgeving/ontwerpen","j")</f>
        <v/>
      </c>
      <c r="CS80" s="234" t="str">
        <f>desired_skills(C80,"Extra vaardigheden/Vormgeving/ontwerpen","m")</f>
        <v/>
      </c>
      <c r="CT80" s="234" t="str">
        <f>desired_skills(C80,"Extra vaardigheden/Vormgeving/ontwerpen","s")</f>
        <v/>
      </c>
      <c r="CU80" s="235" t="str">
        <f>desired_skills(C80,"Extra vaardigheden/Vormgeving/ontwerpen","e")</f>
        <v/>
      </c>
      <c r="CW80" s="233" t="str">
        <f>calc_gap('Matrix 171007_1812'!$CK$80,'Matrix 171007_1812'!$CQ$80)</f>
        <v/>
      </c>
      <c r="CX80" s="234" t="str">
        <f>calc_gap('Matrix 171007_1812'!$CL$80,'Matrix 171007_1812'!$CR$80)</f>
        <v/>
      </c>
      <c r="CY80" s="234" t="str">
        <f>calc_gap('Matrix 171007_1812'!$CM$80,'Matrix 171007_1812'!$CS$80)</f>
        <v/>
      </c>
      <c r="CZ80" s="234" t="str">
        <f>calc_gap('Matrix 171007_1812'!$CN$80,'Matrix 171007_1812'!$CT$80)</f>
        <v/>
      </c>
      <c r="DA80" s="235" t="str">
        <f>calc_gap('Matrix 171007_1812'!$CO$80,'Matrix 171007_1812'!$CU$80)</f>
        <v/>
      </c>
    </row>
    <row r="81" spans="2:105" x14ac:dyDescent="0.25">
      <c r="B81" s="435"/>
      <c r="C81" s="291" t="s">
        <v>270</v>
      </c>
      <c r="D81" s="314"/>
      <c r="E81" s="315"/>
      <c r="F81" s="315"/>
      <c r="G81" s="315"/>
      <c r="H81" s="315"/>
      <c r="I81" s="315"/>
      <c r="J81" s="315"/>
      <c r="K81" s="316"/>
      <c r="L81" s="314"/>
      <c r="M81" s="315"/>
      <c r="N81" s="315"/>
      <c r="O81" s="316"/>
      <c r="P81" s="314"/>
      <c r="Q81" s="315"/>
      <c r="R81" s="315"/>
      <c r="S81" s="315"/>
      <c r="T81" s="315"/>
      <c r="U81" s="315"/>
      <c r="V81" s="315"/>
      <c r="W81" s="315"/>
      <c r="X81" s="315"/>
      <c r="Y81" s="315"/>
      <c r="Z81" s="315"/>
      <c r="AA81" s="315"/>
      <c r="AB81" s="315"/>
      <c r="AC81" s="315"/>
      <c r="AD81" s="315"/>
      <c r="AE81" s="315"/>
      <c r="AF81" s="315"/>
      <c r="AG81" s="315"/>
      <c r="AH81" s="315"/>
      <c r="AI81" s="316"/>
      <c r="AJ81" s="314"/>
      <c r="AK81" s="315"/>
      <c r="AL81" s="316"/>
      <c r="AM81" s="314"/>
      <c r="AN81" s="315"/>
      <c r="AO81" s="316"/>
      <c r="AP81" s="314"/>
      <c r="AQ81" s="315"/>
      <c r="AR81" s="315"/>
      <c r="AS81" s="315"/>
      <c r="AT81" s="316"/>
      <c r="AU81" s="314"/>
      <c r="AV81" s="315"/>
      <c r="AW81" s="315"/>
      <c r="AX81" s="315"/>
      <c r="AY81" s="315"/>
      <c r="AZ81" s="315"/>
      <c r="BA81" s="315"/>
      <c r="BB81" s="316"/>
      <c r="BC81" s="314"/>
      <c r="BD81" s="315"/>
      <c r="BE81" s="315"/>
      <c r="BF81" s="315"/>
      <c r="BG81" s="316"/>
      <c r="BH81" s="314"/>
      <c r="BI81" s="315"/>
      <c r="BJ81" s="316"/>
      <c r="BK81" s="314"/>
      <c r="BL81" s="315"/>
      <c r="BM81" s="315"/>
      <c r="BN81" s="316"/>
      <c r="BO81" s="314"/>
      <c r="BP81" s="315"/>
      <c r="BQ81" s="315"/>
      <c r="BR81" s="315"/>
      <c r="BS81" s="315"/>
      <c r="BT81" s="315"/>
      <c r="BU81" s="315"/>
      <c r="BV81" s="316"/>
      <c r="BW81" s="314"/>
      <c r="BX81" s="315"/>
      <c r="BY81" s="315"/>
      <c r="BZ81" s="315"/>
      <c r="CA81" s="315"/>
      <c r="CB81" s="316"/>
      <c r="CC81" s="314"/>
      <c r="CD81" s="315"/>
      <c r="CE81" s="316"/>
      <c r="CF81" s="314"/>
      <c r="CG81" s="315"/>
      <c r="CH81" s="315"/>
      <c r="CI81" s="317"/>
      <c r="CK81" s="236" t="str">
        <f t="shared" si="30"/>
        <v/>
      </c>
      <c r="CL81" s="237" t="str">
        <f t="shared" si="31"/>
        <v/>
      </c>
      <c r="CM81" s="237" t="str">
        <f t="shared" si="32"/>
        <v/>
      </c>
      <c r="CN81" s="237" t="str">
        <f t="shared" si="33"/>
        <v/>
      </c>
      <c r="CO81" s="238" t="str">
        <f t="shared" si="34"/>
        <v/>
      </c>
      <c r="CQ81" s="236" t="str">
        <f>desired_skills(C81,"Extra vaardigheden/Organiseren","o")</f>
        <v/>
      </c>
      <c r="CR81" s="237" t="str">
        <f>desired_skills(C81,"Extra vaardigheden/Organiseren","j")</f>
        <v/>
      </c>
      <c r="CS81" s="237" t="str">
        <f>desired_skills(C81,"Extra vaardigheden/Organiseren","m")</f>
        <v/>
      </c>
      <c r="CT81" s="237" t="str">
        <f>desired_skills(C81,"Extra vaardigheden/Organiseren","s")</f>
        <v/>
      </c>
      <c r="CU81" s="238" t="str">
        <f>desired_skills(C81,"Extra vaardigheden/Organiseren","e")</f>
        <v/>
      </c>
      <c r="CW81" s="236" t="str">
        <f>calc_gap('Matrix 171007_1812'!$CK$81,'Matrix 171007_1812'!$CQ$81)</f>
        <v/>
      </c>
      <c r="CX81" s="237" t="str">
        <f>calc_gap('Matrix 171007_1812'!$CL$81,'Matrix 171007_1812'!$CR$81)</f>
        <v/>
      </c>
      <c r="CY81" s="237" t="str">
        <f>calc_gap('Matrix 171007_1812'!$CM$81,'Matrix 171007_1812'!$CS$81)</f>
        <v/>
      </c>
      <c r="CZ81" s="237" t="str">
        <f>calc_gap('Matrix 171007_1812'!$CN$81,'Matrix 171007_1812'!$CT$81)</f>
        <v/>
      </c>
      <c r="DA81" s="238" t="str">
        <f>calc_gap('Matrix 171007_1812'!$CO$81,'Matrix 171007_1812'!$CU$81)</f>
        <v/>
      </c>
    </row>
    <row r="82" spans="2:105" x14ac:dyDescent="0.25">
      <c r="B82" s="435"/>
      <c r="C82" s="291" t="s">
        <v>271</v>
      </c>
      <c r="D82" s="314"/>
      <c r="E82" s="315"/>
      <c r="F82" s="315"/>
      <c r="G82" s="315"/>
      <c r="H82" s="315"/>
      <c r="I82" s="315"/>
      <c r="J82" s="315"/>
      <c r="K82" s="316"/>
      <c r="L82" s="314"/>
      <c r="M82" s="315"/>
      <c r="N82" s="315"/>
      <c r="O82" s="316"/>
      <c r="P82" s="314"/>
      <c r="Q82" s="315"/>
      <c r="R82" s="315"/>
      <c r="S82" s="315"/>
      <c r="T82" s="315"/>
      <c r="U82" s="315"/>
      <c r="V82" s="315"/>
      <c r="W82" s="315"/>
      <c r="X82" s="315"/>
      <c r="Y82" s="315"/>
      <c r="Z82" s="315"/>
      <c r="AA82" s="315"/>
      <c r="AB82" s="315"/>
      <c r="AC82" s="315"/>
      <c r="AD82" s="315"/>
      <c r="AE82" s="315"/>
      <c r="AF82" s="315"/>
      <c r="AG82" s="315"/>
      <c r="AH82" s="315"/>
      <c r="AI82" s="316"/>
      <c r="AJ82" s="314"/>
      <c r="AK82" s="315"/>
      <c r="AL82" s="316"/>
      <c r="AM82" s="314"/>
      <c r="AN82" s="315"/>
      <c r="AO82" s="316"/>
      <c r="AP82" s="314"/>
      <c r="AQ82" s="315"/>
      <c r="AR82" s="315"/>
      <c r="AS82" s="315"/>
      <c r="AT82" s="316"/>
      <c r="AU82" s="314"/>
      <c r="AV82" s="315"/>
      <c r="AW82" s="315"/>
      <c r="AX82" s="315"/>
      <c r="AY82" s="315"/>
      <c r="AZ82" s="315"/>
      <c r="BA82" s="315"/>
      <c r="BB82" s="316"/>
      <c r="BC82" s="314"/>
      <c r="BD82" s="315"/>
      <c r="BE82" s="315"/>
      <c r="BF82" s="315"/>
      <c r="BG82" s="316"/>
      <c r="BH82" s="314"/>
      <c r="BI82" s="315"/>
      <c r="BJ82" s="316"/>
      <c r="BK82" s="314"/>
      <c r="BL82" s="315"/>
      <c r="BM82" s="315"/>
      <c r="BN82" s="316"/>
      <c r="BO82" s="314"/>
      <c r="BP82" s="315"/>
      <c r="BQ82" s="315"/>
      <c r="BR82" s="315"/>
      <c r="BS82" s="315"/>
      <c r="BT82" s="315"/>
      <c r="BU82" s="315"/>
      <c r="BV82" s="316"/>
      <c r="BW82" s="314"/>
      <c r="BX82" s="315"/>
      <c r="BY82" s="315"/>
      <c r="BZ82" s="315"/>
      <c r="CA82" s="315"/>
      <c r="CB82" s="316"/>
      <c r="CC82" s="314"/>
      <c r="CD82" s="315"/>
      <c r="CE82" s="316"/>
      <c r="CF82" s="314"/>
      <c r="CG82" s="315"/>
      <c r="CH82" s="315"/>
      <c r="CI82" s="317"/>
      <c r="CK82" s="236" t="str">
        <f t="shared" si="30"/>
        <v/>
      </c>
      <c r="CL82" s="237" t="str">
        <f t="shared" si="31"/>
        <v/>
      </c>
      <c r="CM82" s="237" t="str">
        <f t="shared" si="32"/>
        <v/>
      </c>
      <c r="CN82" s="237" t="str">
        <f t="shared" si="33"/>
        <v/>
      </c>
      <c r="CO82" s="238" t="str">
        <f t="shared" si="34"/>
        <v/>
      </c>
      <c r="CQ82" s="236" t="str">
        <f>desired_skills(C82,"Extra vaardigheden/Fotografie","o")</f>
        <v/>
      </c>
      <c r="CR82" s="237" t="str">
        <f>desired_skills(C82,"Extra vaardigheden/Fotografie","j")</f>
        <v/>
      </c>
      <c r="CS82" s="237" t="str">
        <f>desired_skills(C82,"Extra vaardigheden/Fotografie","m")</f>
        <v/>
      </c>
      <c r="CT82" s="237" t="str">
        <f>desired_skills(C82,"Extra vaardigheden/Fotografie","s")</f>
        <v/>
      </c>
      <c r="CU82" s="238" t="str">
        <f>desired_skills(C82,"Extra vaardigheden/Fotografie","e")</f>
        <v/>
      </c>
      <c r="CW82" s="236" t="str">
        <f>calc_gap('Matrix 171007_1812'!$CK$82,'Matrix 171007_1812'!$CQ$82)</f>
        <v/>
      </c>
      <c r="CX82" s="237" t="str">
        <f>calc_gap('Matrix 171007_1812'!$CL$82,'Matrix 171007_1812'!$CR$82)</f>
        <v/>
      </c>
      <c r="CY82" s="237" t="str">
        <f>calc_gap('Matrix 171007_1812'!$CM$82,'Matrix 171007_1812'!$CS$82)</f>
        <v/>
      </c>
      <c r="CZ82" s="237" t="str">
        <f>calc_gap('Matrix 171007_1812'!$CN$82,'Matrix 171007_1812'!$CT$82)</f>
        <v/>
      </c>
      <c r="DA82" s="238" t="str">
        <f>calc_gap('Matrix 171007_1812'!$CO$82,'Matrix 171007_1812'!$CU$82)</f>
        <v/>
      </c>
    </row>
    <row r="83" spans="2:105" x14ac:dyDescent="0.25">
      <c r="B83" s="435"/>
      <c r="C83" s="291" t="s">
        <v>272</v>
      </c>
      <c r="D83" s="314"/>
      <c r="E83" s="315"/>
      <c r="F83" s="315"/>
      <c r="G83" s="315"/>
      <c r="H83" s="315"/>
      <c r="I83" s="315"/>
      <c r="J83" s="315"/>
      <c r="K83" s="316"/>
      <c r="L83" s="314"/>
      <c r="M83" s="315"/>
      <c r="N83" s="315"/>
      <c r="O83" s="316"/>
      <c r="P83" s="314"/>
      <c r="Q83" s="315"/>
      <c r="R83" s="315"/>
      <c r="S83" s="315"/>
      <c r="T83" s="315"/>
      <c r="U83" s="315"/>
      <c r="V83" s="315"/>
      <c r="W83" s="315"/>
      <c r="X83" s="315"/>
      <c r="Y83" s="315"/>
      <c r="Z83" s="315"/>
      <c r="AA83" s="315"/>
      <c r="AB83" s="315"/>
      <c r="AC83" s="315"/>
      <c r="AD83" s="315"/>
      <c r="AE83" s="315"/>
      <c r="AF83" s="315"/>
      <c r="AG83" s="315"/>
      <c r="AH83" s="315"/>
      <c r="AI83" s="316"/>
      <c r="AJ83" s="314"/>
      <c r="AK83" s="315"/>
      <c r="AL83" s="316"/>
      <c r="AM83" s="314"/>
      <c r="AN83" s="315"/>
      <c r="AO83" s="316"/>
      <c r="AP83" s="314"/>
      <c r="AQ83" s="315"/>
      <c r="AR83" s="315"/>
      <c r="AS83" s="315"/>
      <c r="AT83" s="316"/>
      <c r="AU83" s="314"/>
      <c r="AV83" s="315"/>
      <c r="AW83" s="315"/>
      <c r="AX83" s="315"/>
      <c r="AY83" s="315"/>
      <c r="AZ83" s="315"/>
      <c r="BA83" s="315"/>
      <c r="BB83" s="316"/>
      <c r="BC83" s="314"/>
      <c r="BD83" s="315"/>
      <c r="BE83" s="315"/>
      <c r="BF83" s="315"/>
      <c r="BG83" s="316"/>
      <c r="BH83" s="314"/>
      <c r="BI83" s="315"/>
      <c r="BJ83" s="316"/>
      <c r="BK83" s="314"/>
      <c r="BL83" s="315"/>
      <c r="BM83" s="315"/>
      <c r="BN83" s="316"/>
      <c r="BO83" s="314"/>
      <c r="BP83" s="315"/>
      <c r="BQ83" s="315"/>
      <c r="BR83" s="315"/>
      <c r="BS83" s="315"/>
      <c r="BT83" s="315"/>
      <c r="BU83" s="315"/>
      <c r="BV83" s="316"/>
      <c r="BW83" s="314"/>
      <c r="BX83" s="315"/>
      <c r="BY83" s="315"/>
      <c r="BZ83" s="315"/>
      <c r="CA83" s="315"/>
      <c r="CB83" s="316"/>
      <c r="CC83" s="314"/>
      <c r="CD83" s="315"/>
      <c r="CE83" s="316"/>
      <c r="CF83" s="314"/>
      <c r="CG83" s="315"/>
      <c r="CH83" s="315"/>
      <c r="CI83" s="317"/>
      <c r="CK83" s="236" t="str">
        <f t="shared" si="30"/>
        <v/>
      </c>
      <c r="CL83" s="237" t="str">
        <f t="shared" si="31"/>
        <v/>
      </c>
      <c r="CM83" s="237" t="str">
        <f t="shared" si="32"/>
        <v/>
      </c>
      <c r="CN83" s="237" t="str">
        <f t="shared" si="33"/>
        <v/>
      </c>
      <c r="CO83" s="238" t="str">
        <f t="shared" si="34"/>
        <v/>
      </c>
      <c r="CQ83" s="236" t="str">
        <f>desired_skills(C83,"Extra vaardigheden/Tekenen","o")</f>
        <v/>
      </c>
      <c r="CR83" s="237" t="str">
        <f>desired_skills(C83,"Extra vaardigheden/Tekenen","j")</f>
        <v/>
      </c>
      <c r="CS83" s="237" t="str">
        <f>desired_skills(C83,"Extra vaardigheden/Tekenen","m")</f>
        <v/>
      </c>
      <c r="CT83" s="237" t="str">
        <f>desired_skills(C83,"Extra vaardigheden/Tekenen","s")</f>
        <v/>
      </c>
      <c r="CU83" s="238" t="str">
        <f>desired_skills(C83,"Extra vaardigheden/Tekenen","e")</f>
        <v/>
      </c>
      <c r="CW83" s="236" t="str">
        <f>calc_gap('Matrix 171007_1812'!$CK$83,'Matrix 171007_1812'!$CQ$83)</f>
        <v/>
      </c>
      <c r="CX83" s="237" t="str">
        <f>calc_gap('Matrix 171007_1812'!$CL$83,'Matrix 171007_1812'!$CR$83)</f>
        <v/>
      </c>
      <c r="CY83" s="237" t="str">
        <f>calc_gap('Matrix 171007_1812'!$CM$83,'Matrix 171007_1812'!$CS$83)</f>
        <v/>
      </c>
      <c r="CZ83" s="237" t="str">
        <f>calc_gap('Matrix 171007_1812'!$CN$83,'Matrix 171007_1812'!$CT$83)</f>
        <v/>
      </c>
      <c r="DA83" s="238" t="str">
        <f>calc_gap('Matrix 171007_1812'!$CO$83,'Matrix 171007_1812'!$CU$83)</f>
        <v/>
      </c>
    </row>
    <row r="84" spans="2:105" x14ac:dyDescent="0.25">
      <c r="B84" s="435"/>
      <c r="C84" s="291" t="s">
        <v>273</v>
      </c>
      <c r="D84" s="314"/>
      <c r="E84" s="315"/>
      <c r="F84" s="315"/>
      <c r="G84" s="315"/>
      <c r="H84" s="315"/>
      <c r="I84" s="315"/>
      <c r="J84" s="315"/>
      <c r="K84" s="316"/>
      <c r="L84" s="314"/>
      <c r="M84" s="315"/>
      <c r="N84" s="315"/>
      <c r="O84" s="316"/>
      <c r="P84" s="314"/>
      <c r="Q84" s="315"/>
      <c r="R84" s="315"/>
      <c r="S84" s="315"/>
      <c r="T84" s="315"/>
      <c r="U84" s="315"/>
      <c r="V84" s="315"/>
      <c r="W84" s="315"/>
      <c r="X84" s="315"/>
      <c r="Y84" s="315"/>
      <c r="Z84" s="315"/>
      <c r="AA84" s="315"/>
      <c r="AB84" s="315"/>
      <c r="AC84" s="315"/>
      <c r="AD84" s="315"/>
      <c r="AE84" s="315"/>
      <c r="AF84" s="315"/>
      <c r="AG84" s="315"/>
      <c r="AH84" s="315"/>
      <c r="AI84" s="316"/>
      <c r="AJ84" s="314"/>
      <c r="AK84" s="315"/>
      <c r="AL84" s="316"/>
      <c r="AM84" s="314"/>
      <c r="AN84" s="315"/>
      <c r="AO84" s="316"/>
      <c r="AP84" s="314"/>
      <c r="AQ84" s="315"/>
      <c r="AR84" s="315"/>
      <c r="AS84" s="315"/>
      <c r="AT84" s="316"/>
      <c r="AU84" s="314"/>
      <c r="AV84" s="315"/>
      <c r="AW84" s="315"/>
      <c r="AX84" s="315"/>
      <c r="AY84" s="315"/>
      <c r="AZ84" s="315"/>
      <c r="BA84" s="315"/>
      <c r="BB84" s="316"/>
      <c r="BC84" s="314"/>
      <c r="BD84" s="315"/>
      <c r="BE84" s="315"/>
      <c r="BF84" s="315"/>
      <c r="BG84" s="316"/>
      <c r="BH84" s="314"/>
      <c r="BI84" s="315"/>
      <c r="BJ84" s="316"/>
      <c r="BK84" s="314"/>
      <c r="BL84" s="315"/>
      <c r="BM84" s="315"/>
      <c r="BN84" s="316"/>
      <c r="BO84" s="314"/>
      <c r="BP84" s="315"/>
      <c r="BQ84" s="315"/>
      <c r="BR84" s="315"/>
      <c r="BS84" s="315"/>
      <c r="BT84" s="315"/>
      <c r="BU84" s="315"/>
      <c r="BV84" s="316"/>
      <c r="BW84" s="314"/>
      <c r="BX84" s="315"/>
      <c r="BY84" s="315"/>
      <c r="BZ84" s="315"/>
      <c r="CA84" s="315"/>
      <c r="CB84" s="316"/>
      <c r="CC84" s="314"/>
      <c r="CD84" s="315"/>
      <c r="CE84" s="316"/>
      <c r="CF84" s="314"/>
      <c r="CG84" s="315"/>
      <c r="CH84" s="315"/>
      <c r="CI84" s="317"/>
      <c r="CK84" s="236" t="str">
        <f t="shared" si="30"/>
        <v/>
      </c>
      <c r="CL84" s="237" t="str">
        <f t="shared" si="31"/>
        <v/>
      </c>
      <c r="CM84" s="237" t="str">
        <f t="shared" si="32"/>
        <v/>
      </c>
      <c r="CN84" s="237" t="str">
        <f t="shared" si="33"/>
        <v/>
      </c>
      <c r="CO84" s="238" t="str">
        <f t="shared" si="34"/>
        <v/>
      </c>
      <c r="CQ84" s="236" t="str">
        <f>desired_skills(C84,"Extra vaardigheden/Creatief","o")</f>
        <v/>
      </c>
      <c r="CR84" s="237" t="str">
        <f>desired_skills(C84,"Extra vaardigheden/Creatief","j")</f>
        <v/>
      </c>
      <c r="CS84" s="237" t="str">
        <f>desired_skills(C84,"Extra vaardigheden/Creatief","m")</f>
        <v/>
      </c>
      <c r="CT84" s="237" t="str">
        <f>desired_skills(C84,"Extra vaardigheden/Creatief","s")</f>
        <v/>
      </c>
      <c r="CU84" s="238" t="str">
        <f>desired_skills(C84,"Extra vaardigheden/Creatief","e")</f>
        <v/>
      </c>
      <c r="CW84" s="236" t="str">
        <f>calc_gap('Matrix 171007_1812'!$CK$84,'Matrix 171007_1812'!$CQ$84)</f>
        <v/>
      </c>
      <c r="CX84" s="237" t="str">
        <f>calc_gap('Matrix 171007_1812'!$CL$84,'Matrix 171007_1812'!$CR$84)</f>
        <v/>
      </c>
      <c r="CY84" s="237" t="str">
        <f>calc_gap('Matrix 171007_1812'!$CM$84,'Matrix 171007_1812'!$CS$84)</f>
        <v/>
      </c>
      <c r="CZ84" s="237" t="str">
        <f>calc_gap('Matrix 171007_1812'!$CN$84,'Matrix 171007_1812'!$CT$84)</f>
        <v/>
      </c>
      <c r="DA84" s="238" t="str">
        <f>calc_gap('Matrix 171007_1812'!$CO$84,'Matrix 171007_1812'!$CU$84)</f>
        <v/>
      </c>
    </row>
    <row r="85" spans="2:105" x14ac:dyDescent="0.25">
      <c r="B85" s="435"/>
      <c r="C85" s="291" t="s">
        <v>274</v>
      </c>
      <c r="D85" s="314"/>
      <c r="E85" s="315"/>
      <c r="F85" s="315"/>
      <c r="G85" s="315"/>
      <c r="H85" s="315"/>
      <c r="I85" s="315"/>
      <c r="J85" s="315"/>
      <c r="K85" s="316"/>
      <c r="L85" s="314"/>
      <c r="M85" s="315"/>
      <c r="N85" s="315"/>
      <c r="O85" s="316"/>
      <c r="P85" s="314"/>
      <c r="Q85" s="315"/>
      <c r="R85" s="315"/>
      <c r="S85" s="315"/>
      <c r="T85" s="315"/>
      <c r="U85" s="315"/>
      <c r="V85" s="315"/>
      <c r="W85" s="315"/>
      <c r="X85" s="315"/>
      <c r="Y85" s="315"/>
      <c r="Z85" s="315"/>
      <c r="AA85" s="315"/>
      <c r="AB85" s="315"/>
      <c r="AC85" s="315"/>
      <c r="AD85" s="315"/>
      <c r="AE85" s="315"/>
      <c r="AF85" s="315"/>
      <c r="AG85" s="315"/>
      <c r="AH85" s="315"/>
      <c r="AI85" s="316"/>
      <c r="AJ85" s="314"/>
      <c r="AK85" s="315"/>
      <c r="AL85" s="316"/>
      <c r="AM85" s="314"/>
      <c r="AN85" s="315"/>
      <c r="AO85" s="316"/>
      <c r="AP85" s="314"/>
      <c r="AQ85" s="315"/>
      <c r="AR85" s="315"/>
      <c r="AS85" s="315"/>
      <c r="AT85" s="316"/>
      <c r="AU85" s="314"/>
      <c r="AV85" s="315"/>
      <c r="AW85" s="315"/>
      <c r="AX85" s="315"/>
      <c r="AY85" s="315"/>
      <c r="AZ85" s="315"/>
      <c r="BA85" s="315"/>
      <c r="BB85" s="316"/>
      <c r="BC85" s="314"/>
      <c r="BD85" s="315"/>
      <c r="BE85" s="315"/>
      <c r="BF85" s="315"/>
      <c r="BG85" s="316"/>
      <c r="BH85" s="314"/>
      <c r="BI85" s="315"/>
      <c r="BJ85" s="316"/>
      <c r="BK85" s="314"/>
      <c r="BL85" s="315"/>
      <c r="BM85" s="315"/>
      <c r="BN85" s="316"/>
      <c r="BO85" s="314"/>
      <c r="BP85" s="315"/>
      <c r="BQ85" s="315"/>
      <c r="BR85" s="315"/>
      <c r="BS85" s="315"/>
      <c r="BT85" s="315"/>
      <c r="BU85" s="315"/>
      <c r="BV85" s="316"/>
      <c r="BW85" s="314"/>
      <c r="BX85" s="315"/>
      <c r="BY85" s="315"/>
      <c r="BZ85" s="315"/>
      <c r="CA85" s="315"/>
      <c r="CB85" s="316"/>
      <c r="CC85" s="314"/>
      <c r="CD85" s="315"/>
      <c r="CE85" s="316"/>
      <c r="CF85" s="314"/>
      <c r="CG85" s="315"/>
      <c r="CH85" s="315"/>
      <c r="CI85" s="317"/>
      <c r="CK85" s="236" t="str">
        <f t="shared" si="30"/>
        <v/>
      </c>
      <c r="CL85" s="237" t="str">
        <f t="shared" si="31"/>
        <v/>
      </c>
      <c r="CM85" s="237" t="str">
        <f t="shared" si="32"/>
        <v/>
      </c>
      <c r="CN85" s="237" t="str">
        <f t="shared" si="33"/>
        <v/>
      </c>
      <c r="CO85" s="238" t="str">
        <f t="shared" si="34"/>
        <v/>
      </c>
      <c r="CQ85" s="236" t="str">
        <f>desired_skills(C85,"Extra vaardigheden/Videobewerking","o")</f>
        <v/>
      </c>
      <c r="CR85" s="237" t="str">
        <f>desired_skills(C85,"Extra vaardigheden/Videobewerking","j")</f>
        <v/>
      </c>
      <c r="CS85" s="237" t="str">
        <f>desired_skills(C85,"Extra vaardigheden/Videobewerking","m")</f>
        <v/>
      </c>
      <c r="CT85" s="237" t="str">
        <f>desired_skills(C85,"Extra vaardigheden/Videobewerking","s")</f>
        <v/>
      </c>
      <c r="CU85" s="238" t="str">
        <f>desired_skills(C85,"Extra vaardigheden/Videobewerking","e")</f>
        <v/>
      </c>
      <c r="CW85" s="236" t="str">
        <f>calc_gap('Matrix 171007_1812'!$CK$85,'Matrix 171007_1812'!$CQ$85)</f>
        <v/>
      </c>
      <c r="CX85" s="237" t="str">
        <f>calc_gap('Matrix 171007_1812'!$CL$85,'Matrix 171007_1812'!$CR$85)</f>
        <v/>
      </c>
      <c r="CY85" s="237" t="str">
        <f>calc_gap('Matrix 171007_1812'!$CM$85,'Matrix 171007_1812'!$CS$85)</f>
        <v/>
      </c>
      <c r="CZ85" s="237" t="str">
        <f>calc_gap('Matrix 171007_1812'!$CN$85,'Matrix 171007_1812'!$CT$85)</f>
        <v/>
      </c>
      <c r="DA85" s="238" t="str">
        <f>calc_gap('Matrix 171007_1812'!$CO$85,'Matrix 171007_1812'!$CU$85)</f>
        <v/>
      </c>
    </row>
    <row r="86" spans="2:105" x14ac:dyDescent="0.25">
      <c r="B86" s="435"/>
      <c r="C86" s="291" t="s">
        <v>275</v>
      </c>
      <c r="D86" s="314"/>
      <c r="E86" s="315"/>
      <c r="F86" s="315"/>
      <c r="G86" s="315"/>
      <c r="H86" s="315"/>
      <c r="I86" s="315"/>
      <c r="J86" s="315"/>
      <c r="K86" s="316"/>
      <c r="L86" s="314"/>
      <c r="M86" s="315"/>
      <c r="N86" s="315"/>
      <c r="O86" s="316"/>
      <c r="P86" s="314"/>
      <c r="Q86" s="315"/>
      <c r="R86" s="315"/>
      <c r="S86" s="315"/>
      <c r="T86" s="315"/>
      <c r="U86" s="315"/>
      <c r="V86" s="315"/>
      <c r="W86" s="315"/>
      <c r="X86" s="315"/>
      <c r="Y86" s="315"/>
      <c r="Z86" s="315"/>
      <c r="AA86" s="315"/>
      <c r="AB86" s="315"/>
      <c r="AC86" s="315"/>
      <c r="AD86" s="315"/>
      <c r="AE86" s="315"/>
      <c r="AF86" s="315"/>
      <c r="AG86" s="315"/>
      <c r="AH86" s="315"/>
      <c r="AI86" s="316"/>
      <c r="AJ86" s="314"/>
      <c r="AK86" s="315"/>
      <c r="AL86" s="316"/>
      <c r="AM86" s="314"/>
      <c r="AN86" s="315"/>
      <c r="AO86" s="316"/>
      <c r="AP86" s="314"/>
      <c r="AQ86" s="315"/>
      <c r="AR86" s="315"/>
      <c r="AS86" s="315"/>
      <c r="AT86" s="316"/>
      <c r="AU86" s="314"/>
      <c r="AV86" s="315"/>
      <c r="AW86" s="315"/>
      <c r="AX86" s="315"/>
      <c r="AY86" s="315"/>
      <c r="AZ86" s="315"/>
      <c r="BA86" s="315"/>
      <c r="BB86" s="316"/>
      <c r="BC86" s="314"/>
      <c r="BD86" s="315"/>
      <c r="BE86" s="315"/>
      <c r="BF86" s="315"/>
      <c r="BG86" s="316"/>
      <c r="BH86" s="314"/>
      <c r="BI86" s="315"/>
      <c r="BJ86" s="316"/>
      <c r="BK86" s="314"/>
      <c r="BL86" s="315"/>
      <c r="BM86" s="315"/>
      <c r="BN86" s="316"/>
      <c r="BO86" s="314"/>
      <c r="BP86" s="315"/>
      <c r="BQ86" s="315"/>
      <c r="BR86" s="315"/>
      <c r="BS86" s="315"/>
      <c r="BT86" s="315"/>
      <c r="BU86" s="315"/>
      <c r="BV86" s="316"/>
      <c r="BW86" s="314"/>
      <c r="BX86" s="315"/>
      <c r="BY86" s="315"/>
      <c r="BZ86" s="315"/>
      <c r="CA86" s="315"/>
      <c r="CB86" s="316"/>
      <c r="CC86" s="314"/>
      <c r="CD86" s="315"/>
      <c r="CE86" s="316"/>
      <c r="CF86" s="314"/>
      <c r="CG86" s="315"/>
      <c r="CH86" s="315"/>
      <c r="CI86" s="317"/>
      <c r="CK86" s="236" t="str">
        <f t="shared" si="30"/>
        <v/>
      </c>
      <c r="CL86" s="237" t="str">
        <f t="shared" si="31"/>
        <v/>
      </c>
      <c r="CM86" s="237" t="str">
        <f t="shared" si="32"/>
        <v/>
      </c>
      <c r="CN86" s="237" t="str">
        <f t="shared" si="33"/>
        <v/>
      </c>
      <c r="CO86" s="238" t="str">
        <f t="shared" si="34"/>
        <v/>
      </c>
      <c r="CQ86" s="236" t="str">
        <f>desired_skills(C86,"Extra vaardigheden/Excel","o")</f>
        <v/>
      </c>
      <c r="CR86" s="237" t="str">
        <f>desired_skills(C86,"Extra vaardigheden/Excel","j")</f>
        <v/>
      </c>
      <c r="CS86" s="237" t="str">
        <f>desired_skills(C86,"Extra vaardigheden/Excel","m")</f>
        <v/>
      </c>
      <c r="CT86" s="237" t="str">
        <f>desired_skills(C86,"Extra vaardigheden/Excel","s")</f>
        <v/>
      </c>
      <c r="CU86" s="238" t="str">
        <f>desired_skills(C86,"Extra vaardigheden/Excel","e")</f>
        <v/>
      </c>
      <c r="CW86" s="236" t="str">
        <f>calc_gap('Matrix 171007_1812'!$CK$86,'Matrix 171007_1812'!$CQ$86)</f>
        <v/>
      </c>
      <c r="CX86" s="237" t="str">
        <f>calc_gap('Matrix 171007_1812'!$CL$86,'Matrix 171007_1812'!$CR$86)</f>
        <v/>
      </c>
      <c r="CY86" s="237" t="str">
        <f>calc_gap('Matrix 171007_1812'!$CM$86,'Matrix 171007_1812'!$CS$86)</f>
        <v/>
      </c>
      <c r="CZ86" s="237" t="str">
        <f>calc_gap('Matrix 171007_1812'!$CN$86,'Matrix 171007_1812'!$CT$86)</f>
        <v/>
      </c>
      <c r="DA86" s="238" t="str">
        <f>calc_gap('Matrix 171007_1812'!$CO$86,'Matrix 171007_1812'!$CU$86)</f>
        <v/>
      </c>
    </row>
    <row r="87" spans="2:105" x14ac:dyDescent="0.25">
      <c r="B87" s="435"/>
      <c r="C87" s="291" t="s">
        <v>281</v>
      </c>
      <c r="D87" s="314"/>
      <c r="E87" s="315"/>
      <c r="F87" s="315"/>
      <c r="G87" s="315"/>
      <c r="H87" s="315"/>
      <c r="I87" s="315"/>
      <c r="J87" s="315"/>
      <c r="K87" s="316"/>
      <c r="L87" s="314"/>
      <c r="M87" s="315"/>
      <c r="N87" s="315"/>
      <c r="O87" s="316"/>
      <c r="P87" s="314"/>
      <c r="Q87" s="315"/>
      <c r="R87" s="315"/>
      <c r="S87" s="315"/>
      <c r="T87" s="315"/>
      <c r="U87" s="315"/>
      <c r="V87" s="315"/>
      <c r="W87" s="315"/>
      <c r="X87" s="315"/>
      <c r="Y87" s="315"/>
      <c r="Z87" s="315"/>
      <c r="AA87" s="315"/>
      <c r="AB87" s="315"/>
      <c r="AC87" s="315"/>
      <c r="AD87" s="315"/>
      <c r="AE87" s="315"/>
      <c r="AF87" s="315"/>
      <c r="AG87" s="315"/>
      <c r="AH87" s="315"/>
      <c r="AI87" s="316"/>
      <c r="AJ87" s="314"/>
      <c r="AK87" s="315"/>
      <c r="AL87" s="316"/>
      <c r="AM87" s="314"/>
      <c r="AN87" s="315"/>
      <c r="AO87" s="316"/>
      <c r="AP87" s="314"/>
      <c r="AQ87" s="315"/>
      <c r="AR87" s="315"/>
      <c r="AS87" s="315"/>
      <c r="AT87" s="316"/>
      <c r="AU87" s="314"/>
      <c r="AV87" s="315"/>
      <c r="AW87" s="315"/>
      <c r="AX87" s="315"/>
      <c r="AY87" s="315"/>
      <c r="AZ87" s="315"/>
      <c r="BA87" s="315"/>
      <c r="BB87" s="316"/>
      <c r="BC87" s="314"/>
      <c r="BD87" s="315"/>
      <c r="BE87" s="315"/>
      <c r="BF87" s="315"/>
      <c r="BG87" s="316"/>
      <c r="BH87" s="314"/>
      <c r="BI87" s="315"/>
      <c r="BJ87" s="316"/>
      <c r="BK87" s="314"/>
      <c r="BL87" s="315"/>
      <c r="BM87" s="315"/>
      <c r="BN87" s="316"/>
      <c r="BO87" s="314"/>
      <c r="BP87" s="315"/>
      <c r="BQ87" s="315"/>
      <c r="BR87" s="315"/>
      <c r="BS87" s="315"/>
      <c r="BT87" s="315"/>
      <c r="BU87" s="315"/>
      <c r="BV87" s="316"/>
      <c r="BW87" s="314"/>
      <c r="BX87" s="315"/>
      <c r="BY87" s="315"/>
      <c r="BZ87" s="315"/>
      <c r="CA87" s="315"/>
      <c r="CB87" s="316"/>
      <c r="CC87" s="314"/>
      <c r="CD87" s="315"/>
      <c r="CE87" s="316"/>
      <c r="CF87" s="314"/>
      <c r="CG87" s="315"/>
      <c r="CH87" s="315"/>
      <c r="CI87" s="317"/>
      <c r="CK87" s="236" t="str">
        <f t="shared" si="30"/>
        <v/>
      </c>
      <c r="CL87" s="237" t="str">
        <f t="shared" si="31"/>
        <v/>
      </c>
      <c r="CM87" s="237" t="str">
        <f t="shared" si="32"/>
        <v/>
      </c>
      <c r="CN87" s="237" t="str">
        <f t="shared" si="33"/>
        <v/>
      </c>
      <c r="CO87" s="238" t="str">
        <f t="shared" si="34"/>
        <v/>
      </c>
      <c r="CQ87" s="236" t="str">
        <f>desired_skills(C87,"Extra vaardigheden/PowerPoint","o")</f>
        <v/>
      </c>
      <c r="CR87" s="237" t="str">
        <f>desired_skills(C87,"Extra vaardigheden/PowerPoint","j")</f>
        <v/>
      </c>
      <c r="CS87" s="237" t="str">
        <f>desired_skills(C87,"Extra vaardigheden/PowerPoint","m")</f>
        <v/>
      </c>
      <c r="CT87" s="237" t="str">
        <f>desired_skills(C87,"Extra vaardigheden/PowerPoint","s")</f>
        <v/>
      </c>
      <c r="CU87" s="238" t="str">
        <f>desired_skills(C87,"Extra vaardigheden/PowerPoint","e")</f>
        <v/>
      </c>
      <c r="CW87" s="236" t="str">
        <f>calc_gap('Matrix 171007_1812'!$CK$87,'Matrix 171007_1812'!$CQ$87)</f>
        <v/>
      </c>
      <c r="CX87" s="237" t="str">
        <f>calc_gap('Matrix 171007_1812'!$CL$87,'Matrix 171007_1812'!$CR$87)</f>
        <v/>
      </c>
      <c r="CY87" s="237" t="str">
        <f>calc_gap('Matrix 171007_1812'!$CM$87,'Matrix 171007_1812'!$CS$87)</f>
        <v/>
      </c>
      <c r="CZ87" s="237" t="str">
        <f>calc_gap('Matrix 171007_1812'!$CN$87,'Matrix 171007_1812'!$CT$87)</f>
        <v/>
      </c>
      <c r="DA87" s="238" t="str">
        <f>calc_gap('Matrix 171007_1812'!$CO$87,'Matrix 171007_1812'!$CU$87)</f>
        <v/>
      </c>
    </row>
    <row r="88" spans="2:105" x14ac:dyDescent="0.25">
      <c r="B88" s="435"/>
      <c r="C88" s="291" t="s">
        <v>276</v>
      </c>
      <c r="D88" s="314"/>
      <c r="E88" s="315"/>
      <c r="F88" s="315"/>
      <c r="G88" s="315"/>
      <c r="H88" s="315"/>
      <c r="I88" s="315"/>
      <c r="J88" s="315"/>
      <c r="K88" s="316"/>
      <c r="L88" s="314"/>
      <c r="M88" s="315"/>
      <c r="N88" s="315"/>
      <c r="O88" s="316"/>
      <c r="P88" s="314"/>
      <c r="Q88" s="315"/>
      <c r="R88" s="315"/>
      <c r="S88" s="315"/>
      <c r="T88" s="315"/>
      <c r="U88" s="315"/>
      <c r="V88" s="315"/>
      <c r="W88" s="315"/>
      <c r="X88" s="315"/>
      <c r="Y88" s="315"/>
      <c r="Z88" s="315"/>
      <c r="AA88" s="315"/>
      <c r="AB88" s="315"/>
      <c r="AC88" s="315"/>
      <c r="AD88" s="315"/>
      <c r="AE88" s="315"/>
      <c r="AF88" s="315"/>
      <c r="AG88" s="315"/>
      <c r="AH88" s="315"/>
      <c r="AI88" s="316"/>
      <c r="AJ88" s="314"/>
      <c r="AK88" s="315"/>
      <c r="AL88" s="316"/>
      <c r="AM88" s="314"/>
      <c r="AN88" s="315"/>
      <c r="AO88" s="316"/>
      <c r="AP88" s="314"/>
      <c r="AQ88" s="315"/>
      <c r="AR88" s="315"/>
      <c r="AS88" s="315"/>
      <c r="AT88" s="316"/>
      <c r="AU88" s="314"/>
      <c r="AV88" s="315"/>
      <c r="AW88" s="315"/>
      <c r="AX88" s="315"/>
      <c r="AY88" s="315"/>
      <c r="AZ88" s="315"/>
      <c r="BA88" s="315"/>
      <c r="BB88" s="316"/>
      <c r="BC88" s="314"/>
      <c r="BD88" s="315"/>
      <c r="BE88" s="315"/>
      <c r="BF88" s="315"/>
      <c r="BG88" s="316"/>
      <c r="BH88" s="314"/>
      <c r="BI88" s="315"/>
      <c r="BJ88" s="316"/>
      <c r="BK88" s="314"/>
      <c r="BL88" s="315"/>
      <c r="BM88" s="315"/>
      <c r="BN88" s="316"/>
      <c r="BO88" s="314"/>
      <c r="BP88" s="315"/>
      <c r="BQ88" s="315"/>
      <c r="BR88" s="315"/>
      <c r="BS88" s="315"/>
      <c r="BT88" s="315"/>
      <c r="BU88" s="315"/>
      <c r="BV88" s="316"/>
      <c r="BW88" s="314"/>
      <c r="BX88" s="315"/>
      <c r="BY88" s="315"/>
      <c r="BZ88" s="315"/>
      <c r="CA88" s="315"/>
      <c r="CB88" s="316"/>
      <c r="CC88" s="314"/>
      <c r="CD88" s="315"/>
      <c r="CE88" s="316"/>
      <c r="CF88" s="314"/>
      <c r="CG88" s="315"/>
      <c r="CH88" s="315"/>
      <c r="CI88" s="317"/>
      <c r="CK88" s="236" t="str">
        <f t="shared" si="30"/>
        <v/>
      </c>
      <c r="CL88" s="237" t="str">
        <f t="shared" si="31"/>
        <v/>
      </c>
      <c r="CM88" s="237" t="str">
        <f t="shared" si="32"/>
        <v/>
      </c>
      <c r="CN88" s="237" t="str">
        <f t="shared" si="33"/>
        <v/>
      </c>
      <c r="CO88" s="238" t="str">
        <f t="shared" si="34"/>
        <v/>
      </c>
      <c r="CQ88" s="236" t="str">
        <f>desired_skills(C88,"Extra vaardigheden/Word","o")</f>
        <v/>
      </c>
      <c r="CR88" s="237" t="str">
        <f>desired_skills(C88,"Extra vaardigheden/Word","j")</f>
        <v/>
      </c>
      <c r="CS88" s="237" t="str">
        <f>desired_skills(C88,"Extra vaardigheden/Word","m")</f>
        <v/>
      </c>
      <c r="CT88" s="237" t="str">
        <f>desired_skills(C88,"Extra vaardigheden/Word","s")</f>
        <v/>
      </c>
      <c r="CU88" s="238" t="str">
        <f>desired_skills(C88,"Extra vaardigheden/Word","e")</f>
        <v/>
      </c>
      <c r="CW88" s="236" t="str">
        <f>calc_gap('Matrix 171007_1812'!$CK$88,'Matrix 171007_1812'!$CQ$88)</f>
        <v/>
      </c>
      <c r="CX88" s="237" t="str">
        <f>calc_gap('Matrix 171007_1812'!$CL$88,'Matrix 171007_1812'!$CR$88)</f>
        <v/>
      </c>
      <c r="CY88" s="237" t="str">
        <f>calc_gap('Matrix 171007_1812'!$CM$88,'Matrix 171007_1812'!$CS$88)</f>
        <v/>
      </c>
      <c r="CZ88" s="237" t="str">
        <f>calc_gap('Matrix 171007_1812'!$CN$88,'Matrix 171007_1812'!$CT$88)</f>
        <v/>
      </c>
      <c r="DA88" s="238" t="str">
        <f>calc_gap('Matrix 171007_1812'!$CO$88,'Matrix 171007_1812'!$CU$88)</f>
        <v/>
      </c>
    </row>
    <row r="89" spans="2:105" x14ac:dyDescent="0.25">
      <c r="B89" s="435"/>
      <c r="C89" s="291" t="s">
        <v>277</v>
      </c>
      <c r="D89" s="314"/>
      <c r="E89" s="315"/>
      <c r="F89" s="315"/>
      <c r="G89" s="315"/>
      <c r="H89" s="315"/>
      <c r="I89" s="315"/>
      <c r="J89" s="315"/>
      <c r="K89" s="316"/>
      <c r="L89" s="314"/>
      <c r="M89" s="315"/>
      <c r="N89" s="315"/>
      <c r="O89" s="316"/>
      <c r="P89" s="314"/>
      <c r="Q89" s="315"/>
      <c r="R89" s="315"/>
      <c r="S89" s="315"/>
      <c r="T89" s="315"/>
      <c r="U89" s="315"/>
      <c r="V89" s="315"/>
      <c r="W89" s="315"/>
      <c r="X89" s="315"/>
      <c r="Y89" s="315"/>
      <c r="Z89" s="315"/>
      <c r="AA89" s="315"/>
      <c r="AB89" s="315"/>
      <c r="AC89" s="315"/>
      <c r="AD89" s="315"/>
      <c r="AE89" s="315"/>
      <c r="AF89" s="315"/>
      <c r="AG89" s="315"/>
      <c r="AH89" s="315"/>
      <c r="AI89" s="316"/>
      <c r="AJ89" s="314"/>
      <c r="AK89" s="315"/>
      <c r="AL89" s="316"/>
      <c r="AM89" s="314"/>
      <c r="AN89" s="315"/>
      <c r="AO89" s="316"/>
      <c r="AP89" s="314"/>
      <c r="AQ89" s="315"/>
      <c r="AR89" s="315"/>
      <c r="AS89" s="315"/>
      <c r="AT89" s="316"/>
      <c r="AU89" s="314"/>
      <c r="AV89" s="315"/>
      <c r="AW89" s="315"/>
      <c r="AX89" s="315"/>
      <c r="AY89" s="315"/>
      <c r="AZ89" s="315"/>
      <c r="BA89" s="315"/>
      <c r="BB89" s="316"/>
      <c r="BC89" s="314"/>
      <c r="BD89" s="315"/>
      <c r="BE89" s="315"/>
      <c r="BF89" s="315"/>
      <c r="BG89" s="316"/>
      <c r="BH89" s="314"/>
      <c r="BI89" s="315"/>
      <c r="BJ89" s="316"/>
      <c r="BK89" s="314"/>
      <c r="BL89" s="315"/>
      <c r="BM89" s="315"/>
      <c r="BN89" s="316"/>
      <c r="BO89" s="314"/>
      <c r="BP89" s="315"/>
      <c r="BQ89" s="315"/>
      <c r="BR89" s="315"/>
      <c r="BS89" s="315"/>
      <c r="BT89" s="315"/>
      <c r="BU89" s="315"/>
      <c r="BV89" s="316"/>
      <c r="BW89" s="314"/>
      <c r="BX89" s="315"/>
      <c r="BY89" s="315"/>
      <c r="BZ89" s="315"/>
      <c r="CA89" s="315"/>
      <c r="CB89" s="316"/>
      <c r="CC89" s="314"/>
      <c r="CD89" s="315"/>
      <c r="CE89" s="316"/>
      <c r="CF89" s="314"/>
      <c r="CG89" s="315"/>
      <c r="CH89" s="315"/>
      <c r="CI89" s="317"/>
      <c r="CK89" s="236" t="str">
        <f t="shared" si="30"/>
        <v/>
      </c>
      <c r="CL89" s="237" t="str">
        <f t="shared" si="31"/>
        <v/>
      </c>
      <c r="CM89" s="237" t="str">
        <f t="shared" si="32"/>
        <v/>
      </c>
      <c r="CN89" s="237" t="str">
        <f t="shared" si="33"/>
        <v/>
      </c>
      <c r="CO89" s="238" t="str">
        <f t="shared" si="34"/>
        <v/>
      </c>
      <c r="CQ89" s="236" t="str">
        <f>desired_skills(C89,"Extra vaardigheden/Filmpjes maken","o")</f>
        <v/>
      </c>
      <c r="CR89" s="237" t="str">
        <f>desired_skills(C89,"Extra vaardigheden/Filmpjes maken","j")</f>
        <v/>
      </c>
      <c r="CS89" s="237" t="str">
        <f>desired_skills(C89,"Extra vaardigheden/Filmpjes maken","m")</f>
        <v/>
      </c>
      <c r="CT89" s="237" t="str">
        <f>desired_skills(C89,"Extra vaardigheden/Filmpjes maken","s")</f>
        <v/>
      </c>
      <c r="CU89" s="238" t="str">
        <f>desired_skills(C89,"Extra vaardigheden/Filmpjes maken","e")</f>
        <v/>
      </c>
      <c r="CW89" s="236" t="str">
        <f>calc_gap('Matrix 171007_1812'!$CK$89,'Matrix 171007_1812'!$CQ$89)</f>
        <v/>
      </c>
      <c r="CX89" s="237" t="str">
        <f>calc_gap('Matrix 171007_1812'!$CL$89,'Matrix 171007_1812'!$CR$89)</f>
        <v/>
      </c>
      <c r="CY89" s="237" t="str">
        <f>calc_gap('Matrix 171007_1812'!$CM$89,'Matrix 171007_1812'!$CS$89)</f>
        <v/>
      </c>
      <c r="CZ89" s="237" t="str">
        <f>calc_gap('Matrix 171007_1812'!$CN$89,'Matrix 171007_1812'!$CT$89)</f>
        <v/>
      </c>
      <c r="DA89" s="238" t="str">
        <f>calc_gap('Matrix 171007_1812'!$CO$89,'Matrix 171007_1812'!$CU$89)</f>
        <v/>
      </c>
    </row>
    <row r="90" spans="2:105" x14ac:dyDescent="0.25">
      <c r="B90" s="435"/>
      <c r="C90" s="291" t="s">
        <v>278</v>
      </c>
      <c r="D90" s="314"/>
      <c r="E90" s="315"/>
      <c r="F90" s="315"/>
      <c r="G90" s="315"/>
      <c r="H90" s="315"/>
      <c r="I90" s="315"/>
      <c r="J90" s="315"/>
      <c r="K90" s="316"/>
      <c r="L90" s="314"/>
      <c r="M90" s="315"/>
      <c r="N90" s="315"/>
      <c r="O90" s="316"/>
      <c r="P90" s="314"/>
      <c r="Q90" s="315"/>
      <c r="R90" s="315"/>
      <c r="S90" s="315"/>
      <c r="T90" s="315"/>
      <c r="U90" s="315"/>
      <c r="V90" s="315"/>
      <c r="W90" s="315"/>
      <c r="X90" s="315"/>
      <c r="Y90" s="315"/>
      <c r="Z90" s="315"/>
      <c r="AA90" s="315"/>
      <c r="AB90" s="315"/>
      <c r="AC90" s="315"/>
      <c r="AD90" s="315"/>
      <c r="AE90" s="315"/>
      <c r="AF90" s="315"/>
      <c r="AG90" s="315"/>
      <c r="AH90" s="315"/>
      <c r="AI90" s="316"/>
      <c r="AJ90" s="314"/>
      <c r="AK90" s="315"/>
      <c r="AL90" s="316"/>
      <c r="AM90" s="314"/>
      <c r="AN90" s="315"/>
      <c r="AO90" s="316"/>
      <c r="AP90" s="314"/>
      <c r="AQ90" s="315"/>
      <c r="AR90" s="315"/>
      <c r="AS90" s="315"/>
      <c r="AT90" s="316"/>
      <c r="AU90" s="314"/>
      <c r="AV90" s="315"/>
      <c r="AW90" s="315"/>
      <c r="AX90" s="315"/>
      <c r="AY90" s="315"/>
      <c r="AZ90" s="315"/>
      <c r="BA90" s="315"/>
      <c r="BB90" s="316"/>
      <c r="BC90" s="314"/>
      <c r="BD90" s="315"/>
      <c r="BE90" s="315"/>
      <c r="BF90" s="315"/>
      <c r="BG90" s="316"/>
      <c r="BH90" s="314"/>
      <c r="BI90" s="315"/>
      <c r="BJ90" s="316"/>
      <c r="BK90" s="314"/>
      <c r="BL90" s="315"/>
      <c r="BM90" s="315"/>
      <c r="BN90" s="316"/>
      <c r="BO90" s="314"/>
      <c r="BP90" s="315"/>
      <c r="BQ90" s="315"/>
      <c r="BR90" s="315"/>
      <c r="BS90" s="315"/>
      <c r="BT90" s="315"/>
      <c r="BU90" s="315"/>
      <c r="BV90" s="316"/>
      <c r="BW90" s="314"/>
      <c r="BX90" s="315"/>
      <c r="BY90" s="315"/>
      <c r="BZ90" s="315"/>
      <c r="CA90" s="315"/>
      <c r="CB90" s="316"/>
      <c r="CC90" s="314"/>
      <c r="CD90" s="315"/>
      <c r="CE90" s="316"/>
      <c r="CF90" s="314"/>
      <c r="CG90" s="315"/>
      <c r="CH90" s="315"/>
      <c r="CI90" s="317"/>
      <c r="CK90" s="236" t="str">
        <f t="shared" si="30"/>
        <v/>
      </c>
      <c r="CL90" s="237" t="str">
        <f t="shared" si="31"/>
        <v/>
      </c>
      <c r="CM90" s="237" t="str">
        <f t="shared" si="32"/>
        <v/>
      </c>
      <c r="CN90" s="237" t="str">
        <f t="shared" si="33"/>
        <v/>
      </c>
      <c r="CO90" s="238" t="str">
        <f t="shared" si="34"/>
        <v/>
      </c>
      <c r="CQ90" s="236" t="str">
        <f>desired_skills(C90,"Extra vaardigheden/Website bouwen","o")</f>
        <v/>
      </c>
      <c r="CR90" s="237" t="str">
        <f>desired_skills(C90,"Extra vaardigheden/Website bouwen","j")</f>
        <v/>
      </c>
      <c r="CS90" s="237" t="str">
        <f>desired_skills(C90,"Extra vaardigheden/Website bouwen","m")</f>
        <v/>
      </c>
      <c r="CT90" s="237" t="str">
        <f>desired_skills(C90,"Extra vaardigheden/Website bouwen","s")</f>
        <v/>
      </c>
      <c r="CU90" s="238" t="str">
        <f>desired_skills(C90,"Extra vaardigheden/Website bouwen","e")</f>
        <v/>
      </c>
      <c r="CW90" s="236" t="str">
        <f>calc_gap('Matrix 171007_1812'!$CK$90,'Matrix 171007_1812'!$CQ$90)</f>
        <v/>
      </c>
      <c r="CX90" s="237" t="str">
        <f>calc_gap('Matrix 171007_1812'!$CL$90,'Matrix 171007_1812'!$CR$90)</f>
        <v/>
      </c>
      <c r="CY90" s="237" t="str">
        <f>calc_gap('Matrix 171007_1812'!$CM$90,'Matrix 171007_1812'!$CS$90)</f>
        <v/>
      </c>
      <c r="CZ90" s="237" t="str">
        <f>calc_gap('Matrix 171007_1812'!$CN$90,'Matrix 171007_1812'!$CT$90)</f>
        <v/>
      </c>
      <c r="DA90" s="238" t="str">
        <f>calc_gap('Matrix 171007_1812'!$CO$90,'Matrix 171007_1812'!$CU$90)</f>
        <v/>
      </c>
    </row>
    <row r="91" spans="2:105" x14ac:dyDescent="0.25">
      <c r="B91" s="435"/>
      <c r="C91" s="291" t="s">
        <v>282</v>
      </c>
      <c r="D91" s="314"/>
      <c r="E91" s="315"/>
      <c r="F91" s="315"/>
      <c r="G91" s="315"/>
      <c r="H91" s="315"/>
      <c r="I91" s="315"/>
      <c r="J91" s="315"/>
      <c r="K91" s="316"/>
      <c r="L91" s="314"/>
      <c r="M91" s="315"/>
      <c r="N91" s="315"/>
      <c r="O91" s="316"/>
      <c r="P91" s="314"/>
      <c r="Q91" s="315"/>
      <c r="R91" s="315"/>
      <c r="S91" s="315"/>
      <c r="T91" s="315"/>
      <c r="U91" s="315"/>
      <c r="V91" s="315"/>
      <c r="W91" s="315"/>
      <c r="X91" s="315"/>
      <c r="Y91" s="315"/>
      <c r="Z91" s="315"/>
      <c r="AA91" s="315"/>
      <c r="AB91" s="315"/>
      <c r="AC91" s="315"/>
      <c r="AD91" s="315"/>
      <c r="AE91" s="315"/>
      <c r="AF91" s="315"/>
      <c r="AG91" s="315"/>
      <c r="AH91" s="315"/>
      <c r="AI91" s="316"/>
      <c r="AJ91" s="314"/>
      <c r="AK91" s="315"/>
      <c r="AL91" s="316"/>
      <c r="AM91" s="314"/>
      <c r="AN91" s="315"/>
      <c r="AO91" s="316"/>
      <c r="AP91" s="314"/>
      <c r="AQ91" s="315"/>
      <c r="AR91" s="315"/>
      <c r="AS91" s="315"/>
      <c r="AT91" s="316"/>
      <c r="AU91" s="314"/>
      <c r="AV91" s="315"/>
      <c r="AW91" s="315"/>
      <c r="AX91" s="315"/>
      <c r="AY91" s="315"/>
      <c r="AZ91" s="315"/>
      <c r="BA91" s="315"/>
      <c r="BB91" s="316"/>
      <c r="BC91" s="314"/>
      <c r="BD91" s="315"/>
      <c r="BE91" s="315"/>
      <c r="BF91" s="315"/>
      <c r="BG91" s="316"/>
      <c r="BH91" s="314"/>
      <c r="BI91" s="315"/>
      <c r="BJ91" s="316"/>
      <c r="BK91" s="314"/>
      <c r="BL91" s="315"/>
      <c r="BM91" s="315"/>
      <c r="BN91" s="316"/>
      <c r="BO91" s="314"/>
      <c r="BP91" s="315"/>
      <c r="BQ91" s="315"/>
      <c r="BR91" s="315"/>
      <c r="BS91" s="315"/>
      <c r="BT91" s="315"/>
      <c r="BU91" s="315"/>
      <c r="BV91" s="316"/>
      <c r="BW91" s="314"/>
      <c r="BX91" s="315"/>
      <c r="BY91" s="315"/>
      <c r="BZ91" s="315"/>
      <c r="CA91" s="315"/>
      <c r="CB91" s="316"/>
      <c r="CC91" s="314"/>
      <c r="CD91" s="315"/>
      <c r="CE91" s="316"/>
      <c r="CF91" s="314"/>
      <c r="CG91" s="315"/>
      <c r="CH91" s="315"/>
      <c r="CI91" s="317"/>
      <c r="CK91" s="236" t="str">
        <f t="shared" si="30"/>
        <v/>
      </c>
      <c r="CL91" s="237" t="str">
        <f t="shared" si="31"/>
        <v/>
      </c>
      <c r="CM91" s="237" t="str">
        <f t="shared" si="32"/>
        <v/>
      </c>
      <c r="CN91" s="237" t="str">
        <f t="shared" si="33"/>
        <v/>
      </c>
      <c r="CO91" s="238" t="str">
        <f t="shared" si="34"/>
        <v/>
      </c>
      <c r="CQ91" s="236" t="str">
        <f>desired_skills(C91,"Extra vaardigheden/Muziek maken","o")</f>
        <v/>
      </c>
      <c r="CR91" s="237" t="str">
        <f>desired_skills(C91,"Extra vaardigheden/Muziek maken","j")</f>
        <v/>
      </c>
      <c r="CS91" s="237" t="str">
        <f>desired_skills(C91,"Extra vaardigheden/Muziek maken","m")</f>
        <v/>
      </c>
      <c r="CT91" s="237" t="str">
        <f>desired_skills(C91,"Extra vaardigheden/Muziek maken","s")</f>
        <v/>
      </c>
      <c r="CU91" s="238" t="str">
        <f>desired_skills(C91,"Extra vaardigheden/Muziek maken","e")</f>
        <v/>
      </c>
      <c r="CW91" s="236" t="str">
        <f>calc_gap('Matrix 171007_1812'!$CK$91,'Matrix 171007_1812'!$CQ$91)</f>
        <v/>
      </c>
      <c r="CX91" s="237" t="str">
        <f>calc_gap('Matrix 171007_1812'!$CL$91,'Matrix 171007_1812'!$CR$91)</f>
        <v/>
      </c>
      <c r="CY91" s="237" t="str">
        <f>calc_gap('Matrix 171007_1812'!$CM$91,'Matrix 171007_1812'!$CS$91)</f>
        <v/>
      </c>
      <c r="CZ91" s="237" t="str">
        <f>calc_gap('Matrix 171007_1812'!$CN$91,'Matrix 171007_1812'!$CT$91)</f>
        <v/>
      </c>
      <c r="DA91" s="238" t="str">
        <f>calc_gap('Matrix 171007_1812'!$CO$91,'Matrix 171007_1812'!$CU$91)</f>
        <v/>
      </c>
    </row>
    <row r="92" spans="2:105" x14ac:dyDescent="0.25">
      <c r="B92" s="435"/>
      <c r="C92" s="291" t="s">
        <v>283</v>
      </c>
      <c r="D92" s="314"/>
      <c r="E92" s="315"/>
      <c r="F92" s="315"/>
      <c r="G92" s="315"/>
      <c r="H92" s="315"/>
      <c r="I92" s="315"/>
      <c r="J92" s="315"/>
      <c r="K92" s="316"/>
      <c r="L92" s="314"/>
      <c r="M92" s="315"/>
      <c r="N92" s="315"/>
      <c r="O92" s="316"/>
      <c r="P92" s="314"/>
      <c r="Q92" s="315"/>
      <c r="R92" s="315"/>
      <c r="S92" s="315"/>
      <c r="T92" s="315"/>
      <c r="U92" s="315"/>
      <c r="V92" s="315"/>
      <c r="W92" s="315"/>
      <c r="X92" s="315"/>
      <c r="Y92" s="315"/>
      <c r="Z92" s="315"/>
      <c r="AA92" s="315"/>
      <c r="AB92" s="315"/>
      <c r="AC92" s="315"/>
      <c r="AD92" s="315"/>
      <c r="AE92" s="315"/>
      <c r="AF92" s="315"/>
      <c r="AG92" s="315"/>
      <c r="AH92" s="315"/>
      <c r="AI92" s="316"/>
      <c r="AJ92" s="314"/>
      <c r="AK92" s="315"/>
      <c r="AL92" s="316"/>
      <c r="AM92" s="314"/>
      <c r="AN92" s="315"/>
      <c r="AO92" s="316"/>
      <c r="AP92" s="314"/>
      <c r="AQ92" s="315"/>
      <c r="AR92" s="315"/>
      <c r="AS92" s="315"/>
      <c r="AT92" s="316"/>
      <c r="AU92" s="314"/>
      <c r="AV92" s="315"/>
      <c r="AW92" s="315"/>
      <c r="AX92" s="315"/>
      <c r="AY92" s="315"/>
      <c r="AZ92" s="315"/>
      <c r="BA92" s="315"/>
      <c r="BB92" s="316"/>
      <c r="BC92" s="314"/>
      <c r="BD92" s="315"/>
      <c r="BE92" s="315"/>
      <c r="BF92" s="315"/>
      <c r="BG92" s="316"/>
      <c r="BH92" s="314"/>
      <c r="BI92" s="315"/>
      <c r="BJ92" s="316"/>
      <c r="BK92" s="314"/>
      <c r="BL92" s="315"/>
      <c r="BM92" s="315"/>
      <c r="BN92" s="316"/>
      <c r="BO92" s="314"/>
      <c r="BP92" s="315"/>
      <c r="BQ92" s="315"/>
      <c r="BR92" s="315"/>
      <c r="BS92" s="315"/>
      <c r="BT92" s="315"/>
      <c r="BU92" s="315"/>
      <c r="BV92" s="316"/>
      <c r="BW92" s="314"/>
      <c r="BX92" s="315"/>
      <c r="BY92" s="315"/>
      <c r="BZ92" s="315"/>
      <c r="CA92" s="315"/>
      <c r="CB92" s="316"/>
      <c r="CC92" s="314"/>
      <c r="CD92" s="315"/>
      <c r="CE92" s="316"/>
      <c r="CF92" s="314"/>
      <c r="CG92" s="315"/>
      <c r="CH92" s="315"/>
      <c r="CI92" s="317"/>
      <c r="CK92" s="236" t="str">
        <f t="shared" si="30"/>
        <v/>
      </c>
      <c r="CL92" s="237" t="str">
        <f t="shared" si="31"/>
        <v/>
      </c>
      <c r="CM92" s="237" t="str">
        <f t="shared" si="32"/>
        <v/>
      </c>
      <c r="CN92" s="237" t="str">
        <f t="shared" si="33"/>
        <v/>
      </c>
      <c r="CO92" s="238" t="str">
        <f t="shared" si="34"/>
        <v/>
      </c>
      <c r="CQ92" s="236" t="str">
        <f>desired_skills(C92,"Extra vaardigheden/Koken en/of bakken","o")</f>
        <v/>
      </c>
      <c r="CR92" s="237" t="str">
        <f>desired_skills(C92,"Extra vaardigheden/Koken en/of bakken","j")</f>
        <v/>
      </c>
      <c r="CS92" s="237" t="str">
        <f>desired_skills(C92,"Extra vaardigheden/Koken en/of bakken","m")</f>
        <v/>
      </c>
      <c r="CT92" s="237" t="str">
        <f>desired_skills(C92,"Extra vaardigheden/Koken en/of bakken","s")</f>
        <v/>
      </c>
      <c r="CU92" s="238" t="str">
        <f>desired_skills(C92,"Extra vaardigheden/Koken en/of bakken","e")</f>
        <v/>
      </c>
      <c r="CW92" s="236" t="str">
        <f>calc_gap('Matrix 171007_1812'!$CK$92,'Matrix 171007_1812'!$CQ$92)</f>
        <v/>
      </c>
      <c r="CX92" s="237" t="str">
        <f>calc_gap('Matrix 171007_1812'!$CL$92,'Matrix 171007_1812'!$CR$92)</f>
        <v/>
      </c>
      <c r="CY92" s="237" t="str">
        <f>calc_gap('Matrix 171007_1812'!$CM$92,'Matrix 171007_1812'!$CS$92)</f>
        <v/>
      </c>
      <c r="CZ92" s="237" t="str">
        <f>calc_gap('Matrix 171007_1812'!$CN$92,'Matrix 171007_1812'!$CT$92)</f>
        <v/>
      </c>
      <c r="DA92" s="238" t="str">
        <f>calc_gap('Matrix 171007_1812'!$CO$92,'Matrix 171007_1812'!$CU$92)</f>
        <v/>
      </c>
    </row>
    <row r="93" spans="2:105" x14ac:dyDescent="0.25">
      <c r="B93" s="435"/>
      <c r="C93" s="291" t="s">
        <v>279</v>
      </c>
      <c r="D93" s="314"/>
      <c r="E93" s="315"/>
      <c r="F93" s="315"/>
      <c r="G93" s="315"/>
      <c r="H93" s="315"/>
      <c r="I93" s="315"/>
      <c r="J93" s="315"/>
      <c r="K93" s="316"/>
      <c r="L93" s="314"/>
      <c r="M93" s="315"/>
      <c r="N93" s="315"/>
      <c r="O93" s="316"/>
      <c r="P93" s="314"/>
      <c r="Q93" s="315"/>
      <c r="R93" s="315"/>
      <c r="S93" s="315"/>
      <c r="T93" s="315"/>
      <c r="U93" s="315"/>
      <c r="V93" s="315"/>
      <c r="W93" s="315"/>
      <c r="X93" s="315"/>
      <c r="Y93" s="315"/>
      <c r="Z93" s="315"/>
      <c r="AA93" s="315"/>
      <c r="AB93" s="315"/>
      <c r="AC93" s="315"/>
      <c r="AD93" s="315"/>
      <c r="AE93" s="315"/>
      <c r="AF93" s="315"/>
      <c r="AG93" s="315"/>
      <c r="AH93" s="315"/>
      <c r="AI93" s="316"/>
      <c r="AJ93" s="314"/>
      <c r="AK93" s="315"/>
      <c r="AL93" s="316"/>
      <c r="AM93" s="314"/>
      <c r="AN93" s="315"/>
      <c r="AO93" s="316"/>
      <c r="AP93" s="314"/>
      <c r="AQ93" s="315"/>
      <c r="AR93" s="315"/>
      <c r="AS93" s="315"/>
      <c r="AT93" s="316"/>
      <c r="AU93" s="314"/>
      <c r="AV93" s="315"/>
      <c r="AW93" s="315"/>
      <c r="AX93" s="315"/>
      <c r="AY93" s="315"/>
      <c r="AZ93" s="315"/>
      <c r="BA93" s="315"/>
      <c r="BB93" s="316"/>
      <c r="BC93" s="314"/>
      <c r="BD93" s="315"/>
      <c r="BE93" s="315"/>
      <c r="BF93" s="315"/>
      <c r="BG93" s="316"/>
      <c r="BH93" s="314"/>
      <c r="BI93" s="315"/>
      <c r="BJ93" s="316"/>
      <c r="BK93" s="314"/>
      <c r="BL93" s="315"/>
      <c r="BM93" s="315"/>
      <c r="BN93" s="316"/>
      <c r="BO93" s="314"/>
      <c r="BP93" s="315"/>
      <c r="BQ93" s="315"/>
      <c r="BR93" s="315"/>
      <c r="BS93" s="315"/>
      <c r="BT93" s="315"/>
      <c r="BU93" s="315"/>
      <c r="BV93" s="316"/>
      <c r="BW93" s="314"/>
      <c r="BX93" s="315"/>
      <c r="BY93" s="315"/>
      <c r="BZ93" s="315"/>
      <c r="CA93" s="315"/>
      <c r="CB93" s="316"/>
      <c r="CC93" s="314"/>
      <c r="CD93" s="315"/>
      <c r="CE93" s="316"/>
      <c r="CF93" s="314"/>
      <c r="CG93" s="315"/>
      <c r="CH93" s="315"/>
      <c r="CI93" s="317"/>
      <c r="CK93" s="236" t="str">
        <f t="shared" si="30"/>
        <v/>
      </c>
      <c r="CL93" s="237" t="str">
        <f t="shared" si="31"/>
        <v/>
      </c>
      <c r="CM93" s="237" t="str">
        <f t="shared" si="32"/>
        <v/>
      </c>
      <c r="CN93" s="237" t="str">
        <f t="shared" si="33"/>
        <v/>
      </c>
      <c r="CO93" s="238" t="str">
        <f t="shared" si="34"/>
        <v/>
      </c>
      <c r="CQ93" s="236" t="str">
        <f>desired_skills(C93,"Extra vaardigheden/Lesgeven op school","o")</f>
        <v/>
      </c>
      <c r="CR93" s="237" t="str">
        <f>desired_skills(C93,"Extra vaardigheden/Lesgeven op school","j")</f>
        <v/>
      </c>
      <c r="CS93" s="237" t="str">
        <f>desired_skills(C93,"Extra vaardigheden/Lesgeven op school","m")</f>
        <v/>
      </c>
      <c r="CT93" s="237" t="str">
        <f>desired_skills(C93,"Extra vaardigheden/Lesgeven op school","s")</f>
        <v/>
      </c>
      <c r="CU93" s="238" t="str">
        <f>desired_skills(C93,"Extra vaardigheden/Lesgeven op school","e")</f>
        <v/>
      </c>
      <c r="CW93" s="236" t="str">
        <f>calc_gap('Matrix 171007_1812'!$CK$93,'Matrix 171007_1812'!$CQ$93)</f>
        <v/>
      </c>
      <c r="CX93" s="237" t="str">
        <f>calc_gap('Matrix 171007_1812'!$CL$93,'Matrix 171007_1812'!$CR$93)</f>
        <v/>
      </c>
      <c r="CY93" s="237" t="str">
        <f>calc_gap('Matrix 171007_1812'!$CM$93,'Matrix 171007_1812'!$CS$93)</f>
        <v/>
      </c>
      <c r="CZ93" s="237" t="str">
        <f>calc_gap('Matrix 171007_1812'!$CN$93,'Matrix 171007_1812'!$CT$93)</f>
        <v/>
      </c>
      <c r="DA93" s="238" t="str">
        <f>calc_gap('Matrix 171007_1812'!$CO$93,'Matrix 171007_1812'!$CU$93)</f>
        <v/>
      </c>
    </row>
    <row r="94" spans="2:105" ht="15.75" thickBot="1" x14ac:dyDescent="0.3">
      <c r="B94" s="435"/>
      <c r="C94" s="292" t="s">
        <v>280</v>
      </c>
      <c r="D94" s="318"/>
      <c r="E94" s="319"/>
      <c r="F94" s="319"/>
      <c r="G94" s="319"/>
      <c r="H94" s="319"/>
      <c r="I94" s="319"/>
      <c r="J94" s="319"/>
      <c r="K94" s="320"/>
      <c r="L94" s="318"/>
      <c r="M94" s="319"/>
      <c r="N94" s="319"/>
      <c r="O94" s="320"/>
      <c r="P94" s="318"/>
      <c r="Q94" s="319"/>
      <c r="R94" s="319"/>
      <c r="S94" s="319"/>
      <c r="T94" s="319"/>
      <c r="U94" s="319"/>
      <c r="V94" s="319"/>
      <c r="W94" s="319"/>
      <c r="X94" s="319"/>
      <c r="Y94" s="319"/>
      <c r="Z94" s="319"/>
      <c r="AA94" s="319"/>
      <c r="AB94" s="319"/>
      <c r="AC94" s="319"/>
      <c r="AD94" s="319"/>
      <c r="AE94" s="319"/>
      <c r="AF94" s="319"/>
      <c r="AG94" s="319"/>
      <c r="AH94" s="319"/>
      <c r="AI94" s="320"/>
      <c r="AJ94" s="318"/>
      <c r="AK94" s="319"/>
      <c r="AL94" s="320"/>
      <c r="AM94" s="318"/>
      <c r="AN94" s="319"/>
      <c r="AO94" s="320"/>
      <c r="AP94" s="318"/>
      <c r="AQ94" s="319"/>
      <c r="AR94" s="319"/>
      <c r="AS94" s="319"/>
      <c r="AT94" s="320"/>
      <c r="AU94" s="318"/>
      <c r="AV94" s="319"/>
      <c r="AW94" s="319"/>
      <c r="AX94" s="319"/>
      <c r="AY94" s="319"/>
      <c r="AZ94" s="319"/>
      <c r="BA94" s="319"/>
      <c r="BB94" s="320"/>
      <c r="BC94" s="318"/>
      <c r="BD94" s="319"/>
      <c r="BE94" s="319"/>
      <c r="BF94" s="319"/>
      <c r="BG94" s="320"/>
      <c r="BH94" s="318"/>
      <c r="BI94" s="319"/>
      <c r="BJ94" s="320"/>
      <c r="BK94" s="318"/>
      <c r="BL94" s="319"/>
      <c r="BM94" s="319"/>
      <c r="BN94" s="320"/>
      <c r="BO94" s="318"/>
      <c r="BP94" s="319"/>
      <c r="BQ94" s="319"/>
      <c r="BR94" s="319"/>
      <c r="BS94" s="319"/>
      <c r="BT94" s="319"/>
      <c r="BU94" s="319"/>
      <c r="BV94" s="320"/>
      <c r="BW94" s="318"/>
      <c r="BX94" s="319"/>
      <c r="BY94" s="319"/>
      <c r="BZ94" s="319"/>
      <c r="CA94" s="319"/>
      <c r="CB94" s="320"/>
      <c r="CC94" s="318"/>
      <c r="CD94" s="319"/>
      <c r="CE94" s="320"/>
      <c r="CF94" s="318"/>
      <c r="CG94" s="319"/>
      <c r="CH94" s="319"/>
      <c r="CI94" s="321"/>
      <c r="CK94" s="239" t="str">
        <f t="shared" si="30"/>
        <v/>
      </c>
      <c r="CL94" s="240" t="str">
        <f t="shared" si="31"/>
        <v/>
      </c>
      <c r="CM94" s="240" t="str">
        <f t="shared" si="32"/>
        <v/>
      </c>
      <c r="CN94" s="240" t="str">
        <f t="shared" si="33"/>
        <v/>
      </c>
      <c r="CO94" s="241" t="str">
        <f t="shared" si="34"/>
        <v/>
      </c>
      <c r="CQ94" s="239" t="str">
        <f>desired_skills(C94,"Extra vaardigheden/Coachen","o")</f>
        <v/>
      </c>
      <c r="CR94" s="240" t="str">
        <f>desired_skills(C94,"Extra vaardigheden/Coachen","j")</f>
        <v/>
      </c>
      <c r="CS94" s="240" t="str">
        <f>desired_skills(C94,"Extra vaardigheden/Coachen","m")</f>
        <v/>
      </c>
      <c r="CT94" s="240" t="str">
        <f>desired_skills(C94,"Extra vaardigheden/Coachen","s")</f>
        <v/>
      </c>
      <c r="CU94" s="241" t="str">
        <f>desired_skills(C94,"Extra vaardigheden/Coachen","e")</f>
        <v/>
      </c>
      <c r="CW94" s="239" t="str">
        <f>calc_gap('Matrix 171007_1812'!$CK$94,'Matrix 171007_1812'!$CQ$94)</f>
        <v/>
      </c>
      <c r="CX94" s="240" t="str">
        <f>calc_gap('Matrix 171007_1812'!$CL$94,'Matrix 171007_1812'!$CR$94)</f>
        <v/>
      </c>
      <c r="CY94" s="240" t="str">
        <f>calc_gap('Matrix 171007_1812'!$CM$94,'Matrix 171007_1812'!$CS$94)</f>
        <v/>
      </c>
      <c r="CZ94" s="240" t="str">
        <f>calc_gap('Matrix 171007_1812'!$CN$94,'Matrix 171007_1812'!$CT$94)</f>
        <v/>
      </c>
      <c r="DA94" s="241" t="str">
        <f>calc_gap('Matrix 171007_1812'!$CO$94,'Matrix 171007_1812'!$CU$94)</f>
        <v/>
      </c>
    </row>
    <row r="95" spans="2:105" ht="12.75" customHeight="1" thickTop="1" thickBot="1" x14ac:dyDescent="0.3">
      <c r="B95" s="436"/>
      <c r="C95" s="248"/>
      <c r="D95" s="322"/>
      <c r="E95" s="322"/>
      <c r="F95" s="322"/>
      <c r="G95" s="322"/>
      <c r="H95" s="322"/>
      <c r="I95" s="322"/>
      <c r="J95" s="322"/>
      <c r="K95" s="322"/>
      <c r="L95" s="322"/>
      <c r="M95" s="322"/>
      <c r="N95" s="322"/>
      <c r="O95" s="322"/>
      <c r="P95" s="322"/>
      <c r="Q95" s="322"/>
      <c r="R95" s="322"/>
      <c r="S95" s="322"/>
      <c r="T95" s="322"/>
      <c r="U95" s="322"/>
      <c r="V95" s="322"/>
      <c r="W95" s="322"/>
      <c r="X95" s="322"/>
      <c r="Y95" s="322"/>
      <c r="Z95" s="322"/>
      <c r="AA95" s="322"/>
      <c r="AB95" s="322"/>
      <c r="AC95" s="322"/>
      <c r="AD95" s="322"/>
      <c r="AE95" s="322"/>
      <c r="AF95" s="322"/>
      <c r="AG95" s="322"/>
      <c r="AH95" s="322"/>
      <c r="AI95" s="322"/>
      <c r="AJ95" s="322"/>
      <c r="AK95" s="322"/>
      <c r="AL95" s="322"/>
      <c r="AM95" s="322"/>
      <c r="AN95" s="322"/>
      <c r="AO95" s="322"/>
      <c r="AP95" s="322"/>
      <c r="AQ95" s="322"/>
      <c r="AR95" s="322"/>
      <c r="AS95" s="322"/>
      <c r="AT95" s="322"/>
      <c r="AU95" s="322"/>
      <c r="AV95" s="322"/>
      <c r="AW95" s="322"/>
      <c r="AX95" s="322"/>
      <c r="AY95" s="322"/>
      <c r="AZ95" s="322"/>
      <c r="BA95" s="322"/>
      <c r="BB95" s="322"/>
      <c r="BC95" s="322"/>
      <c r="BD95" s="322"/>
      <c r="BE95" s="322"/>
      <c r="BF95" s="322"/>
      <c r="BG95" s="322"/>
      <c r="BH95" s="322"/>
      <c r="BI95" s="322"/>
      <c r="BJ95" s="322"/>
      <c r="BK95" s="322"/>
      <c r="BL95" s="322"/>
      <c r="BM95" s="322"/>
      <c r="BN95" s="322"/>
      <c r="BO95" s="322"/>
      <c r="BP95" s="322"/>
      <c r="BQ95" s="322"/>
      <c r="BR95" s="322"/>
      <c r="BS95" s="322"/>
      <c r="BT95" s="322"/>
      <c r="BU95" s="322"/>
      <c r="BV95" s="322"/>
      <c r="BW95" s="322"/>
      <c r="BX95" s="322"/>
      <c r="BY95" s="322"/>
      <c r="BZ95" s="322"/>
      <c r="CA95" s="322"/>
      <c r="CB95" s="322"/>
      <c r="CC95" s="322"/>
      <c r="CD95" s="322"/>
      <c r="CE95" s="322"/>
      <c r="CF95" s="322"/>
      <c r="CG95" s="322"/>
      <c r="CH95" s="322"/>
      <c r="CI95" s="322"/>
      <c r="CK95" s="249"/>
      <c r="CL95" s="249"/>
      <c r="CM95" s="249"/>
      <c r="CN95" s="249"/>
      <c r="CO95" s="249"/>
      <c r="CQ95" s="249"/>
      <c r="CR95" s="249"/>
      <c r="CS95" s="249"/>
      <c r="CT95" s="249"/>
      <c r="CU95" s="249"/>
      <c r="CW95" s="249"/>
      <c r="CX95" s="249"/>
      <c r="CY95" s="249"/>
      <c r="CZ95" s="249"/>
      <c r="DA95" s="249"/>
    </row>
    <row r="96" spans="2:105" ht="15.75" thickTop="1" x14ac:dyDescent="0.25">
      <c r="B96" s="434" t="s">
        <v>266</v>
      </c>
      <c r="C96" s="290" t="s">
        <v>184</v>
      </c>
      <c r="D96" s="310"/>
      <c r="E96" s="311"/>
      <c r="F96" s="311"/>
      <c r="G96" s="311"/>
      <c r="H96" s="311"/>
      <c r="I96" s="311"/>
      <c r="J96" s="311"/>
      <c r="K96" s="312"/>
      <c r="L96" s="310"/>
      <c r="M96" s="311"/>
      <c r="N96" s="311"/>
      <c r="O96" s="312"/>
      <c r="P96" s="310"/>
      <c r="Q96" s="311"/>
      <c r="R96" s="311"/>
      <c r="S96" s="311"/>
      <c r="T96" s="311"/>
      <c r="U96" s="311"/>
      <c r="V96" s="311"/>
      <c r="W96" s="311"/>
      <c r="X96" s="311"/>
      <c r="Y96" s="311"/>
      <c r="Z96" s="311"/>
      <c r="AA96" s="311"/>
      <c r="AB96" s="311"/>
      <c r="AC96" s="311"/>
      <c r="AD96" s="311"/>
      <c r="AE96" s="311"/>
      <c r="AF96" s="311"/>
      <c r="AG96" s="311"/>
      <c r="AH96" s="311"/>
      <c r="AI96" s="312"/>
      <c r="AJ96" s="310"/>
      <c r="AK96" s="311"/>
      <c r="AL96" s="312"/>
      <c r="AM96" s="310"/>
      <c r="AN96" s="311"/>
      <c r="AO96" s="312"/>
      <c r="AP96" s="310"/>
      <c r="AQ96" s="311"/>
      <c r="AR96" s="311"/>
      <c r="AS96" s="311"/>
      <c r="AT96" s="312"/>
      <c r="AU96" s="310"/>
      <c r="AV96" s="311"/>
      <c r="AW96" s="311"/>
      <c r="AX96" s="311"/>
      <c r="AY96" s="311"/>
      <c r="AZ96" s="311"/>
      <c r="BA96" s="311"/>
      <c r="BB96" s="312"/>
      <c r="BC96" s="310"/>
      <c r="BD96" s="311"/>
      <c r="BE96" s="311"/>
      <c r="BF96" s="311"/>
      <c r="BG96" s="312"/>
      <c r="BH96" s="310"/>
      <c r="BI96" s="311"/>
      <c r="BJ96" s="312"/>
      <c r="BK96" s="310"/>
      <c r="BL96" s="311"/>
      <c r="BM96" s="311"/>
      <c r="BN96" s="312"/>
      <c r="BO96" s="310"/>
      <c r="BP96" s="311"/>
      <c r="BQ96" s="311"/>
      <c r="BR96" s="311"/>
      <c r="BS96" s="311"/>
      <c r="BT96" s="311"/>
      <c r="BU96" s="311"/>
      <c r="BV96" s="312"/>
      <c r="BW96" s="310"/>
      <c r="BX96" s="311"/>
      <c r="BY96" s="311"/>
      <c r="BZ96" s="311"/>
      <c r="CA96" s="311"/>
      <c r="CB96" s="312"/>
      <c r="CC96" s="310"/>
      <c r="CD96" s="311"/>
      <c r="CE96" s="312"/>
      <c r="CF96" s="310"/>
      <c r="CG96" s="311"/>
      <c r="CH96" s="311"/>
      <c r="CI96" s="313"/>
      <c r="CK96" s="233" t="str">
        <f>IF(COUNTIF(D96:CI96,"o")&gt;0,COUNTIF(D96:CI96,"o"),"")</f>
        <v/>
      </c>
      <c r="CL96" s="234" t="str">
        <f>IF(COUNTIF(D96:CI96,"j")&gt;0,COUNTIF(D96:CI96,"j"),"")</f>
        <v/>
      </c>
      <c r="CM96" s="234" t="str">
        <f>IF(COUNTIF(D96:CI96,"m")&gt;0,COUNTIF(D96:CI96,"m"),"")</f>
        <v/>
      </c>
      <c r="CN96" s="234" t="str">
        <f>IF(COUNTIF(D96:CI96,"s")&gt;0,COUNTIF(D96:CI96,"s"),"")</f>
        <v/>
      </c>
      <c r="CO96" s="235" t="str">
        <f>IF(COUNTIF(D96:CI96,"e")&gt;0,COUNTIF(D96:CI96,"e"),"")</f>
        <v/>
      </c>
      <c r="CQ96" s="233" t="str">
        <f>desired_skills(C96,"Talen/Nederlands","o")</f>
        <v/>
      </c>
      <c r="CR96" s="234" t="str">
        <f>desired_skills(C96,"Talen/Nederlands","j")</f>
        <v/>
      </c>
      <c r="CS96" s="234" t="str">
        <f>desired_skills(C96,"Talen/Nederlands","m")</f>
        <v/>
      </c>
      <c r="CT96" s="234" t="str">
        <f>desired_skills(C96,"Talen/Nederlands","s")</f>
        <v/>
      </c>
      <c r="CU96" s="235" t="str">
        <f>desired_skills(C96,"Talen/Nederlands","e")</f>
        <v/>
      </c>
      <c r="CW96" s="233" t="str">
        <f>calc_gap('Matrix 171007_1812'!$CK$96,'Matrix 171007_1812'!$CQ$96)</f>
        <v/>
      </c>
      <c r="CX96" s="234" t="str">
        <f>calc_gap('Matrix 171007_1812'!$CL$96,'Matrix 171007_1812'!$CR$96)</f>
        <v/>
      </c>
      <c r="CY96" s="234" t="str">
        <f>calc_gap('Matrix 171007_1812'!$CM$96,'Matrix 171007_1812'!$CS$96)</f>
        <v/>
      </c>
      <c r="CZ96" s="234" t="str">
        <f>calc_gap('Matrix 171007_1812'!$CN$96,'Matrix 171007_1812'!$CT$96)</f>
        <v/>
      </c>
      <c r="DA96" s="235" t="str">
        <f>calc_gap('Matrix 171007_1812'!$CO$96,'Matrix 171007_1812'!$CU$96)</f>
        <v/>
      </c>
    </row>
    <row r="97" spans="2:105" x14ac:dyDescent="0.25">
      <c r="B97" s="435"/>
      <c r="C97" s="291" t="s">
        <v>123</v>
      </c>
      <c r="D97" s="314"/>
      <c r="E97" s="315"/>
      <c r="F97" s="315"/>
      <c r="G97" s="315"/>
      <c r="H97" s="315"/>
      <c r="I97" s="315"/>
      <c r="J97" s="315"/>
      <c r="K97" s="316"/>
      <c r="L97" s="314"/>
      <c r="M97" s="315"/>
      <c r="N97" s="315"/>
      <c r="O97" s="316"/>
      <c r="P97" s="314"/>
      <c r="Q97" s="315"/>
      <c r="R97" s="315"/>
      <c r="S97" s="315"/>
      <c r="T97" s="315"/>
      <c r="U97" s="315"/>
      <c r="V97" s="315"/>
      <c r="W97" s="315"/>
      <c r="X97" s="315"/>
      <c r="Y97" s="315"/>
      <c r="Z97" s="315"/>
      <c r="AA97" s="315"/>
      <c r="AB97" s="315"/>
      <c r="AC97" s="315"/>
      <c r="AD97" s="315"/>
      <c r="AE97" s="315"/>
      <c r="AF97" s="315"/>
      <c r="AG97" s="315"/>
      <c r="AH97" s="315"/>
      <c r="AI97" s="316"/>
      <c r="AJ97" s="314"/>
      <c r="AK97" s="315"/>
      <c r="AL97" s="316"/>
      <c r="AM97" s="314"/>
      <c r="AN97" s="315"/>
      <c r="AO97" s="316"/>
      <c r="AP97" s="314"/>
      <c r="AQ97" s="315"/>
      <c r="AR97" s="315"/>
      <c r="AS97" s="315"/>
      <c r="AT97" s="316"/>
      <c r="AU97" s="314"/>
      <c r="AV97" s="315"/>
      <c r="AW97" s="315"/>
      <c r="AX97" s="315"/>
      <c r="AY97" s="315"/>
      <c r="AZ97" s="315"/>
      <c r="BA97" s="315"/>
      <c r="BB97" s="316"/>
      <c r="BC97" s="314"/>
      <c r="BD97" s="315"/>
      <c r="BE97" s="315"/>
      <c r="BF97" s="315"/>
      <c r="BG97" s="316"/>
      <c r="BH97" s="314"/>
      <c r="BI97" s="315"/>
      <c r="BJ97" s="316"/>
      <c r="BK97" s="314"/>
      <c r="BL97" s="315"/>
      <c r="BM97" s="315"/>
      <c r="BN97" s="316"/>
      <c r="BO97" s="314"/>
      <c r="BP97" s="315"/>
      <c r="BQ97" s="315"/>
      <c r="BR97" s="315"/>
      <c r="BS97" s="315"/>
      <c r="BT97" s="315"/>
      <c r="BU97" s="315"/>
      <c r="BV97" s="316"/>
      <c r="BW97" s="314"/>
      <c r="BX97" s="315"/>
      <c r="BY97" s="315"/>
      <c r="BZ97" s="315"/>
      <c r="CA97" s="315"/>
      <c r="CB97" s="316"/>
      <c r="CC97" s="314"/>
      <c r="CD97" s="315"/>
      <c r="CE97" s="316"/>
      <c r="CF97" s="314"/>
      <c r="CG97" s="315"/>
      <c r="CH97" s="315"/>
      <c r="CI97" s="317"/>
      <c r="CK97" s="236" t="str">
        <f>IF(COUNTIF(D97:CI97,"o")&gt;0,COUNTIF(D97:CI97,"o"),"")</f>
        <v/>
      </c>
      <c r="CL97" s="237" t="str">
        <f>IF(COUNTIF(D97:CI97,"j")&gt;0,COUNTIF(D97:CI97,"j"),"")</f>
        <v/>
      </c>
      <c r="CM97" s="237" t="str">
        <f>IF(COUNTIF(D97:CI97,"m")&gt;0,COUNTIF(D97:CI97,"m"),"")</f>
        <v/>
      </c>
      <c r="CN97" s="237" t="str">
        <f>IF(COUNTIF(D97:CI97,"s")&gt;0,COUNTIF(D97:CI97,"s"),"")</f>
        <v/>
      </c>
      <c r="CO97" s="238" t="str">
        <f>IF(COUNTIF(D97:CI97,"e")&gt;0,COUNTIF(D97:CI97,"e"),"")</f>
        <v/>
      </c>
      <c r="CQ97" s="236" t="str">
        <f>desired_skills(C97,"Talen/Engels","o")</f>
        <v/>
      </c>
      <c r="CR97" s="237" t="str">
        <f>desired_skills(C97,"Talen/Engels","j")</f>
        <v/>
      </c>
      <c r="CS97" s="237" t="str">
        <f>desired_skills(C97,"Talen/Engels","m")</f>
        <v/>
      </c>
      <c r="CT97" s="237" t="str">
        <f>desired_skills(C97,"Talen/Engels","s")</f>
        <v/>
      </c>
      <c r="CU97" s="238" t="str">
        <f>desired_skills(C97,"Talen/Engels","e")</f>
        <v/>
      </c>
      <c r="CW97" s="236" t="str">
        <f>calc_gap('Matrix 171007_1812'!$CK$97,'Matrix 171007_1812'!$CQ$97)</f>
        <v/>
      </c>
      <c r="CX97" s="237" t="str">
        <f>calc_gap('Matrix 171007_1812'!$CL$97,'Matrix 171007_1812'!$CR$97)</f>
        <v/>
      </c>
      <c r="CY97" s="237" t="str">
        <f>calc_gap('Matrix 171007_1812'!$CM$97,'Matrix 171007_1812'!$CS$97)</f>
        <v/>
      </c>
      <c r="CZ97" s="237" t="str">
        <f>calc_gap('Matrix 171007_1812'!$CN$97,'Matrix 171007_1812'!$CT$97)</f>
        <v/>
      </c>
      <c r="DA97" s="238" t="str">
        <f>calc_gap('Matrix 171007_1812'!$CO$97,'Matrix 171007_1812'!$CU$97)</f>
        <v/>
      </c>
    </row>
    <row r="98" spans="2:105" x14ac:dyDescent="0.25">
      <c r="B98" s="435"/>
      <c r="C98" s="291" t="s">
        <v>268</v>
      </c>
      <c r="D98" s="314"/>
      <c r="E98" s="315"/>
      <c r="F98" s="315"/>
      <c r="G98" s="315"/>
      <c r="H98" s="315"/>
      <c r="I98" s="315"/>
      <c r="J98" s="315"/>
      <c r="K98" s="316"/>
      <c r="L98" s="314"/>
      <c r="M98" s="315"/>
      <c r="N98" s="315"/>
      <c r="O98" s="316"/>
      <c r="P98" s="314"/>
      <c r="Q98" s="315"/>
      <c r="R98" s="315"/>
      <c r="S98" s="315"/>
      <c r="T98" s="315"/>
      <c r="U98" s="315"/>
      <c r="V98" s="315"/>
      <c r="W98" s="315"/>
      <c r="X98" s="315"/>
      <c r="Y98" s="315"/>
      <c r="Z98" s="315"/>
      <c r="AA98" s="315"/>
      <c r="AB98" s="315"/>
      <c r="AC98" s="315"/>
      <c r="AD98" s="315"/>
      <c r="AE98" s="315"/>
      <c r="AF98" s="315"/>
      <c r="AG98" s="315"/>
      <c r="AH98" s="315"/>
      <c r="AI98" s="316"/>
      <c r="AJ98" s="314"/>
      <c r="AK98" s="315"/>
      <c r="AL98" s="316"/>
      <c r="AM98" s="314"/>
      <c r="AN98" s="315"/>
      <c r="AO98" s="316"/>
      <c r="AP98" s="314"/>
      <c r="AQ98" s="315"/>
      <c r="AR98" s="315"/>
      <c r="AS98" s="315"/>
      <c r="AT98" s="316"/>
      <c r="AU98" s="314"/>
      <c r="AV98" s="315"/>
      <c r="AW98" s="315"/>
      <c r="AX98" s="315"/>
      <c r="AY98" s="315"/>
      <c r="AZ98" s="315"/>
      <c r="BA98" s="315"/>
      <c r="BB98" s="316"/>
      <c r="BC98" s="314"/>
      <c r="BD98" s="315"/>
      <c r="BE98" s="315"/>
      <c r="BF98" s="315"/>
      <c r="BG98" s="316"/>
      <c r="BH98" s="314"/>
      <c r="BI98" s="315"/>
      <c r="BJ98" s="316"/>
      <c r="BK98" s="314"/>
      <c r="BL98" s="315"/>
      <c r="BM98" s="315"/>
      <c r="BN98" s="316"/>
      <c r="BO98" s="314"/>
      <c r="BP98" s="315"/>
      <c r="BQ98" s="315"/>
      <c r="BR98" s="315"/>
      <c r="BS98" s="315"/>
      <c r="BT98" s="315"/>
      <c r="BU98" s="315"/>
      <c r="BV98" s="316"/>
      <c r="BW98" s="314"/>
      <c r="BX98" s="315"/>
      <c r="BY98" s="315"/>
      <c r="BZ98" s="315"/>
      <c r="CA98" s="315"/>
      <c r="CB98" s="316"/>
      <c r="CC98" s="314"/>
      <c r="CD98" s="315"/>
      <c r="CE98" s="316"/>
      <c r="CF98" s="314"/>
      <c r="CG98" s="315"/>
      <c r="CH98" s="315"/>
      <c r="CI98" s="317"/>
      <c r="CK98" s="236" t="str">
        <f>IF(COUNTIF(D98:CI98,"o")&gt;0,COUNTIF(D98:CI98,"o"),"")</f>
        <v/>
      </c>
      <c r="CL98" s="237" t="str">
        <f>IF(COUNTIF(D98:CI98,"j")&gt;0,COUNTIF(D98:CI98,"j"),"")</f>
        <v/>
      </c>
      <c r="CM98" s="237" t="str">
        <f>IF(COUNTIF(D98:CI98,"m")&gt;0,COUNTIF(D98:CI98,"m"),"")</f>
        <v/>
      </c>
      <c r="CN98" s="237" t="str">
        <f>IF(COUNTIF(D98:CI98,"s")&gt;0,COUNTIF(D98:CI98,"s"),"")</f>
        <v/>
      </c>
      <c r="CO98" s="238" t="str">
        <f>IF(COUNTIF(D98:CI98,"e")&gt;0,COUNTIF(D98:CI98,"e"),"")</f>
        <v/>
      </c>
      <c r="CQ98" s="236" t="str">
        <f>desired_skills(C98,"Talen/Duits","o")</f>
        <v/>
      </c>
      <c r="CR98" s="237" t="str">
        <f>desired_skills(C98,"Talen/Duits","j")</f>
        <v/>
      </c>
      <c r="CS98" s="237" t="str">
        <f>desired_skills(C98,"Talen/Duits","m")</f>
        <v/>
      </c>
      <c r="CT98" s="237" t="str">
        <f>desired_skills(C98,"Talen/Duits","s")</f>
        <v/>
      </c>
      <c r="CU98" s="238" t="str">
        <f>desired_skills(C98,"Talen/Duits","e")</f>
        <v/>
      </c>
      <c r="CW98" s="236" t="str">
        <f>calc_gap('Matrix 171007_1812'!$CK$98,'Matrix 171007_1812'!$CQ$98)</f>
        <v/>
      </c>
      <c r="CX98" s="237" t="str">
        <f>calc_gap('Matrix 171007_1812'!$CL$98,'Matrix 171007_1812'!$CR$98)</f>
        <v/>
      </c>
      <c r="CY98" s="237" t="str">
        <f>calc_gap('Matrix 171007_1812'!$CM$98,'Matrix 171007_1812'!$CS$98)</f>
        <v/>
      </c>
      <c r="CZ98" s="237" t="str">
        <f>calc_gap('Matrix 171007_1812'!$CN$98,'Matrix 171007_1812'!$CT$98)</f>
        <v/>
      </c>
      <c r="DA98" s="238" t="str">
        <f>calc_gap('Matrix 171007_1812'!$CO$98,'Matrix 171007_1812'!$CU$98)</f>
        <v/>
      </c>
    </row>
    <row r="99" spans="2:105" ht="15.75" thickBot="1" x14ac:dyDescent="0.3">
      <c r="B99" s="435"/>
      <c r="C99" s="292" t="s">
        <v>143</v>
      </c>
      <c r="D99" s="318"/>
      <c r="E99" s="319"/>
      <c r="F99" s="319"/>
      <c r="G99" s="319"/>
      <c r="H99" s="319"/>
      <c r="I99" s="319"/>
      <c r="J99" s="319"/>
      <c r="K99" s="320"/>
      <c r="L99" s="318"/>
      <c r="M99" s="319"/>
      <c r="N99" s="319"/>
      <c r="O99" s="320"/>
      <c r="P99" s="318"/>
      <c r="Q99" s="319"/>
      <c r="R99" s="319"/>
      <c r="S99" s="319"/>
      <c r="T99" s="319"/>
      <c r="U99" s="319"/>
      <c r="V99" s="319"/>
      <c r="W99" s="319"/>
      <c r="X99" s="319"/>
      <c r="Y99" s="319"/>
      <c r="Z99" s="319"/>
      <c r="AA99" s="319"/>
      <c r="AB99" s="319"/>
      <c r="AC99" s="319"/>
      <c r="AD99" s="319"/>
      <c r="AE99" s="319"/>
      <c r="AF99" s="319"/>
      <c r="AG99" s="319"/>
      <c r="AH99" s="319"/>
      <c r="AI99" s="320"/>
      <c r="AJ99" s="318"/>
      <c r="AK99" s="319"/>
      <c r="AL99" s="320"/>
      <c r="AM99" s="318"/>
      <c r="AN99" s="319"/>
      <c r="AO99" s="320"/>
      <c r="AP99" s="318"/>
      <c r="AQ99" s="319"/>
      <c r="AR99" s="319"/>
      <c r="AS99" s="319"/>
      <c r="AT99" s="320"/>
      <c r="AU99" s="318"/>
      <c r="AV99" s="319"/>
      <c r="AW99" s="319"/>
      <c r="AX99" s="319"/>
      <c r="AY99" s="319"/>
      <c r="AZ99" s="319"/>
      <c r="BA99" s="319"/>
      <c r="BB99" s="320"/>
      <c r="BC99" s="318"/>
      <c r="BD99" s="319"/>
      <c r="BE99" s="319"/>
      <c r="BF99" s="319"/>
      <c r="BG99" s="320"/>
      <c r="BH99" s="318"/>
      <c r="BI99" s="319"/>
      <c r="BJ99" s="320"/>
      <c r="BK99" s="318"/>
      <c r="BL99" s="319"/>
      <c r="BM99" s="319"/>
      <c r="BN99" s="320"/>
      <c r="BO99" s="318"/>
      <c r="BP99" s="319"/>
      <c r="BQ99" s="319"/>
      <c r="BR99" s="319"/>
      <c r="BS99" s="319"/>
      <c r="BT99" s="319"/>
      <c r="BU99" s="319"/>
      <c r="BV99" s="320"/>
      <c r="BW99" s="318"/>
      <c r="BX99" s="319"/>
      <c r="BY99" s="319"/>
      <c r="BZ99" s="319"/>
      <c r="CA99" s="319"/>
      <c r="CB99" s="320"/>
      <c r="CC99" s="318"/>
      <c r="CD99" s="319"/>
      <c r="CE99" s="320"/>
      <c r="CF99" s="318"/>
      <c r="CG99" s="319"/>
      <c r="CH99" s="319"/>
      <c r="CI99" s="321"/>
      <c r="CK99" s="239" t="str">
        <f>IF(COUNTIF(D99:CI99,"o")&gt;0,COUNTIF(D99:CI99,"o"),"")</f>
        <v/>
      </c>
      <c r="CL99" s="240" t="str">
        <f>IF(COUNTIF(D99:CI99,"j")&gt;0,COUNTIF(D99:CI99,"j"),"")</f>
        <v/>
      </c>
      <c r="CM99" s="240" t="str">
        <f>IF(COUNTIF(D99:CI99,"m")&gt;0,COUNTIF(D99:CI99,"m"),"")</f>
        <v/>
      </c>
      <c r="CN99" s="240" t="str">
        <f>IF(COUNTIF(D99:CI99,"s")&gt;0,COUNTIF(D99:CI99,"s"),"")</f>
        <v/>
      </c>
      <c r="CO99" s="241" t="str">
        <f>IF(COUNTIF(D99:CI99,"e")&gt;0,COUNTIF(D99:CI99,"e"),"")</f>
        <v/>
      </c>
      <c r="CQ99" s="239" t="str">
        <f>desired_skills(C99,"Talen/Frans","o")</f>
        <v/>
      </c>
      <c r="CR99" s="240" t="str">
        <f>desired_skills(C99,"Talen/Frans","j")</f>
        <v/>
      </c>
      <c r="CS99" s="240" t="str">
        <f>desired_skills(C99,"Talen/Frans","m")</f>
        <v/>
      </c>
      <c r="CT99" s="240" t="str">
        <f>desired_skills(C99,"Talen/Frans","s")</f>
        <v/>
      </c>
      <c r="CU99" s="241" t="str">
        <f>desired_skills(C99,"Talen/Frans","e")</f>
        <v/>
      </c>
      <c r="CW99" s="239" t="str">
        <f>calc_gap('Matrix 171007_1812'!$CK$99,'Matrix 171007_1812'!$CQ$99)</f>
        <v/>
      </c>
      <c r="CX99" s="240" t="str">
        <f>calc_gap('Matrix 171007_1812'!$CL$99,'Matrix 171007_1812'!$CR$99)</f>
        <v/>
      </c>
      <c r="CY99" s="240" t="str">
        <f>calc_gap('Matrix 171007_1812'!$CM$99,'Matrix 171007_1812'!$CS$99)</f>
        <v/>
      </c>
      <c r="CZ99" s="240" t="str">
        <f>calc_gap('Matrix 171007_1812'!$CN$99,'Matrix 171007_1812'!$CT$99)</f>
        <v/>
      </c>
      <c r="DA99" s="241" t="str">
        <f>calc_gap('Matrix 171007_1812'!$CO$99,'Matrix 171007_1812'!$CU$99)</f>
        <v/>
      </c>
    </row>
    <row r="100" spans="2:105" ht="12.75" customHeight="1" thickTop="1" thickBot="1" x14ac:dyDescent="0.3">
      <c r="B100" s="437"/>
      <c r="C100" s="248"/>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2"/>
      <c r="BK100" s="322"/>
      <c r="BL100" s="322"/>
      <c r="BM100" s="322"/>
      <c r="BN100" s="322"/>
      <c r="BO100" s="322"/>
      <c r="BP100" s="322"/>
      <c r="BQ100" s="322"/>
      <c r="BR100" s="322"/>
      <c r="BS100" s="322"/>
      <c r="BT100" s="322"/>
      <c r="BU100" s="322"/>
      <c r="BV100" s="322"/>
      <c r="BW100" s="322"/>
      <c r="BX100" s="322"/>
      <c r="BY100" s="322"/>
      <c r="BZ100" s="322"/>
      <c r="CA100" s="322"/>
      <c r="CB100" s="322"/>
      <c r="CC100" s="322"/>
      <c r="CD100" s="322"/>
      <c r="CE100" s="322"/>
      <c r="CF100" s="322"/>
      <c r="CG100" s="322"/>
      <c r="CH100" s="322"/>
      <c r="CI100" s="322"/>
      <c r="CK100" s="249"/>
      <c r="CL100" s="249"/>
      <c r="CM100" s="249"/>
      <c r="CN100" s="249"/>
      <c r="CO100" s="249"/>
      <c r="CQ100" s="249"/>
      <c r="CR100" s="249"/>
      <c r="CS100" s="249"/>
      <c r="CT100" s="249"/>
      <c r="CU100" s="249"/>
      <c r="CW100" s="249"/>
      <c r="CX100" s="249"/>
      <c r="CY100" s="249"/>
      <c r="CZ100" s="249"/>
      <c r="DA100" s="249"/>
    </row>
    <row r="101" spans="2:105" ht="16.5" thickTop="1" thickBot="1" x14ac:dyDescent="0.3"/>
    <row r="102" spans="2:105" ht="15.75" thickTop="1" x14ac:dyDescent="0.25">
      <c r="B102" s="434" t="s">
        <v>303</v>
      </c>
      <c r="C102" s="298" t="s">
        <v>217</v>
      </c>
      <c r="D102" s="294" t="str">
        <f t="shared" ref="D102:AI102" si="35">IF(COUNTIF(D4:D100,"o")&gt;0,COUNTIF(D4:D100,"o"),"")</f>
        <v/>
      </c>
      <c r="E102" s="234" t="str">
        <f t="shared" si="35"/>
        <v/>
      </c>
      <c r="F102" s="234" t="str">
        <f t="shared" si="35"/>
        <v/>
      </c>
      <c r="G102" s="234" t="str">
        <f t="shared" si="35"/>
        <v/>
      </c>
      <c r="H102" s="234" t="str">
        <f t="shared" si="35"/>
        <v/>
      </c>
      <c r="I102" s="234" t="str">
        <f t="shared" si="35"/>
        <v/>
      </c>
      <c r="J102" s="234" t="str">
        <f t="shared" si="35"/>
        <v/>
      </c>
      <c r="K102" s="242" t="str">
        <f t="shared" si="35"/>
        <v/>
      </c>
      <c r="L102" s="233" t="str">
        <f t="shared" si="35"/>
        <v/>
      </c>
      <c r="M102" s="234" t="str">
        <f t="shared" si="35"/>
        <v/>
      </c>
      <c r="N102" s="234" t="str">
        <f t="shared" si="35"/>
        <v/>
      </c>
      <c r="O102" s="242" t="str">
        <f t="shared" si="35"/>
        <v/>
      </c>
      <c r="P102" s="233" t="str">
        <f t="shared" si="35"/>
        <v/>
      </c>
      <c r="Q102" s="234" t="str">
        <f t="shared" si="35"/>
        <v/>
      </c>
      <c r="R102" s="234" t="str">
        <f t="shared" si="35"/>
        <v/>
      </c>
      <c r="S102" s="234" t="str">
        <f t="shared" si="35"/>
        <v/>
      </c>
      <c r="T102" s="234" t="str">
        <f t="shared" si="35"/>
        <v/>
      </c>
      <c r="U102" s="234" t="str">
        <f t="shared" si="35"/>
        <v/>
      </c>
      <c r="V102" s="234" t="str">
        <f t="shared" si="35"/>
        <v/>
      </c>
      <c r="W102" s="234" t="str">
        <f t="shared" si="35"/>
        <v/>
      </c>
      <c r="X102" s="234" t="str">
        <f t="shared" si="35"/>
        <v/>
      </c>
      <c r="Y102" s="234" t="str">
        <f t="shared" si="35"/>
        <v/>
      </c>
      <c r="Z102" s="234" t="str">
        <f t="shared" si="35"/>
        <v/>
      </c>
      <c r="AA102" s="234" t="str">
        <f t="shared" si="35"/>
        <v/>
      </c>
      <c r="AB102" s="234" t="str">
        <f t="shared" si="35"/>
        <v/>
      </c>
      <c r="AC102" s="234" t="str">
        <f t="shared" si="35"/>
        <v/>
      </c>
      <c r="AD102" s="234" t="str">
        <f t="shared" si="35"/>
        <v/>
      </c>
      <c r="AE102" s="234" t="str">
        <f t="shared" si="35"/>
        <v/>
      </c>
      <c r="AF102" s="234" t="str">
        <f t="shared" si="35"/>
        <v/>
      </c>
      <c r="AG102" s="234" t="str">
        <f t="shared" si="35"/>
        <v/>
      </c>
      <c r="AH102" s="234" t="str">
        <f t="shared" si="35"/>
        <v/>
      </c>
      <c r="AI102" s="242" t="str">
        <f t="shared" si="35"/>
        <v/>
      </c>
      <c r="AJ102" s="233" t="str">
        <f t="shared" ref="AJ102:BO102" si="36">IF(COUNTIF(AJ4:AJ100,"o")&gt;0,COUNTIF(AJ4:AJ100,"o"),"")</f>
        <v/>
      </c>
      <c r="AK102" s="234" t="str">
        <f t="shared" si="36"/>
        <v/>
      </c>
      <c r="AL102" s="242" t="str">
        <f t="shared" si="36"/>
        <v/>
      </c>
      <c r="AM102" s="233" t="str">
        <f t="shared" si="36"/>
        <v/>
      </c>
      <c r="AN102" s="234" t="str">
        <f t="shared" si="36"/>
        <v/>
      </c>
      <c r="AO102" s="242" t="str">
        <f t="shared" si="36"/>
        <v/>
      </c>
      <c r="AP102" s="233" t="str">
        <f t="shared" si="36"/>
        <v/>
      </c>
      <c r="AQ102" s="234" t="str">
        <f t="shared" si="36"/>
        <v/>
      </c>
      <c r="AR102" s="234" t="str">
        <f t="shared" si="36"/>
        <v/>
      </c>
      <c r="AS102" s="234" t="str">
        <f t="shared" si="36"/>
        <v/>
      </c>
      <c r="AT102" s="242" t="str">
        <f t="shared" si="36"/>
        <v/>
      </c>
      <c r="AU102" s="233" t="str">
        <f t="shared" si="36"/>
        <v/>
      </c>
      <c r="AV102" s="234">
        <f t="shared" si="36"/>
        <v>3</v>
      </c>
      <c r="AW102" s="234">
        <f t="shared" si="36"/>
        <v>9</v>
      </c>
      <c r="AX102" s="234" t="str">
        <f t="shared" si="36"/>
        <v/>
      </c>
      <c r="AY102" s="234" t="str">
        <f t="shared" si="36"/>
        <v/>
      </c>
      <c r="AZ102" s="234">
        <f t="shared" si="36"/>
        <v>1</v>
      </c>
      <c r="BA102" s="234">
        <f t="shared" si="36"/>
        <v>2</v>
      </c>
      <c r="BB102" s="242" t="str">
        <f t="shared" si="36"/>
        <v/>
      </c>
      <c r="BC102" s="233">
        <f t="shared" si="36"/>
        <v>20</v>
      </c>
      <c r="BD102" s="234">
        <f t="shared" si="36"/>
        <v>12</v>
      </c>
      <c r="BE102" s="234" t="str">
        <f t="shared" si="36"/>
        <v/>
      </c>
      <c r="BF102" s="234" t="str">
        <f t="shared" si="36"/>
        <v/>
      </c>
      <c r="BG102" s="242" t="str">
        <f t="shared" si="36"/>
        <v/>
      </c>
      <c r="BH102" s="233" t="str">
        <f t="shared" si="36"/>
        <v/>
      </c>
      <c r="BI102" s="234">
        <f t="shared" si="36"/>
        <v>2</v>
      </c>
      <c r="BJ102" s="242" t="str">
        <f t="shared" si="36"/>
        <v/>
      </c>
      <c r="BK102" s="233" t="str">
        <f t="shared" si="36"/>
        <v/>
      </c>
      <c r="BL102" s="234">
        <f t="shared" si="36"/>
        <v>3</v>
      </c>
      <c r="BM102" s="234" t="str">
        <f t="shared" si="36"/>
        <v/>
      </c>
      <c r="BN102" s="242">
        <f t="shared" si="36"/>
        <v>9</v>
      </c>
      <c r="BO102" s="233" t="str">
        <f t="shared" si="36"/>
        <v/>
      </c>
      <c r="BP102" s="234" t="str">
        <f t="shared" ref="BP102:CI102" si="37">IF(COUNTIF(BP4:BP100,"o")&gt;0,COUNTIF(BP4:BP100,"o"),"")</f>
        <v/>
      </c>
      <c r="BQ102" s="234" t="str">
        <f t="shared" si="37"/>
        <v/>
      </c>
      <c r="BR102" s="234" t="str">
        <f t="shared" si="37"/>
        <v/>
      </c>
      <c r="BS102" s="234">
        <f t="shared" si="37"/>
        <v>22</v>
      </c>
      <c r="BT102" s="234">
        <f t="shared" si="37"/>
        <v>1</v>
      </c>
      <c r="BU102" s="234" t="str">
        <f t="shared" si="37"/>
        <v/>
      </c>
      <c r="BV102" s="242" t="str">
        <f t="shared" si="37"/>
        <v/>
      </c>
      <c r="BW102" s="233">
        <f t="shared" si="37"/>
        <v>3</v>
      </c>
      <c r="BX102" s="234" t="str">
        <f t="shared" si="37"/>
        <v/>
      </c>
      <c r="BY102" s="234" t="str">
        <f t="shared" si="37"/>
        <v/>
      </c>
      <c r="BZ102" s="234">
        <f t="shared" si="37"/>
        <v>1</v>
      </c>
      <c r="CA102" s="234" t="str">
        <f t="shared" si="37"/>
        <v/>
      </c>
      <c r="CB102" s="242" t="str">
        <f t="shared" si="37"/>
        <v/>
      </c>
      <c r="CC102" s="233" t="str">
        <f t="shared" si="37"/>
        <v/>
      </c>
      <c r="CD102" s="234" t="str">
        <f t="shared" si="37"/>
        <v/>
      </c>
      <c r="CE102" s="242" t="str">
        <f t="shared" si="37"/>
        <v/>
      </c>
      <c r="CF102" s="233" t="str">
        <f t="shared" si="37"/>
        <v/>
      </c>
      <c r="CG102" s="234" t="str">
        <f t="shared" si="37"/>
        <v/>
      </c>
      <c r="CH102" s="234" t="str">
        <f t="shared" si="37"/>
        <v/>
      </c>
      <c r="CI102" s="235" t="str">
        <f t="shared" si="37"/>
        <v/>
      </c>
    </row>
    <row r="103" spans="2:105" x14ac:dyDescent="0.25">
      <c r="B103" s="435"/>
      <c r="C103" s="299" t="s">
        <v>218</v>
      </c>
      <c r="D103" s="295" t="str">
        <f t="shared" ref="D103:AI103" si="38">IF(COUNTIF(D4:D100,"j")&gt;0,COUNTIF(D4:D100,"j"),"")</f>
        <v/>
      </c>
      <c r="E103" s="237" t="str">
        <f t="shared" si="38"/>
        <v/>
      </c>
      <c r="F103" s="237" t="str">
        <f t="shared" si="38"/>
        <v/>
      </c>
      <c r="G103" s="237" t="str">
        <f t="shared" si="38"/>
        <v/>
      </c>
      <c r="H103" s="237" t="str">
        <f t="shared" si="38"/>
        <v/>
      </c>
      <c r="I103" s="237" t="str">
        <f t="shared" si="38"/>
        <v/>
      </c>
      <c r="J103" s="237" t="str">
        <f t="shared" si="38"/>
        <v/>
      </c>
      <c r="K103" s="243" t="str">
        <f t="shared" si="38"/>
        <v/>
      </c>
      <c r="L103" s="236" t="str">
        <f t="shared" si="38"/>
        <v/>
      </c>
      <c r="M103" s="237" t="str">
        <f t="shared" si="38"/>
        <v/>
      </c>
      <c r="N103" s="237" t="str">
        <f t="shared" si="38"/>
        <v/>
      </c>
      <c r="O103" s="243" t="str">
        <f t="shared" si="38"/>
        <v/>
      </c>
      <c r="P103" s="236" t="str">
        <f t="shared" si="38"/>
        <v/>
      </c>
      <c r="Q103" s="237" t="str">
        <f t="shared" si="38"/>
        <v/>
      </c>
      <c r="R103" s="237" t="str">
        <f t="shared" si="38"/>
        <v/>
      </c>
      <c r="S103" s="237" t="str">
        <f t="shared" si="38"/>
        <v/>
      </c>
      <c r="T103" s="237" t="str">
        <f t="shared" si="38"/>
        <v/>
      </c>
      <c r="U103" s="237" t="str">
        <f t="shared" si="38"/>
        <v/>
      </c>
      <c r="V103" s="237" t="str">
        <f t="shared" si="38"/>
        <v/>
      </c>
      <c r="W103" s="237" t="str">
        <f t="shared" si="38"/>
        <v/>
      </c>
      <c r="X103" s="237" t="str">
        <f t="shared" si="38"/>
        <v/>
      </c>
      <c r="Y103" s="237" t="str">
        <f t="shared" si="38"/>
        <v/>
      </c>
      <c r="Z103" s="237" t="str">
        <f t="shared" si="38"/>
        <v/>
      </c>
      <c r="AA103" s="237" t="str">
        <f t="shared" si="38"/>
        <v/>
      </c>
      <c r="AB103" s="237" t="str">
        <f t="shared" si="38"/>
        <v/>
      </c>
      <c r="AC103" s="237" t="str">
        <f t="shared" si="38"/>
        <v/>
      </c>
      <c r="AD103" s="237" t="str">
        <f t="shared" si="38"/>
        <v/>
      </c>
      <c r="AE103" s="237" t="str">
        <f t="shared" si="38"/>
        <v/>
      </c>
      <c r="AF103" s="237" t="str">
        <f t="shared" si="38"/>
        <v/>
      </c>
      <c r="AG103" s="237" t="str">
        <f t="shared" si="38"/>
        <v/>
      </c>
      <c r="AH103" s="237" t="str">
        <f t="shared" si="38"/>
        <v/>
      </c>
      <c r="AI103" s="243" t="str">
        <f t="shared" si="38"/>
        <v/>
      </c>
      <c r="AJ103" s="236" t="str">
        <f t="shared" ref="AJ103:BO103" si="39">IF(COUNTIF(AJ4:AJ100,"j")&gt;0,COUNTIF(AJ4:AJ100,"j"),"")</f>
        <v/>
      </c>
      <c r="AK103" s="237" t="str">
        <f t="shared" si="39"/>
        <v/>
      </c>
      <c r="AL103" s="243" t="str">
        <f t="shared" si="39"/>
        <v/>
      </c>
      <c r="AM103" s="236" t="str">
        <f t="shared" si="39"/>
        <v/>
      </c>
      <c r="AN103" s="237" t="str">
        <f t="shared" si="39"/>
        <v/>
      </c>
      <c r="AO103" s="243" t="str">
        <f t="shared" si="39"/>
        <v/>
      </c>
      <c r="AP103" s="236" t="str">
        <f t="shared" si="39"/>
        <v/>
      </c>
      <c r="AQ103" s="237" t="str">
        <f t="shared" si="39"/>
        <v/>
      </c>
      <c r="AR103" s="237" t="str">
        <f t="shared" si="39"/>
        <v/>
      </c>
      <c r="AS103" s="237" t="str">
        <f t="shared" si="39"/>
        <v/>
      </c>
      <c r="AT103" s="243" t="str">
        <f t="shared" si="39"/>
        <v/>
      </c>
      <c r="AU103" s="236">
        <f t="shared" si="39"/>
        <v>12</v>
      </c>
      <c r="AV103" s="237">
        <f t="shared" si="39"/>
        <v>9</v>
      </c>
      <c r="AW103" s="237">
        <f t="shared" si="39"/>
        <v>15</v>
      </c>
      <c r="AX103" s="237">
        <f t="shared" si="39"/>
        <v>7</v>
      </c>
      <c r="AY103" s="237">
        <f t="shared" si="39"/>
        <v>14</v>
      </c>
      <c r="AZ103" s="237">
        <f t="shared" si="39"/>
        <v>7</v>
      </c>
      <c r="BA103" s="237">
        <f t="shared" si="39"/>
        <v>5</v>
      </c>
      <c r="BB103" s="243">
        <f t="shared" si="39"/>
        <v>14</v>
      </c>
      <c r="BC103" s="236">
        <f t="shared" si="39"/>
        <v>18</v>
      </c>
      <c r="BD103" s="237">
        <f t="shared" si="39"/>
        <v>22</v>
      </c>
      <c r="BE103" s="237" t="str">
        <f t="shared" si="39"/>
        <v/>
      </c>
      <c r="BF103" s="237">
        <f t="shared" si="39"/>
        <v>17</v>
      </c>
      <c r="BG103" s="243" t="str">
        <f t="shared" si="39"/>
        <v/>
      </c>
      <c r="BH103" s="236" t="str">
        <f t="shared" si="39"/>
        <v/>
      </c>
      <c r="BI103" s="237">
        <f t="shared" si="39"/>
        <v>6</v>
      </c>
      <c r="BJ103" s="243" t="str">
        <f t="shared" si="39"/>
        <v/>
      </c>
      <c r="BK103" s="236">
        <f t="shared" si="39"/>
        <v>14</v>
      </c>
      <c r="BL103" s="237">
        <f t="shared" si="39"/>
        <v>6</v>
      </c>
      <c r="BM103" s="237" t="str">
        <f t="shared" si="39"/>
        <v/>
      </c>
      <c r="BN103" s="243">
        <f t="shared" si="39"/>
        <v>8</v>
      </c>
      <c r="BO103" s="236">
        <f t="shared" si="39"/>
        <v>13</v>
      </c>
      <c r="BP103" s="237">
        <f t="shared" ref="BP103:CI103" si="40">IF(COUNTIF(BP4:BP100,"j")&gt;0,COUNTIF(BP4:BP100,"j"),"")</f>
        <v>3</v>
      </c>
      <c r="BQ103" s="237">
        <f t="shared" si="40"/>
        <v>9</v>
      </c>
      <c r="BR103" s="237" t="str">
        <f t="shared" si="40"/>
        <v/>
      </c>
      <c r="BS103" s="237">
        <f t="shared" si="40"/>
        <v>15</v>
      </c>
      <c r="BT103" s="237">
        <f t="shared" si="40"/>
        <v>8</v>
      </c>
      <c r="BU103" s="237">
        <f t="shared" si="40"/>
        <v>2</v>
      </c>
      <c r="BV103" s="243" t="str">
        <f t="shared" si="40"/>
        <v/>
      </c>
      <c r="BW103" s="236">
        <f t="shared" si="40"/>
        <v>9</v>
      </c>
      <c r="BX103" s="237">
        <f t="shared" si="40"/>
        <v>3</v>
      </c>
      <c r="BY103" s="237">
        <f t="shared" si="40"/>
        <v>12</v>
      </c>
      <c r="BZ103" s="237">
        <f t="shared" si="40"/>
        <v>7</v>
      </c>
      <c r="CA103" s="237">
        <f t="shared" si="40"/>
        <v>18</v>
      </c>
      <c r="CB103" s="243">
        <f t="shared" si="40"/>
        <v>15</v>
      </c>
      <c r="CC103" s="236">
        <f t="shared" si="40"/>
        <v>8</v>
      </c>
      <c r="CD103" s="237">
        <f t="shared" si="40"/>
        <v>18</v>
      </c>
      <c r="CE103" s="243" t="str">
        <f t="shared" si="40"/>
        <v/>
      </c>
      <c r="CF103" s="236" t="str">
        <f t="shared" si="40"/>
        <v/>
      </c>
      <c r="CG103" s="237" t="str">
        <f t="shared" si="40"/>
        <v/>
      </c>
      <c r="CH103" s="237" t="str">
        <f t="shared" si="40"/>
        <v/>
      </c>
      <c r="CI103" s="238" t="str">
        <f t="shared" si="40"/>
        <v/>
      </c>
    </row>
    <row r="104" spans="2:105" x14ac:dyDescent="0.25">
      <c r="B104" s="435"/>
      <c r="C104" s="300" t="s">
        <v>219</v>
      </c>
      <c r="D104" s="295" t="str">
        <f t="shared" ref="D104:AI104" si="41">IF(COUNTIF(D4:D100,"m")&gt;0,COUNTIF(D4:D100,"m"),"")</f>
        <v/>
      </c>
      <c r="E104" s="237" t="str">
        <f t="shared" si="41"/>
        <v/>
      </c>
      <c r="F104" s="237" t="str">
        <f t="shared" si="41"/>
        <v/>
      </c>
      <c r="G104" s="237" t="str">
        <f t="shared" si="41"/>
        <v/>
      </c>
      <c r="H104" s="237" t="str">
        <f t="shared" si="41"/>
        <v/>
      </c>
      <c r="I104" s="237" t="str">
        <f t="shared" si="41"/>
        <v/>
      </c>
      <c r="J104" s="237" t="str">
        <f t="shared" si="41"/>
        <v/>
      </c>
      <c r="K104" s="243" t="str">
        <f t="shared" si="41"/>
        <v/>
      </c>
      <c r="L104" s="236" t="str">
        <f t="shared" si="41"/>
        <v/>
      </c>
      <c r="M104" s="237" t="str">
        <f t="shared" si="41"/>
        <v/>
      </c>
      <c r="N104" s="237" t="str">
        <f t="shared" si="41"/>
        <v/>
      </c>
      <c r="O104" s="243" t="str">
        <f t="shared" si="41"/>
        <v/>
      </c>
      <c r="P104" s="236" t="str">
        <f t="shared" si="41"/>
        <v/>
      </c>
      <c r="Q104" s="237" t="str">
        <f t="shared" si="41"/>
        <v/>
      </c>
      <c r="R104" s="237" t="str">
        <f t="shared" si="41"/>
        <v/>
      </c>
      <c r="S104" s="237" t="str">
        <f t="shared" si="41"/>
        <v/>
      </c>
      <c r="T104" s="237" t="str">
        <f t="shared" si="41"/>
        <v/>
      </c>
      <c r="U104" s="237" t="str">
        <f t="shared" si="41"/>
        <v/>
      </c>
      <c r="V104" s="237" t="str">
        <f t="shared" si="41"/>
        <v/>
      </c>
      <c r="W104" s="237" t="str">
        <f t="shared" si="41"/>
        <v/>
      </c>
      <c r="X104" s="237" t="str">
        <f t="shared" si="41"/>
        <v/>
      </c>
      <c r="Y104" s="237" t="str">
        <f t="shared" si="41"/>
        <v/>
      </c>
      <c r="Z104" s="237" t="str">
        <f t="shared" si="41"/>
        <v/>
      </c>
      <c r="AA104" s="237" t="str">
        <f t="shared" si="41"/>
        <v/>
      </c>
      <c r="AB104" s="237" t="str">
        <f t="shared" si="41"/>
        <v/>
      </c>
      <c r="AC104" s="237" t="str">
        <f t="shared" si="41"/>
        <v/>
      </c>
      <c r="AD104" s="237" t="str">
        <f t="shared" si="41"/>
        <v/>
      </c>
      <c r="AE104" s="237" t="str">
        <f t="shared" si="41"/>
        <v/>
      </c>
      <c r="AF104" s="237" t="str">
        <f t="shared" si="41"/>
        <v/>
      </c>
      <c r="AG104" s="237" t="str">
        <f t="shared" si="41"/>
        <v/>
      </c>
      <c r="AH104" s="237" t="str">
        <f t="shared" si="41"/>
        <v/>
      </c>
      <c r="AI104" s="243" t="str">
        <f t="shared" si="41"/>
        <v/>
      </c>
      <c r="AJ104" s="236" t="str">
        <f t="shared" ref="AJ104:BO104" si="42">IF(COUNTIF(AJ4:AJ100,"m")&gt;0,COUNTIF(AJ4:AJ100,"m"),"")</f>
        <v/>
      </c>
      <c r="AK104" s="237" t="str">
        <f t="shared" si="42"/>
        <v/>
      </c>
      <c r="AL104" s="243" t="str">
        <f t="shared" si="42"/>
        <v/>
      </c>
      <c r="AM104" s="236" t="str">
        <f t="shared" si="42"/>
        <v/>
      </c>
      <c r="AN104" s="237" t="str">
        <f t="shared" si="42"/>
        <v/>
      </c>
      <c r="AO104" s="243" t="str">
        <f t="shared" si="42"/>
        <v/>
      </c>
      <c r="AP104" s="236" t="str">
        <f t="shared" si="42"/>
        <v/>
      </c>
      <c r="AQ104" s="237" t="str">
        <f t="shared" si="42"/>
        <v/>
      </c>
      <c r="AR104" s="237" t="str">
        <f t="shared" si="42"/>
        <v/>
      </c>
      <c r="AS104" s="237" t="str">
        <f t="shared" si="42"/>
        <v/>
      </c>
      <c r="AT104" s="243" t="str">
        <f t="shared" si="42"/>
        <v/>
      </c>
      <c r="AU104" s="236">
        <f t="shared" si="42"/>
        <v>28</v>
      </c>
      <c r="AV104" s="237">
        <f t="shared" si="42"/>
        <v>27</v>
      </c>
      <c r="AW104" s="237">
        <f t="shared" si="42"/>
        <v>14</v>
      </c>
      <c r="AX104" s="237">
        <f t="shared" si="42"/>
        <v>15</v>
      </c>
      <c r="AY104" s="237">
        <f t="shared" si="42"/>
        <v>22</v>
      </c>
      <c r="AZ104" s="237">
        <f t="shared" si="42"/>
        <v>6</v>
      </c>
      <c r="BA104" s="237">
        <f t="shared" si="42"/>
        <v>7</v>
      </c>
      <c r="BB104" s="243">
        <f t="shared" si="42"/>
        <v>24</v>
      </c>
      <c r="BC104" s="236">
        <f t="shared" si="42"/>
        <v>13</v>
      </c>
      <c r="BD104" s="237">
        <f t="shared" si="42"/>
        <v>22</v>
      </c>
      <c r="BE104" s="237" t="str">
        <f t="shared" si="42"/>
        <v/>
      </c>
      <c r="BF104" s="237">
        <f t="shared" si="42"/>
        <v>6</v>
      </c>
      <c r="BG104" s="243" t="str">
        <f t="shared" si="42"/>
        <v/>
      </c>
      <c r="BH104" s="236" t="str">
        <f t="shared" si="42"/>
        <v/>
      </c>
      <c r="BI104" s="237">
        <f t="shared" si="42"/>
        <v>16</v>
      </c>
      <c r="BJ104" s="243" t="str">
        <f t="shared" si="42"/>
        <v/>
      </c>
      <c r="BK104" s="236">
        <f t="shared" si="42"/>
        <v>13</v>
      </c>
      <c r="BL104" s="237">
        <f t="shared" si="42"/>
        <v>17</v>
      </c>
      <c r="BM104" s="237" t="str">
        <f t="shared" si="42"/>
        <v/>
      </c>
      <c r="BN104" s="243">
        <f t="shared" si="42"/>
        <v>8</v>
      </c>
      <c r="BO104" s="236">
        <f t="shared" si="42"/>
        <v>23</v>
      </c>
      <c r="BP104" s="237">
        <f t="shared" ref="BP104:CI104" si="43">IF(COUNTIF(BP4:BP100,"m")&gt;0,COUNTIF(BP4:BP100,"m"),"")</f>
        <v>14</v>
      </c>
      <c r="BQ104" s="237">
        <f t="shared" si="43"/>
        <v>17</v>
      </c>
      <c r="BR104" s="237" t="str">
        <f t="shared" si="43"/>
        <v/>
      </c>
      <c r="BS104" s="237">
        <f t="shared" si="43"/>
        <v>2</v>
      </c>
      <c r="BT104" s="237">
        <f t="shared" si="43"/>
        <v>15</v>
      </c>
      <c r="BU104" s="237">
        <f t="shared" si="43"/>
        <v>20</v>
      </c>
      <c r="BV104" s="243" t="str">
        <f t="shared" si="43"/>
        <v/>
      </c>
      <c r="BW104" s="236">
        <f t="shared" si="43"/>
        <v>30</v>
      </c>
      <c r="BX104" s="237">
        <f t="shared" si="43"/>
        <v>21</v>
      </c>
      <c r="BY104" s="237">
        <f t="shared" si="43"/>
        <v>7</v>
      </c>
      <c r="BZ104" s="237">
        <f t="shared" si="43"/>
        <v>16</v>
      </c>
      <c r="CA104" s="237">
        <f t="shared" si="43"/>
        <v>4</v>
      </c>
      <c r="CB104" s="243">
        <f t="shared" si="43"/>
        <v>8</v>
      </c>
      <c r="CC104" s="236">
        <f t="shared" si="43"/>
        <v>4</v>
      </c>
      <c r="CD104" s="237">
        <f t="shared" si="43"/>
        <v>18</v>
      </c>
      <c r="CE104" s="243" t="str">
        <f t="shared" si="43"/>
        <v/>
      </c>
      <c r="CF104" s="236" t="str">
        <f t="shared" si="43"/>
        <v/>
      </c>
      <c r="CG104" s="237" t="str">
        <f t="shared" si="43"/>
        <v/>
      </c>
      <c r="CH104" s="237" t="str">
        <f t="shared" si="43"/>
        <v/>
      </c>
      <c r="CI104" s="238" t="str">
        <f t="shared" si="43"/>
        <v/>
      </c>
    </row>
    <row r="105" spans="2:105" x14ac:dyDescent="0.25">
      <c r="B105" s="435"/>
      <c r="C105" s="301" t="s">
        <v>220</v>
      </c>
      <c r="D105" s="295" t="str">
        <f t="shared" ref="D105:AI105" si="44">IF(COUNTIF(D4:D100,"s")&gt;0,COUNTIF(D4:D100,"s"),"")</f>
        <v/>
      </c>
      <c r="E105" s="237" t="str">
        <f t="shared" si="44"/>
        <v/>
      </c>
      <c r="F105" s="237" t="str">
        <f t="shared" si="44"/>
        <v/>
      </c>
      <c r="G105" s="237" t="str">
        <f t="shared" si="44"/>
        <v/>
      </c>
      <c r="H105" s="237" t="str">
        <f t="shared" si="44"/>
        <v/>
      </c>
      <c r="I105" s="237" t="str">
        <f t="shared" si="44"/>
        <v/>
      </c>
      <c r="J105" s="237" t="str">
        <f t="shared" si="44"/>
        <v/>
      </c>
      <c r="K105" s="243" t="str">
        <f t="shared" si="44"/>
        <v/>
      </c>
      <c r="L105" s="236" t="str">
        <f t="shared" si="44"/>
        <v/>
      </c>
      <c r="M105" s="237" t="str">
        <f t="shared" si="44"/>
        <v/>
      </c>
      <c r="N105" s="237" t="str">
        <f t="shared" si="44"/>
        <v/>
      </c>
      <c r="O105" s="243" t="str">
        <f t="shared" si="44"/>
        <v/>
      </c>
      <c r="P105" s="236" t="str">
        <f t="shared" si="44"/>
        <v/>
      </c>
      <c r="Q105" s="237" t="str">
        <f t="shared" si="44"/>
        <v/>
      </c>
      <c r="R105" s="237" t="str">
        <f t="shared" si="44"/>
        <v/>
      </c>
      <c r="S105" s="237" t="str">
        <f t="shared" si="44"/>
        <v/>
      </c>
      <c r="T105" s="237" t="str">
        <f t="shared" si="44"/>
        <v/>
      </c>
      <c r="U105" s="237" t="str">
        <f t="shared" si="44"/>
        <v/>
      </c>
      <c r="V105" s="237" t="str">
        <f t="shared" si="44"/>
        <v/>
      </c>
      <c r="W105" s="237" t="str">
        <f t="shared" si="44"/>
        <v/>
      </c>
      <c r="X105" s="237" t="str">
        <f t="shared" si="44"/>
        <v/>
      </c>
      <c r="Y105" s="237" t="str">
        <f t="shared" si="44"/>
        <v/>
      </c>
      <c r="Z105" s="237" t="str">
        <f t="shared" si="44"/>
        <v/>
      </c>
      <c r="AA105" s="237" t="str">
        <f t="shared" si="44"/>
        <v/>
      </c>
      <c r="AB105" s="237" t="str">
        <f t="shared" si="44"/>
        <v/>
      </c>
      <c r="AC105" s="237" t="str">
        <f t="shared" si="44"/>
        <v/>
      </c>
      <c r="AD105" s="237" t="str">
        <f t="shared" si="44"/>
        <v/>
      </c>
      <c r="AE105" s="237" t="str">
        <f t="shared" si="44"/>
        <v/>
      </c>
      <c r="AF105" s="237" t="str">
        <f t="shared" si="44"/>
        <v/>
      </c>
      <c r="AG105" s="237" t="str">
        <f t="shared" si="44"/>
        <v/>
      </c>
      <c r="AH105" s="237" t="str">
        <f t="shared" si="44"/>
        <v/>
      </c>
      <c r="AI105" s="243" t="str">
        <f t="shared" si="44"/>
        <v/>
      </c>
      <c r="AJ105" s="236" t="str">
        <f t="shared" ref="AJ105:BO105" si="45">IF(COUNTIF(AJ4:AJ100,"s")&gt;0,COUNTIF(AJ4:AJ100,"s"),"")</f>
        <v/>
      </c>
      <c r="AK105" s="237" t="str">
        <f t="shared" si="45"/>
        <v/>
      </c>
      <c r="AL105" s="243" t="str">
        <f t="shared" si="45"/>
        <v/>
      </c>
      <c r="AM105" s="236" t="str">
        <f t="shared" si="45"/>
        <v/>
      </c>
      <c r="AN105" s="237" t="str">
        <f t="shared" si="45"/>
        <v/>
      </c>
      <c r="AO105" s="243" t="str">
        <f t="shared" si="45"/>
        <v/>
      </c>
      <c r="AP105" s="236" t="str">
        <f t="shared" si="45"/>
        <v/>
      </c>
      <c r="AQ105" s="237" t="str">
        <f t="shared" si="45"/>
        <v/>
      </c>
      <c r="AR105" s="237" t="str">
        <f t="shared" si="45"/>
        <v/>
      </c>
      <c r="AS105" s="237" t="str">
        <f t="shared" si="45"/>
        <v/>
      </c>
      <c r="AT105" s="243" t="str">
        <f t="shared" si="45"/>
        <v/>
      </c>
      <c r="AU105" s="236">
        <f t="shared" si="45"/>
        <v>16</v>
      </c>
      <c r="AV105" s="237">
        <f t="shared" si="45"/>
        <v>19</v>
      </c>
      <c r="AW105" s="237">
        <f t="shared" si="45"/>
        <v>27</v>
      </c>
      <c r="AX105" s="237">
        <f t="shared" si="45"/>
        <v>38</v>
      </c>
      <c r="AY105" s="237">
        <f t="shared" si="45"/>
        <v>25</v>
      </c>
      <c r="AZ105" s="237">
        <f t="shared" si="45"/>
        <v>11</v>
      </c>
      <c r="BA105" s="237">
        <f t="shared" si="45"/>
        <v>13</v>
      </c>
      <c r="BB105" s="243">
        <f t="shared" si="45"/>
        <v>19</v>
      </c>
      <c r="BC105" s="236">
        <f t="shared" si="45"/>
        <v>11</v>
      </c>
      <c r="BD105" s="237">
        <f t="shared" si="45"/>
        <v>4</v>
      </c>
      <c r="BE105" s="237" t="str">
        <f t="shared" si="45"/>
        <v/>
      </c>
      <c r="BF105" s="237">
        <f t="shared" si="45"/>
        <v>15</v>
      </c>
      <c r="BG105" s="243" t="str">
        <f t="shared" si="45"/>
        <v/>
      </c>
      <c r="BH105" s="236" t="str">
        <f t="shared" si="45"/>
        <v/>
      </c>
      <c r="BI105" s="237">
        <f t="shared" si="45"/>
        <v>2</v>
      </c>
      <c r="BJ105" s="243" t="str">
        <f t="shared" si="45"/>
        <v/>
      </c>
      <c r="BK105" s="236">
        <f t="shared" si="45"/>
        <v>2</v>
      </c>
      <c r="BL105" s="237">
        <f t="shared" si="45"/>
        <v>9</v>
      </c>
      <c r="BM105" s="237" t="str">
        <f t="shared" si="45"/>
        <v/>
      </c>
      <c r="BN105" s="243">
        <f t="shared" si="45"/>
        <v>5</v>
      </c>
      <c r="BO105" s="236">
        <f t="shared" si="45"/>
        <v>9</v>
      </c>
      <c r="BP105" s="237">
        <f t="shared" ref="BP105:CI105" si="46">IF(COUNTIF(BP4:BP100,"s")&gt;0,COUNTIF(BP4:BP100,"s"),"")</f>
        <v>22</v>
      </c>
      <c r="BQ105" s="237">
        <f t="shared" si="46"/>
        <v>10</v>
      </c>
      <c r="BR105" s="237" t="str">
        <f t="shared" si="46"/>
        <v/>
      </c>
      <c r="BS105" s="237" t="str">
        <f t="shared" si="46"/>
        <v/>
      </c>
      <c r="BT105" s="237">
        <f t="shared" si="46"/>
        <v>12</v>
      </c>
      <c r="BU105" s="237">
        <f t="shared" si="46"/>
        <v>42</v>
      </c>
      <c r="BV105" s="243" t="str">
        <f t="shared" si="46"/>
        <v/>
      </c>
      <c r="BW105" s="236">
        <f t="shared" si="46"/>
        <v>16</v>
      </c>
      <c r="BX105" s="237">
        <f t="shared" si="46"/>
        <v>4</v>
      </c>
      <c r="BY105" s="237">
        <f t="shared" si="46"/>
        <v>22</v>
      </c>
      <c r="BZ105" s="237">
        <f t="shared" si="46"/>
        <v>27</v>
      </c>
      <c r="CA105" s="237">
        <f t="shared" si="46"/>
        <v>25</v>
      </c>
      <c r="CB105" s="243">
        <f t="shared" si="46"/>
        <v>22</v>
      </c>
      <c r="CC105" s="236">
        <f t="shared" si="46"/>
        <v>3</v>
      </c>
      <c r="CD105" s="237">
        <f t="shared" si="46"/>
        <v>9</v>
      </c>
      <c r="CE105" s="243" t="str">
        <f t="shared" si="46"/>
        <v/>
      </c>
      <c r="CF105" s="236" t="str">
        <f t="shared" si="46"/>
        <v/>
      </c>
      <c r="CG105" s="237" t="str">
        <f t="shared" si="46"/>
        <v/>
      </c>
      <c r="CH105" s="237" t="str">
        <f t="shared" si="46"/>
        <v/>
      </c>
      <c r="CI105" s="238" t="str">
        <f t="shared" si="46"/>
        <v/>
      </c>
    </row>
    <row r="106" spans="2:105" ht="15.75" thickBot="1" x14ac:dyDescent="0.3">
      <c r="B106" s="435"/>
      <c r="C106" s="302" t="s">
        <v>221</v>
      </c>
      <c r="D106" s="296" t="str">
        <f t="shared" ref="D106:AI106" si="47">IF(COUNTIF(D4:D100,"e")&gt;0,COUNTIF(D4:D100,"e"),"")</f>
        <v/>
      </c>
      <c r="E106" s="240" t="str">
        <f t="shared" si="47"/>
        <v/>
      </c>
      <c r="F106" s="240" t="str">
        <f t="shared" si="47"/>
        <v/>
      </c>
      <c r="G106" s="240" t="str">
        <f t="shared" si="47"/>
        <v/>
      </c>
      <c r="H106" s="240" t="str">
        <f t="shared" si="47"/>
        <v/>
      </c>
      <c r="I106" s="240" t="str">
        <f t="shared" si="47"/>
        <v/>
      </c>
      <c r="J106" s="240" t="str">
        <f t="shared" si="47"/>
        <v/>
      </c>
      <c r="K106" s="250" t="str">
        <f t="shared" si="47"/>
        <v/>
      </c>
      <c r="L106" s="239" t="str">
        <f t="shared" si="47"/>
        <v/>
      </c>
      <c r="M106" s="240" t="str">
        <f t="shared" si="47"/>
        <v/>
      </c>
      <c r="N106" s="240" t="str">
        <f t="shared" si="47"/>
        <v/>
      </c>
      <c r="O106" s="250" t="str">
        <f t="shared" si="47"/>
        <v/>
      </c>
      <c r="P106" s="239" t="str">
        <f t="shared" si="47"/>
        <v/>
      </c>
      <c r="Q106" s="240" t="str">
        <f t="shared" si="47"/>
        <v/>
      </c>
      <c r="R106" s="240" t="str">
        <f t="shared" si="47"/>
        <v/>
      </c>
      <c r="S106" s="240" t="str">
        <f t="shared" si="47"/>
        <v/>
      </c>
      <c r="T106" s="240" t="str">
        <f t="shared" si="47"/>
        <v/>
      </c>
      <c r="U106" s="240" t="str">
        <f t="shared" si="47"/>
        <v/>
      </c>
      <c r="V106" s="240" t="str">
        <f t="shared" si="47"/>
        <v/>
      </c>
      <c r="W106" s="240" t="str">
        <f t="shared" si="47"/>
        <v/>
      </c>
      <c r="X106" s="240" t="str">
        <f t="shared" si="47"/>
        <v/>
      </c>
      <c r="Y106" s="240" t="str">
        <f t="shared" si="47"/>
        <v/>
      </c>
      <c r="Z106" s="240" t="str">
        <f t="shared" si="47"/>
        <v/>
      </c>
      <c r="AA106" s="240" t="str">
        <f t="shared" si="47"/>
        <v/>
      </c>
      <c r="AB106" s="240" t="str">
        <f t="shared" si="47"/>
        <v/>
      </c>
      <c r="AC106" s="240" t="str">
        <f t="shared" si="47"/>
        <v/>
      </c>
      <c r="AD106" s="240" t="str">
        <f t="shared" si="47"/>
        <v/>
      </c>
      <c r="AE106" s="240" t="str">
        <f t="shared" si="47"/>
        <v/>
      </c>
      <c r="AF106" s="240" t="str">
        <f t="shared" si="47"/>
        <v/>
      </c>
      <c r="AG106" s="240" t="str">
        <f t="shared" si="47"/>
        <v/>
      </c>
      <c r="AH106" s="240" t="str">
        <f t="shared" si="47"/>
        <v/>
      </c>
      <c r="AI106" s="250" t="str">
        <f t="shared" si="47"/>
        <v/>
      </c>
      <c r="AJ106" s="239" t="str">
        <f t="shared" ref="AJ106:BO106" si="48">IF(COUNTIF(AJ4:AJ100,"e")&gt;0,COUNTIF(AJ4:AJ100,"e"),"")</f>
        <v/>
      </c>
      <c r="AK106" s="240" t="str">
        <f t="shared" si="48"/>
        <v/>
      </c>
      <c r="AL106" s="250" t="str">
        <f t="shared" si="48"/>
        <v/>
      </c>
      <c r="AM106" s="239" t="str">
        <f t="shared" si="48"/>
        <v/>
      </c>
      <c r="AN106" s="240" t="str">
        <f t="shared" si="48"/>
        <v/>
      </c>
      <c r="AO106" s="250" t="str">
        <f t="shared" si="48"/>
        <v/>
      </c>
      <c r="AP106" s="239" t="str">
        <f t="shared" si="48"/>
        <v/>
      </c>
      <c r="AQ106" s="240" t="str">
        <f t="shared" si="48"/>
        <v/>
      </c>
      <c r="AR106" s="240" t="str">
        <f t="shared" si="48"/>
        <v/>
      </c>
      <c r="AS106" s="240" t="str">
        <f t="shared" si="48"/>
        <v/>
      </c>
      <c r="AT106" s="250" t="str">
        <f t="shared" si="48"/>
        <v/>
      </c>
      <c r="AU106" s="239">
        <f t="shared" si="48"/>
        <v>6</v>
      </c>
      <c r="AV106" s="240">
        <f t="shared" si="48"/>
        <v>7</v>
      </c>
      <c r="AW106" s="240" t="str">
        <f t="shared" si="48"/>
        <v/>
      </c>
      <c r="AX106" s="240">
        <f t="shared" si="48"/>
        <v>5</v>
      </c>
      <c r="AY106" s="240">
        <f t="shared" si="48"/>
        <v>4</v>
      </c>
      <c r="AZ106" s="240">
        <f t="shared" si="48"/>
        <v>2</v>
      </c>
      <c r="BA106" s="240">
        <f t="shared" si="48"/>
        <v>2</v>
      </c>
      <c r="BB106" s="250">
        <f t="shared" si="48"/>
        <v>2</v>
      </c>
      <c r="BC106" s="239">
        <f t="shared" si="48"/>
        <v>3</v>
      </c>
      <c r="BD106" s="240" t="str">
        <f t="shared" si="48"/>
        <v/>
      </c>
      <c r="BE106" s="240" t="str">
        <f t="shared" si="48"/>
        <v/>
      </c>
      <c r="BF106" s="240">
        <f t="shared" si="48"/>
        <v>2</v>
      </c>
      <c r="BG106" s="250" t="str">
        <f t="shared" si="48"/>
        <v/>
      </c>
      <c r="BH106" s="239" t="str">
        <f t="shared" si="48"/>
        <v/>
      </c>
      <c r="BI106" s="240">
        <f t="shared" si="48"/>
        <v>1</v>
      </c>
      <c r="BJ106" s="250" t="str">
        <f t="shared" si="48"/>
        <v/>
      </c>
      <c r="BK106" s="239">
        <f t="shared" si="48"/>
        <v>1</v>
      </c>
      <c r="BL106" s="240" t="str">
        <f t="shared" si="48"/>
        <v/>
      </c>
      <c r="BM106" s="240" t="str">
        <f t="shared" si="48"/>
        <v/>
      </c>
      <c r="BN106" s="250">
        <f t="shared" si="48"/>
        <v>1</v>
      </c>
      <c r="BO106" s="239" t="str">
        <f t="shared" si="48"/>
        <v/>
      </c>
      <c r="BP106" s="240">
        <f t="shared" ref="BP106:CI106" si="49">IF(COUNTIF(BP4:BP100,"e")&gt;0,COUNTIF(BP4:BP100,"e"),"")</f>
        <v>4</v>
      </c>
      <c r="BQ106" s="240" t="str">
        <f t="shared" si="49"/>
        <v/>
      </c>
      <c r="BR106" s="240" t="str">
        <f t="shared" si="49"/>
        <v/>
      </c>
      <c r="BS106" s="240" t="str">
        <f t="shared" si="49"/>
        <v/>
      </c>
      <c r="BT106" s="240">
        <f t="shared" si="49"/>
        <v>2</v>
      </c>
      <c r="BU106" s="240">
        <f t="shared" si="49"/>
        <v>1</v>
      </c>
      <c r="BV106" s="250" t="str">
        <f t="shared" si="49"/>
        <v/>
      </c>
      <c r="BW106" s="239">
        <f t="shared" si="49"/>
        <v>5</v>
      </c>
      <c r="BX106" s="240" t="str">
        <f t="shared" si="49"/>
        <v/>
      </c>
      <c r="BY106" s="240">
        <f t="shared" si="49"/>
        <v>7</v>
      </c>
      <c r="BZ106" s="240">
        <f t="shared" si="49"/>
        <v>5</v>
      </c>
      <c r="CA106" s="240">
        <f t="shared" si="49"/>
        <v>13</v>
      </c>
      <c r="CB106" s="250">
        <f t="shared" si="49"/>
        <v>9</v>
      </c>
      <c r="CC106" s="239" t="str">
        <f t="shared" si="49"/>
        <v/>
      </c>
      <c r="CD106" s="240">
        <f t="shared" si="49"/>
        <v>2</v>
      </c>
      <c r="CE106" s="250" t="str">
        <f t="shared" si="49"/>
        <v/>
      </c>
      <c r="CF106" s="239" t="str">
        <f t="shared" si="49"/>
        <v/>
      </c>
      <c r="CG106" s="240" t="str">
        <f t="shared" si="49"/>
        <v/>
      </c>
      <c r="CH106" s="240" t="str">
        <f t="shared" si="49"/>
        <v/>
      </c>
      <c r="CI106" s="241" t="str">
        <f t="shared" si="49"/>
        <v/>
      </c>
    </row>
    <row r="107" spans="2:105" ht="12.75" customHeight="1" thickTop="1" thickBot="1" x14ac:dyDescent="0.3">
      <c r="B107" s="437"/>
      <c r="C107" s="248"/>
    </row>
    <row r="108" spans="2:105" ht="16.5" thickTop="1" thickBot="1" x14ac:dyDescent="0.3"/>
    <row r="109" spans="2:105" ht="16.5" thickTop="1" thickBot="1" x14ac:dyDescent="0.3">
      <c r="C109" s="297" t="s">
        <v>222</v>
      </c>
      <c r="D109" s="232">
        <f t="shared" ref="D109:AI109" si="50">SUM(D102:D106)</f>
        <v>0</v>
      </c>
      <c r="E109" s="246">
        <f t="shared" si="50"/>
        <v>0</v>
      </c>
      <c r="F109" s="246">
        <f t="shared" si="50"/>
        <v>0</v>
      </c>
      <c r="G109" s="246">
        <f t="shared" si="50"/>
        <v>0</v>
      </c>
      <c r="H109" s="246">
        <f t="shared" si="50"/>
        <v>0</v>
      </c>
      <c r="I109" s="246">
        <f t="shared" si="50"/>
        <v>0</v>
      </c>
      <c r="J109" s="246">
        <f t="shared" si="50"/>
        <v>0</v>
      </c>
      <c r="K109" s="244">
        <f t="shared" si="50"/>
        <v>0</v>
      </c>
      <c r="L109" s="245">
        <f t="shared" si="50"/>
        <v>0</v>
      </c>
      <c r="M109" s="246">
        <f t="shared" si="50"/>
        <v>0</v>
      </c>
      <c r="N109" s="246">
        <f t="shared" si="50"/>
        <v>0</v>
      </c>
      <c r="O109" s="244">
        <f t="shared" si="50"/>
        <v>0</v>
      </c>
      <c r="P109" s="245">
        <f t="shared" si="50"/>
        <v>0</v>
      </c>
      <c r="Q109" s="246">
        <f t="shared" si="50"/>
        <v>0</v>
      </c>
      <c r="R109" s="246">
        <f t="shared" si="50"/>
        <v>0</v>
      </c>
      <c r="S109" s="246">
        <f t="shared" si="50"/>
        <v>0</v>
      </c>
      <c r="T109" s="246">
        <f t="shared" si="50"/>
        <v>0</v>
      </c>
      <c r="U109" s="246">
        <f t="shared" si="50"/>
        <v>0</v>
      </c>
      <c r="V109" s="246">
        <f t="shared" si="50"/>
        <v>0</v>
      </c>
      <c r="W109" s="246">
        <f t="shared" si="50"/>
        <v>0</v>
      </c>
      <c r="X109" s="246">
        <f t="shared" si="50"/>
        <v>0</v>
      </c>
      <c r="Y109" s="246">
        <f t="shared" si="50"/>
        <v>0</v>
      </c>
      <c r="Z109" s="246">
        <f t="shared" si="50"/>
        <v>0</v>
      </c>
      <c r="AA109" s="246">
        <f t="shared" si="50"/>
        <v>0</v>
      </c>
      <c r="AB109" s="246">
        <f t="shared" si="50"/>
        <v>0</v>
      </c>
      <c r="AC109" s="246">
        <f t="shared" si="50"/>
        <v>0</v>
      </c>
      <c r="AD109" s="246">
        <f t="shared" si="50"/>
        <v>0</v>
      </c>
      <c r="AE109" s="246">
        <f t="shared" si="50"/>
        <v>0</v>
      </c>
      <c r="AF109" s="246">
        <f t="shared" si="50"/>
        <v>0</v>
      </c>
      <c r="AG109" s="246">
        <f t="shared" si="50"/>
        <v>0</v>
      </c>
      <c r="AH109" s="246">
        <f t="shared" si="50"/>
        <v>0</v>
      </c>
      <c r="AI109" s="244">
        <f t="shared" si="50"/>
        <v>0</v>
      </c>
      <c r="AJ109" s="245">
        <f t="shared" ref="AJ109:BO109" si="51">SUM(AJ102:AJ106)</f>
        <v>0</v>
      </c>
      <c r="AK109" s="246">
        <f t="shared" si="51"/>
        <v>0</v>
      </c>
      <c r="AL109" s="244">
        <f t="shared" si="51"/>
        <v>0</v>
      </c>
      <c r="AM109" s="245">
        <f t="shared" si="51"/>
        <v>0</v>
      </c>
      <c r="AN109" s="246">
        <f t="shared" si="51"/>
        <v>0</v>
      </c>
      <c r="AO109" s="244">
        <f t="shared" si="51"/>
        <v>0</v>
      </c>
      <c r="AP109" s="245">
        <f t="shared" si="51"/>
        <v>0</v>
      </c>
      <c r="AQ109" s="246">
        <f t="shared" si="51"/>
        <v>0</v>
      </c>
      <c r="AR109" s="246">
        <f t="shared" si="51"/>
        <v>0</v>
      </c>
      <c r="AS109" s="246">
        <f t="shared" si="51"/>
        <v>0</v>
      </c>
      <c r="AT109" s="244">
        <f t="shared" si="51"/>
        <v>0</v>
      </c>
      <c r="AU109" s="245">
        <f t="shared" si="51"/>
        <v>62</v>
      </c>
      <c r="AV109" s="246">
        <f t="shared" si="51"/>
        <v>65</v>
      </c>
      <c r="AW109" s="246">
        <f t="shared" si="51"/>
        <v>65</v>
      </c>
      <c r="AX109" s="246">
        <f t="shared" si="51"/>
        <v>65</v>
      </c>
      <c r="AY109" s="246">
        <f t="shared" si="51"/>
        <v>65</v>
      </c>
      <c r="AZ109" s="246">
        <f t="shared" si="51"/>
        <v>27</v>
      </c>
      <c r="BA109" s="246">
        <f t="shared" si="51"/>
        <v>29</v>
      </c>
      <c r="BB109" s="244">
        <f t="shared" si="51"/>
        <v>59</v>
      </c>
      <c r="BC109" s="245">
        <f t="shared" si="51"/>
        <v>65</v>
      </c>
      <c r="BD109" s="246">
        <f t="shared" si="51"/>
        <v>60</v>
      </c>
      <c r="BE109" s="246">
        <f t="shared" si="51"/>
        <v>0</v>
      </c>
      <c r="BF109" s="246">
        <f t="shared" si="51"/>
        <v>40</v>
      </c>
      <c r="BG109" s="244">
        <f t="shared" si="51"/>
        <v>0</v>
      </c>
      <c r="BH109" s="245">
        <f t="shared" si="51"/>
        <v>0</v>
      </c>
      <c r="BI109" s="246">
        <f t="shared" si="51"/>
        <v>27</v>
      </c>
      <c r="BJ109" s="244">
        <f t="shared" si="51"/>
        <v>0</v>
      </c>
      <c r="BK109" s="245">
        <f t="shared" si="51"/>
        <v>30</v>
      </c>
      <c r="BL109" s="246">
        <f t="shared" si="51"/>
        <v>35</v>
      </c>
      <c r="BM109" s="246">
        <f t="shared" si="51"/>
        <v>0</v>
      </c>
      <c r="BN109" s="244">
        <f t="shared" si="51"/>
        <v>31</v>
      </c>
      <c r="BO109" s="245">
        <f t="shared" si="51"/>
        <v>45</v>
      </c>
      <c r="BP109" s="246">
        <f t="shared" ref="BP109:CI109" si="52">SUM(BP102:BP106)</f>
        <v>43</v>
      </c>
      <c r="BQ109" s="246">
        <f t="shared" si="52"/>
        <v>36</v>
      </c>
      <c r="BR109" s="246">
        <f t="shared" si="52"/>
        <v>0</v>
      </c>
      <c r="BS109" s="246">
        <f t="shared" si="52"/>
        <v>39</v>
      </c>
      <c r="BT109" s="246">
        <f t="shared" si="52"/>
        <v>38</v>
      </c>
      <c r="BU109" s="246">
        <f t="shared" si="52"/>
        <v>65</v>
      </c>
      <c r="BV109" s="244">
        <f t="shared" si="52"/>
        <v>0</v>
      </c>
      <c r="BW109" s="245">
        <f t="shared" si="52"/>
        <v>63</v>
      </c>
      <c r="BX109" s="246">
        <f t="shared" si="52"/>
        <v>28</v>
      </c>
      <c r="BY109" s="246">
        <f t="shared" si="52"/>
        <v>48</v>
      </c>
      <c r="BZ109" s="246">
        <f t="shared" si="52"/>
        <v>56</v>
      </c>
      <c r="CA109" s="246">
        <f t="shared" si="52"/>
        <v>60</v>
      </c>
      <c r="CB109" s="244">
        <f t="shared" si="52"/>
        <v>54</v>
      </c>
      <c r="CC109" s="245">
        <f t="shared" si="52"/>
        <v>15</v>
      </c>
      <c r="CD109" s="246">
        <f t="shared" si="52"/>
        <v>47</v>
      </c>
      <c r="CE109" s="244">
        <f t="shared" si="52"/>
        <v>0</v>
      </c>
      <c r="CF109" s="245">
        <f t="shared" si="52"/>
        <v>0</v>
      </c>
      <c r="CG109" s="246">
        <f t="shared" si="52"/>
        <v>0</v>
      </c>
      <c r="CH109" s="246">
        <f t="shared" si="52"/>
        <v>0</v>
      </c>
      <c r="CI109" s="247">
        <f t="shared" si="52"/>
        <v>0</v>
      </c>
    </row>
    <row r="110" spans="2:105" ht="15.75" thickTop="1" x14ac:dyDescent="0.25"/>
  </sheetData>
  <mergeCells count="27">
    <mergeCell ref="B39:B51"/>
    <mergeCell ref="B52:B60"/>
    <mergeCell ref="B61:B79"/>
    <mergeCell ref="B102:B107"/>
    <mergeCell ref="B80:B95"/>
    <mergeCell ref="B96:B100"/>
    <mergeCell ref="AU1:BB1"/>
    <mergeCell ref="BC1:BG1"/>
    <mergeCell ref="BH1:BJ1"/>
    <mergeCell ref="BK1:BN1"/>
    <mergeCell ref="B28:B38"/>
    <mergeCell ref="B18:B27"/>
    <mergeCell ref="CQ1:CU1"/>
    <mergeCell ref="CW1:DA1"/>
    <mergeCell ref="A1:C1"/>
    <mergeCell ref="BO1:BV1"/>
    <mergeCell ref="BW1:CB1"/>
    <mergeCell ref="CC1:CE1"/>
    <mergeCell ref="CF1:CI1"/>
    <mergeCell ref="D1:K1"/>
    <mergeCell ref="L1:O1"/>
    <mergeCell ref="P1:AI1"/>
    <mergeCell ref="AJ1:AL1"/>
    <mergeCell ref="B4:B17"/>
    <mergeCell ref="CK1:CO1"/>
    <mergeCell ref="AM1:AO1"/>
    <mergeCell ref="AP1:AT1"/>
  </mergeCells>
  <conditionalFormatting sqref="D4:K16">
    <cfRule type="cellIs" dxfId="3377" priority="1" stopIfTrue="1" operator="equal">
      <formula>"E"</formula>
    </cfRule>
    <cfRule type="cellIs" dxfId="3376" priority="2" stopIfTrue="1" operator="equal">
      <formula>"S"</formula>
    </cfRule>
    <cfRule type="cellIs" dxfId="3375" priority="3" stopIfTrue="1" operator="equal">
      <formula>"M"</formula>
    </cfRule>
    <cfRule type="cellIs" dxfId="3374" priority="4" stopIfTrue="1" operator="equal">
      <formula>"J"</formula>
    </cfRule>
    <cfRule type="cellIs" dxfId="3373" priority="5" stopIfTrue="1" operator="equal">
      <formula>"O"</formula>
    </cfRule>
    <cfRule type="expression" dxfId="3372" priority="6" stopIfTrue="1">
      <formula>LEN(TRIM(D4))=0</formula>
    </cfRule>
  </conditionalFormatting>
  <conditionalFormatting sqref="D18:K26">
    <cfRule type="cellIs" dxfId="3371" priority="7" stopIfTrue="1" operator="equal">
      <formula>"E"</formula>
    </cfRule>
    <cfRule type="cellIs" dxfId="3370" priority="8" stopIfTrue="1" operator="equal">
      <formula>"S"</formula>
    </cfRule>
    <cfRule type="cellIs" dxfId="3369" priority="9" stopIfTrue="1" operator="equal">
      <formula>"M"</formula>
    </cfRule>
    <cfRule type="cellIs" dxfId="3368" priority="10" stopIfTrue="1" operator="equal">
      <formula>"J"</formula>
    </cfRule>
    <cfRule type="cellIs" dxfId="3367" priority="11" stopIfTrue="1" operator="equal">
      <formula>"O"</formula>
    </cfRule>
    <cfRule type="expression" dxfId="3366" priority="12" stopIfTrue="1">
      <formula>LEN(TRIM(D18))=0</formula>
    </cfRule>
  </conditionalFormatting>
  <conditionalFormatting sqref="D28:K37">
    <cfRule type="cellIs" dxfId="3365" priority="13" stopIfTrue="1" operator="equal">
      <formula>"E"</formula>
    </cfRule>
    <cfRule type="cellIs" dxfId="3364" priority="14" stopIfTrue="1" operator="equal">
      <formula>"S"</formula>
    </cfRule>
    <cfRule type="cellIs" dxfId="3363" priority="15" stopIfTrue="1" operator="equal">
      <formula>"M"</formula>
    </cfRule>
    <cfRule type="cellIs" dxfId="3362" priority="16" stopIfTrue="1" operator="equal">
      <formula>"J"</formula>
    </cfRule>
    <cfRule type="cellIs" dxfId="3361" priority="17" stopIfTrue="1" operator="equal">
      <formula>"O"</formula>
    </cfRule>
    <cfRule type="expression" dxfId="3360" priority="18" stopIfTrue="1">
      <formula>LEN(TRIM(D28))=0</formula>
    </cfRule>
  </conditionalFormatting>
  <conditionalFormatting sqref="D39:K50">
    <cfRule type="cellIs" dxfId="3359" priority="19" stopIfTrue="1" operator="equal">
      <formula>"E"</formula>
    </cfRule>
    <cfRule type="cellIs" dxfId="3358" priority="20" stopIfTrue="1" operator="equal">
      <formula>"S"</formula>
    </cfRule>
    <cfRule type="cellIs" dxfId="3357" priority="21" stopIfTrue="1" operator="equal">
      <formula>"M"</formula>
    </cfRule>
    <cfRule type="cellIs" dxfId="3356" priority="22" stopIfTrue="1" operator="equal">
      <formula>"J"</formula>
    </cfRule>
    <cfRule type="cellIs" dxfId="3355" priority="23" stopIfTrue="1" operator="equal">
      <formula>"O"</formula>
    </cfRule>
    <cfRule type="expression" dxfId="3354" priority="24" stopIfTrue="1">
      <formula>LEN(TRIM(D39))=0</formula>
    </cfRule>
  </conditionalFormatting>
  <conditionalFormatting sqref="D52:K59">
    <cfRule type="cellIs" dxfId="3353" priority="25" stopIfTrue="1" operator="equal">
      <formula>"E"</formula>
    </cfRule>
    <cfRule type="cellIs" dxfId="3352" priority="26" stopIfTrue="1" operator="equal">
      <formula>"S"</formula>
    </cfRule>
    <cfRule type="cellIs" dxfId="3351" priority="27" stopIfTrue="1" operator="equal">
      <formula>"M"</formula>
    </cfRule>
    <cfRule type="cellIs" dxfId="3350" priority="28" stopIfTrue="1" operator="equal">
      <formula>"J"</formula>
    </cfRule>
    <cfRule type="cellIs" dxfId="3349" priority="29" stopIfTrue="1" operator="equal">
      <formula>"O"</formula>
    </cfRule>
    <cfRule type="expression" dxfId="3348" priority="30" stopIfTrue="1">
      <formula>LEN(TRIM(D52))=0</formula>
    </cfRule>
  </conditionalFormatting>
  <conditionalFormatting sqref="D61:K78">
    <cfRule type="cellIs" dxfId="3347" priority="31" stopIfTrue="1" operator="equal">
      <formula>"E"</formula>
    </cfRule>
    <cfRule type="cellIs" dxfId="3346" priority="32" stopIfTrue="1" operator="equal">
      <formula>"S"</formula>
    </cfRule>
    <cfRule type="cellIs" dxfId="3345" priority="33" stopIfTrue="1" operator="equal">
      <formula>"M"</formula>
    </cfRule>
    <cfRule type="cellIs" dxfId="3344" priority="34" stopIfTrue="1" operator="equal">
      <formula>"J"</formula>
    </cfRule>
    <cfRule type="cellIs" dxfId="3343" priority="35" stopIfTrue="1" operator="equal">
      <formula>"O"</formula>
    </cfRule>
    <cfRule type="expression" dxfId="3342" priority="36" stopIfTrue="1">
      <formula>LEN(TRIM(D61))=0</formula>
    </cfRule>
  </conditionalFormatting>
  <conditionalFormatting sqref="D80:K94">
    <cfRule type="cellIs" dxfId="3341" priority="37" stopIfTrue="1" operator="equal">
      <formula>"E"</formula>
    </cfRule>
    <cfRule type="cellIs" dxfId="3340" priority="38" stopIfTrue="1" operator="equal">
      <formula>"S"</formula>
    </cfRule>
    <cfRule type="cellIs" dxfId="3339" priority="39" stopIfTrue="1" operator="equal">
      <formula>"M"</formula>
    </cfRule>
    <cfRule type="cellIs" dxfId="3338" priority="40" stopIfTrue="1" operator="equal">
      <formula>"J"</formula>
    </cfRule>
    <cfRule type="cellIs" dxfId="3337" priority="41" stopIfTrue="1" operator="equal">
      <formula>"O"</formula>
    </cfRule>
    <cfRule type="expression" dxfId="3336" priority="42" stopIfTrue="1">
      <formula>LEN(TRIM(D80))=0</formula>
    </cfRule>
  </conditionalFormatting>
  <conditionalFormatting sqref="D96:K99">
    <cfRule type="cellIs" dxfId="3335" priority="43" stopIfTrue="1" operator="equal">
      <formula>"E"</formula>
    </cfRule>
    <cfRule type="cellIs" dxfId="3334" priority="44" stopIfTrue="1" operator="equal">
      <formula>"S"</formula>
    </cfRule>
    <cfRule type="cellIs" dxfId="3333" priority="45" stopIfTrue="1" operator="equal">
      <formula>"M"</formula>
    </cfRule>
    <cfRule type="cellIs" dxfId="3332" priority="46" stopIfTrue="1" operator="equal">
      <formula>"J"</formula>
    </cfRule>
    <cfRule type="cellIs" dxfId="3331" priority="47" stopIfTrue="1" operator="equal">
      <formula>"O"</formula>
    </cfRule>
    <cfRule type="expression" dxfId="3330" priority="48" stopIfTrue="1">
      <formula>LEN(TRIM(D96))=0</formula>
    </cfRule>
  </conditionalFormatting>
  <conditionalFormatting sqref="D102:K106">
    <cfRule type="cellIs" dxfId="3329" priority="49" stopIfTrue="1" operator="equal">
      <formula>"E"</formula>
    </cfRule>
    <cfRule type="cellIs" dxfId="3328" priority="50" stopIfTrue="1" operator="equal">
      <formula>"S"</formula>
    </cfRule>
    <cfRule type="cellIs" dxfId="3327" priority="51" stopIfTrue="1" operator="equal">
      <formula>"M"</formula>
    </cfRule>
    <cfRule type="cellIs" dxfId="3326" priority="52" stopIfTrue="1" operator="equal">
      <formula>"J"</formula>
    </cfRule>
    <cfRule type="cellIs" dxfId="3325" priority="53" stopIfTrue="1" operator="equal">
      <formula>"O"</formula>
    </cfRule>
    <cfRule type="expression" dxfId="3324" priority="54" stopIfTrue="1">
      <formula>LEN(TRIM(D102))=0</formula>
    </cfRule>
  </conditionalFormatting>
  <conditionalFormatting sqref="D109:K109">
    <cfRule type="cellIs" dxfId="3323" priority="55" stopIfTrue="1" operator="equal">
      <formula>"E"</formula>
    </cfRule>
    <cfRule type="cellIs" dxfId="3322" priority="56" stopIfTrue="1" operator="equal">
      <formula>"S"</formula>
    </cfRule>
    <cfRule type="cellIs" dxfId="3321" priority="57" stopIfTrue="1" operator="equal">
      <formula>"M"</formula>
    </cfRule>
    <cfRule type="cellIs" dxfId="3320" priority="58" stopIfTrue="1" operator="equal">
      <formula>"J"</formula>
    </cfRule>
    <cfRule type="cellIs" dxfId="3319" priority="59" stopIfTrue="1" operator="equal">
      <formula>"O"</formula>
    </cfRule>
    <cfRule type="expression" dxfId="3318" priority="60" stopIfTrue="1">
      <formula>LEN(TRIM(D109))=0</formula>
    </cfRule>
  </conditionalFormatting>
  <conditionalFormatting sqref="L4:O16">
    <cfRule type="cellIs" dxfId="3317" priority="61" stopIfTrue="1" operator="equal">
      <formula>"E"</formula>
    </cfRule>
    <cfRule type="cellIs" dxfId="3316" priority="62" stopIfTrue="1" operator="equal">
      <formula>"S"</formula>
    </cfRule>
    <cfRule type="cellIs" dxfId="3315" priority="63" stopIfTrue="1" operator="equal">
      <formula>"M"</formula>
    </cfRule>
    <cfRule type="cellIs" dxfId="3314" priority="64" stopIfTrue="1" operator="equal">
      <formula>"J"</formula>
    </cfRule>
    <cfRule type="cellIs" dxfId="3313" priority="65" stopIfTrue="1" operator="equal">
      <formula>"O"</formula>
    </cfRule>
    <cfRule type="expression" dxfId="3312" priority="66" stopIfTrue="1">
      <formula>LEN(TRIM(L4))=0</formula>
    </cfRule>
  </conditionalFormatting>
  <conditionalFormatting sqref="L18:O26">
    <cfRule type="cellIs" dxfId="3311" priority="67" stopIfTrue="1" operator="equal">
      <formula>"E"</formula>
    </cfRule>
    <cfRule type="cellIs" dxfId="3310" priority="68" stopIfTrue="1" operator="equal">
      <formula>"S"</formula>
    </cfRule>
    <cfRule type="cellIs" dxfId="3309" priority="69" stopIfTrue="1" operator="equal">
      <formula>"M"</formula>
    </cfRule>
    <cfRule type="cellIs" dxfId="3308" priority="70" stopIfTrue="1" operator="equal">
      <formula>"J"</formula>
    </cfRule>
    <cfRule type="cellIs" dxfId="3307" priority="71" stopIfTrue="1" operator="equal">
      <formula>"O"</formula>
    </cfRule>
    <cfRule type="expression" dxfId="3306" priority="72" stopIfTrue="1">
      <formula>LEN(TRIM(L18))=0</formula>
    </cfRule>
  </conditionalFormatting>
  <conditionalFormatting sqref="L28:O37">
    <cfRule type="cellIs" dxfId="3305" priority="73" stopIfTrue="1" operator="equal">
      <formula>"E"</formula>
    </cfRule>
    <cfRule type="cellIs" dxfId="3304" priority="74" stopIfTrue="1" operator="equal">
      <formula>"S"</formula>
    </cfRule>
    <cfRule type="cellIs" dxfId="3303" priority="75" stopIfTrue="1" operator="equal">
      <formula>"M"</formula>
    </cfRule>
    <cfRule type="cellIs" dxfId="3302" priority="76" stopIfTrue="1" operator="equal">
      <formula>"J"</formula>
    </cfRule>
    <cfRule type="cellIs" dxfId="3301" priority="77" stopIfTrue="1" operator="equal">
      <formula>"O"</formula>
    </cfRule>
    <cfRule type="expression" dxfId="3300" priority="78" stopIfTrue="1">
      <formula>LEN(TRIM(L28))=0</formula>
    </cfRule>
  </conditionalFormatting>
  <conditionalFormatting sqref="L39:O50">
    <cfRule type="cellIs" dxfId="3299" priority="79" stopIfTrue="1" operator="equal">
      <formula>"E"</formula>
    </cfRule>
    <cfRule type="cellIs" dxfId="3298" priority="80" stopIfTrue="1" operator="equal">
      <formula>"S"</formula>
    </cfRule>
    <cfRule type="cellIs" dxfId="3297" priority="81" stopIfTrue="1" operator="equal">
      <formula>"M"</formula>
    </cfRule>
    <cfRule type="cellIs" dxfId="3296" priority="82" stopIfTrue="1" operator="equal">
      <formula>"J"</formula>
    </cfRule>
    <cfRule type="cellIs" dxfId="3295" priority="83" stopIfTrue="1" operator="equal">
      <formula>"O"</formula>
    </cfRule>
    <cfRule type="expression" dxfId="3294" priority="84" stopIfTrue="1">
      <formula>LEN(TRIM(L39))=0</formula>
    </cfRule>
  </conditionalFormatting>
  <conditionalFormatting sqref="L52:O59">
    <cfRule type="cellIs" dxfId="3293" priority="85" stopIfTrue="1" operator="equal">
      <formula>"E"</formula>
    </cfRule>
    <cfRule type="cellIs" dxfId="3292" priority="86" stopIfTrue="1" operator="equal">
      <formula>"S"</formula>
    </cfRule>
    <cfRule type="cellIs" dxfId="3291" priority="87" stopIfTrue="1" operator="equal">
      <formula>"M"</formula>
    </cfRule>
    <cfRule type="cellIs" dxfId="3290" priority="88" stopIfTrue="1" operator="equal">
      <formula>"J"</formula>
    </cfRule>
    <cfRule type="cellIs" dxfId="3289" priority="89" stopIfTrue="1" operator="equal">
      <formula>"O"</formula>
    </cfRule>
    <cfRule type="expression" dxfId="3288" priority="90" stopIfTrue="1">
      <formula>LEN(TRIM(L52))=0</formula>
    </cfRule>
  </conditionalFormatting>
  <conditionalFormatting sqref="L61:O78">
    <cfRule type="cellIs" dxfId="3287" priority="91" stopIfTrue="1" operator="equal">
      <formula>"E"</formula>
    </cfRule>
    <cfRule type="cellIs" dxfId="3286" priority="92" stopIfTrue="1" operator="equal">
      <formula>"S"</formula>
    </cfRule>
    <cfRule type="cellIs" dxfId="3285" priority="93" stopIfTrue="1" operator="equal">
      <formula>"M"</formula>
    </cfRule>
    <cfRule type="cellIs" dxfId="3284" priority="94" stopIfTrue="1" operator="equal">
      <formula>"J"</formula>
    </cfRule>
    <cfRule type="cellIs" dxfId="3283" priority="95" stopIfTrue="1" operator="equal">
      <formula>"O"</formula>
    </cfRule>
    <cfRule type="expression" dxfId="3282" priority="96" stopIfTrue="1">
      <formula>LEN(TRIM(L61))=0</formula>
    </cfRule>
  </conditionalFormatting>
  <conditionalFormatting sqref="L80:O94">
    <cfRule type="cellIs" dxfId="3281" priority="97" stopIfTrue="1" operator="equal">
      <formula>"E"</formula>
    </cfRule>
    <cfRule type="cellIs" dxfId="3280" priority="98" stopIfTrue="1" operator="equal">
      <formula>"S"</formula>
    </cfRule>
    <cfRule type="cellIs" dxfId="3279" priority="99" stopIfTrue="1" operator="equal">
      <formula>"M"</formula>
    </cfRule>
    <cfRule type="cellIs" dxfId="3278" priority="100" stopIfTrue="1" operator="equal">
      <formula>"J"</formula>
    </cfRule>
    <cfRule type="cellIs" dxfId="3277" priority="101" stopIfTrue="1" operator="equal">
      <formula>"O"</formula>
    </cfRule>
    <cfRule type="expression" dxfId="3276" priority="102" stopIfTrue="1">
      <formula>LEN(TRIM(L80))=0</formula>
    </cfRule>
  </conditionalFormatting>
  <conditionalFormatting sqref="L96:O99">
    <cfRule type="cellIs" dxfId="3275" priority="103" stopIfTrue="1" operator="equal">
      <formula>"E"</formula>
    </cfRule>
    <cfRule type="cellIs" dxfId="3274" priority="104" stopIfTrue="1" operator="equal">
      <formula>"S"</formula>
    </cfRule>
    <cfRule type="cellIs" dxfId="3273" priority="105" stopIfTrue="1" operator="equal">
      <formula>"M"</formula>
    </cfRule>
    <cfRule type="cellIs" dxfId="3272" priority="106" stopIfTrue="1" operator="equal">
      <formula>"J"</formula>
    </cfRule>
    <cfRule type="cellIs" dxfId="3271" priority="107" stopIfTrue="1" operator="equal">
      <formula>"O"</formula>
    </cfRule>
    <cfRule type="expression" dxfId="3270" priority="108" stopIfTrue="1">
      <formula>LEN(TRIM(L96))=0</formula>
    </cfRule>
  </conditionalFormatting>
  <conditionalFormatting sqref="L102:O106">
    <cfRule type="cellIs" dxfId="3269" priority="109" stopIfTrue="1" operator="equal">
      <formula>"E"</formula>
    </cfRule>
    <cfRule type="cellIs" dxfId="3268" priority="110" stopIfTrue="1" operator="equal">
      <formula>"S"</formula>
    </cfRule>
    <cfRule type="cellIs" dxfId="3267" priority="111" stopIfTrue="1" operator="equal">
      <formula>"M"</formula>
    </cfRule>
    <cfRule type="cellIs" dxfId="3266" priority="112" stopIfTrue="1" operator="equal">
      <formula>"J"</formula>
    </cfRule>
    <cfRule type="cellIs" dxfId="3265" priority="113" stopIfTrue="1" operator="equal">
      <formula>"O"</formula>
    </cfRule>
    <cfRule type="expression" dxfId="3264" priority="114" stopIfTrue="1">
      <formula>LEN(TRIM(L102))=0</formula>
    </cfRule>
  </conditionalFormatting>
  <conditionalFormatting sqref="L109:O109">
    <cfRule type="cellIs" dxfId="3263" priority="115" stopIfTrue="1" operator="equal">
      <formula>"E"</formula>
    </cfRule>
    <cfRule type="cellIs" dxfId="3262" priority="116" stopIfTrue="1" operator="equal">
      <formula>"S"</formula>
    </cfRule>
    <cfRule type="cellIs" dxfId="3261" priority="117" stopIfTrue="1" operator="equal">
      <formula>"M"</formula>
    </cfRule>
    <cfRule type="cellIs" dxfId="3260" priority="118" stopIfTrue="1" operator="equal">
      <formula>"J"</formula>
    </cfRule>
    <cfRule type="cellIs" dxfId="3259" priority="119" stopIfTrue="1" operator="equal">
      <formula>"O"</formula>
    </cfRule>
    <cfRule type="expression" dxfId="3258" priority="120" stopIfTrue="1">
      <formula>LEN(TRIM(L109))=0</formula>
    </cfRule>
  </conditionalFormatting>
  <conditionalFormatting sqref="P4:AI16">
    <cfRule type="cellIs" dxfId="3257" priority="121" stopIfTrue="1" operator="equal">
      <formula>"E"</formula>
    </cfRule>
    <cfRule type="cellIs" dxfId="3256" priority="122" stopIfTrue="1" operator="equal">
      <formula>"S"</formula>
    </cfRule>
    <cfRule type="cellIs" dxfId="3255" priority="123" stopIfTrue="1" operator="equal">
      <formula>"M"</formula>
    </cfRule>
    <cfRule type="cellIs" dxfId="3254" priority="124" stopIfTrue="1" operator="equal">
      <formula>"J"</formula>
    </cfRule>
    <cfRule type="cellIs" dxfId="3253" priority="125" stopIfTrue="1" operator="equal">
      <formula>"O"</formula>
    </cfRule>
    <cfRule type="expression" dxfId="3252" priority="126" stopIfTrue="1">
      <formula>LEN(TRIM(P4))=0</formula>
    </cfRule>
  </conditionalFormatting>
  <conditionalFormatting sqref="P18:AI26">
    <cfRule type="cellIs" dxfId="3251" priority="127" stopIfTrue="1" operator="equal">
      <formula>"E"</formula>
    </cfRule>
    <cfRule type="cellIs" dxfId="3250" priority="128" stopIfTrue="1" operator="equal">
      <formula>"S"</formula>
    </cfRule>
    <cfRule type="cellIs" dxfId="3249" priority="129" stopIfTrue="1" operator="equal">
      <formula>"M"</formula>
    </cfRule>
    <cfRule type="cellIs" dxfId="3248" priority="130" stopIfTrue="1" operator="equal">
      <formula>"J"</formula>
    </cfRule>
    <cfRule type="cellIs" dxfId="3247" priority="131" stopIfTrue="1" operator="equal">
      <formula>"O"</formula>
    </cfRule>
    <cfRule type="expression" dxfId="3246" priority="132" stopIfTrue="1">
      <formula>LEN(TRIM(P18))=0</formula>
    </cfRule>
  </conditionalFormatting>
  <conditionalFormatting sqref="P28:AI37">
    <cfRule type="cellIs" dxfId="3245" priority="133" stopIfTrue="1" operator="equal">
      <formula>"E"</formula>
    </cfRule>
    <cfRule type="cellIs" dxfId="3244" priority="134" stopIfTrue="1" operator="equal">
      <formula>"S"</formula>
    </cfRule>
    <cfRule type="cellIs" dxfId="3243" priority="135" stopIfTrue="1" operator="equal">
      <formula>"M"</formula>
    </cfRule>
    <cfRule type="cellIs" dxfId="3242" priority="136" stopIfTrue="1" operator="equal">
      <formula>"J"</formula>
    </cfRule>
    <cfRule type="cellIs" dxfId="3241" priority="137" stopIfTrue="1" operator="equal">
      <formula>"O"</formula>
    </cfRule>
    <cfRule type="expression" dxfId="3240" priority="138" stopIfTrue="1">
      <formula>LEN(TRIM(P28))=0</formula>
    </cfRule>
  </conditionalFormatting>
  <conditionalFormatting sqref="P39:AI50">
    <cfRule type="cellIs" dxfId="3239" priority="139" stopIfTrue="1" operator="equal">
      <formula>"E"</formula>
    </cfRule>
    <cfRule type="cellIs" dxfId="3238" priority="140" stopIfTrue="1" operator="equal">
      <formula>"S"</formula>
    </cfRule>
    <cfRule type="cellIs" dxfId="3237" priority="141" stopIfTrue="1" operator="equal">
      <formula>"M"</formula>
    </cfRule>
    <cfRule type="cellIs" dxfId="3236" priority="142" stopIfTrue="1" operator="equal">
      <formula>"J"</formula>
    </cfRule>
    <cfRule type="cellIs" dxfId="3235" priority="143" stopIfTrue="1" operator="equal">
      <formula>"O"</formula>
    </cfRule>
    <cfRule type="expression" dxfId="3234" priority="144" stopIfTrue="1">
      <formula>LEN(TRIM(P39))=0</formula>
    </cfRule>
  </conditionalFormatting>
  <conditionalFormatting sqref="P52:AI59">
    <cfRule type="cellIs" dxfId="3233" priority="145" stopIfTrue="1" operator="equal">
      <formula>"E"</formula>
    </cfRule>
    <cfRule type="cellIs" dxfId="3232" priority="146" stopIfTrue="1" operator="equal">
      <formula>"S"</formula>
    </cfRule>
    <cfRule type="cellIs" dxfId="3231" priority="147" stopIfTrue="1" operator="equal">
      <formula>"M"</formula>
    </cfRule>
    <cfRule type="cellIs" dxfId="3230" priority="148" stopIfTrue="1" operator="equal">
      <formula>"J"</formula>
    </cfRule>
    <cfRule type="cellIs" dxfId="3229" priority="149" stopIfTrue="1" operator="equal">
      <formula>"O"</formula>
    </cfRule>
    <cfRule type="expression" dxfId="3228" priority="150" stopIfTrue="1">
      <formula>LEN(TRIM(P52))=0</formula>
    </cfRule>
  </conditionalFormatting>
  <conditionalFormatting sqref="P61:AI78">
    <cfRule type="cellIs" dxfId="3227" priority="151" stopIfTrue="1" operator="equal">
      <formula>"E"</formula>
    </cfRule>
  </conditionalFormatting>
  <conditionalFormatting sqref="P61:AI78">
    <cfRule type="cellIs" dxfId="3226" priority="152" stopIfTrue="1" operator="equal">
      <formula>"S"</formula>
    </cfRule>
  </conditionalFormatting>
  <conditionalFormatting sqref="P61:AI78">
    <cfRule type="cellIs" dxfId="3225" priority="153" stopIfTrue="1" operator="equal">
      <formula>"M"</formula>
    </cfRule>
  </conditionalFormatting>
  <conditionalFormatting sqref="P61:AI78">
    <cfRule type="cellIs" dxfId="3224" priority="154" stopIfTrue="1" operator="equal">
      <formula>"J"</formula>
    </cfRule>
  </conditionalFormatting>
  <conditionalFormatting sqref="P61:AI78">
    <cfRule type="cellIs" dxfId="3223" priority="155" stopIfTrue="1" operator="equal">
      <formula>"O"</formula>
    </cfRule>
  </conditionalFormatting>
  <conditionalFormatting sqref="P61:AI78">
    <cfRule type="expression" dxfId="3222" priority="156" stopIfTrue="1">
      <formula>LEN(TRIM(P61))=0</formula>
    </cfRule>
  </conditionalFormatting>
  <conditionalFormatting sqref="P80:AI94">
    <cfRule type="cellIs" dxfId="3221" priority="157" stopIfTrue="1" operator="equal">
      <formula>"E"</formula>
    </cfRule>
  </conditionalFormatting>
  <conditionalFormatting sqref="P80:AI94">
    <cfRule type="cellIs" dxfId="3220" priority="158" stopIfTrue="1" operator="equal">
      <formula>"S"</formula>
    </cfRule>
  </conditionalFormatting>
  <conditionalFormatting sqref="P80:AI94">
    <cfRule type="cellIs" dxfId="3219" priority="159" stopIfTrue="1" operator="equal">
      <formula>"M"</formula>
    </cfRule>
  </conditionalFormatting>
  <conditionalFormatting sqref="P80:AI94">
    <cfRule type="cellIs" dxfId="3218" priority="160" stopIfTrue="1" operator="equal">
      <formula>"J"</formula>
    </cfRule>
  </conditionalFormatting>
  <conditionalFormatting sqref="P80:AI94">
    <cfRule type="cellIs" dxfId="3217" priority="161" stopIfTrue="1" operator="equal">
      <formula>"O"</formula>
    </cfRule>
  </conditionalFormatting>
  <conditionalFormatting sqref="P80:AI94">
    <cfRule type="expression" dxfId="3216" priority="162" stopIfTrue="1">
      <formula>LEN(TRIM(P80))=0</formula>
    </cfRule>
  </conditionalFormatting>
  <conditionalFormatting sqref="P96:AI99">
    <cfRule type="cellIs" dxfId="3215" priority="163" stopIfTrue="1" operator="equal">
      <formula>"E"</formula>
    </cfRule>
  </conditionalFormatting>
  <conditionalFormatting sqref="P96:AI99">
    <cfRule type="cellIs" dxfId="3214" priority="164" stopIfTrue="1" operator="equal">
      <formula>"S"</formula>
    </cfRule>
  </conditionalFormatting>
  <conditionalFormatting sqref="P96:AI99">
    <cfRule type="cellIs" dxfId="3213" priority="165" stopIfTrue="1" operator="equal">
      <formula>"M"</formula>
    </cfRule>
  </conditionalFormatting>
  <conditionalFormatting sqref="P96:AI99">
    <cfRule type="cellIs" dxfId="3212" priority="166" stopIfTrue="1" operator="equal">
      <formula>"J"</formula>
    </cfRule>
  </conditionalFormatting>
  <conditionalFormatting sqref="P96:AI99">
    <cfRule type="cellIs" dxfId="3211" priority="167" stopIfTrue="1" operator="equal">
      <formula>"O"</formula>
    </cfRule>
  </conditionalFormatting>
  <conditionalFormatting sqref="P96:AI99">
    <cfRule type="expression" dxfId="3210" priority="168" stopIfTrue="1">
      <formula>LEN(TRIM(P96))=0</formula>
    </cfRule>
  </conditionalFormatting>
  <conditionalFormatting sqref="P102:AI106">
    <cfRule type="cellIs" dxfId="3209" priority="169" stopIfTrue="1" operator="equal">
      <formula>"E"</formula>
    </cfRule>
  </conditionalFormatting>
  <conditionalFormatting sqref="P102:AI106">
    <cfRule type="cellIs" dxfId="3208" priority="170" stopIfTrue="1" operator="equal">
      <formula>"S"</formula>
    </cfRule>
  </conditionalFormatting>
  <conditionalFormatting sqref="P102:AI106">
    <cfRule type="cellIs" dxfId="3207" priority="171" stopIfTrue="1" operator="equal">
      <formula>"M"</formula>
    </cfRule>
  </conditionalFormatting>
  <conditionalFormatting sqref="P102:AI106">
    <cfRule type="cellIs" dxfId="3206" priority="172" stopIfTrue="1" operator="equal">
      <formula>"J"</formula>
    </cfRule>
  </conditionalFormatting>
  <conditionalFormatting sqref="P102:AI106">
    <cfRule type="cellIs" dxfId="3205" priority="173" stopIfTrue="1" operator="equal">
      <formula>"O"</formula>
    </cfRule>
  </conditionalFormatting>
  <conditionalFormatting sqref="P102:AI106">
    <cfRule type="expression" dxfId="3204" priority="174" stopIfTrue="1">
      <formula>LEN(TRIM(P102))=0</formula>
    </cfRule>
  </conditionalFormatting>
  <conditionalFormatting sqref="P109:AI109">
    <cfRule type="cellIs" dxfId="3203" priority="175" stopIfTrue="1" operator="equal">
      <formula>"E"</formula>
    </cfRule>
  </conditionalFormatting>
  <conditionalFormatting sqref="P109:AI109">
    <cfRule type="cellIs" dxfId="3202" priority="176" stopIfTrue="1" operator="equal">
      <formula>"S"</formula>
    </cfRule>
  </conditionalFormatting>
  <conditionalFormatting sqref="P109:AI109">
    <cfRule type="cellIs" dxfId="3201" priority="177" stopIfTrue="1" operator="equal">
      <formula>"M"</formula>
    </cfRule>
  </conditionalFormatting>
  <conditionalFormatting sqref="P109:AI109">
    <cfRule type="cellIs" dxfId="3200" priority="178" stopIfTrue="1" operator="equal">
      <formula>"J"</formula>
    </cfRule>
  </conditionalFormatting>
  <conditionalFormatting sqref="P109:AI109">
    <cfRule type="cellIs" dxfId="3199" priority="179" stopIfTrue="1" operator="equal">
      <formula>"O"</formula>
    </cfRule>
  </conditionalFormatting>
  <conditionalFormatting sqref="P109:AI109">
    <cfRule type="expression" dxfId="3198" priority="180" stopIfTrue="1">
      <formula>LEN(TRIM(P109))=0</formula>
    </cfRule>
  </conditionalFormatting>
  <conditionalFormatting sqref="AJ4:AL16">
    <cfRule type="cellIs" dxfId="3197" priority="181" stopIfTrue="1" operator="equal">
      <formula>"E"</formula>
    </cfRule>
    <cfRule type="cellIs" dxfId="3196" priority="182" stopIfTrue="1" operator="equal">
      <formula>"S"</formula>
    </cfRule>
    <cfRule type="cellIs" dxfId="3195" priority="183" stopIfTrue="1" operator="equal">
      <formula>"M"</formula>
    </cfRule>
    <cfRule type="cellIs" dxfId="3194" priority="184" stopIfTrue="1" operator="equal">
      <formula>"J"</formula>
    </cfRule>
    <cfRule type="cellIs" dxfId="3193" priority="185" stopIfTrue="1" operator="equal">
      <formula>"O"</formula>
    </cfRule>
    <cfRule type="expression" dxfId="3192" priority="186" stopIfTrue="1">
      <formula>LEN(TRIM(AJ4))=0</formula>
    </cfRule>
  </conditionalFormatting>
  <conditionalFormatting sqref="AJ18:AL26">
    <cfRule type="cellIs" dxfId="3191" priority="187" stopIfTrue="1" operator="equal">
      <formula>"E"</formula>
    </cfRule>
    <cfRule type="cellIs" dxfId="3190" priority="188" stopIfTrue="1" operator="equal">
      <formula>"S"</formula>
    </cfRule>
    <cfRule type="cellIs" dxfId="3189" priority="189" stopIfTrue="1" operator="equal">
      <formula>"M"</formula>
    </cfRule>
    <cfRule type="cellIs" dxfId="3188" priority="190" stopIfTrue="1" operator="equal">
      <formula>"J"</formula>
    </cfRule>
    <cfRule type="cellIs" dxfId="3187" priority="191" stopIfTrue="1" operator="equal">
      <formula>"O"</formula>
    </cfRule>
    <cfRule type="expression" dxfId="3186" priority="192" stopIfTrue="1">
      <formula>LEN(TRIM(AJ18))=0</formula>
    </cfRule>
  </conditionalFormatting>
  <conditionalFormatting sqref="AJ28:AL37">
    <cfRule type="cellIs" dxfId="3185" priority="193" stopIfTrue="1" operator="equal">
      <formula>"E"</formula>
    </cfRule>
    <cfRule type="cellIs" dxfId="3184" priority="194" stopIfTrue="1" operator="equal">
      <formula>"S"</formula>
    </cfRule>
    <cfRule type="cellIs" dxfId="3183" priority="195" stopIfTrue="1" operator="equal">
      <formula>"M"</formula>
    </cfRule>
    <cfRule type="cellIs" dxfId="3182" priority="196" stopIfTrue="1" operator="equal">
      <formula>"J"</formula>
    </cfRule>
    <cfRule type="cellIs" dxfId="3181" priority="197" stopIfTrue="1" operator="equal">
      <formula>"O"</formula>
    </cfRule>
    <cfRule type="expression" dxfId="3180" priority="198" stopIfTrue="1">
      <formula>LEN(TRIM(AJ28))=0</formula>
    </cfRule>
  </conditionalFormatting>
  <conditionalFormatting sqref="AJ39:AL50">
    <cfRule type="cellIs" dxfId="3179" priority="199" stopIfTrue="1" operator="equal">
      <formula>"E"</formula>
    </cfRule>
    <cfRule type="cellIs" dxfId="3178" priority="200" stopIfTrue="1" operator="equal">
      <formula>"S"</formula>
    </cfRule>
    <cfRule type="cellIs" dxfId="3177" priority="201" stopIfTrue="1" operator="equal">
      <formula>"M"</formula>
    </cfRule>
    <cfRule type="cellIs" dxfId="3176" priority="202" stopIfTrue="1" operator="equal">
      <formula>"J"</formula>
    </cfRule>
    <cfRule type="cellIs" dxfId="3175" priority="203" stopIfTrue="1" operator="equal">
      <formula>"O"</formula>
    </cfRule>
    <cfRule type="expression" dxfId="3174" priority="204" stopIfTrue="1">
      <formula>LEN(TRIM(AJ39))=0</formula>
    </cfRule>
  </conditionalFormatting>
  <conditionalFormatting sqref="AJ52:AL59">
    <cfRule type="cellIs" dxfId="3173" priority="205" stopIfTrue="1" operator="equal">
      <formula>"E"</formula>
    </cfRule>
    <cfRule type="cellIs" dxfId="3172" priority="206" stopIfTrue="1" operator="equal">
      <formula>"S"</formula>
    </cfRule>
    <cfRule type="cellIs" dxfId="3171" priority="207" stopIfTrue="1" operator="equal">
      <formula>"M"</formula>
    </cfRule>
    <cfRule type="cellIs" dxfId="3170" priority="208" stopIfTrue="1" operator="equal">
      <formula>"J"</formula>
    </cfRule>
    <cfRule type="cellIs" dxfId="3169" priority="209" stopIfTrue="1" operator="equal">
      <formula>"O"</formula>
    </cfRule>
    <cfRule type="expression" dxfId="3168" priority="210" stopIfTrue="1">
      <formula>LEN(TRIM(AJ52))=0</formula>
    </cfRule>
  </conditionalFormatting>
  <conditionalFormatting sqref="AJ61:AL78">
    <cfRule type="cellIs" dxfId="3167" priority="211" stopIfTrue="1" operator="equal">
      <formula>"E"</formula>
    </cfRule>
  </conditionalFormatting>
  <conditionalFormatting sqref="AJ61:AL78">
    <cfRule type="cellIs" dxfId="3166" priority="212" stopIfTrue="1" operator="equal">
      <formula>"S"</formula>
    </cfRule>
  </conditionalFormatting>
  <conditionalFormatting sqref="AJ61:AL78">
    <cfRule type="cellIs" dxfId="3165" priority="213" stopIfTrue="1" operator="equal">
      <formula>"M"</formula>
    </cfRule>
  </conditionalFormatting>
  <conditionalFormatting sqref="AJ61:AL78">
    <cfRule type="cellIs" dxfId="3164" priority="214" stopIfTrue="1" operator="equal">
      <formula>"J"</formula>
    </cfRule>
  </conditionalFormatting>
  <conditionalFormatting sqref="AJ61:AL78">
    <cfRule type="cellIs" dxfId="3163" priority="215" stopIfTrue="1" operator="equal">
      <formula>"O"</formula>
    </cfRule>
  </conditionalFormatting>
  <conditionalFormatting sqref="AJ61:AL78">
    <cfRule type="expression" dxfId="3162" priority="216" stopIfTrue="1">
      <formula>LEN(TRIM(AJ61))=0</formula>
    </cfRule>
  </conditionalFormatting>
  <conditionalFormatting sqref="AJ80:AL94">
    <cfRule type="cellIs" dxfId="3161" priority="217" stopIfTrue="1" operator="equal">
      <formula>"E"</formula>
    </cfRule>
  </conditionalFormatting>
  <conditionalFormatting sqref="AJ80:AL94">
    <cfRule type="cellIs" dxfId="3160" priority="218" stopIfTrue="1" operator="equal">
      <formula>"S"</formula>
    </cfRule>
  </conditionalFormatting>
  <conditionalFormatting sqref="AJ80:AL94">
    <cfRule type="cellIs" dxfId="3159" priority="219" stopIfTrue="1" operator="equal">
      <formula>"M"</formula>
    </cfRule>
  </conditionalFormatting>
  <conditionalFormatting sqref="AJ80:AL94">
    <cfRule type="cellIs" dxfId="3158" priority="220" stopIfTrue="1" operator="equal">
      <formula>"J"</formula>
    </cfRule>
  </conditionalFormatting>
  <conditionalFormatting sqref="AJ80:AL94">
    <cfRule type="cellIs" dxfId="3157" priority="221" stopIfTrue="1" operator="equal">
      <formula>"O"</formula>
    </cfRule>
  </conditionalFormatting>
  <conditionalFormatting sqref="AJ80:AL94">
    <cfRule type="expression" dxfId="3156" priority="222" stopIfTrue="1">
      <formula>LEN(TRIM(AJ80))=0</formula>
    </cfRule>
  </conditionalFormatting>
  <conditionalFormatting sqref="AJ96:AL99">
    <cfRule type="cellIs" dxfId="3155" priority="223" stopIfTrue="1" operator="equal">
      <formula>"E"</formula>
    </cfRule>
  </conditionalFormatting>
  <conditionalFormatting sqref="AJ96:AL99">
    <cfRule type="cellIs" dxfId="3154" priority="224" stopIfTrue="1" operator="equal">
      <formula>"S"</formula>
    </cfRule>
  </conditionalFormatting>
  <conditionalFormatting sqref="AJ96:AL99">
    <cfRule type="cellIs" dxfId="3153" priority="225" stopIfTrue="1" operator="equal">
      <formula>"M"</formula>
    </cfRule>
  </conditionalFormatting>
  <conditionalFormatting sqref="AJ96:AL99">
    <cfRule type="cellIs" dxfId="3152" priority="226" stopIfTrue="1" operator="equal">
      <formula>"J"</formula>
    </cfRule>
  </conditionalFormatting>
  <conditionalFormatting sqref="AJ96:AL99">
    <cfRule type="cellIs" dxfId="3151" priority="227" stopIfTrue="1" operator="equal">
      <formula>"O"</formula>
    </cfRule>
  </conditionalFormatting>
  <conditionalFormatting sqref="AJ96:AL99">
    <cfRule type="expression" dxfId="3150" priority="228" stopIfTrue="1">
      <formula>LEN(TRIM(AJ96))=0</formula>
    </cfRule>
  </conditionalFormatting>
  <conditionalFormatting sqref="AJ102:AL106">
    <cfRule type="cellIs" dxfId="3149" priority="229" stopIfTrue="1" operator="equal">
      <formula>"E"</formula>
    </cfRule>
  </conditionalFormatting>
  <conditionalFormatting sqref="AJ102:AL106">
    <cfRule type="cellIs" dxfId="3148" priority="230" stopIfTrue="1" operator="equal">
      <formula>"S"</formula>
    </cfRule>
  </conditionalFormatting>
  <conditionalFormatting sqref="AJ102:AL106">
    <cfRule type="cellIs" dxfId="3147" priority="231" stopIfTrue="1" operator="equal">
      <formula>"M"</formula>
    </cfRule>
  </conditionalFormatting>
  <conditionalFormatting sqref="AJ102:AL106">
    <cfRule type="cellIs" dxfId="3146" priority="232" stopIfTrue="1" operator="equal">
      <formula>"J"</formula>
    </cfRule>
  </conditionalFormatting>
  <conditionalFormatting sqref="AJ102:AL106">
    <cfRule type="cellIs" dxfId="3145" priority="233" stopIfTrue="1" operator="equal">
      <formula>"O"</formula>
    </cfRule>
  </conditionalFormatting>
  <conditionalFormatting sqref="AJ102:AL106">
    <cfRule type="expression" dxfId="3144" priority="234" stopIfTrue="1">
      <formula>LEN(TRIM(AJ102))=0</formula>
    </cfRule>
  </conditionalFormatting>
  <conditionalFormatting sqref="AJ109:AL109">
    <cfRule type="cellIs" dxfId="3143" priority="235" stopIfTrue="1" operator="equal">
      <formula>"E"</formula>
    </cfRule>
  </conditionalFormatting>
  <conditionalFormatting sqref="AJ109:AL109">
    <cfRule type="cellIs" dxfId="3142" priority="236" stopIfTrue="1" operator="equal">
      <formula>"S"</formula>
    </cfRule>
  </conditionalFormatting>
  <conditionalFormatting sqref="AJ109:AL109">
    <cfRule type="cellIs" dxfId="3141" priority="237" stopIfTrue="1" operator="equal">
      <formula>"M"</formula>
    </cfRule>
  </conditionalFormatting>
  <conditionalFormatting sqref="AJ109:AL109">
    <cfRule type="cellIs" dxfId="3140" priority="238" stopIfTrue="1" operator="equal">
      <formula>"J"</formula>
    </cfRule>
  </conditionalFormatting>
  <conditionalFormatting sqref="AJ109:AL109">
    <cfRule type="cellIs" dxfId="3139" priority="239" stopIfTrue="1" operator="equal">
      <formula>"O"</formula>
    </cfRule>
  </conditionalFormatting>
  <conditionalFormatting sqref="AJ109:AL109">
    <cfRule type="expression" dxfId="3138" priority="240" stopIfTrue="1">
      <formula>LEN(TRIM(AJ109))=0</formula>
    </cfRule>
  </conditionalFormatting>
  <conditionalFormatting sqref="AM4:AO16">
    <cfRule type="cellIs" dxfId="3137" priority="241" stopIfTrue="1" operator="equal">
      <formula>"E"</formula>
    </cfRule>
    <cfRule type="cellIs" dxfId="3136" priority="242" stopIfTrue="1" operator="equal">
      <formula>"S"</formula>
    </cfRule>
    <cfRule type="cellIs" dxfId="3135" priority="243" stopIfTrue="1" operator="equal">
      <formula>"M"</formula>
    </cfRule>
    <cfRule type="cellIs" dxfId="3134" priority="244" stopIfTrue="1" operator="equal">
      <formula>"J"</formula>
    </cfRule>
    <cfRule type="cellIs" dxfId="3133" priority="245" stopIfTrue="1" operator="equal">
      <formula>"O"</formula>
    </cfRule>
    <cfRule type="expression" dxfId="3132" priority="246" stopIfTrue="1">
      <formula>LEN(TRIM(AM4))=0</formula>
    </cfRule>
  </conditionalFormatting>
  <conditionalFormatting sqref="AM18:AO26">
    <cfRule type="cellIs" dxfId="3131" priority="247" stopIfTrue="1" operator="equal">
      <formula>"E"</formula>
    </cfRule>
    <cfRule type="cellIs" dxfId="3130" priority="248" stopIfTrue="1" operator="equal">
      <formula>"S"</formula>
    </cfRule>
    <cfRule type="cellIs" dxfId="3129" priority="249" stopIfTrue="1" operator="equal">
      <formula>"M"</formula>
    </cfRule>
    <cfRule type="cellIs" dxfId="3128" priority="250" stopIfTrue="1" operator="equal">
      <formula>"J"</formula>
    </cfRule>
    <cfRule type="cellIs" dxfId="3127" priority="251" stopIfTrue="1" operator="equal">
      <formula>"O"</formula>
    </cfRule>
    <cfRule type="expression" dxfId="3126" priority="252" stopIfTrue="1">
      <formula>LEN(TRIM(AM18))=0</formula>
    </cfRule>
  </conditionalFormatting>
  <conditionalFormatting sqref="AM28:AO37">
    <cfRule type="cellIs" dxfId="3125" priority="253" stopIfTrue="1" operator="equal">
      <formula>"E"</formula>
    </cfRule>
    <cfRule type="cellIs" dxfId="3124" priority="254" stopIfTrue="1" operator="equal">
      <formula>"S"</formula>
    </cfRule>
    <cfRule type="cellIs" dxfId="3123" priority="255" stopIfTrue="1" operator="equal">
      <formula>"M"</formula>
    </cfRule>
    <cfRule type="cellIs" dxfId="3122" priority="256" stopIfTrue="1" operator="equal">
      <formula>"J"</formula>
    </cfRule>
    <cfRule type="cellIs" dxfId="3121" priority="257" stopIfTrue="1" operator="equal">
      <formula>"O"</formula>
    </cfRule>
    <cfRule type="expression" dxfId="3120" priority="258" stopIfTrue="1">
      <formula>LEN(TRIM(AM28))=0</formula>
    </cfRule>
  </conditionalFormatting>
  <conditionalFormatting sqref="AM39:AO50">
    <cfRule type="cellIs" dxfId="3119" priority="259" stopIfTrue="1" operator="equal">
      <formula>"E"</formula>
    </cfRule>
  </conditionalFormatting>
  <conditionalFormatting sqref="AM39:AO50">
    <cfRule type="cellIs" dxfId="3118" priority="260" stopIfTrue="1" operator="equal">
      <formula>"S"</formula>
    </cfRule>
  </conditionalFormatting>
  <conditionalFormatting sqref="AM39:AO50">
    <cfRule type="cellIs" dxfId="3117" priority="261" stopIfTrue="1" operator="equal">
      <formula>"M"</formula>
    </cfRule>
  </conditionalFormatting>
  <conditionalFormatting sqref="AM39:AO50">
    <cfRule type="cellIs" dxfId="3116" priority="262" stopIfTrue="1" operator="equal">
      <formula>"J"</formula>
    </cfRule>
  </conditionalFormatting>
  <conditionalFormatting sqref="AM39:AO50">
    <cfRule type="cellIs" dxfId="3115" priority="263" stopIfTrue="1" operator="equal">
      <formula>"O"</formula>
    </cfRule>
  </conditionalFormatting>
  <conditionalFormatting sqref="AM39:AO50">
    <cfRule type="expression" dxfId="3114" priority="264" stopIfTrue="1">
      <formula>LEN(TRIM(AM39))=0</formula>
    </cfRule>
  </conditionalFormatting>
  <conditionalFormatting sqref="AM52:AO59">
    <cfRule type="cellIs" dxfId="3113" priority="265" stopIfTrue="1" operator="equal">
      <formula>"E"</formula>
    </cfRule>
  </conditionalFormatting>
  <conditionalFormatting sqref="AM52:AO59">
    <cfRule type="cellIs" dxfId="3112" priority="266" stopIfTrue="1" operator="equal">
      <formula>"S"</formula>
    </cfRule>
  </conditionalFormatting>
  <conditionalFormatting sqref="AM52:AO59">
    <cfRule type="cellIs" dxfId="3111" priority="267" stopIfTrue="1" operator="equal">
      <formula>"M"</formula>
    </cfRule>
  </conditionalFormatting>
  <conditionalFormatting sqref="AM52:AO59">
    <cfRule type="cellIs" dxfId="3110" priority="268" stopIfTrue="1" operator="equal">
      <formula>"J"</formula>
    </cfRule>
  </conditionalFormatting>
  <conditionalFormatting sqref="AM52:AO59">
    <cfRule type="cellIs" dxfId="3109" priority="269" stopIfTrue="1" operator="equal">
      <formula>"O"</formula>
    </cfRule>
  </conditionalFormatting>
  <conditionalFormatting sqref="AM52:AO59">
    <cfRule type="expression" dxfId="3108" priority="270" stopIfTrue="1">
      <formula>LEN(TRIM(AM52))=0</formula>
    </cfRule>
  </conditionalFormatting>
  <conditionalFormatting sqref="AM61:AO78">
    <cfRule type="cellIs" dxfId="3107" priority="271" stopIfTrue="1" operator="equal">
      <formula>"E"</formula>
    </cfRule>
  </conditionalFormatting>
  <conditionalFormatting sqref="AM61:AO78">
    <cfRule type="cellIs" dxfId="3106" priority="272" stopIfTrue="1" operator="equal">
      <formula>"S"</formula>
    </cfRule>
  </conditionalFormatting>
  <conditionalFormatting sqref="AM61:AO78">
    <cfRule type="cellIs" dxfId="3105" priority="273" stopIfTrue="1" operator="equal">
      <formula>"M"</formula>
    </cfRule>
  </conditionalFormatting>
  <conditionalFormatting sqref="AM61:AO78">
    <cfRule type="cellIs" dxfId="3104" priority="274" stopIfTrue="1" operator="equal">
      <formula>"J"</formula>
    </cfRule>
  </conditionalFormatting>
  <conditionalFormatting sqref="AM61:AO78">
    <cfRule type="cellIs" dxfId="3103" priority="275" stopIfTrue="1" operator="equal">
      <formula>"O"</formula>
    </cfRule>
  </conditionalFormatting>
  <conditionalFormatting sqref="AM61:AO78">
    <cfRule type="expression" dxfId="3102" priority="276" stopIfTrue="1">
      <formula>LEN(TRIM(AM61))=0</formula>
    </cfRule>
  </conditionalFormatting>
  <conditionalFormatting sqref="AM80:AO94">
    <cfRule type="cellIs" dxfId="3101" priority="277" stopIfTrue="1" operator="equal">
      <formula>"E"</formula>
    </cfRule>
  </conditionalFormatting>
  <conditionalFormatting sqref="AM80:AO94">
    <cfRule type="cellIs" dxfId="3100" priority="278" stopIfTrue="1" operator="equal">
      <formula>"S"</formula>
    </cfRule>
  </conditionalFormatting>
  <conditionalFormatting sqref="AM80:AO94">
    <cfRule type="cellIs" dxfId="3099" priority="279" stopIfTrue="1" operator="equal">
      <formula>"M"</formula>
    </cfRule>
  </conditionalFormatting>
  <conditionalFormatting sqref="AM80:AO94">
    <cfRule type="cellIs" dxfId="3098" priority="280" stopIfTrue="1" operator="equal">
      <formula>"J"</formula>
    </cfRule>
  </conditionalFormatting>
  <conditionalFormatting sqref="AM80:AO94">
    <cfRule type="cellIs" dxfId="3097" priority="281" stopIfTrue="1" operator="equal">
      <formula>"O"</formula>
    </cfRule>
  </conditionalFormatting>
  <conditionalFormatting sqref="AM80:AO94">
    <cfRule type="expression" dxfId="3096" priority="282" stopIfTrue="1">
      <formula>LEN(TRIM(AM80))=0</formula>
    </cfRule>
  </conditionalFormatting>
  <conditionalFormatting sqref="AM96:AO99">
    <cfRule type="cellIs" dxfId="3095" priority="283" stopIfTrue="1" operator="equal">
      <formula>"E"</formula>
    </cfRule>
  </conditionalFormatting>
  <conditionalFormatting sqref="AM96:AO99">
    <cfRule type="cellIs" dxfId="3094" priority="284" stopIfTrue="1" operator="equal">
      <formula>"S"</formula>
    </cfRule>
  </conditionalFormatting>
  <conditionalFormatting sqref="AM96:AO99">
    <cfRule type="cellIs" dxfId="3093" priority="285" stopIfTrue="1" operator="equal">
      <formula>"M"</formula>
    </cfRule>
  </conditionalFormatting>
  <conditionalFormatting sqref="AM96:AO99">
    <cfRule type="cellIs" dxfId="3092" priority="286" stopIfTrue="1" operator="equal">
      <formula>"J"</formula>
    </cfRule>
  </conditionalFormatting>
  <conditionalFormatting sqref="AM96:AO99">
    <cfRule type="cellIs" dxfId="3091" priority="287" stopIfTrue="1" operator="equal">
      <formula>"O"</formula>
    </cfRule>
  </conditionalFormatting>
  <conditionalFormatting sqref="AM96:AO99">
    <cfRule type="expression" dxfId="3090" priority="288" stopIfTrue="1">
      <formula>LEN(TRIM(AM96))=0</formula>
    </cfRule>
  </conditionalFormatting>
  <conditionalFormatting sqref="AM102:AO106">
    <cfRule type="cellIs" dxfId="3089" priority="289" stopIfTrue="1" operator="equal">
      <formula>"E"</formula>
    </cfRule>
  </conditionalFormatting>
  <conditionalFormatting sqref="AM102:AO106">
    <cfRule type="cellIs" dxfId="3088" priority="290" stopIfTrue="1" operator="equal">
      <formula>"S"</formula>
    </cfRule>
  </conditionalFormatting>
  <conditionalFormatting sqref="AM102:AO106">
    <cfRule type="cellIs" dxfId="3087" priority="291" stopIfTrue="1" operator="equal">
      <formula>"M"</formula>
    </cfRule>
  </conditionalFormatting>
  <conditionalFormatting sqref="AM102:AO106">
    <cfRule type="cellIs" dxfId="3086" priority="292" stopIfTrue="1" operator="equal">
      <formula>"J"</formula>
    </cfRule>
  </conditionalFormatting>
  <conditionalFormatting sqref="AM102:AO106">
    <cfRule type="cellIs" dxfId="3085" priority="293" stopIfTrue="1" operator="equal">
      <formula>"O"</formula>
    </cfRule>
  </conditionalFormatting>
  <conditionalFormatting sqref="AM102:AO106">
    <cfRule type="expression" dxfId="3084" priority="294" stopIfTrue="1">
      <formula>LEN(TRIM(AM102))=0</formula>
    </cfRule>
  </conditionalFormatting>
  <conditionalFormatting sqref="AM109:AO109">
    <cfRule type="cellIs" dxfId="3083" priority="295" stopIfTrue="1" operator="equal">
      <formula>"E"</formula>
    </cfRule>
  </conditionalFormatting>
  <conditionalFormatting sqref="AM109:AO109">
    <cfRule type="cellIs" dxfId="3082" priority="296" stopIfTrue="1" operator="equal">
      <formula>"S"</formula>
    </cfRule>
  </conditionalFormatting>
  <conditionalFormatting sqref="AM109:AO109">
    <cfRule type="cellIs" dxfId="3081" priority="297" stopIfTrue="1" operator="equal">
      <formula>"M"</formula>
    </cfRule>
  </conditionalFormatting>
  <conditionalFormatting sqref="AM109:AO109">
    <cfRule type="cellIs" dxfId="3080" priority="298" stopIfTrue="1" operator="equal">
      <formula>"J"</formula>
    </cfRule>
  </conditionalFormatting>
  <conditionalFormatting sqref="AM109:AO109">
    <cfRule type="cellIs" dxfId="3079" priority="299" stopIfTrue="1" operator="equal">
      <formula>"O"</formula>
    </cfRule>
  </conditionalFormatting>
  <conditionalFormatting sqref="AM109:AO109">
    <cfRule type="expression" dxfId="3078" priority="300" stopIfTrue="1">
      <formula>LEN(TRIM(AM109))=0</formula>
    </cfRule>
  </conditionalFormatting>
  <conditionalFormatting sqref="AP4:AT16">
    <cfRule type="cellIs" dxfId="3077" priority="301" stopIfTrue="1" operator="equal">
      <formula>"E"</formula>
    </cfRule>
    <cfRule type="cellIs" dxfId="3076" priority="302" stopIfTrue="1" operator="equal">
      <formula>"S"</formula>
    </cfRule>
    <cfRule type="cellIs" dxfId="3075" priority="303" stopIfTrue="1" operator="equal">
      <formula>"M"</formula>
    </cfRule>
    <cfRule type="cellIs" dxfId="3074" priority="304" stopIfTrue="1" operator="equal">
      <formula>"J"</formula>
    </cfRule>
    <cfRule type="cellIs" dxfId="3073" priority="305" stopIfTrue="1" operator="equal">
      <formula>"O"</formula>
    </cfRule>
    <cfRule type="expression" dxfId="3072" priority="306" stopIfTrue="1">
      <formula>LEN(TRIM(AP4))=0</formula>
    </cfRule>
  </conditionalFormatting>
  <conditionalFormatting sqref="AP18:AT26">
    <cfRule type="cellIs" dxfId="3071" priority="307" stopIfTrue="1" operator="equal">
      <formula>"E"</formula>
    </cfRule>
    <cfRule type="cellIs" dxfId="3070" priority="308" stopIfTrue="1" operator="equal">
      <formula>"S"</formula>
    </cfRule>
    <cfRule type="cellIs" dxfId="3069" priority="309" stopIfTrue="1" operator="equal">
      <formula>"M"</formula>
    </cfRule>
    <cfRule type="cellIs" dxfId="3068" priority="310" stopIfTrue="1" operator="equal">
      <formula>"J"</formula>
    </cfRule>
    <cfRule type="cellIs" dxfId="3067" priority="311" stopIfTrue="1" operator="equal">
      <formula>"O"</formula>
    </cfRule>
    <cfRule type="expression" dxfId="3066" priority="312" stopIfTrue="1">
      <formula>LEN(TRIM(AP18))=0</formula>
    </cfRule>
  </conditionalFormatting>
  <conditionalFormatting sqref="AP28:AT37">
    <cfRule type="cellIs" dxfId="3065" priority="313" stopIfTrue="1" operator="equal">
      <formula>"E"</formula>
    </cfRule>
    <cfRule type="cellIs" dxfId="3064" priority="314" stopIfTrue="1" operator="equal">
      <formula>"S"</formula>
    </cfRule>
    <cfRule type="cellIs" dxfId="3063" priority="315" stopIfTrue="1" operator="equal">
      <formula>"M"</formula>
    </cfRule>
    <cfRule type="cellIs" dxfId="3062" priority="316" stopIfTrue="1" operator="equal">
      <formula>"J"</formula>
    </cfRule>
    <cfRule type="cellIs" dxfId="3061" priority="317" stopIfTrue="1" operator="equal">
      <formula>"O"</formula>
    </cfRule>
    <cfRule type="expression" dxfId="3060" priority="318" stopIfTrue="1">
      <formula>LEN(TRIM(AP28))=0</formula>
    </cfRule>
  </conditionalFormatting>
  <conditionalFormatting sqref="AP39:AT50">
    <cfRule type="cellIs" dxfId="3059" priority="319" stopIfTrue="1" operator="equal">
      <formula>"E"</formula>
    </cfRule>
  </conditionalFormatting>
  <conditionalFormatting sqref="AP39:AT50">
    <cfRule type="cellIs" dxfId="3058" priority="320" stopIfTrue="1" operator="equal">
      <formula>"S"</formula>
    </cfRule>
  </conditionalFormatting>
  <conditionalFormatting sqref="AP39:AT50">
    <cfRule type="cellIs" dxfId="3057" priority="321" stopIfTrue="1" operator="equal">
      <formula>"M"</formula>
    </cfRule>
  </conditionalFormatting>
  <conditionalFormatting sqref="AP39:AT50">
    <cfRule type="cellIs" dxfId="3056" priority="322" stopIfTrue="1" operator="equal">
      <formula>"J"</formula>
    </cfRule>
  </conditionalFormatting>
  <conditionalFormatting sqref="AP39:AT50">
    <cfRule type="cellIs" dxfId="3055" priority="323" stopIfTrue="1" operator="equal">
      <formula>"O"</formula>
    </cfRule>
  </conditionalFormatting>
  <conditionalFormatting sqref="AP39:AT50">
    <cfRule type="expression" dxfId="3054" priority="324" stopIfTrue="1">
      <formula>LEN(TRIM(AP39))=0</formula>
    </cfRule>
  </conditionalFormatting>
  <conditionalFormatting sqref="AP52:AT59">
    <cfRule type="cellIs" dxfId="3053" priority="325" stopIfTrue="1" operator="equal">
      <formula>"E"</formula>
    </cfRule>
  </conditionalFormatting>
  <conditionalFormatting sqref="AP52:AT59">
    <cfRule type="cellIs" dxfId="3052" priority="326" stopIfTrue="1" operator="equal">
      <formula>"S"</formula>
    </cfRule>
  </conditionalFormatting>
  <conditionalFormatting sqref="AP52:AT59">
    <cfRule type="cellIs" dxfId="3051" priority="327" stopIfTrue="1" operator="equal">
      <formula>"M"</formula>
    </cfRule>
  </conditionalFormatting>
  <conditionalFormatting sqref="AP52:AT59">
    <cfRule type="cellIs" dxfId="3050" priority="328" stopIfTrue="1" operator="equal">
      <formula>"J"</formula>
    </cfRule>
  </conditionalFormatting>
  <conditionalFormatting sqref="AP52:AT59">
    <cfRule type="cellIs" dxfId="3049" priority="329" stopIfTrue="1" operator="equal">
      <formula>"O"</formula>
    </cfRule>
  </conditionalFormatting>
  <conditionalFormatting sqref="AP52:AT59">
    <cfRule type="expression" dxfId="3048" priority="330" stopIfTrue="1">
      <formula>LEN(TRIM(AP52))=0</formula>
    </cfRule>
  </conditionalFormatting>
  <conditionalFormatting sqref="AP61:AT78">
    <cfRule type="cellIs" dxfId="3047" priority="331" stopIfTrue="1" operator="equal">
      <formula>"E"</formula>
    </cfRule>
  </conditionalFormatting>
  <conditionalFormatting sqref="AP61:AT78">
    <cfRule type="cellIs" dxfId="3046" priority="332" stopIfTrue="1" operator="equal">
      <formula>"S"</formula>
    </cfRule>
  </conditionalFormatting>
  <conditionalFormatting sqref="AP61:AT78">
    <cfRule type="cellIs" dxfId="3045" priority="333" stopIfTrue="1" operator="equal">
      <formula>"M"</formula>
    </cfRule>
  </conditionalFormatting>
  <conditionalFormatting sqref="AP61:AT78">
    <cfRule type="cellIs" dxfId="3044" priority="334" stopIfTrue="1" operator="equal">
      <formula>"J"</formula>
    </cfRule>
  </conditionalFormatting>
  <conditionalFormatting sqref="AP61:AT78">
    <cfRule type="cellIs" dxfId="3043" priority="335" stopIfTrue="1" operator="equal">
      <formula>"O"</formula>
    </cfRule>
  </conditionalFormatting>
  <conditionalFormatting sqref="AP61:AT78">
    <cfRule type="expression" dxfId="3042" priority="336" stopIfTrue="1">
      <formula>LEN(TRIM(AP61))=0</formula>
    </cfRule>
  </conditionalFormatting>
  <conditionalFormatting sqref="AP80:AT94">
    <cfRule type="cellIs" dxfId="3041" priority="337" stopIfTrue="1" operator="equal">
      <formula>"E"</formula>
    </cfRule>
  </conditionalFormatting>
  <conditionalFormatting sqref="AP80:AT94">
    <cfRule type="cellIs" dxfId="3040" priority="338" stopIfTrue="1" operator="equal">
      <formula>"S"</formula>
    </cfRule>
  </conditionalFormatting>
  <conditionalFormatting sqref="AP80:AT94">
    <cfRule type="cellIs" dxfId="3039" priority="339" stopIfTrue="1" operator="equal">
      <formula>"M"</formula>
    </cfRule>
  </conditionalFormatting>
  <conditionalFormatting sqref="AP80:AT94">
    <cfRule type="cellIs" dxfId="3038" priority="340" stopIfTrue="1" operator="equal">
      <formula>"J"</formula>
    </cfRule>
  </conditionalFormatting>
  <conditionalFormatting sqref="AP80:AT94">
    <cfRule type="cellIs" dxfId="3037" priority="341" stopIfTrue="1" operator="equal">
      <formula>"O"</formula>
    </cfRule>
  </conditionalFormatting>
  <conditionalFormatting sqref="AP80:AT94">
    <cfRule type="expression" dxfId="3036" priority="342" stopIfTrue="1">
      <formula>LEN(TRIM(AP80))=0</formula>
    </cfRule>
  </conditionalFormatting>
  <conditionalFormatting sqref="AP96:AT99">
    <cfRule type="cellIs" dxfId="3035" priority="343" stopIfTrue="1" operator="equal">
      <formula>"E"</formula>
    </cfRule>
  </conditionalFormatting>
  <conditionalFormatting sqref="AP96:AT99">
    <cfRule type="cellIs" dxfId="3034" priority="344" stopIfTrue="1" operator="equal">
      <formula>"S"</formula>
    </cfRule>
  </conditionalFormatting>
  <conditionalFormatting sqref="AP96:AT99">
    <cfRule type="cellIs" dxfId="3033" priority="345" stopIfTrue="1" operator="equal">
      <formula>"M"</formula>
    </cfRule>
  </conditionalFormatting>
  <conditionalFormatting sqref="AP96:AT99">
    <cfRule type="cellIs" dxfId="3032" priority="346" stopIfTrue="1" operator="equal">
      <formula>"J"</formula>
    </cfRule>
  </conditionalFormatting>
  <conditionalFormatting sqref="AP96:AT99">
    <cfRule type="cellIs" dxfId="3031" priority="347" stopIfTrue="1" operator="equal">
      <formula>"O"</formula>
    </cfRule>
  </conditionalFormatting>
  <conditionalFormatting sqref="AP96:AT99">
    <cfRule type="expression" dxfId="3030" priority="348" stopIfTrue="1">
      <formula>LEN(TRIM(AP96))=0</formula>
    </cfRule>
  </conditionalFormatting>
  <conditionalFormatting sqref="AP102:AT106">
    <cfRule type="cellIs" dxfId="3029" priority="349" stopIfTrue="1" operator="equal">
      <formula>"E"</formula>
    </cfRule>
  </conditionalFormatting>
  <conditionalFormatting sqref="AP102:AT106">
    <cfRule type="cellIs" dxfId="3028" priority="350" stopIfTrue="1" operator="equal">
      <formula>"S"</formula>
    </cfRule>
  </conditionalFormatting>
  <conditionalFormatting sqref="AP102:AT106">
    <cfRule type="cellIs" dxfId="3027" priority="351" stopIfTrue="1" operator="equal">
      <formula>"M"</formula>
    </cfRule>
  </conditionalFormatting>
  <conditionalFormatting sqref="AP102:AT106">
    <cfRule type="cellIs" dxfId="3026" priority="352" stopIfTrue="1" operator="equal">
      <formula>"J"</formula>
    </cfRule>
  </conditionalFormatting>
  <conditionalFormatting sqref="AP102:AT106">
    <cfRule type="cellIs" dxfId="3025" priority="353" stopIfTrue="1" operator="equal">
      <formula>"O"</formula>
    </cfRule>
  </conditionalFormatting>
  <conditionalFormatting sqref="AP102:AT106">
    <cfRule type="expression" dxfId="3024" priority="354" stopIfTrue="1">
      <formula>LEN(TRIM(AP102))=0</formula>
    </cfRule>
  </conditionalFormatting>
  <conditionalFormatting sqref="AP109:AT109">
    <cfRule type="cellIs" dxfId="3023" priority="355" stopIfTrue="1" operator="equal">
      <formula>"E"</formula>
    </cfRule>
  </conditionalFormatting>
  <conditionalFormatting sqref="AP109:AT109">
    <cfRule type="cellIs" dxfId="3022" priority="356" stopIfTrue="1" operator="equal">
      <formula>"S"</formula>
    </cfRule>
  </conditionalFormatting>
  <conditionalFormatting sqref="AP109:AT109">
    <cfRule type="cellIs" dxfId="3021" priority="357" stopIfTrue="1" operator="equal">
      <formula>"M"</formula>
    </cfRule>
  </conditionalFormatting>
  <conditionalFormatting sqref="AP109:AT109">
    <cfRule type="cellIs" dxfId="3020" priority="358" stopIfTrue="1" operator="equal">
      <formula>"J"</formula>
    </cfRule>
  </conditionalFormatting>
  <conditionalFormatting sqref="AP109:AT109">
    <cfRule type="cellIs" dxfId="3019" priority="359" stopIfTrue="1" operator="equal">
      <formula>"O"</formula>
    </cfRule>
  </conditionalFormatting>
  <conditionalFormatting sqref="AP109:AT109">
    <cfRule type="expression" dxfId="3018" priority="360" stopIfTrue="1">
      <formula>LEN(TRIM(AP109))=0</formula>
    </cfRule>
  </conditionalFormatting>
  <conditionalFormatting sqref="AU4:BB16">
    <cfRule type="cellIs" dxfId="3017" priority="361" stopIfTrue="1" operator="equal">
      <formula>"E"</formula>
    </cfRule>
    <cfRule type="cellIs" dxfId="3016" priority="362" stopIfTrue="1" operator="equal">
      <formula>"S"</formula>
    </cfRule>
    <cfRule type="cellIs" dxfId="3015" priority="363" stopIfTrue="1" operator="equal">
      <formula>"M"</formula>
    </cfRule>
    <cfRule type="cellIs" dxfId="3014" priority="364" stopIfTrue="1" operator="equal">
      <formula>"J"</formula>
    </cfRule>
    <cfRule type="cellIs" dxfId="3013" priority="365" stopIfTrue="1" operator="equal">
      <formula>"O"</formula>
    </cfRule>
    <cfRule type="expression" dxfId="3012" priority="366" stopIfTrue="1">
      <formula>LEN(TRIM(AU4))=0</formula>
    </cfRule>
  </conditionalFormatting>
  <conditionalFormatting sqref="AU18:BB26">
    <cfRule type="cellIs" dxfId="3011" priority="367" stopIfTrue="1" operator="equal">
      <formula>"E"</formula>
    </cfRule>
    <cfRule type="cellIs" dxfId="3010" priority="368" stopIfTrue="1" operator="equal">
      <formula>"S"</formula>
    </cfRule>
    <cfRule type="cellIs" dxfId="3009" priority="369" stopIfTrue="1" operator="equal">
      <formula>"M"</formula>
    </cfRule>
    <cfRule type="cellIs" dxfId="3008" priority="370" stopIfTrue="1" operator="equal">
      <formula>"J"</formula>
    </cfRule>
    <cfRule type="cellIs" dxfId="3007" priority="371" stopIfTrue="1" operator="equal">
      <formula>"O"</formula>
    </cfRule>
    <cfRule type="expression" dxfId="3006" priority="372" stopIfTrue="1">
      <formula>LEN(TRIM(AU18))=0</formula>
    </cfRule>
  </conditionalFormatting>
  <conditionalFormatting sqref="AU28:BB37">
    <cfRule type="cellIs" dxfId="3005" priority="373" stopIfTrue="1" operator="equal">
      <formula>"E"</formula>
    </cfRule>
    <cfRule type="cellIs" dxfId="3004" priority="374" stopIfTrue="1" operator="equal">
      <formula>"S"</formula>
    </cfRule>
    <cfRule type="cellIs" dxfId="3003" priority="375" stopIfTrue="1" operator="equal">
      <formula>"M"</formula>
    </cfRule>
    <cfRule type="cellIs" dxfId="3002" priority="376" stopIfTrue="1" operator="equal">
      <formula>"J"</formula>
    </cfRule>
    <cfRule type="cellIs" dxfId="3001" priority="377" stopIfTrue="1" operator="equal">
      <formula>"O"</formula>
    </cfRule>
    <cfRule type="expression" dxfId="3000" priority="378" stopIfTrue="1">
      <formula>LEN(TRIM(AU28))=0</formula>
    </cfRule>
  </conditionalFormatting>
  <conditionalFormatting sqref="AU39:BB50">
    <cfRule type="cellIs" dxfId="2999" priority="379" stopIfTrue="1" operator="equal">
      <formula>"E"</formula>
    </cfRule>
  </conditionalFormatting>
  <conditionalFormatting sqref="AU39:BB50">
    <cfRule type="cellIs" dxfId="2998" priority="380" stopIfTrue="1" operator="equal">
      <formula>"S"</formula>
    </cfRule>
  </conditionalFormatting>
  <conditionalFormatting sqref="AU39:BB50">
    <cfRule type="cellIs" dxfId="2997" priority="381" stopIfTrue="1" operator="equal">
      <formula>"M"</formula>
    </cfRule>
  </conditionalFormatting>
  <conditionalFormatting sqref="AU39:BB50">
    <cfRule type="cellIs" dxfId="2996" priority="382" stopIfTrue="1" operator="equal">
      <formula>"J"</formula>
    </cfRule>
  </conditionalFormatting>
  <conditionalFormatting sqref="AU39:BB50">
    <cfRule type="cellIs" dxfId="2995" priority="383" stopIfTrue="1" operator="equal">
      <formula>"O"</formula>
    </cfRule>
  </conditionalFormatting>
  <conditionalFormatting sqref="AU39:BB50">
    <cfRule type="expression" dxfId="2994" priority="384" stopIfTrue="1">
      <formula>LEN(TRIM(AU39))=0</formula>
    </cfRule>
  </conditionalFormatting>
  <conditionalFormatting sqref="AU52:BB59">
    <cfRule type="cellIs" dxfId="2993" priority="385" stopIfTrue="1" operator="equal">
      <formula>"E"</formula>
    </cfRule>
  </conditionalFormatting>
  <conditionalFormatting sqref="AU52:BB59">
    <cfRule type="cellIs" dxfId="2992" priority="386" stopIfTrue="1" operator="equal">
      <formula>"S"</formula>
    </cfRule>
  </conditionalFormatting>
  <conditionalFormatting sqref="AU52:BB59">
    <cfRule type="cellIs" dxfId="2991" priority="387" stopIfTrue="1" operator="equal">
      <formula>"M"</formula>
    </cfRule>
  </conditionalFormatting>
  <conditionalFormatting sqref="AU52:BB59">
    <cfRule type="cellIs" dxfId="2990" priority="388" stopIfTrue="1" operator="equal">
      <formula>"J"</formula>
    </cfRule>
  </conditionalFormatting>
  <conditionalFormatting sqref="AU52:BB59">
    <cfRule type="cellIs" dxfId="2989" priority="389" stopIfTrue="1" operator="equal">
      <formula>"O"</formula>
    </cfRule>
  </conditionalFormatting>
  <conditionalFormatting sqref="AU52:BB59">
    <cfRule type="expression" dxfId="2988" priority="390" stopIfTrue="1">
      <formula>LEN(TRIM(AU52))=0</formula>
    </cfRule>
  </conditionalFormatting>
  <conditionalFormatting sqref="AU61:BB78">
    <cfRule type="cellIs" dxfId="2987" priority="391" stopIfTrue="1" operator="equal">
      <formula>"E"</formula>
    </cfRule>
  </conditionalFormatting>
  <conditionalFormatting sqref="AU61:BB78">
    <cfRule type="cellIs" dxfId="2986" priority="392" stopIfTrue="1" operator="equal">
      <formula>"S"</formula>
    </cfRule>
  </conditionalFormatting>
  <conditionalFormatting sqref="AU61:BB78">
    <cfRule type="cellIs" dxfId="2985" priority="393" stopIfTrue="1" operator="equal">
      <formula>"M"</formula>
    </cfRule>
  </conditionalFormatting>
  <conditionalFormatting sqref="AU61:BB78">
    <cfRule type="cellIs" dxfId="2984" priority="394" stopIfTrue="1" operator="equal">
      <formula>"J"</formula>
    </cfRule>
  </conditionalFormatting>
  <conditionalFormatting sqref="AU61:BB78">
    <cfRule type="cellIs" dxfId="2983" priority="395" stopIfTrue="1" operator="equal">
      <formula>"O"</formula>
    </cfRule>
  </conditionalFormatting>
  <conditionalFormatting sqref="AU61:BB78">
    <cfRule type="expression" dxfId="2982" priority="396" stopIfTrue="1">
      <formula>LEN(TRIM(AU61))=0</formula>
    </cfRule>
  </conditionalFormatting>
  <conditionalFormatting sqref="AU80:BB94">
    <cfRule type="cellIs" dxfId="2981" priority="397" stopIfTrue="1" operator="equal">
      <formula>"E"</formula>
    </cfRule>
  </conditionalFormatting>
  <conditionalFormatting sqref="AU80:BB94">
    <cfRule type="cellIs" dxfId="2980" priority="398" stopIfTrue="1" operator="equal">
      <formula>"S"</formula>
    </cfRule>
  </conditionalFormatting>
  <conditionalFormatting sqref="AU80:BB94">
    <cfRule type="cellIs" dxfId="2979" priority="399" stopIfTrue="1" operator="equal">
      <formula>"M"</formula>
    </cfRule>
  </conditionalFormatting>
  <conditionalFormatting sqref="AU80:BB94">
    <cfRule type="cellIs" dxfId="2978" priority="400" stopIfTrue="1" operator="equal">
      <formula>"J"</formula>
    </cfRule>
  </conditionalFormatting>
  <conditionalFormatting sqref="AU80:BB94">
    <cfRule type="cellIs" dxfId="2977" priority="401" stopIfTrue="1" operator="equal">
      <formula>"O"</formula>
    </cfRule>
  </conditionalFormatting>
  <conditionalFormatting sqref="AU80:BB94">
    <cfRule type="expression" dxfId="2976" priority="402" stopIfTrue="1">
      <formula>LEN(TRIM(AU80))=0</formula>
    </cfRule>
  </conditionalFormatting>
  <conditionalFormatting sqref="AU96:BB99">
    <cfRule type="cellIs" dxfId="2975" priority="403" stopIfTrue="1" operator="equal">
      <formula>"E"</formula>
    </cfRule>
  </conditionalFormatting>
  <conditionalFormatting sqref="AU96:BB99">
    <cfRule type="cellIs" dxfId="2974" priority="404" stopIfTrue="1" operator="equal">
      <formula>"S"</formula>
    </cfRule>
  </conditionalFormatting>
  <conditionalFormatting sqref="AU96:BB99">
    <cfRule type="cellIs" dxfId="2973" priority="405" stopIfTrue="1" operator="equal">
      <formula>"M"</formula>
    </cfRule>
  </conditionalFormatting>
  <conditionalFormatting sqref="AU96:BB99">
    <cfRule type="cellIs" dxfId="2972" priority="406" stopIfTrue="1" operator="equal">
      <formula>"J"</formula>
    </cfRule>
  </conditionalFormatting>
  <conditionalFormatting sqref="AU96:BB99">
    <cfRule type="cellIs" dxfId="2971" priority="407" stopIfTrue="1" operator="equal">
      <formula>"O"</formula>
    </cfRule>
  </conditionalFormatting>
  <conditionalFormatting sqref="AU96:BB99">
    <cfRule type="expression" dxfId="2970" priority="408" stopIfTrue="1">
      <formula>LEN(TRIM(AU96))=0</formula>
    </cfRule>
  </conditionalFormatting>
  <conditionalFormatting sqref="AU102:BB106">
    <cfRule type="cellIs" dxfId="2969" priority="409" stopIfTrue="1" operator="equal">
      <formula>"E"</formula>
    </cfRule>
  </conditionalFormatting>
  <conditionalFormatting sqref="AU102:BB106">
    <cfRule type="cellIs" dxfId="2968" priority="410" stopIfTrue="1" operator="equal">
      <formula>"S"</formula>
    </cfRule>
  </conditionalFormatting>
  <conditionalFormatting sqref="AU102:BB106">
    <cfRule type="cellIs" dxfId="2967" priority="411" stopIfTrue="1" operator="equal">
      <formula>"M"</formula>
    </cfRule>
  </conditionalFormatting>
  <conditionalFormatting sqref="AU102:BB106">
    <cfRule type="cellIs" dxfId="2966" priority="412" stopIfTrue="1" operator="equal">
      <formula>"J"</formula>
    </cfRule>
  </conditionalFormatting>
  <conditionalFormatting sqref="AU102:BB106">
    <cfRule type="cellIs" dxfId="2965" priority="413" stopIfTrue="1" operator="equal">
      <formula>"O"</formula>
    </cfRule>
  </conditionalFormatting>
  <conditionalFormatting sqref="AU102:BB106">
    <cfRule type="expression" dxfId="2964" priority="414" stopIfTrue="1">
      <formula>LEN(TRIM(AU102))=0</formula>
    </cfRule>
  </conditionalFormatting>
  <conditionalFormatting sqref="AU109:BB109">
    <cfRule type="cellIs" dxfId="2963" priority="415" stopIfTrue="1" operator="equal">
      <formula>"E"</formula>
    </cfRule>
  </conditionalFormatting>
  <conditionalFormatting sqref="AU109:BB109">
    <cfRule type="cellIs" dxfId="2962" priority="416" stopIfTrue="1" operator="equal">
      <formula>"S"</formula>
    </cfRule>
  </conditionalFormatting>
  <conditionalFormatting sqref="AU109:BB109">
    <cfRule type="cellIs" dxfId="2961" priority="417" stopIfTrue="1" operator="equal">
      <formula>"M"</formula>
    </cfRule>
  </conditionalFormatting>
  <conditionalFormatting sqref="AU109:BB109">
    <cfRule type="cellIs" dxfId="2960" priority="418" stopIfTrue="1" operator="equal">
      <formula>"J"</formula>
    </cfRule>
  </conditionalFormatting>
  <conditionalFormatting sqref="AU109:BB109">
    <cfRule type="cellIs" dxfId="2959" priority="419" stopIfTrue="1" operator="equal">
      <formula>"O"</formula>
    </cfRule>
  </conditionalFormatting>
  <conditionalFormatting sqref="AU109:BB109">
    <cfRule type="expression" dxfId="2958" priority="420" stopIfTrue="1">
      <formula>LEN(TRIM(AU109))=0</formula>
    </cfRule>
  </conditionalFormatting>
  <conditionalFormatting sqref="BC4:BG16">
    <cfRule type="cellIs" dxfId="2957" priority="421" stopIfTrue="1" operator="equal">
      <formula>"E"</formula>
    </cfRule>
    <cfRule type="cellIs" dxfId="2956" priority="422" stopIfTrue="1" operator="equal">
      <formula>"S"</formula>
    </cfRule>
    <cfRule type="cellIs" dxfId="2955" priority="423" stopIfTrue="1" operator="equal">
      <formula>"M"</formula>
    </cfRule>
    <cfRule type="cellIs" dxfId="2954" priority="424" stopIfTrue="1" operator="equal">
      <formula>"J"</formula>
    </cfRule>
    <cfRule type="cellIs" dxfId="2953" priority="425" stopIfTrue="1" operator="equal">
      <formula>"O"</formula>
    </cfRule>
    <cfRule type="expression" dxfId="2952" priority="426" stopIfTrue="1">
      <formula>LEN(TRIM(BC4))=0</formula>
    </cfRule>
  </conditionalFormatting>
  <conditionalFormatting sqref="BC18:BG26">
    <cfRule type="cellIs" dxfId="2951" priority="427" stopIfTrue="1" operator="equal">
      <formula>"E"</formula>
    </cfRule>
    <cfRule type="cellIs" dxfId="2950" priority="428" stopIfTrue="1" operator="equal">
      <formula>"S"</formula>
    </cfRule>
    <cfRule type="cellIs" dxfId="2949" priority="429" stopIfTrue="1" operator="equal">
      <formula>"M"</formula>
    </cfRule>
    <cfRule type="cellIs" dxfId="2948" priority="430" stopIfTrue="1" operator="equal">
      <formula>"J"</formula>
    </cfRule>
    <cfRule type="cellIs" dxfId="2947" priority="431" stopIfTrue="1" operator="equal">
      <formula>"O"</formula>
    </cfRule>
    <cfRule type="expression" dxfId="2946" priority="432" stopIfTrue="1">
      <formula>LEN(TRIM(BC18))=0</formula>
    </cfRule>
  </conditionalFormatting>
  <conditionalFormatting sqref="BC28:BG37">
    <cfRule type="cellIs" dxfId="2945" priority="433" stopIfTrue="1" operator="equal">
      <formula>"E"</formula>
    </cfRule>
  </conditionalFormatting>
  <conditionalFormatting sqref="BC28:BG37">
    <cfRule type="cellIs" dxfId="2944" priority="434" stopIfTrue="1" operator="equal">
      <formula>"S"</formula>
    </cfRule>
  </conditionalFormatting>
  <conditionalFormatting sqref="BC28:BG37">
    <cfRule type="cellIs" dxfId="2943" priority="435" stopIfTrue="1" operator="equal">
      <formula>"M"</formula>
    </cfRule>
  </conditionalFormatting>
  <conditionalFormatting sqref="BC28:BG37">
    <cfRule type="cellIs" dxfId="2942" priority="436" stopIfTrue="1" operator="equal">
      <formula>"J"</formula>
    </cfRule>
  </conditionalFormatting>
  <conditionalFormatting sqref="BC28:BG37">
    <cfRule type="cellIs" dxfId="2941" priority="437" stopIfTrue="1" operator="equal">
      <formula>"O"</formula>
    </cfRule>
  </conditionalFormatting>
  <conditionalFormatting sqref="BC28:BG37">
    <cfRule type="expression" dxfId="2940" priority="438" stopIfTrue="1">
      <formula>LEN(TRIM(BC28))=0</formula>
    </cfRule>
  </conditionalFormatting>
  <conditionalFormatting sqref="BC39:BG50">
    <cfRule type="cellIs" dxfId="2939" priority="439" stopIfTrue="1" operator="equal">
      <formula>"E"</formula>
    </cfRule>
  </conditionalFormatting>
  <conditionalFormatting sqref="BC39:BG50">
    <cfRule type="cellIs" dxfId="2938" priority="440" stopIfTrue="1" operator="equal">
      <formula>"S"</formula>
    </cfRule>
  </conditionalFormatting>
  <conditionalFormatting sqref="BC39:BG50">
    <cfRule type="cellIs" dxfId="2937" priority="441" stopIfTrue="1" operator="equal">
      <formula>"M"</formula>
    </cfRule>
  </conditionalFormatting>
  <conditionalFormatting sqref="BC39:BG50">
    <cfRule type="cellIs" dxfId="2936" priority="442" stopIfTrue="1" operator="equal">
      <formula>"J"</formula>
    </cfRule>
  </conditionalFormatting>
  <conditionalFormatting sqref="BC39:BG50">
    <cfRule type="cellIs" dxfId="2935" priority="443" stopIfTrue="1" operator="equal">
      <formula>"O"</formula>
    </cfRule>
  </conditionalFormatting>
  <conditionalFormatting sqref="BC39:BG50">
    <cfRule type="expression" dxfId="2934" priority="444" stopIfTrue="1">
      <formula>LEN(TRIM(BC39))=0</formula>
    </cfRule>
  </conditionalFormatting>
  <conditionalFormatting sqref="BC52:BG59">
    <cfRule type="cellIs" dxfId="2933" priority="445" stopIfTrue="1" operator="equal">
      <formula>"E"</formula>
    </cfRule>
  </conditionalFormatting>
  <conditionalFormatting sqref="BC52:BG59">
    <cfRule type="cellIs" dxfId="2932" priority="446" stopIfTrue="1" operator="equal">
      <formula>"S"</formula>
    </cfRule>
  </conditionalFormatting>
  <conditionalFormatting sqref="BC52:BG59">
    <cfRule type="cellIs" dxfId="2931" priority="447" stopIfTrue="1" operator="equal">
      <formula>"M"</formula>
    </cfRule>
  </conditionalFormatting>
  <conditionalFormatting sqref="BC52:BG59">
    <cfRule type="cellIs" dxfId="2930" priority="448" stopIfTrue="1" operator="equal">
      <formula>"J"</formula>
    </cfRule>
  </conditionalFormatting>
  <conditionalFormatting sqref="BC52:BG59">
    <cfRule type="cellIs" dxfId="2929" priority="449" stopIfTrue="1" operator="equal">
      <formula>"O"</formula>
    </cfRule>
  </conditionalFormatting>
  <conditionalFormatting sqref="BC52:BG59">
    <cfRule type="expression" dxfId="2928" priority="450" stopIfTrue="1">
      <formula>LEN(TRIM(BC52))=0</formula>
    </cfRule>
  </conditionalFormatting>
  <conditionalFormatting sqref="BC61:BG78">
    <cfRule type="cellIs" dxfId="2927" priority="451" stopIfTrue="1" operator="equal">
      <formula>"E"</formula>
    </cfRule>
  </conditionalFormatting>
  <conditionalFormatting sqref="BC61:BG78">
    <cfRule type="cellIs" dxfId="2926" priority="452" stopIfTrue="1" operator="equal">
      <formula>"S"</formula>
    </cfRule>
  </conditionalFormatting>
  <conditionalFormatting sqref="BC61:BG78">
    <cfRule type="cellIs" dxfId="2925" priority="453" stopIfTrue="1" operator="equal">
      <formula>"M"</formula>
    </cfRule>
  </conditionalFormatting>
  <conditionalFormatting sqref="BC61:BG78">
    <cfRule type="cellIs" dxfId="2924" priority="454" stopIfTrue="1" operator="equal">
      <formula>"J"</formula>
    </cfRule>
  </conditionalFormatting>
  <conditionalFormatting sqref="BC61:BG78">
    <cfRule type="cellIs" dxfId="2923" priority="455" stopIfTrue="1" operator="equal">
      <formula>"O"</formula>
    </cfRule>
  </conditionalFormatting>
  <conditionalFormatting sqref="BC61:BG78">
    <cfRule type="expression" dxfId="2922" priority="456" stopIfTrue="1">
      <formula>LEN(TRIM(BC61))=0</formula>
    </cfRule>
  </conditionalFormatting>
  <conditionalFormatting sqref="BC80:BG94">
    <cfRule type="cellIs" dxfId="2921" priority="457" stopIfTrue="1" operator="equal">
      <formula>"E"</formula>
    </cfRule>
  </conditionalFormatting>
  <conditionalFormatting sqref="BC80:BG94">
    <cfRule type="cellIs" dxfId="2920" priority="458" stopIfTrue="1" operator="equal">
      <formula>"S"</formula>
    </cfRule>
  </conditionalFormatting>
  <conditionalFormatting sqref="BC80:BG94">
    <cfRule type="cellIs" dxfId="2919" priority="459" stopIfTrue="1" operator="equal">
      <formula>"M"</formula>
    </cfRule>
  </conditionalFormatting>
  <conditionalFormatting sqref="BC80:BG94">
    <cfRule type="cellIs" dxfId="2918" priority="460" stopIfTrue="1" operator="equal">
      <formula>"J"</formula>
    </cfRule>
  </conditionalFormatting>
  <conditionalFormatting sqref="BC80:BG94">
    <cfRule type="cellIs" dxfId="2917" priority="461" stopIfTrue="1" operator="equal">
      <formula>"O"</formula>
    </cfRule>
  </conditionalFormatting>
  <conditionalFormatting sqref="BC80:BG94">
    <cfRule type="expression" dxfId="2916" priority="462" stopIfTrue="1">
      <formula>LEN(TRIM(BC80))=0</formula>
    </cfRule>
  </conditionalFormatting>
  <conditionalFormatting sqref="BC96:BG99">
    <cfRule type="cellIs" dxfId="2915" priority="463" stopIfTrue="1" operator="equal">
      <formula>"E"</formula>
    </cfRule>
  </conditionalFormatting>
  <conditionalFormatting sqref="BC96:BG99">
    <cfRule type="cellIs" dxfId="2914" priority="464" stopIfTrue="1" operator="equal">
      <formula>"S"</formula>
    </cfRule>
  </conditionalFormatting>
  <conditionalFormatting sqref="BC96:BG99">
    <cfRule type="cellIs" dxfId="2913" priority="465" stopIfTrue="1" operator="equal">
      <formula>"M"</formula>
    </cfRule>
  </conditionalFormatting>
  <conditionalFormatting sqref="BC96:BG99">
    <cfRule type="cellIs" dxfId="2912" priority="466" stopIfTrue="1" operator="equal">
      <formula>"J"</formula>
    </cfRule>
  </conditionalFormatting>
  <conditionalFormatting sqref="BC96:BG99">
    <cfRule type="cellIs" dxfId="2911" priority="467" stopIfTrue="1" operator="equal">
      <formula>"O"</formula>
    </cfRule>
  </conditionalFormatting>
  <conditionalFormatting sqref="BC96:BG99">
    <cfRule type="expression" dxfId="2910" priority="468" stopIfTrue="1">
      <formula>LEN(TRIM(BC96))=0</formula>
    </cfRule>
  </conditionalFormatting>
  <conditionalFormatting sqref="BC102:BG106">
    <cfRule type="cellIs" dxfId="2909" priority="469" stopIfTrue="1" operator="equal">
      <formula>"E"</formula>
    </cfRule>
  </conditionalFormatting>
  <conditionalFormatting sqref="BC102:BG106">
    <cfRule type="cellIs" dxfId="2908" priority="470" stopIfTrue="1" operator="equal">
      <formula>"S"</formula>
    </cfRule>
  </conditionalFormatting>
  <conditionalFormatting sqref="BC102:BG106">
    <cfRule type="cellIs" dxfId="2907" priority="471" stopIfTrue="1" operator="equal">
      <formula>"M"</formula>
    </cfRule>
  </conditionalFormatting>
  <conditionalFormatting sqref="BC102:BG106">
    <cfRule type="cellIs" dxfId="2906" priority="472" stopIfTrue="1" operator="equal">
      <formula>"J"</formula>
    </cfRule>
  </conditionalFormatting>
  <conditionalFormatting sqref="BC102:BG106">
    <cfRule type="cellIs" dxfId="2905" priority="473" stopIfTrue="1" operator="equal">
      <formula>"O"</formula>
    </cfRule>
  </conditionalFormatting>
  <conditionalFormatting sqref="BC102:BG106">
    <cfRule type="expression" dxfId="2904" priority="474" stopIfTrue="1">
      <formula>LEN(TRIM(BC102))=0</formula>
    </cfRule>
  </conditionalFormatting>
  <conditionalFormatting sqref="BC109:BG109">
    <cfRule type="cellIs" dxfId="2903" priority="475" stopIfTrue="1" operator="equal">
      <formula>"E"</formula>
    </cfRule>
  </conditionalFormatting>
  <conditionalFormatting sqref="BC109:BG109">
    <cfRule type="cellIs" dxfId="2902" priority="476" stopIfTrue="1" operator="equal">
      <formula>"S"</formula>
    </cfRule>
  </conditionalFormatting>
  <conditionalFormatting sqref="BC109:BG109">
    <cfRule type="cellIs" dxfId="2901" priority="477" stopIfTrue="1" operator="equal">
      <formula>"M"</formula>
    </cfRule>
  </conditionalFormatting>
  <conditionalFormatting sqref="BC109:BG109">
    <cfRule type="cellIs" dxfId="2900" priority="478" stopIfTrue="1" operator="equal">
      <formula>"J"</formula>
    </cfRule>
  </conditionalFormatting>
  <conditionalFormatting sqref="BC109:BG109">
    <cfRule type="cellIs" dxfId="2899" priority="479" stopIfTrue="1" operator="equal">
      <formula>"O"</formula>
    </cfRule>
  </conditionalFormatting>
  <conditionalFormatting sqref="BC109:BG109">
    <cfRule type="expression" dxfId="2898" priority="480" stopIfTrue="1">
      <formula>LEN(TRIM(BC109))=0</formula>
    </cfRule>
  </conditionalFormatting>
  <conditionalFormatting sqref="BH4:BJ16">
    <cfRule type="cellIs" dxfId="2897" priority="481" stopIfTrue="1" operator="equal">
      <formula>"E"</formula>
    </cfRule>
  </conditionalFormatting>
  <conditionalFormatting sqref="BH4:BJ16">
    <cfRule type="cellIs" dxfId="2896" priority="482" stopIfTrue="1" operator="equal">
      <formula>"S"</formula>
    </cfRule>
  </conditionalFormatting>
  <conditionalFormatting sqref="BH4:BJ16">
    <cfRule type="cellIs" dxfId="2895" priority="483" stopIfTrue="1" operator="equal">
      <formula>"M"</formula>
    </cfRule>
  </conditionalFormatting>
  <conditionalFormatting sqref="BH4:BJ16">
    <cfRule type="cellIs" dxfId="2894" priority="484" stopIfTrue="1" operator="equal">
      <formula>"J"</formula>
    </cfRule>
  </conditionalFormatting>
  <conditionalFormatting sqref="BH4:BJ16">
    <cfRule type="cellIs" dxfId="2893" priority="485" stopIfTrue="1" operator="equal">
      <formula>"O"</formula>
    </cfRule>
  </conditionalFormatting>
  <conditionalFormatting sqref="BH4:BJ16">
    <cfRule type="expression" dxfId="2892" priority="486" stopIfTrue="1">
      <formula>LEN(TRIM(BH4))=0</formula>
    </cfRule>
  </conditionalFormatting>
  <conditionalFormatting sqref="BH18:BJ26">
    <cfRule type="cellIs" dxfId="2891" priority="487" stopIfTrue="1" operator="equal">
      <formula>"E"</formula>
    </cfRule>
  </conditionalFormatting>
  <conditionalFormatting sqref="BH18:BJ26">
    <cfRule type="cellIs" dxfId="2890" priority="488" stopIfTrue="1" operator="equal">
      <formula>"S"</formula>
    </cfRule>
  </conditionalFormatting>
  <conditionalFormatting sqref="BH18:BJ26">
    <cfRule type="cellIs" dxfId="2889" priority="489" stopIfTrue="1" operator="equal">
      <formula>"M"</formula>
    </cfRule>
  </conditionalFormatting>
  <conditionalFormatting sqref="BH18:BJ26">
    <cfRule type="cellIs" dxfId="2888" priority="490" stopIfTrue="1" operator="equal">
      <formula>"J"</formula>
    </cfRule>
  </conditionalFormatting>
  <conditionalFormatting sqref="BH18:BJ26">
    <cfRule type="cellIs" dxfId="2887" priority="491" stopIfTrue="1" operator="equal">
      <formula>"O"</formula>
    </cfRule>
  </conditionalFormatting>
  <conditionalFormatting sqref="BH18:BJ26">
    <cfRule type="expression" dxfId="2886" priority="492" stopIfTrue="1">
      <formula>LEN(TRIM(BH18))=0</formula>
    </cfRule>
  </conditionalFormatting>
  <conditionalFormatting sqref="BH28:BJ37">
    <cfRule type="cellIs" dxfId="2885" priority="493" stopIfTrue="1" operator="equal">
      <formula>"E"</formula>
    </cfRule>
  </conditionalFormatting>
  <conditionalFormatting sqref="BH28:BJ37">
    <cfRule type="cellIs" dxfId="2884" priority="494" stopIfTrue="1" operator="equal">
      <formula>"S"</formula>
    </cfRule>
  </conditionalFormatting>
  <conditionalFormatting sqref="BH28:BJ37">
    <cfRule type="cellIs" dxfId="2883" priority="495" stopIfTrue="1" operator="equal">
      <formula>"M"</formula>
    </cfRule>
  </conditionalFormatting>
  <conditionalFormatting sqref="BH28:BJ37">
    <cfRule type="cellIs" dxfId="2882" priority="496" stopIfTrue="1" operator="equal">
      <formula>"J"</formula>
    </cfRule>
  </conditionalFormatting>
  <conditionalFormatting sqref="BH28:BJ37">
    <cfRule type="cellIs" dxfId="2881" priority="497" stopIfTrue="1" operator="equal">
      <formula>"O"</formula>
    </cfRule>
  </conditionalFormatting>
  <conditionalFormatting sqref="BH28:BJ37">
    <cfRule type="expression" dxfId="2880" priority="498" stopIfTrue="1">
      <formula>LEN(TRIM(BH28))=0</formula>
    </cfRule>
  </conditionalFormatting>
  <conditionalFormatting sqref="BH39:BJ50">
    <cfRule type="cellIs" dxfId="2879" priority="499" stopIfTrue="1" operator="equal">
      <formula>"E"</formula>
    </cfRule>
  </conditionalFormatting>
  <conditionalFormatting sqref="BH39:BJ50">
    <cfRule type="cellIs" dxfId="2878" priority="500" stopIfTrue="1" operator="equal">
      <formula>"S"</formula>
    </cfRule>
  </conditionalFormatting>
  <conditionalFormatting sqref="BH39:BJ50">
    <cfRule type="cellIs" dxfId="2877" priority="501" stopIfTrue="1" operator="equal">
      <formula>"M"</formula>
    </cfRule>
  </conditionalFormatting>
  <conditionalFormatting sqref="BH39:BJ50">
    <cfRule type="cellIs" dxfId="2876" priority="502" stopIfTrue="1" operator="equal">
      <formula>"J"</formula>
    </cfRule>
  </conditionalFormatting>
  <conditionalFormatting sqref="BH39:BJ50">
    <cfRule type="cellIs" dxfId="2875" priority="503" stopIfTrue="1" operator="equal">
      <formula>"O"</formula>
    </cfRule>
  </conditionalFormatting>
  <conditionalFormatting sqref="BH39:BJ50">
    <cfRule type="expression" dxfId="2874" priority="504" stopIfTrue="1">
      <formula>LEN(TRIM(BH39))=0</formula>
    </cfRule>
  </conditionalFormatting>
  <conditionalFormatting sqref="BH52:BJ59">
    <cfRule type="cellIs" dxfId="2873" priority="505" stopIfTrue="1" operator="equal">
      <formula>"E"</formula>
    </cfRule>
  </conditionalFormatting>
  <conditionalFormatting sqref="BH52:BJ59">
    <cfRule type="cellIs" dxfId="2872" priority="506" stopIfTrue="1" operator="equal">
      <formula>"S"</formula>
    </cfRule>
  </conditionalFormatting>
  <conditionalFormatting sqref="BH52:BJ59">
    <cfRule type="cellIs" dxfId="2871" priority="507" stopIfTrue="1" operator="equal">
      <formula>"M"</formula>
    </cfRule>
  </conditionalFormatting>
  <conditionalFormatting sqref="BH52:BJ59">
    <cfRule type="cellIs" dxfId="2870" priority="508" stopIfTrue="1" operator="equal">
      <formula>"J"</formula>
    </cfRule>
  </conditionalFormatting>
  <conditionalFormatting sqref="BH52:BJ59">
    <cfRule type="cellIs" dxfId="2869" priority="509" stopIfTrue="1" operator="equal">
      <formula>"O"</formula>
    </cfRule>
  </conditionalFormatting>
  <conditionalFormatting sqref="BH52:BJ59">
    <cfRule type="expression" dxfId="2868" priority="510" stopIfTrue="1">
      <formula>LEN(TRIM(BH52))=0</formula>
    </cfRule>
  </conditionalFormatting>
  <conditionalFormatting sqref="BH61:BJ78">
    <cfRule type="cellIs" dxfId="2867" priority="511" stopIfTrue="1" operator="equal">
      <formula>"E"</formula>
    </cfRule>
  </conditionalFormatting>
  <conditionalFormatting sqref="BH61:BJ78">
    <cfRule type="cellIs" dxfId="2866" priority="512" stopIfTrue="1" operator="equal">
      <formula>"S"</formula>
    </cfRule>
  </conditionalFormatting>
  <conditionalFormatting sqref="BH61:BJ78">
    <cfRule type="cellIs" dxfId="2865" priority="513" stopIfTrue="1" operator="equal">
      <formula>"M"</formula>
    </cfRule>
  </conditionalFormatting>
  <conditionalFormatting sqref="BH61:BJ78">
    <cfRule type="cellIs" dxfId="2864" priority="514" stopIfTrue="1" operator="equal">
      <formula>"J"</formula>
    </cfRule>
  </conditionalFormatting>
  <conditionalFormatting sqref="BH61:BJ78">
    <cfRule type="cellIs" dxfId="2863" priority="515" stopIfTrue="1" operator="equal">
      <formula>"O"</formula>
    </cfRule>
  </conditionalFormatting>
  <conditionalFormatting sqref="BH61:BJ78">
    <cfRule type="expression" dxfId="2862" priority="516" stopIfTrue="1">
      <formula>LEN(TRIM(BH61))=0</formula>
    </cfRule>
  </conditionalFormatting>
  <conditionalFormatting sqref="BH80:BJ94">
    <cfRule type="cellIs" dxfId="2861" priority="517" stopIfTrue="1" operator="equal">
      <formula>"E"</formula>
    </cfRule>
  </conditionalFormatting>
  <conditionalFormatting sqref="BH80:BJ94">
    <cfRule type="cellIs" dxfId="2860" priority="518" stopIfTrue="1" operator="equal">
      <formula>"S"</formula>
    </cfRule>
  </conditionalFormatting>
  <conditionalFormatting sqref="BH80:BJ94">
    <cfRule type="cellIs" dxfId="2859" priority="519" stopIfTrue="1" operator="equal">
      <formula>"M"</formula>
    </cfRule>
  </conditionalFormatting>
  <conditionalFormatting sqref="BH80:BJ94">
    <cfRule type="cellIs" dxfId="2858" priority="520" stopIfTrue="1" operator="equal">
      <formula>"J"</formula>
    </cfRule>
  </conditionalFormatting>
  <conditionalFormatting sqref="BH80:BJ94">
    <cfRule type="cellIs" dxfId="2857" priority="521" stopIfTrue="1" operator="equal">
      <formula>"O"</formula>
    </cfRule>
  </conditionalFormatting>
  <conditionalFormatting sqref="BH80:BJ94">
    <cfRule type="expression" dxfId="2856" priority="522" stopIfTrue="1">
      <formula>LEN(TRIM(BH80))=0</formula>
    </cfRule>
  </conditionalFormatting>
  <conditionalFormatting sqref="BH96:BJ99">
    <cfRule type="cellIs" dxfId="2855" priority="523" stopIfTrue="1" operator="equal">
      <formula>"E"</formula>
    </cfRule>
  </conditionalFormatting>
  <conditionalFormatting sqref="BH96:BJ99">
    <cfRule type="cellIs" dxfId="2854" priority="524" stopIfTrue="1" operator="equal">
      <formula>"S"</formula>
    </cfRule>
  </conditionalFormatting>
  <conditionalFormatting sqref="BH96:BJ99">
    <cfRule type="cellIs" dxfId="2853" priority="525" stopIfTrue="1" operator="equal">
      <formula>"M"</formula>
    </cfRule>
  </conditionalFormatting>
  <conditionalFormatting sqref="BH96:BJ99">
    <cfRule type="cellIs" dxfId="2852" priority="526" stopIfTrue="1" operator="equal">
      <formula>"J"</formula>
    </cfRule>
  </conditionalFormatting>
  <conditionalFormatting sqref="BH96:BJ99">
    <cfRule type="cellIs" dxfId="2851" priority="527" stopIfTrue="1" operator="equal">
      <formula>"O"</formula>
    </cfRule>
  </conditionalFormatting>
  <conditionalFormatting sqref="BH96:BJ99">
    <cfRule type="expression" dxfId="2850" priority="528" stopIfTrue="1">
      <formula>LEN(TRIM(BH96))=0</formula>
    </cfRule>
  </conditionalFormatting>
  <conditionalFormatting sqref="BH102:BJ106">
    <cfRule type="cellIs" dxfId="2849" priority="529" stopIfTrue="1" operator="equal">
      <formula>"E"</formula>
    </cfRule>
  </conditionalFormatting>
  <conditionalFormatting sqref="BH102:BJ106">
    <cfRule type="cellIs" dxfId="2848" priority="530" stopIfTrue="1" operator="equal">
      <formula>"S"</formula>
    </cfRule>
  </conditionalFormatting>
  <conditionalFormatting sqref="BH102:BJ106">
    <cfRule type="cellIs" dxfId="2847" priority="531" stopIfTrue="1" operator="equal">
      <formula>"M"</formula>
    </cfRule>
  </conditionalFormatting>
  <conditionalFormatting sqref="BH102:BJ106">
    <cfRule type="cellIs" dxfId="2846" priority="532" stopIfTrue="1" operator="equal">
      <formula>"J"</formula>
    </cfRule>
  </conditionalFormatting>
  <conditionalFormatting sqref="BH102:BJ106">
    <cfRule type="cellIs" dxfId="2845" priority="533" stopIfTrue="1" operator="equal">
      <formula>"O"</formula>
    </cfRule>
  </conditionalFormatting>
  <conditionalFormatting sqref="BH102:BJ106">
    <cfRule type="expression" dxfId="2844" priority="534" stopIfTrue="1">
      <formula>LEN(TRIM(BH102))=0</formula>
    </cfRule>
  </conditionalFormatting>
  <conditionalFormatting sqref="BH109:BJ109">
    <cfRule type="cellIs" dxfId="2843" priority="535" stopIfTrue="1" operator="equal">
      <formula>"E"</formula>
    </cfRule>
  </conditionalFormatting>
  <conditionalFormatting sqref="BH109:BJ109">
    <cfRule type="cellIs" dxfId="2842" priority="536" stopIfTrue="1" operator="equal">
      <formula>"S"</formula>
    </cfRule>
  </conditionalFormatting>
  <conditionalFormatting sqref="BH109:BJ109">
    <cfRule type="cellIs" dxfId="2841" priority="537" stopIfTrue="1" operator="equal">
      <formula>"M"</formula>
    </cfRule>
  </conditionalFormatting>
  <conditionalFormatting sqref="BH109:BJ109">
    <cfRule type="cellIs" dxfId="2840" priority="538" stopIfTrue="1" operator="equal">
      <formula>"J"</formula>
    </cfRule>
  </conditionalFormatting>
  <conditionalFormatting sqref="BH109:BJ109">
    <cfRule type="cellIs" dxfId="2839" priority="539" stopIfTrue="1" operator="equal">
      <formula>"O"</formula>
    </cfRule>
  </conditionalFormatting>
  <conditionalFormatting sqref="BH109:BJ109">
    <cfRule type="expression" dxfId="2838" priority="540" stopIfTrue="1">
      <formula>LEN(TRIM(BH109))=0</formula>
    </cfRule>
  </conditionalFormatting>
  <conditionalFormatting sqref="BK4:BN16">
    <cfRule type="cellIs" dxfId="2837" priority="541" stopIfTrue="1" operator="equal">
      <formula>"E"</formula>
    </cfRule>
    <cfRule type="cellIs" dxfId="2836" priority="542" stopIfTrue="1" operator="equal">
      <formula>"S"</formula>
    </cfRule>
    <cfRule type="cellIs" dxfId="2835" priority="543" stopIfTrue="1" operator="equal">
      <formula>"M"</formula>
    </cfRule>
    <cfRule type="cellIs" dxfId="2834" priority="544" stopIfTrue="1" operator="equal">
      <formula>"J"</formula>
    </cfRule>
    <cfRule type="cellIs" dxfId="2833" priority="545" stopIfTrue="1" operator="equal">
      <formula>"O"</formula>
    </cfRule>
    <cfRule type="expression" dxfId="2832" priority="546" stopIfTrue="1">
      <formula>LEN(TRIM(BK4))=0</formula>
    </cfRule>
  </conditionalFormatting>
  <conditionalFormatting sqref="BK18:BN26">
    <cfRule type="cellIs" dxfId="2831" priority="547" stopIfTrue="1" operator="equal">
      <formula>"E"</formula>
    </cfRule>
    <cfRule type="cellIs" dxfId="2830" priority="548" stopIfTrue="1" operator="equal">
      <formula>"S"</formula>
    </cfRule>
    <cfRule type="cellIs" dxfId="2829" priority="549" stopIfTrue="1" operator="equal">
      <formula>"M"</formula>
    </cfRule>
    <cfRule type="cellIs" dxfId="2828" priority="550" stopIfTrue="1" operator="equal">
      <formula>"J"</formula>
    </cfRule>
    <cfRule type="cellIs" dxfId="2827" priority="551" stopIfTrue="1" operator="equal">
      <formula>"O"</formula>
    </cfRule>
    <cfRule type="expression" dxfId="2826" priority="552" stopIfTrue="1">
      <formula>LEN(TRIM(BK18))=0</formula>
    </cfRule>
  </conditionalFormatting>
  <conditionalFormatting sqref="BK28:BN37">
    <cfRule type="cellIs" dxfId="2825" priority="553" stopIfTrue="1" operator="equal">
      <formula>"E"</formula>
    </cfRule>
  </conditionalFormatting>
  <conditionalFormatting sqref="BK28:BN37">
    <cfRule type="cellIs" dxfId="2824" priority="554" stopIfTrue="1" operator="equal">
      <formula>"S"</formula>
    </cfRule>
  </conditionalFormatting>
  <conditionalFormatting sqref="BK28:BN37">
    <cfRule type="cellIs" dxfId="2823" priority="555" stopIfTrue="1" operator="equal">
      <formula>"M"</formula>
    </cfRule>
  </conditionalFormatting>
  <conditionalFormatting sqref="BK28:BN37">
    <cfRule type="cellIs" dxfId="2822" priority="556" stopIfTrue="1" operator="equal">
      <formula>"J"</formula>
    </cfRule>
  </conditionalFormatting>
  <conditionalFormatting sqref="BK28:BN37">
    <cfRule type="cellIs" dxfId="2821" priority="557" stopIfTrue="1" operator="equal">
      <formula>"O"</formula>
    </cfRule>
  </conditionalFormatting>
  <conditionalFormatting sqref="BK28:BN37">
    <cfRule type="expression" dxfId="2820" priority="558" stopIfTrue="1">
      <formula>LEN(TRIM(BK28))=0</formula>
    </cfRule>
  </conditionalFormatting>
  <conditionalFormatting sqref="BK39:BN50">
    <cfRule type="cellIs" dxfId="2819" priority="559" stopIfTrue="1" operator="equal">
      <formula>"E"</formula>
    </cfRule>
  </conditionalFormatting>
  <conditionalFormatting sqref="BK39:BN50">
    <cfRule type="cellIs" dxfId="2818" priority="560" stopIfTrue="1" operator="equal">
      <formula>"S"</formula>
    </cfRule>
  </conditionalFormatting>
  <conditionalFormatting sqref="BK39:BN50">
    <cfRule type="cellIs" dxfId="2817" priority="561" stopIfTrue="1" operator="equal">
      <formula>"M"</formula>
    </cfRule>
  </conditionalFormatting>
  <conditionalFormatting sqref="BK39:BN50">
    <cfRule type="cellIs" dxfId="2816" priority="562" stopIfTrue="1" operator="equal">
      <formula>"J"</formula>
    </cfRule>
  </conditionalFormatting>
  <conditionalFormatting sqref="BK39:BN50">
    <cfRule type="cellIs" dxfId="2815" priority="563" stopIfTrue="1" operator="equal">
      <formula>"O"</formula>
    </cfRule>
  </conditionalFormatting>
  <conditionalFormatting sqref="BK39:BN50">
    <cfRule type="expression" dxfId="2814" priority="564" stopIfTrue="1">
      <formula>LEN(TRIM(BK39))=0</formula>
    </cfRule>
  </conditionalFormatting>
  <conditionalFormatting sqref="BK52:BN59">
    <cfRule type="cellIs" dxfId="2813" priority="565" stopIfTrue="1" operator="equal">
      <formula>"E"</formula>
    </cfRule>
  </conditionalFormatting>
  <conditionalFormatting sqref="BK52:BN59">
    <cfRule type="cellIs" dxfId="2812" priority="566" stopIfTrue="1" operator="equal">
      <formula>"S"</formula>
    </cfRule>
  </conditionalFormatting>
  <conditionalFormatting sqref="BK52:BN59">
    <cfRule type="cellIs" dxfId="2811" priority="567" stopIfTrue="1" operator="equal">
      <formula>"M"</formula>
    </cfRule>
  </conditionalFormatting>
  <conditionalFormatting sqref="BK52:BN59">
    <cfRule type="cellIs" dxfId="2810" priority="568" stopIfTrue="1" operator="equal">
      <formula>"J"</formula>
    </cfRule>
  </conditionalFormatting>
  <conditionalFormatting sqref="BK52:BN59">
    <cfRule type="cellIs" dxfId="2809" priority="569" stopIfTrue="1" operator="equal">
      <formula>"O"</formula>
    </cfRule>
  </conditionalFormatting>
  <conditionalFormatting sqref="BK52:BN59">
    <cfRule type="expression" dxfId="2808" priority="570" stopIfTrue="1">
      <formula>LEN(TRIM(BK52))=0</formula>
    </cfRule>
  </conditionalFormatting>
  <conditionalFormatting sqref="BK61:BN78">
    <cfRule type="cellIs" dxfId="2807" priority="571" stopIfTrue="1" operator="equal">
      <formula>"E"</formula>
    </cfRule>
  </conditionalFormatting>
  <conditionalFormatting sqref="BK61:BN78">
    <cfRule type="cellIs" dxfId="2806" priority="572" stopIfTrue="1" operator="equal">
      <formula>"S"</formula>
    </cfRule>
  </conditionalFormatting>
  <conditionalFormatting sqref="BK61:BN78">
    <cfRule type="cellIs" dxfId="2805" priority="573" stopIfTrue="1" operator="equal">
      <formula>"M"</formula>
    </cfRule>
  </conditionalFormatting>
  <conditionalFormatting sqref="BK61:BN78">
    <cfRule type="cellIs" dxfId="2804" priority="574" stopIfTrue="1" operator="equal">
      <formula>"J"</formula>
    </cfRule>
  </conditionalFormatting>
  <conditionalFormatting sqref="BK61:BN78">
    <cfRule type="cellIs" dxfId="2803" priority="575" stopIfTrue="1" operator="equal">
      <formula>"O"</formula>
    </cfRule>
  </conditionalFormatting>
  <conditionalFormatting sqref="BK61:BN78">
    <cfRule type="expression" dxfId="2802" priority="576" stopIfTrue="1">
      <formula>LEN(TRIM(BK61))=0</formula>
    </cfRule>
  </conditionalFormatting>
  <conditionalFormatting sqref="BK80:BN94">
    <cfRule type="cellIs" dxfId="2801" priority="577" stopIfTrue="1" operator="equal">
      <formula>"E"</formula>
    </cfRule>
  </conditionalFormatting>
  <conditionalFormatting sqref="BK80:BN94">
    <cfRule type="cellIs" dxfId="2800" priority="578" stopIfTrue="1" operator="equal">
      <formula>"S"</formula>
    </cfRule>
  </conditionalFormatting>
  <conditionalFormatting sqref="BK80:BN94">
    <cfRule type="cellIs" dxfId="2799" priority="579" stopIfTrue="1" operator="equal">
      <formula>"M"</formula>
    </cfRule>
  </conditionalFormatting>
  <conditionalFormatting sqref="BK80:BN94">
    <cfRule type="cellIs" dxfId="2798" priority="580" stopIfTrue="1" operator="equal">
      <formula>"J"</formula>
    </cfRule>
  </conditionalFormatting>
  <conditionalFormatting sqref="BK80:BN94">
    <cfRule type="cellIs" dxfId="2797" priority="581" stopIfTrue="1" operator="equal">
      <formula>"O"</formula>
    </cfRule>
  </conditionalFormatting>
  <conditionalFormatting sqref="BK80:BN94">
    <cfRule type="expression" dxfId="2796" priority="582" stopIfTrue="1">
      <formula>LEN(TRIM(BK80))=0</formula>
    </cfRule>
  </conditionalFormatting>
  <conditionalFormatting sqref="BK96:BN99">
    <cfRule type="cellIs" dxfId="2795" priority="583" stopIfTrue="1" operator="equal">
      <formula>"E"</formula>
    </cfRule>
  </conditionalFormatting>
  <conditionalFormatting sqref="BK96:BN99">
    <cfRule type="cellIs" dxfId="2794" priority="584" stopIfTrue="1" operator="equal">
      <formula>"S"</formula>
    </cfRule>
  </conditionalFormatting>
  <conditionalFormatting sqref="BK96:BN99">
    <cfRule type="cellIs" dxfId="2793" priority="585" stopIfTrue="1" operator="equal">
      <formula>"M"</formula>
    </cfRule>
  </conditionalFormatting>
  <conditionalFormatting sqref="BK96:BN99">
    <cfRule type="cellIs" dxfId="2792" priority="586" stopIfTrue="1" operator="equal">
      <formula>"J"</formula>
    </cfRule>
  </conditionalFormatting>
  <conditionalFormatting sqref="BK96:BN99">
    <cfRule type="cellIs" dxfId="2791" priority="587" stopIfTrue="1" operator="equal">
      <formula>"O"</formula>
    </cfRule>
  </conditionalFormatting>
  <conditionalFormatting sqref="BK96:BN99">
    <cfRule type="expression" dxfId="2790" priority="588" stopIfTrue="1">
      <formula>LEN(TRIM(BK96))=0</formula>
    </cfRule>
  </conditionalFormatting>
  <conditionalFormatting sqref="BK102:BN106">
    <cfRule type="cellIs" dxfId="2789" priority="589" stopIfTrue="1" operator="equal">
      <formula>"E"</formula>
    </cfRule>
  </conditionalFormatting>
  <conditionalFormatting sqref="BK102:BN106">
    <cfRule type="cellIs" dxfId="2788" priority="590" stopIfTrue="1" operator="equal">
      <formula>"S"</formula>
    </cfRule>
  </conditionalFormatting>
  <conditionalFormatting sqref="BK102:BN106">
    <cfRule type="cellIs" dxfId="2787" priority="591" stopIfTrue="1" operator="equal">
      <formula>"M"</formula>
    </cfRule>
  </conditionalFormatting>
  <conditionalFormatting sqref="BK102:BN106">
    <cfRule type="cellIs" dxfId="2786" priority="592" stopIfTrue="1" operator="equal">
      <formula>"J"</formula>
    </cfRule>
  </conditionalFormatting>
  <conditionalFormatting sqref="BK102:BN106">
    <cfRule type="cellIs" dxfId="2785" priority="593" stopIfTrue="1" operator="equal">
      <formula>"O"</formula>
    </cfRule>
  </conditionalFormatting>
  <conditionalFormatting sqref="BK102:BN106">
    <cfRule type="expression" dxfId="2784" priority="594" stopIfTrue="1">
      <formula>LEN(TRIM(BK102))=0</formula>
    </cfRule>
  </conditionalFormatting>
  <conditionalFormatting sqref="BK109:BN109">
    <cfRule type="cellIs" dxfId="2783" priority="595" stopIfTrue="1" operator="equal">
      <formula>"E"</formula>
    </cfRule>
  </conditionalFormatting>
  <conditionalFormatting sqref="BK109:BN109">
    <cfRule type="cellIs" dxfId="2782" priority="596" stopIfTrue="1" operator="equal">
      <formula>"S"</formula>
    </cfRule>
  </conditionalFormatting>
  <conditionalFormatting sqref="BK109:BN109">
    <cfRule type="cellIs" dxfId="2781" priority="597" stopIfTrue="1" operator="equal">
      <formula>"M"</formula>
    </cfRule>
  </conditionalFormatting>
  <conditionalFormatting sqref="BK109:BN109">
    <cfRule type="cellIs" dxfId="2780" priority="598" stopIfTrue="1" operator="equal">
      <formula>"J"</formula>
    </cfRule>
  </conditionalFormatting>
  <conditionalFormatting sqref="BK109:BN109">
    <cfRule type="cellIs" dxfId="2779" priority="599" stopIfTrue="1" operator="equal">
      <formula>"O"</formula>
    </cfRule>
  </conditionalFormatting>
  <conditionalFormatting sqref="BK109:BN109">
    <cfRule type="expression" dxfId="2778" priority="600" stopIfTrue="1">
      <formula>LEN(TRIM(BK109))=0</formula>
    </cfRule>
  </conditionalFormatting>
  <conditionalFormatting sqref="BO4:BV16">
    <cfRule type="cellIs" dxfId="2777" priority="601" stopIfTrue="1" operator="equal">
      <formula>"E"</formula>
    </cfRule>
    <cfRule type="cellIs" dxfId="2776" priority="602" stopIfTrue="1" operator="equal">
      <formula>"S"</formula>
    </cfRule>
    <cfRule type="cellIs" dxfId="2775" priority="603" stopIfTrue="1" operator="equal">
      <formula>"M"</formula>
    </cfRule>
    <cfRule type="cellIs" dxfId="2774" priority="604" stopIfTrue="1" operator="equal">
      <formula>"J"</formula>
    </cfRule>
    <cfRule type="cellIs" dxfId="2773" priority="605" stopIfTrue="1" operator="equal">
      <formula>"O"</formula>
    </cfRule>
    <cfRule type="expression" dxfId="2772" priority="606" stopIfTrue="1">
      <formula>LEN(TRIM(BO4))=0</formula>
    </cfRule>
  </conditionalFormatting>
  <conditionalFormatting sqref="BO18:BV26">
    <cfRule type="cellIs" dxfId="2771" priority="607" stopIfTrue="1" operator="equal">
      <formula>"E"</formula>
    </cfRule>
    <cfRule type="cellIs" dxfId="2770" priority="608" stopIfTrue="1" operator="equal">
      <formula>"S"</formula>
    </cfRule>
    <cfRule type="cellIs" dxfId="2769" priority="609" stopIfTrue="1" operator="equal">
      <formula>"M"</formula>
    </cfRule>
    <cfRule type="cellIs" dxfId="2768" priority="610" stopIfTrue="1" operator="equal">
      <formula>"J"</formula>
    </cfRule>
    <cfRule type="cellIs" dxfId="2767" priority="611" stopIfTrue="1" operator="equal">
      <formula>"O"</formula>
    </cfRule>
    <cfRule type="expression" dxfId="2766" priority="612" stopIfTrue="1">
      <formula>LEN(TRIM(BO18))=0</formula>
    </cfRule>
  </conditionalFormatting>
  <conditionalFormatting sqref="BO28:BV37">
    <cfRule type="cellIs" dxfId="2765" priority="613" stopIfTrue="1" operator="equal">
      <formula>"E"</formula>
    </cfRule>
  </conditionalFormatting>
  <conditionalFormatting sqref="BO28:BV37">
    <cfRule type="cellIs" dxfId="2764" priority="614" stopIfTrue="1" operator="equal">
      <formula>"S"</formula>
    </cfRule>
  </conditionalFormatting>
  <conditionalFormatting sqref="BO28:BV37">
    <cfRule type="cellIs" dxfId="2763" priority="615" stopIfTrue="1" operator="equal">
      <formula>"M"</formula>
    </cfRule>
  </conditionalFormatting>
  <conditionalFormatting sqref="BO28:BV37">
    <cfRule type="cellIs" dxfId="2762" priority="616" stopIfTrue="1" operator="equal">
      <formula>"J"</formula>
    </cfRule>
  </conditionalFormatting>
  <conditionalFormatting sqref="BO28:BV37">
    <cfRule type="cellIs" dxfId="2761" priority="617" stopIfTrue="1" operator="equal">
      <formula>"O"</formula>
    </cfRule>
  </conditionalFormatting>
  <conditionalFormatting sqref="BO28:BV37">
    <cfRule type="expression" dxfId="2760" priority="618" stopIfTrue="1">
      <formula>LEN(TRIM(BO28))=0</formula>
    </cfRule>
  </conditionalFormatting>
  <conditionalFormatting sqref="BO39:BV50">
    <cfRule type="cellIs" dxfId="2759" priority="619" stopIfTrue="1" operator="equal">
      <formula>"E"</formula>
    </cfRule>
  </conditionalFormatting>
  <conditionalFormatting sqref="BO39:BV50">
    <cfRule type="cellIs" dxfId="2758" priority="620" stopIfTrue="1" operator="equal">
      <formula>"S"</formula>
    </cfRule>
  </conditionalFormatting>
  <conditionalFormatting sqref="BO39:BV50">
    <cfRule type="cellIs" dxfId="2757" priority="621" stopIfTrue="1" operator="equal">
      <formula>"M"</formula>
    </cfRule>
  </conditionalFormatting>
  <conditionalFormatting sqref="BO39:BV50">
    <cfRule type="cellIs" dxfId="2756" priority="622" stopIfTrue="1" operator="equal">
      <formula>"J"</formula>
    </cfRule>
  </conditionalFormatting>
  <conditionalFormatting sqref="BO39:BV50">
    <cfRule type="cellIs" dxfId="2755" priority="623" stopIfTrue="1" operator="equal">
      <formula>"O"</formula>
    </cfRule>
  </conditionalFormatting>
  <conditionalFormatting sqref="BO39:BV50">
    <cfRule type="expression" dxfId="2754" priority="624" stopIfTrue="1">
      <formula>LEN(TRIM(BO39))=0</formula>
    </cfRule>
  </conditionalFormatting>
  <conditionalFormatting sqref="BO52:BV59">
    <cfRule type="cellIs" dxfId="2753" priority="625" stopIfTrue="1" operator="equal">
      <formula>"E"</formula>
    </cfRule>
  </conditionalFormatting>
  <conditionalFormatting sqref="BO52:BV59">
    <cfRule type="cellIs" dxfId="2752" priority="626" stopIfTrue="1" operator="equal">
      <formula>"S"</formula>
    </cfRule>
  </conditionalFormatting>
  <conditionalFormatting sqref="BO52:BV59">
    <cfRule type="cellIs" dxfId="2751" priority="627" stopIfTrue="1" operator="equal">
      <formula>"M"</formula>
    </cfRule>
  </conditionalFormatting>
  <conditionalFormatting sqref="BO52:BV59">
    <cfRule type="cellIs" dxfId="2750" priority="628" stopIfTrue="1" operator="equal">
      <formula>"J"</formula>
    </cfRule>
  </conditionalFormatting>
  <conditionalFormatting sqref="BO52:BV59">
    <cfRule type="cellIs" dxfId="2749" priority="629" stopIfTrue="1" operator="equal">
      <formula>"O"</formula>
    </cfRule>
  </conditionalFormatting>
  <conditionalFormatting sqref="BO52:BV59">
    <cfRule type="expression" dxfId="2748" priority="630" stopIfTrue="1">
      <formula>LEN(TRIM(BO52))=0</formula>
    </cfRule>
  </conditionalFormatting>
  <conditionalFormatting sqref="BO61:BV78">
    <cfRule type="cellIs" dxfId="2747" priority="631" stopIfTrue="1" operator="equal">
      <formula>"E"</formula>
    </cfRule>
  </conditionalFormatting>
  <conditionalFormatting sqref="BO61:BV78">
    <cfRule type="cellIs" dxfId="2746" priority="632" stopIfTrue="1" operator="equal">
      <formula>"S"</formula>
    </cfRule>
  </conditionalFormatting>
  <conditionalFormatting sqref="BO61:BV78">
    <cfRule type="cellIs" dxfId="2745" priority="633" stopIfTrue="1" operator="equal">
      <formula>"M"</formula>
    </cfRule>
  </conditionalFormatting>
  <conditionalFormatting sqref="BO61:BV78">
    <cfRule type="cellIs" dxfId="2744" priority="634" stopIfTrue="1" operator="equal">
      <formula>"J"</formula>
    </cfRule>
  </conditionalFormatting>
  <conditionalFormatting sqref="BO61:BV78">
    <cfRule type="cellIs" dxfId="2743" priority="635" stopIfTrue="1" operator="equal">
      <formula>"O"</formula>
    </cfRule>
  </conditionalFormatting>
  <conditionalFormatting sqref="BO61:BV78">
    <cfRule type="expression" dxfId="2742" priority="636" stopIfTrue="1">
      <formula>LEN(TRIM(BO61))=0</formula>
    </cfRule>
  </conditionalFormatting>
  <conditionalFormatting sqref="BO80:BV94">
    <cfRule type="cellIs" dxfId="2741" priority="637" stopIfTrue="1" operator="equal">
      <formula>"E"</formula>
    </cfRule>
  </conditionalFormatting>
  <conditionalFormatting sqref="BO80:BV94">
    <cfRule type="cellIs" dxfId="2740" priority="638" stopIfTrue="1" operator="equal">
      <formula>"S"</formula>
    </cfRule>
  </conditionalFormatting>
  <conditionalFormatting sqref="BO80:BV94">
    <cfRule type="cellIs" dxfId="2739" priority="639" stopIfTrue="1" operator="equal">
      <formula>"M"</formula>
    </cfRule>
  </conditionalFormatting>
  <conditionalFormatting sqref="BO80:BV94">
    <cfRule type="cellIs" dxfId="2738" priority="640" stopIfTrue="1" operator="equal">
      <formula>"J"</formula>
    </cfRule>
  </conditionalFormatting>
  <conditionalFormatting sqref="BO80:BV94">
    <cfRule type="cellIs" dxfId="2737" priority="641" stopIfTrue="1" operator="equal">
      <formula>"O"</formula>
    </cfRule>
  </conditionalFormatting>
  <conditionalFormatting sqref="BO80:BV94">
    <cfRule type="expression" dxfId="2736" priority="642" stopIfTrue="1">
      <formula>LEN(TRIM(BO80))=0</formula>
    </cfRule>
  </conditionalFormatting>
  <conditionalFormatting sqref="BO96:BV99">
    <cfRule type="cellIs" dxfId="2735" priority="643" stopIfTrue="1" operator="equal">
      <formula>"E"</formula>
    </cfRule>
  </conditionalFormatting>
  <conditionalFormatting sqref="BO96:BV99">
    <cfRule type="cellIs" dxfId="2734" priority="644" stopIfTrue="1" operator="equal">
      <formula>"S"</formula>
    </cfRule>
  </conditionalFormatting>
  <conditionalFormatting sqref="BO96:BV99">
    <cfRule type="cellIs" dxfId="2733" priority="645" stopIfTrue="1" operator="equal">
      <formula>"M"</formula>
    </cfRule>
  </conditionalFormatting>
  <conditionalFormatting sqref="BO96:BV99">
    <cfRule type="cellIs" dxfId="2732" priority="646" stopIfTrue="1" operator="equal">
      <formula>"J"</formula>
    </cfRule>
  </conditionalFormatting>
  <conditionalFormatting sqref="BO96:BV99">
    <cfRule type="cellIs" dxfId="2731" priority="647" stopIfTrue="1" operator="equal">
      <formula>"O"</formula>
    </cfRule>
  </conditionalFormatting>
  <conditionalFormatting sqref="BO96:BV99">
    <cfRule type="expression" dxfId="2730" priority="648" stopIfTrue="1">
      <formula>LEN(TRIM(BO96))=0</formula>
    </cfRule>
  </conditionalFormatting>
  <conditionalFormatting sqref="BO102:BV106">
    <cfRule type="cellIs" dxfId="2729" priority="649" stopIfTrue="1" operator="equal">
      <formula>"E"</formula>
    </cfRule>
  </conditionalFormatting>
  <conditionalFormatting sqref="BO102:BV106">
    <cfRule type="cellIs" dxfId="2728" priority="650" stopIfTrue="1" operator="equal">
      <formula>"S"</formula>
    </cfRule>
  </conditionalFormatting>
  <conditionalFormatting sqref="BO102:BV106">
    <cfRule type="cellIs" dxfId="2727" priority="651" stopIfTrue="1" operator="equal">
      <formula>"M"</formula>
    </cfRule>
  </conditionalFormatting>
  <conditionalFormatting sqref="BO102:BV106">
    <cfRule type="cellIs" dxfId="2726" priority="652" stopIfTrue="1" operator="equal">
      <formula>"J"</formula>
    </cfRule>
  </conditionalFormatting>
  <conditionalFormatting sqref="BO102:BV106">
    <cfRule type="cellIs" dxfId="2725" priority="653" stopIfTrue="1" operator="equal">
      <formula>"O"</formula>
    </cfRule>
  </conditionalFormatting>
  <conditionalFormatting sqref="BO102:BV106">
    <cfRule type="expression" dxfId="2724" priority="654" stopIfTrue="1">
      <formula>LEN(TRIM(BO102))=0</formula>
    </cfRule>
  </conditionalFormatting>
  <conditionalFormatting sqref="BO109:BV109">
    <cfRule type="cellIs" dxfId="2723" priority="655" stopIfTrue="1" operator="equal">
      <formula>"E"</formula>
    </cfRule>
  </conditionalFormatting>
  <conditionalFormatting sqref="BO109:BV109">
    <cfRule type="cellIs" dxfId="2722" priority="656" stopIfTrue="1" operator="equal">
      <formula>"S"</formula>
    </cfRule>
  </conditionalFormatting>
  <conditionalFormatting sqref="BO109:BV109">
    <cfRule type="cellIs" dxfId="2721" priority="657" stopIfTrue="1" operator="equal">
      <formula>"M"</formula>
    </cfRule>
  </conditionalFormatting>
  <conditionalFormatting sqref="BO109:BV109">
    <cfRule type="cellIs" dxfId="2720" priority="658" stopIfTrue="1" operator="equal">
      <formula>"J"</formula>
    </cfRule>
  </conditionalFormatting>
  <conditionalFormatting sqref="BO109:BV109">
    <cfRule type="cellIs" dxfId="2719" priority="659" stopIfTrue="1" operator="equal">
      <formula>"O"</formula>
    </cfRule>
  </conditionalFormatting>
  <conditionalFormatting sqref="BO109:BV109">
    <cfRule type="expression" dxfId="2718" priority="660" stopIfTrue="1">
      <formula>LEN(TRIM(BO109))=0</formula>
    </cfRule>
  </conditionalFormatting>
  <conditionalFormatting sqref="BW4:CB16">
    <cfRule type="cellIs" dxfId="2717" priority="661" stopIfTrue="1" operator="equal">
      <formula>"E"</formula>
    </cfRule>
    <cfRule type="cellIs" dxfId="2716" priority="662" stopIfTrue="1" operator="equal">
      <formula>"S"</formula>
    </cfRule>
    <cfRule type="cellIs" dxfId="2715" priority="663" stopIfTrue="1" operator="equal">
      <formula>"M"</formula>
    </cfRule>
    <cfRule type="cellIs" dxfId="2714" priority="664" stopIfTrue="1" operator="equal">
      <formula>"J"</formula>
    </cfRule>
    <cfRule type="cellIs" dxfId="2713" priority="665" stopIfTrue="1" operator="equal">
      <formula>"O"</formula>
    </cfRule>
    <cfRule type="expression" dxfId="2712" priority="666" stopIfTrue="1">
      <formula>LEN(TRIM(BW4))=0</formula>
    </cfRule>
  </conditionalFormatting>
  <conditionalFormatting sqref="BW18:CB26">
    <cfRule type="cellIs" dxfId="2711" priority="667" stopIfTrue="1" operator="equal">
      <formula>"E"</formula>
    </cfRule>
    <cfRule type="cellIs" dxfId="2710" priority="668" stopIfTrue="1" operator="equal">
      <formula>"S"</formula>
    </cfRule>
    <cfRule type="cellIs" dxfId="2709" priority="669" stopIfTrue="1" operator="equal">
      <formula>"M"</formula>
    </cfRule>
    <cfRule type="cellIs" dxfId="2708" priority="670" stopIfTrue="1" operator="equal">
      <formula>"J"</formula>
    </cfRule>
    <cfRule type="cellIs" dxfId="2707" priority="671" stopIfTrue="1" operator="equal">
      <formula>"O"</formula>
    </cfRule>
    <cfRule type="expression" dxfId="2706" priority="672" stopIfTrue="1">
      <formula>LEN(TRIM(BW18))=0</formula>
    </cfRule>
  </conditionalFormatting>
  <conditionalFormatting sqref="BW28:CB37">
    <cfRule type="cellIs" dxfId="2705" priority="673" stopIfTrue="1" operator="equal">
      <formula>"E"</formula>
    </cfRule>
  </conditionalFormatting>
  <conditionalFormatting sqref="BW28:CB37">
    <cfRule type="cellIs" dxfId="2704" priority="674" stopIfTrue="1" operator="equal">
      <formula>"S"</formula>
    </cfRule>
  </conditionalFormatting>
  <conditionalFormatting sqref="BW28:CB37">
    <cfRule type="cellIs" dxfId="2703" priority="675" stopIfTrue="1" operator="equal">
      <formula>"M"</formula>
    </cfRule>
  </conditionalFormatting>
  <conditionalFormatting sqref="BW28:CB37">
    <cfRule type="cellIs" dxfId="2702" priority="676" stopIfTrue="1" operator="equal">
      <formula>"J"</formula>
    </cfRule>
  </conditionalFormatting>
  <conditionalFormatting sqref="BW28:CB37">
    <cfRule type="cellIs" dxfId="2701" priority="677" stopIfTrue="1" operator="equal">
      <formula>"O"</formula>
    </cfRule>
  </conditionalFormatting>
  <conditionalFormatting sqref="BW28:CB37">
    <cfRule type="expression" dxfId="2700" priority="678" stopIfTrue="1">
      <formula>LEN(TRIM(BW28))=0</formula>
    </cfRule>
  </conditionalFormatting>
  <conditionalFormatting sqref="BW39:CB50">
    <cfRule type="cellIs" dxfId="2699" priority="679" stopIfTrue="1" operator="equal">
      <formula>"E"</formula>
    </cfRule>
  </conditionalFormatting>
  <conditionalFormatting sqref="BW39:CB50">
    <cfRule type="cellIs" dxfId="2698" priority="680" stopIfTrue="1" operator="equal">
      <formula>"S"</formula>
    </cfRule>
  </conditionalFormatting>
  <conditionalFormatting sqref="BW39:CB50">
    <cfRule type="cellIs" dxfId="2697" priority="681" stopIfTrue="1" operator="equal">
      <formula>"M"</formula>
    </cfRule>
  </conditionalFormatting>
  <conditionalFormatting sqref="BW39:CB50">
    <cfRule type="cellIs" dxfId="2696" priority="682" stopIfTrue="1" operator="equal">
      <formula>"J"</formula>
    </cfRule>
  </conditionalFormatting>
  <conditionalFormatting sqref="BW39:CB50">
    <cfRule type="cellIs" dxfId="2695" priority="683" stopIfTrue="1" operator="equal">
      <formula>"O"</formula>
    </cfRule>
  </conditionalFormatting>
  <conditionalFormatting sqref="BW39:CB50">
    <cfRule type="expression" dxfId="2694" priority="684" stopIfTrue="1">
      <formula>LEN(TRIM(BW39))=0</formula>
    </cfRule>
  </conditionalFormatting>
  <conditionalFormatting sqref="BW52:CB59">
    <cfRule type="cellIs" dxfId="2693" priority="685" stopIfTrue="1" operator="equal">
      <formula>"E"</formula>
    </cfRule>
  </conditionalFormatting>
  <conditionalFormatting sqref="BW52:CB59">
    <cfRule type="cellIs" dxfId="2692" priority="686" stopIfTrue="1" operator="equal">
      <formula>"S"</formula>
    </cfRule>
  </conditionalFormatting>
  <conditionalFormatting sqref="BW52:CB59">
    <cfRule type="cellIs" dxfId="2691" priority="687" stopIfTrue="1" operator="equal">
      <formula>"M"</formula>
    </cfRule>
  </conditionalFormatting>
  <conditionalFormatting sqref="BW52:CB59">
    <cfRule type="cellIs" dxfId="2690" priority="688" stopIfTrue="1" operator="equal">
      <formula>"J"</formula>
    </cfRule>
  </conditionalFormatting>
  <conditionalFormatting sqref="BW52:CB59">
    <cfRule type="cellIs" dxfId="2689" priority="689" stopIfTrue="1" operator="equal">
      <formula>"O"</formula>
    </cfRule>
  </conditionalFormatting>
  <conditionalFormatting sqref="BW52:CB59">
    <cfRule type="expression" dxfId="2688" priority="690" stopIfTrue="1">
      <formula>LEN(TRIM(BW52))=0</formula>
    </cfRule>
  </conditionalFormatting>
  <conditionalFormatting sqref="BW61:CB78">
    <cfRule type="cellIs" dxfId="2687" priority="691" stopIfTrue="1" operator="equal">
      <formula>"E"</formula>
    </cfRule>
  </conditionalFormatting>
  <conditionalFormatting sqref="BW61:CB78">
    <cfRule type="cellIs" dxfId="2686" priority="692" stopIfTrue="1" operator="equal">
      <formula>"S"</formula>
    </cfRule>
  </conditionalFormatting>
  <conditionalFormatting sqref="BW61:CB78">
    <cfRule type="cellIs" dxfId="2685" priority="693" stopIfTrue="1" operator="equal">
      <formula>"M"</formula>
    </cfRule>
  </conditionalFormatting>
  <conditionalFormatting sqref="BW61:CB78">
    <cfRule type="cellIs" dxfId="2684" priority="694" stopIfTrue="1" operator="equal">
      <formula>"J"</formula>
    </cfRule>
  </conditionalFormatting>
  <conditionalFormatting sqref="BW61:CB78">
    <cfRule type="cellIs" dxfId="2683" priority="695" stopIfTrue="1" operator="equal">
      <formula>"O"</formula>
    </cfRule>
  </conditionalFormatting>
  <conditionalFormatting sqref="BW61:CB78">
    <cfRule type="expression" dxfId="2682" priority="696" stopIfTrue="1">
      <formula>LEN(TRIM(BW61))=0</formula>
    </cfRule>
  </conditionalFormatting>
  <conditionalFormatting sqref="BW80:CB94">
    <cfRule type="cellIs" dxfId="2681" priority="697" stopIfTrue="1" operator="equal">
      <formula>"E"</formula>
    </cfRule>
  </conditionalFormatting>
  <conditionalFormatting sqref="BW80:CB94">
    <cfRule type="cellIs" dxfId="2680" priority="698" stopIfTrue="1" operator="equal">
      <formula>"S"</formula>
    </cfRule>
  </conditionalFormatting>
  <conditionalFormatting sqref="BW80:CB94">
    <cfRule type="cellIs" dxfId="2679" priority="699" stopIfTrue="1" operator="equal">
      <formula>"M"</formula>
    </cfRule>
  </conditionalFormatting>
  <conditionalFormatting sqref="BW80:CB94">
    <cfRule type="cellIs" dxfId="2678" priority="700" stopIfTrue="1" operator="equal">
      <formula>"J"</formula>
    </cfRule>
  </conditionalFormatting>
  <conditionalFormatting sqref="BW80:CB94">
    <cfRule type="cellIs" dxfId="2677" priority="701" stopIfTrue="1" operator="equal">
      <formula>"O"</formula>
    </cfRule>
  </conditionalFormatting>
  <conditionalFormatting sqref="BW80:CB94">
    <cfRule type="expression" dxfId="2676" priority="702" stopIfTrue="1">
      <formula>LEN(TRIM(BW80))=0</formula>
    </cfRule>
  </conditionalFormatting>
  <conditionalFormatting sqref="BW96:CB99">
    <cfRule type="cellIs" dxfId="2675" priority="703" stopIfTrue="1" operator="equal">
      <formula>"E"</formula>
    </cfRule>
  </conditionalFormatting>
  <conditionalFormatting sqref="BW96:CB99">
    <cfRule type="cellIs" dxfId="2674" priority="704" stopIfTrue="1" operator="equal">
      <formula>"S"</formula>
    </cfRule>
  </conditionalFormatting>
  <conditionalFormatting sqref="BW96:CB99">
    <cfRule type="cellIs" dxfId="2673" priority="705" stopIfTrue="1" operator="equal">
      <formula>"M"</formula>
    </cfRule>
  </conditionalFormatting>
  <conditionalFormatting sqref="BW96:CB99">
    <cfRule type="cellIs" dxfId="2672" priority="706" stopIfTrue="1" operator="equal">
      <formula>"J"</formula>
    </cfRule>
  </conditionalFormatting>
  <conditionalFormatting sqref="BW96:CB99">
    <cfRule type="cellIs" dxfId="2671" priority="707" stopIfTrue="1" operator="equal">
      <formula>"O"</formula>
    </cfRule>
  </conditionalFormatting>
  <conditionalFormatting sqref="BW96:CB99">
    <cfRule type="expression" dxfId="2670" priority="708" stopIfTrue="1">
      <formula>LEN(TRIM(BW96))=0</formula>
    </cfRule>
  </conditionalFormatting>
  <conditionalFormatting sqref="BW102:CB106">
    <cfRule type="cellIs" dxfId="2669" priority="709" stopIfTrue="1" operator="equal">
      <formula>"E"</formula>
    </cfRule>
  </conditionalFormatting>
  <conditionalFormatting sqref="BW102:CB106">
    <cfRule type="cellIs" dxfId="2668" priority="710" stopIfTrue="1" operator="equal">
      <formula>"S"</formula>
    </cfRule>
  </conditionalFormatting>
  <conditionalFormatting sqref="BW102:CB106">
    <cfRule type="cellIs" dxfId="2667" priority="711" stopIfTrue="1" operator="equal">
      <formula>"M"</formula>
    </cfRule>
  </conditionalFormatting>
  <conditionalFormatting sqref="BW102:CB106">
    <cfRule type="cellIs" dxfId="2666" priority="712" stopIfTrue="1" operator="equal">
      <formula>"J"</formula>
    </cfRule>
  </conditionalFormatting>
  <conditionalFormatting sqref="BW102:CB106">
    <cfRule type="cellIs" dxfId="2665" priority="713" stopIfTrue="1" operator="equal">
      <formula>"O"</formula>
    </cfRule>
  </conditionalFormatting>
  <conditionalFormatting sqref="BW102:CB106">
    <cfRule type="expression" dxfId="2664" priority="714" stopIfTrue="1">
      <formula>LEN(TRIM(BW102))=0</formula>
    </cfRule>
  </conditionalFormatting>
  <conditionalFormatting sqref="BW109:CB109">
    <cfRule type="cellIs" dxfId="2663" priority="715" stopIfTrue="1" operator="equal">
      <formula>"E"</formula>
    </cfRule>
  </conditionalFormatting>
  <conditionalFormatting sqref="BW109:CB109">
    <cfRule type="cellIs" dxfId="2662" priority="716" stopIfTrue="1" operator="equal">
      <formula>"S"</formula>
    </cfRule>
  </conditionalFormatting>
  <conditionalFormatting sqref="BW109:CB109">
    <cfRule type="cellIs" dxfId="2661" priority="717" stopIfTrue="1" operator="equal">
      <formula>"M"</formula>
    </cfRule>
  </conditionalFormatting>
  <conditionalFormatting sqref="BW109:CB109">
    <cfRule type="cellIs" dxfId="2660" priority="718" stopIfTrue="1" operator="equal">
      <formula>"J"</formula>
    </cfRule>
  </conditionalFormatting>
  <conditionalFormatting sqref="BW109:CB109">
    <cfRule type="cellIs" dxfId="2659" priority="719" stopIfTrue="1" operator="equal">
      <formula>"O"</formula>
    </cfRule>
  </conditionalFormatting>
  <conditionalFormatting sqref="BW109:CB109">
    <cfRule type="expression" dxfId="2658" priority="720" stopIfTrue="1">
      <formula>LEN(TRIM(BW109))=0</formula>
    </cfRule>
  </conditionalFormatting>
  <conditionalFormatting sqref="CC4:CE16">
    <cfRule type="cellIs" dxfId="2657" priority="721" stopIfTrue="1" operator="equal">
      <formula>"E"</formula>
    </cfRule>
    <cfRule type="cellIs" dxfId="2656" priority="722" stopIfTrue="1" operator="equal">
      <formula>"S"</formula>
    </cfRule>
    <cfRule type="cellIs" dxfId="2655" priority="723" stopIfTrue="1" operator="equal">
      <formula>"M"</formula>
    </cfRule>
    <cfRule type="cellIs" dxfId="2654" priority="724" stopIfTrue="1" operator="equal">
      <formula>"J"</formula>
    </cfRule>
    <cfRule type="cellIs" dxfId="2653" priority="725" stopIfTrue="1" operator="equal">
      <formula>"O"</formula>
    </cfRule>
    <cfRule type="expression" dxfId="2652" priority="726" stopIfTrue="1">
      <formula>LEN(TRIM(CC4))=0</formula>
    </cfRule>
  </conditionalFormatting>
  <conditionalFormatting sqref="CC18:CE26">
    <cfRule type="cellIs" dxfId="2651" priority="727" stopIfTrue="1" operator="equal">
      <formula>"E"</formula>
    </cfRule>
  </conditionalFormatting>
  <conditionalFormatting sqref="CC18:CE26">
    <cfRule type="cellIs" dxfId="2650" priority="728" stopIfTrue="1" operator="equal">
      <formula>"S"</formula>
    </cfRule>
  </conditionalFormatting>
  <conditionalFormatting sqref="CC18:CE26">
    <cfRule type="cellIs" dxfId="2649" priority="729" stopIfTrue="1" operator="equal">
      <formula>"M"</formula>
    </cfRule>
  </conditionalFormatting>
  <conditionalFormatting sqref="CC18:CE26">
    <cfRule type="cellIs" dxfId="2648" priority="730" stopIfTrue="1" operator="equal">
      <formula>"J"</formula>
    </cfRule>
  </conditionalFormatting>
  <conditionalFormatting sqref="CC18:CE26">
    <cfRule type="cellIs" dxfId="2647" priority="731" stopIfTrue="1" operator="equal">
      <formula>"O"</formula>
    </cfRule>
  </conditionalFormatting>
  <conditionalFormatting sqref="CC18:CE26">
    <cfRule type="expression" dxfId="2646" priority="732" stopIfTrue="1">
      <formula>LEN(TRIM(CC18))=0</formula>
    </cfRule>
  </conditionalFormatting>
  <conditionalFormatting sqref="CC28:CE37">
    <cfRule type="cellIs" dxfId="2645" priority="733" stopIfTrue="1" operator="equal">
      <formula>"E"</formula>
    </cfRule>
  </conditionalFormatting>
  <conditionalFormatting sqref="CC28:CE37">
    <cfRule type="cellIs" dxfId="2644" priority="734" stopIfTrue="1" operator="equal">
      <formula>"S"</formula>
    </cfRule>
  </conditionalFormatting>
  <conditionalFormatting sqref="CC28:CE37">
    <cfRule type="cellIs" dxfId="2643" priority="735" stopIfTrue="1" operator="equal">
      <formula>"M"</formula>
    </cfRule>
  </conditionalFormatting>
  <conditionalFormatting sqref="CC28:CE37">
    <cfRule type="cellIs" dxfId="2642" priority="736" stopIfTrue="1" operator="equal">
      <formula>"J"</formula>
    </cfRule>
  </conditionalFormatting>
  <conditionalFormatting sqref="CC28:CE37">
    <cfRule type="cellIs" dxfId="2641" priority="737" stopIfTrue="1" operator="equal">
      <formula>"O"</formula>
    </cfRule>
  </conditionalFormatting>
  <conditionalFormatting sqref="CC28:CE37">
    <cfRule type="expression" dxfId="2640" priority="738" stopIfTrue="1">
      <formula>LEN(TRIM(CC28))=0</formula>
    </cfRule>
  </conditionalFormatting>
  <conditionalFormatting sqref="CC39:CE50">
    <cfRule type="cellIs" dxfId="2639" priority="739" stopIfTrue="1" operator="equal">
      <formula>"E"</formula>
    </cfRule>
  </conditionalFormatting>
  <conditionalFormatting sqref="CC39:CE50">
    <cfRule type="cellIs" dxfId="2638" priority="740" stopIfTrue="1" operator="equal">
      <formula>"S"</formula>
    </cfRule>
  </conditionalFormatting>
  <conditionalFormatting sqref="CC39:CE50">
    <cfRule type="cellIs" dxfId="2637" priority="741" stopIfTrue="1" operator="equal">
      <formula>"M"</formula>
    </cfRule>
  </conditionalFormatting>
  <conditionalFormatting sqref="CC39:CE50">
    <cfRule type="cellIs" dxfId="2636" priority="742" stopIfTrue="1" operator="equal">
      <formula>"J"</formula>
    </cfRule>
  </conditionalFormatting>
  <conditionalFormatting sqref="CC39:CE50">
    <cfRule type="cellIs" dxfId="2635" priority="743" stopIfTrue="1" operator="equal">
      <formula>"O"</formula>
    </cfRule>
  </conditionalFormatting>
  <conditionalFormatting sqref="CC39:CE50">
    <cfRule type="expression" dxfId="2634" priority="744" stopIfTrue="1">
      <formula>LEN(TRIM(CC39))=0</formula>
    </cfRule>
  </conditionalFormatting>
  <conditionalFormatting sqref="CC52:CE59">
    <cfRule type="cellIs" dxfId="2633" priority="745" stopIfTrue="1" operator="equal">
      <formula>"E"</formula>
    </cfRule>
  </conditionalFormatting>
  <conditionalFormatting sqref="CC52:CE59">
    <cfRule type="cellIs" dxfId="2632" priority="746" stopIfTrue="1" operator="equal">
      <formula>"S"</formula>
    </cfRule>
  </conditionalFormatting>
  <conditionalFormatting sqref="CC52:CE59">
    <cfRule type="cellIs" dxfId="2631" priority="747" stopIfTrue="1" operator="equal">
      <formula>"M"</formula>
    </cfRule>
  </conditionalFormatting>
  <conditionalFormatting sqref="CC52:CE59">
    <cfRule type="cellIs" dxfId="2630" priority="748" stopIfTrue="1" operator="equal">
      <formula>"J"</formula>
    </cfRule>
  </conditionalFormatting>
  <conditionalFormatting sqref="CC52:CE59">
    <cfRule type="cellIs" dxfId="2629" priority="749" stopIfTrue="1" operator="equal">
      <formula>"O"</formula>
    </cfRule>
  </conditionalFormatting>
  <conditionalFormatting sqref="CC52:CE59">
    <cfRule type="expression" dxfId="2628" priority="750" stopIfTrue="1">
      <formula>LEN(TRIM(CC52))=0</formula>
    </cfRule>
  </conditionalFormatting>
  <conditionalFormatting sqref="CC61:CE78">
    <cfRule type="cellIs" dxfId="2627" priority="751" stopIfTrue="1" operator="equal">
      <formula>"E"</formula>
    </cfRule>
  </conditionalFormatting>
  <conditionalFormatting sqref="CC61:CE78">
    <cfRule type="cellIs" dxfId="2626" priority="752" stopIfTrue="1" operator="equal">
      <formula>"S"</formula>
    </cfRule>
  </conditionalFormatting>
  <conditionalFormatting sqref="CC61:CE78">
    <cfRule type="cellIs" dxfId="2625" priority="753" stopIfTrue="1" operator="equal">
      <formula>"M"</formula>
    </cfRule>
  </conditionalFormatting>
  <conditionalFormatting sqref="CC61:CE78">
    <cfRule type="cellIs" dxfId="2624" priority="754" stopIfTrue="1" operator="equal">
      <formula>"J"</formula>
    </cfRule>
  </conditionalFormatting>
  <conditionalFormatting sqref="CC61:CE78">
    <cfRule type="cellIs" dxfId="2623" priority="755" stopIfTrue="1" operator="equal">
      <formula>"O"</formula>
    </cfRule>
  </conditionalFormatting>
  <conditionalFormatting sqref="CC61:CE78">
    <cfRule type="expression" dxfId="2622" priority="756" stopIfTrue="1">
      <formula>LEN(TRIM(CC61))=0</formula>
    </cfRule>
  </conditionalFormatting>
  <conditionalFormatting sqref="CC80:CE94">
    <cfRule type="cellIs" dxfId="2621" priority="757" stopIfTrue="1" operator="equal">
      <formula>"E"</formula>
    </cfRule>
  </conditionalFormatting>
  <conditionalFormatting sqref="CC80:CE94">
    <cfRule type="cellIs" dxfId="2620" priority="758" stopIfTrue="1" operator="equal">
      <formula>"S"</formula>
    </cfRule>
  </conditionalFormatting>
  <conditionalFormatting sqref="CC80:CE94">
    <cfRule type="cellIs" dxfId="2619" priority="759" stopIfTrue="1" operator="equal">
      <formula>"M"</formula>
    </cfRule>
  </conditionalFormatting>
  <conditionalFormatting sqref="CC80:CE94">
    <cfRule type="cellIs" dxfId="2618" priority="760" stopIfTrue="1" operator="equal">
      <formula>"J"</formula>
    </cfRule>
  </conditionalFormatting>
  <conditionalFormatting sqref="CC80:CE94">
    <cfRule type="cellIs" dxfId="2617" priority="761" stopIfTrue="1" operator="equal">
      <formula>"O"</formula>
    </cfRule>
  </conditionalFormatting>
  <conditionalFormatting sqref="CC80:CE94">
    <cfRule type="expression" dxfId="2616" priority="762" stopIfTrue="1">
      <formula>LEN(TRIM(CC80))=0</formula>
    </cfRule>
  </conditionalFormatting>
  <conditionalFormatting sqref="CC96:CE99">
    <cfRule type="cellIs" dxfId="2615" priority="763" stopIfTrue="1" operator="equal">
      <formula>"E"</formula>
    </cfRule>
  </conditionalFormatting>
  <conditionalFormatting sqref="CC96:CE99">
    <cfRule type="cellIs" dxfId="2614" priority="764" stopIfTrue="1" operator="equal">
      <formula>"S"</formula>
    </cfRule>
  </conditionalFormatting>
  <conditionalFormatting sqref="CC96:CE99">
    <cfRule type="cellIs" dxfId="2613" priority="765" stopIfTrue="1" operator="equal">
      <formula>"M"</formula>
    </cfRule>
  </conditionalFormatting>
  <conditionalFormatting sqref="CC96:CE99">
    <cfRule type="cellIs" dxfId="2612" priority="766" stopIfTrue="1" operator="equal">
      <formula>"J"</formula>
    </cfRule>
  </conditionalFormatting>
  <conditionalFormatting sqref="CC96:CE99">
    <cfRule type="cellIs" dxfId="2611" priority="767" stopIfTrue="1" operator="equal">
      <formula>"O"</formula>
    </cfRule>
  </conditionalFormatting>
  <conditionalFormatting sqref="CC96:CE99">
    <cfRule type="expression" dxfId="2610" priority="768" stopIfTrue="1">
      <formula>LEN(TRIM(CC96))=0</formula>
    </cfRule>
  </conditionalFormatting>
  <conditionalFormatting sqref="CC102:CE106">
    <cfRule type="cellIs" dxfId="2609" priority="769" stopIfTrue="1" operator="equal">
      <formula>"E"</formula>
    </cfRule>
  </conditionalFormatting>
  <conditionalFormatting sqref="CC102:CE106">
    <cfRule type="cellIs" dxfId="2608" priority="770" stopIfTrue="1" operator="equal">
      <formula>"S"</formula>
    </cfRule>
  </conditionalFormatting>
  <conditionalFormatting sqref="CC102:CE106">
    <cfRule type="cellIs" dxfId="2607" priority="771" stopIfTrue="1" operator="equal">
      <formula>"M"</formula>
    </cfRule>
  </conditionalFormatting>
  <conditionalFormatting sqref="CC102:CE106">
    <cfRule type="cellIs" dxfId="2606" priority="772" stopIfTrue="1" operator="equal">
      <formula>"J"</formula>
    </cfRule>
  </conditionalFormatting>
  <conditionalFormatting sqref="CC102:CE106">
    <cfRule type="cellIs" dxfId="2605" priority="773" stopIfTrue="1" operator="equal">
      <formula>"O"</formula>
    </cfRule>
  </conditionalFormatting>
  <conditionalFormatting sqref="CC102:CE106">
    <cfRule type="expression" dxfId="2604" priority="774" stopIfTrue="1">
      <formula>LEN(TRIM(CC102))=0</formula>
    </cfRule>
  </conditionalFormatting>
  <conditionalFormatting sqref="CC109:CE109">
    <cfRule type="cellIs" dxfId="2603" priority="775" stopIfTrue="1" operator="equal">
      <formula>"E"</formula>
    </cfRule>
  </conditionalFormatting>
  <conditionalFormatting sqref="CC109:CE109">
    <cfRule type="cellIs" dxfId="2602" priority="776" stopIfTrue="1" operator="equal">
      <formula>"S"</formula>
    </cfRule>
  </conditionalFormatting>
  <conditionalFormatting sqref="CC109:CE109">
    <cfRule type="cellIs" dxfId="2601" priority="777" stopIfTrue="1" operator="equal">
      <formula>"M"</formula>
    </cfRule>
  </conditionalFormatting>
  <conditionalFormatting sqref="CC109:CE109">
    <cfRule type="cellIs" dxfId="2600" priority="778" stopIfTrue="1" operator="equal">
      <formula>"J"</formula>
    </cfRule>
  </conditionalFormatting>
  <conditionalFormatting sqref="CC109:CE109">
    <cfRule type="cellIs" dxfId="2599" priority="779" stopIfTrue="1" operator="equal">
      <formula>"O"</formula>
    </cfRule>
  </conditionalFormatting>
  <conditionalFormatting sqref="CC109:CE109">
    <cfRule type="expression" dxfId="2598" priority="780" stopIfTrue="1">
      <formula>LEN(TRIM(CC109))=0</formula>
    </cfRule>
  </conditionalFormatting>
  <conditionalFormatting sqref="CF4:CI16">
    <cfRule type="cellIs" dxfId="2597" priority="781" stopIfTrue="1" operator="equal">
      <formula>"E"</formula>
    </cfRule>
  </conditionalFormatting>
  <conditionalFormatting sqref="CF4:CI16">
    <cfRule type="cellIs" dxfId="2596" priority="782" stopIfTrue="1" operator="equal">
      <formula>"S"</formula>
    </cfRule>
  </conditionalFormatting>
  <conditionalFormatting sqref="CF4:CI16">
    <cfRule type="cellIs" dxfId="2595" priority="783" stopIfTrue="1" operator="equal">
      <formula>"M"</formula>
    </cfRule>
  </conditionalFormatting>
  <conditionalFormatting sqref="CF4:CI16">
    <cfRule type="cellIs" dxfId="2594" priority="784" stopIfTrue="1" operator="equal">
      <formula>"J"</formula>
    </cfRule>
  </conditionalFormatting>
  <conditionalFormatting sqref="CF4:CI16">
    <cfRule type="cellIs" dxfId="2593" priority="785" stopIfTrue="1" operator="equal">
      <formula>"O"</formula>
    </cfRule>
  </conditionalFormatting>
  <conditionalFormatting sqref="CF4:CI16">
    <cfRule type="expression" dxfId="2592" priority="786" stopIfTrue="1">
      <formula>LEN(TRIM(CF4))=0</formula>
    </cfRule>
  </conditionalFormatting>
  <conditionalFormatting sqref="CF18:CI26">
    <cfRule type="cellIs" dxfId="2591" priority="787" stopIfTrue="1" operator="equal">
      <formula>"E"</formula>
    </cfRule>
  </conditionalFormatting>
  <conditionalFormatting sqref="CF18:CI26">
    <cfRule type="cellIs" dxfId="2590" priority="788" stopIfTrue="1" operator="equal">
      <formula>"S"</formula>
    </cfRule>
  </conditionalFormatting>
  <conditionalFormatting sqref="CF18:CI26">
    <cfRule type="cellIs" dxfId="2589" priority="789" stopIfTrue="1" operator="equal">
      <formula>"M"</formula>
    </cfRule>
  </conditionalFormatting>
  <conditionalFormatting sqref="CF18:CI26">
    <cfRule type="cellIs" dxfId="2588" priority="790" stopIfTrue="1" operator="equal">
      <formula>"J"</formula>
    </cfRule>
  </conditionalFormatting>
  <conditionalFormatting sqref="CF18:CI26">
    <cfRule type="cellIs" dxfId="2587" priority="791" stopIfTrue="1" operator="equal">
      <formula>"O"</formula>
    </cfRule>
  </conditionalFormatting>
  <conditionalFormatting sqref="CF18:CI26">
    <cfRule type="expression" dxfId="2586" priority="792" stopIfTrue="1">
      <formula>LEN(TRIM(CF18))=0</formula>
    </cfRule>
  </conditionalFormatting>
  <conditionalFormatting sqref="CF28:CI37">
    <cfRule type="cellIs" dxfId="2585" priority="793" stopIfTrue="1" operator="equal">
      <formula>"E"</formula>
    </cfRule>
  </conditionalFormatting>
  <conditionalFormatting sqref="CF28:CI37">
    <cfRule type="cellIs" dxfId="2584" priority="794" stopIfTrue="1" operator="equal">
      <formula>"S"</formula>
    </cfRule>
  </conditionalFormatting>
  <conditionalFormatting sqref="CF28:CI37">
    <cfRule type="cellIs" dxfId="2583" priority="795" stopIfTrue="1" operator="equal">
      <formula>"M"</formula>
    </cfRule>
  </conditionalFormatting>
  <conditionalFormatting sqref="CF28:CI37">
    <cfRule type="cellIs" dxfId="2582" priority="796" stopIfTrue="1" operator="equal">
      <formula>"J"</formula>
    </cfRule>
  </conditionalFormatting>
  <conditionalFormatting sqref="CF28:CI37">
    <cfRule type="cellIs" dxfId="2581" priority="797" stopIfTrue="1" operator="equal">
      <formula>"O"</formula>
    </cfRule>
  </conditionalFormatting>
  <conditionalFormatting sqref="CF28:CI37">
    <cfRule type="expression" dxfId="2580" priority="798" stopIfTrue="1">
      <formula>LEN(TRIM(CF28))=0</formula>
    </cfRule>
  </conditionalFormatting>
  <conditionalFormatting sqref="CF39:CI50">
    <cfRule type="cellIs" dxfId="2579" priority="799" stopIfTrue="1" operator="equal">
      <formula>"E"</formula>
    </cfRule>
  </conditionalFormatting>
  <conditionalFormatting sqref="CF39:CI50">
    <cfRule type="cellIs" dxfId="2578" priority="800" stopIfTrue="1" operator="equal">
      <formula>"S"</formula>
    </cfRule>
  </conditionalFormatting>
  <conditionalFormatting sqref="CF39:CI50">
    <cfRule type="cellIs" dxfId="2577" priority="801" stopIfTrue="1" operator="equal">
      <formula>"M"</formula>
    </cfRule>
  </conditionalFormatting>
  <conditionalFormatting sqref="CF39:CI50">
    <cfRule type="cellIs" dxfId="2576" priority="802" stopIfTrue="1" operator="equal">
      <formula>"J"</formula>
    </cfRule>
  </conditionalFormatting>
  <conditionalFormatting sqref="CF39:CI50">
    <cfRule type="cellIs" dxfId="2575" priority="803" stopIfTrue="1" operator="equal">
      <formula>"O"</formula>
    </cfRule>
  </conditionalFormatting>
  <conditionalFormatting sqref="CF39:CI50">
    <cfRule type="expression" dxfId="2574" priority="804" stopIfTrue="1">
      <formula>LEN(TRIM(CF39))=0</formula>
    </cfRule>
  </conditionalFormatting>
  <conditionalFormatting sqref="CF52:CI59">
    <cfRule type="cellIs" dxfId="2573" priority="805" stopIfTrue="1" operator="equal">
      <formula>"E"</formula>
    </cfRule>
  </conditionalFormatting>
  <conditionalFormatting sqref="CF52:CI59">
    <cfRule type="cellIs" dxfId="2572" priority="806" stopIfTrue="1" operator="equal">
      <formula>"S"</formula>
    </cfRule>
  </conditionalFormatting>
  <conditionalFormatting sqref="CF52:CI59">
    <cfRule type="cellIs" dxfId="2571" priority="807" stopIfTrue="1" operator="equal">
      <formula>"M"</formula>
    </cfRule>
  </conditionalFormatting>
  <conditionalFormatting sqref="CF52:CI59">
    <cfRule type="cellIs" dxfId="2570" priority="808" stopIfTrue="1" operator="equal">
      <formula>"J"</formula>
    </cfRule>
  </conditionalFormatting>
  <conditionalFormatting sqref="CF52:CI59">
    <cfRule type="cellIs" dxfId="2569" priority="809" stopIfTrue="1" operator="equal">
      <formula>"O"</formula>
    </cfRule>
  </conditionalFormatting>
  <conditionalFormatting sqref="CF52:CI59">
    <cfRule type="expression" dxfId="2568" priority="810" stopIfTrue="1">
      <formula>LEN(TRIM(CF52))=0</formula>
    </cfRule>
  </conditionalFormatting>
  <conditionalFormatting sqref="CF61:CI78">
    <cfRule type="cellIs" dxfId="2567" priority="811" stopIfTrue="1" operator="equal">
      <formula>"E"</formula>
    </cfRule>
  </conditionalFormatting>
  <conditionalFormatting sqref="CF61:CI78">
    <cfRule type="cellIs" dxfId="2566" priority="812" stopIfTrue="1" operator="equal">
      <formula>"S"</formula>
    </cfRule>
  </conditionalFormatting>
  <conditionalFormatting sqref="CF61:CI78">
    <cfRule type="cellIs" dxfId="2565" priority="813" stopIfTrue="1" operator="equal">
      <formula>"M"</formula>
    </cfRule>
  </conditionalFormatting>
  <conditionalFormatting sqref="CF61:CI78">
    <cfRule type="cellIs" dxfId="2564" priority="814" stopIfTrue="1" operator="equal">
      <formula>"J"</formula>
    </cfRule>
  </conditionalFormatting>
  <conditionalFormatting sqref="CF61:CI78">
    <cfRule type="cellIs" dxfId="2563" priority="815" stopIfTrue="1" operator="equal">
      <formula>"O"</formula>
    </cfRule>
  </conditionalFormatting>
  <conditionalFormatting sqref="CF61:CI78">
    <cfRule type="expression" dxfId="2562" priority="816" stopIfTrue="1">
      <formula>LEN(TRIM(CF61))=0</formula>
    </cfRule>
  </conditionalFormatting>
  <conditionalFormatting sqref="CF80:CI94">
    <cfRule type="cellIs" dxfId="2561" priority="817" stopIfTrue="1" operator="equal">
      <formula>"E"</formula>
    </cfRule>
  </conditionalFormatting>
  <conditionalFormatting sqref="CF80:CI94">
    <cfRule type="cellIs" dxfId="2560" priority="818" stopIfTrue="1" operator="equal">
      <formula>"S"</formula>
    </cfRule>
  </conditionalFormatting>
  <conditionalFormatting sqref="CF80:CI94">
    <cfRule type="cellIs" dxfId="2559" priority="819" stopIfTrue="1" operator="equal">
      <formula>"M"</formula>
    </cfRule>
  </conditionalFormatting>
  <conditionalFormatting sqref="CF80:CI94">
    <cfRule type="cellIs" dxfId="2558" priority="820" stopIfTrue="1" operator="equal">
      <formula>"J"</formula>
    </cfRule>
  </conditionalFormatting>
  <conditionalFormatting sqref="CF80:CI94">
    <cfRule type="cellIs" dxfId="2557" priority="821" stopIfTrue="1" operator="equal">
      <formula>"O"</formula>
    </cfRule>
  </conditionalFormatting>
  <conditionalFormatting sqref="CF80:CI94">
    <cfRule type="expression" dxfId="2556" priority="822" stopIfTrue="1">
      <formula>LEN(TRIM(CF80))=0</formula>
    </cfRule>
  </conditionalFormatting>
  <conditionalFormatting sqref="CF96:CI99">
    <cfRule type="cellIs" dxfId="2555" priority="823" stopIfTrue="1" operator="equal">
      <formula>"E"</formula>
    </cfRule>
  </conditionalFormatting>
  <conditionalFormatting sqref="CF96:CI99">
    <cfRule type="cellIs" dxfId="2554" priority="824" stopIfTrue="1" operator="equal">
      <formula>"S"</formula>
    </cfRule>
  </conditionalFormatting>
  <conditionalFormatting sqref="CF96:CI99">
    <cfRule type="cellIs" dxfId="2553" priority="825" stopIfTrue="1" operator="equal">
      <formula>"M"</formula>
    </cfRule>
  </conditionalFormatting>
  <conditionalFormatting sqref="CF96:CI99">
    <cfRule type="cellIs" dxfId="2552" priority="826" stopIfTrue="1" operator="equal">
      <formula>"J"</formula>
    </cfRule>
  </conditionalFormatting>
  <conditionalFormatting sqref="CF96:CI99">
    <cfRule type="cellIs" dxfId="2551" priority="827" stopIfTrue="1" operator="equal">
      <formula>"O"</formula>
    </cfRule>
  </conditionalFormatting>
  <conditionalFormatting sqref="CF96:CI99">
    <cfRule type="expression" dxfId="2550" priority="828" stopIfTrue="1">
      <formula>LEN(TRIM(CF96))=0</formula>
    </cfRule>
  </conditionalFormatting>
  <conditionalFormatting sqref="CF102:CI106">
    <cfRule type="cellIs" dxfId="2549" priority="829" stopIfTrue="1" operator="equal">
      <formula>"E"</formula>
    </cfRule>
  </conditionalFormatting>
  <conditionalFormatting sqref="CF102:CI106">
    <cfRule type="cellIs" dxfId="2548" priority="830" stopIfTrue="1" operator="equal">
      <formula>"S"</formula>
    </cfRule>
  </conditionalFormatting>
  <conditionalFormatting sqref="CF102:CI106">
    <cfRule type="cellIs" dxfId="2547" priority="831" stopIfTrue="1" operator="equal">
      <formula>"M"</formula>
    </cfRule>
  </conditionalFormatting>
  <conditionalFormatting sqref="CF102:CI106">
    <cfRule type="cellIs" dxfId="2546" priority="832" stopIfTrue="1" operator="equal">
      <formula>"J"</formula>
    </cfRule>
  </conditionalFormatting>
  <conditionalFormatting sqref="CF102:CI106">
    <cfRule type="cellIs" dxfId="2545" priority="833" stopIfTrue="1" operator="equal">
      <formula>"O"</formula>
    </cfRule>
  </conditionalFormatting>
  <conditionalFormatting sqref="CF102:CI106">
    <cfRule type="expression" dxfId="2544" priority="834" stopIfTrue="1">
      <formula>LEN(TRIM(CF102))=0</formula>
    </cfRule>
  </conditionalFormatting>
  <conditionalFormatting sqref="CF109:CI109">
    <cfRule type="cellIs" dxfId="2543" priority="835" stopIfTrue="1" operator="equal">
      <formula>"E"</formula>
    </cfRule>
  </conditionalFormatting>
  <conditionalFormatting sqref="CF109:CI109">
    <cfRule type="cellIs" dxfId="2542" priority="836" stopIfTrue="1" operator="equal">
      <formula>"S"</formula>
    </cfRule>
  </conditionalFormatting>
  <conditionalFormatting sqref="CF109:CI109">
    <cfRule type="cellIs" dxfId="2541" priority="837" stopIfTrue="1" operator="equal">
      <formula>"M"</formula>
    </cfRule>
  </conditionalFormatting>
  <conditionalFormatting sqref="CF109:CI109">
    <cfRule type="cellIs" dxfId="2540" priority="838" stopIfTrue="1" operator="equal">
      <formula>"J"</formula>
    </cfRule>
  </conditionalFormatting>
  <conditionalFormatting sqref="CF109:CI109">
    <cfRule type="cellIs" dxfId="2539" priority="839" stopIfTrue="1" operator="equal">
      <formula>"O"</formula>
    </cfRule>
  </conditionalFormatting>
  <conditionalFormatting sqref="CF109:CI109">
    <cfRule type="expression" dxfId="2538" priority="840" stopIfTrue="1">
      <formula>LEN(TRIM(CF109))=0</formula>
    </cfRule>
  </conditionalFormatting>
  <conditionalFormatting sqref="CK4:CO16">
    <cfRule type="cellIs" dxfId="2537" priority="841" stopIfTrue="1" operator="equal">
      <formula>"E"</formula>
    </cfRule>
  </conditionalFormatting>
  <conditionalFormatting sqref="CK4:CO16">
    <cfRule type="cellIs" dxfId="2536" priority="842" stopIfTrue="1" operator="equal">
      <formula>"S"</formula>
    </cfRule>
  </conditionalFormatting>
  <conditionalFormatting sqref="CK4:CO16">
    <cfRule type="cellIs" dxfId="2535" priority="843" stopIfTrue="1" operator="equal">
      <formula>"M"</formula>
    </cfRule>
  </conditionalFormatting>
  <conditionalFormatting sqref="CK4:CO16">
    <cfRule type="cellIs" dxfId="2534" priority="844" stopIfTrue="1" operator="equal">
      <formula>"J"</formula>
    </cfRule>
  </conditionalFormatting>
  <conditionalFormatting sqref="CK4:CO16">
    <cfRule type="cellIs" dxfId="2533" priority="845" stopIfTrue="1" operator="equal">
      <formula>"O"</formula>
    </cfRule>
  </conditionalFormatting>
  <conditionalFormatting sqref="CK4:CO16">
    <cfRule type="expression" dxfId="2532" priority="846" stopIfTrue="1">
      <formula>LEN(TRIM(CK4))=0</formula>
    </cfRule>
  </conditionalFormatting>
  <conditionalFormatting sqref="CK18:CO26">
    <cfRule type="cellIs" dxfId="2531" priority="847" stopIfTrue="1" operator="equal">
      <formula>"E"</formula>
    </cfRule>
  </conditionalFormatting>
  <conditionalFormatting sqref="CK18:CO26">
    <cfRule type="cellIs" dxfId="2530" priority="848" stopIfTrue="1" operator="equal">
      <formula>"S"</formula>
    </cfRule>
  </conditionalFormatting>
  <conditionalFormatting sqref="CK18:CO26">
    <cfRule type="cellIs" dxfId="2529" priority="849" stopIfTrue="1" operator="equal">
      <formula>"M"</formula>
    </cfRule>
  </conditionalFormatting>
  <conditionalFormatting sqref="CK18:CO26">
    <cfRule type="cellIs" dxfId="2528" priority="850" stopIfTrue="1" operator="equal">
      <formula>"J"</formula>
    </cfRule>
  </conditionalFormatting>
  <conditionalFormatting sqref="CK18:CO26">
    <cfRule type="cellIs" dxfId="2527" priority="851" stopIfTrue="1" operator="equal">
      <formula>"O"</formula>
    </cfRule>
  </conditionalFormatting>
  <conditionalFormatting sqref="CK18:CO26">
    <cfRule type="expression" dxfId="2526" priority="852" stopIfTrue="1">
      <formula>LEN(TRIM(CK18))=0</formula>
    </cfRule>
  </conditionalFormatting>
  <conditionalFormatting sqref="CK28:CO37">
    <cfRule type="cellIs" dxfId="2525" priority="853" stopIfTrue="1" operator="equal">
      <formula>"E"</formula>
    </cfRule>
  </conditionalFormatting>
  <conditionalFormatting sqref="CK28:CO37">
    <cfRule type="cellIs" dxfId="2524" priority="854" stopIfTrue="1" operator="equal">
      <formula>"S"</formula>
    </cfRule>
  </conditionalFormatting>
  <conditionalFormatting sqref="CK28:CO37">
    <cfRule type="cellIs" dxfId="2523" priority="855" stopIfTrue="1" operator="equal">
      <formula>"M"</formula>
    </cfRule>
  </conditionalFormatting>
  <conditionalFormatting sqref="CK28:CO37">
    <cfRule type="cellIs" dxfId="2522" priority="856" stopIfTrue="1" operator="equal">
      <formula>"J"</formula>
    </cfRule>
  </conditionalFormatting>
  <conditionalFormatting sqref="CK28:CO37">
    <cfRule type="cellIs" dxfId="2521" priority="857" stopIfTrue="1" operator="equal">
      <formula>"O"</formula>
    </cfRule>
  </conditionalFormatting>
  <conditionalFormatting sqref="CK28:CO37">
    <cfRule type="expression" dxfId="2520" priority="858" stopIfTrue="1">
      <formula>LEN(TRIM(CK28))=0</formula>
    </cfRule>
  </conditionalFormatting>
  <conditionalFormatting sqref="CK39:CO50">
    <cfRule type="cellIs" dxfId="2519" priority="859" stopIfTrue="1" operator="equal">
      <formula>"E"</formula>
    </cfRule>
  </conditionalFormatting>
  <conditionalFormatting sqref="CK39:CO50">
    <cfRule type="cellIs" dxfId="2518" priority="860" stopIfTrue="1" operator="equal">
      <formula>"S"</formula>
    </cfRule>
  </conditionalFormatting>
  <conditionalFormatting sqref="CK39:CO50">
    <cfRule type="cellIs" dxfId="2517" priority="861" stopIfTrue="1" operator="equal">
      <formula>"M"</formula>
    </cfRule>
  </conditionalFormatting>
  <conditionalFormatting sqref="CK39:CO50">
    <cfRule type="cellIs" dxfId="2516" priority="862" stopIfTrue="1" operator="equal">
      <formula>"J"</formula>
    </cfRule>
  </conditionalFormatting>
  <conditionalFormatting sqref="CK39:CO50">
    <cfRule type="cellIs" dxfId="2515" priority="863" stopIfTrue="1" operator="equal">
      <formula>"O"</formula>
    </cfRule>
  </conditionalFormatting>
  <conditionalFormatting sqref="CK39:CO50">
    <cfRule type="expression" dxfId="2514" priority="864" stopIfTrue="1">
      <formula>LEN(TRIM(CK39))=0</formula>
    </cfRule>
  </conditionalFormatting>
  <conditionalFormatting sqref="CK52:CO59">
    <cfRule type="cellIs" dxfId="2513" priority="865" stopIfTrue="1" operator="equal">
      <formula>"E"</formula>
    </cfRule>
  </conditionalFormatting>
  <conditionalFormatting sqref="CK52:CO59">
    <cfRule type="cellIs" dxfId="2512" priority="866" stopIfTrue="1" operator="equal">
      <formula>"S"</formula>
    </cfRule>
  </conditionalFormatting>
  <conditionalFormatting sqref="CK52:CO59">
    <cfRule type="cellIs" dxfId="2511" priority="867" stopIfTrue="1" operator="equal">
      <formula>"M"</formula>
    </cfRule>
  </conditionalFormatting>
  <conditionalFormatting sqref="CK52:CO59">
    <cfRule type="cellIs" dxfId="2510" priority="868" stopIfTrue="1" operator="equal">
      <formula>"J"</formula>
    </cfRule>
  </conditionalFormatting>
  <conditionalFormatting sqref="CK52:CO59">
    <cfRule type="cellIs" dxfId="2509" priority="869" stopIfTrue="1" operator="equal">
      <formula>"O"</formula>
    </cfRule>
  </conditionalFormatting>
  <conditionalFormatting sqref="CK52:CO59">
    <cfRule type="expression" dxfId="2508" priority="870" stopIfTrue="1">
      <formula>LEN(TRIM(CK52))=0</formula>
    </cfRule>
  </conditionalFormatting>
  <conditionalFormatting sqref="CK61:CO78">
    <cfRule type="cellIs" dxfId="2507" priority="871" stopIfTrue="1" operator="equal">
      <formula>"E"</formula>
    </cfRule>
  </conditionalFormatting>
  <conditionalFormatting sqref="CK61:CO78">
    <cfRule type="cellIs" dxfId="2506" priority="872" stopIfTrue="1" operator="equal">
      <formula>"S"</formula>
    </cfRule>
  </conditionalFormatting>
  <conditionalFormatting sqref="CK61:CO78">
    <cfRule type="cellIs" dxfId="2505" priority="873" stopIfTrue="1" operator="equal">
      <formula>"M"</formula>
    </cfRule>
  </conditionalFormatting>
  <conditionalFormatting sqref="CK61:CO78">
    <cfRule type="cellIs" dxfId="2504" priority="874" stopIfTrue="1" operator="equal">
      <formula>"J"</formula>
    </cfRule>
  </conditionalFormatting>
  <conditionalFormatting sqref="CK61:CO78">
    <cfRule type="cellIs" dxfId="2503" priority="875" stopIfTrue="1" operator="equal">
      <formula>"O"</formula>
    </cfRule>
  </conditionalFormatting>
  <conditionalFormatting sqref="CK61:CO78">
    <cfRule type="expression" dxfId="2502" priority="876" stopIfTrue="1">
      <formula>LEN(TRIM(CK61))=0</formula>
    </cfRule>
  </conditionalFormatting>
  <conditionalFormatting sqref="CK80:CO94">
    <cfRule type="cellIs" dxfId="2501" priority="877" stopIfTrue="1" operator="equal">
      <formula>"E"</formula>
    </cfRule>
  </conditionalFormatting>
  <conditionalFormatting sqref="CK80:CO94">
    <cfRule type="cellIs" dxfId="2500" priority="878" stopIfTrue="1" operator="equal">
      <formula>"S"</formula>
    </cfRule>
  </conditionalFormatting>
  <conditionalFormatting sqref="CK80:CO94">
    <cfRule type="cellIs" dxfId="2499" priority="879" stopIfTrue="1" operator="equal">
      <formula>"M"</formula>
    </cfRule>
  </conditionalFormatting>
  <conditionalFormatting sqref="CK80:CO94">
    <cfRule type="cellIs" dxfId="2498" priority="880" stopIfTrue="1" operator="equal">
      <formula>"J"</formula>
    </cfRule>
  </conditionalFormatting>
  <conditionalFormatting sqref="CK80:CO94">
    <cfRule type="cellIs" dxfId="2497" priority="881" stopIfTrue="1" operator="equal">
      <formula>"O"</formula>
    </cfRule>
  </conditionalFormatting>
  <conditionalFormatting sqref="CK80:CO94">
    <cfRule type="expression" dxfId="2496" priority="882" stopIfTrue="1">
      <formula>LEN(TRIM(CK80))=0</formula>
    </cfRule>
  </conditionalFormatting>
  <conditionalFormatting sqref="CK96:CO99">
    <cfRule type="cellIs" dxfId="2495" priority="883" stopIfTrue="1" operator="equal">
      <formula>"E"</formula>
    </cfRule>
  </conditionalFormatting>
  <conditionalFormatting sqref="CK96:CO99">
    <cfRule type="cellIs" dxfId="2494" priority="884" stopIfTrue="1" operator="equal">
      <formula>"S"</formula>
    </cfRule>
  </conditionalFormatting>
  <conditionalFormatting sqref="CK96:CO99">
    <cfRule type="cellIs" dxfId="2493" priority="885" stopIfTrue="1" operator="equal">
      <formula>"M"</formula>
    </cfRule>
  </conditionalFormatting>
  <conditionalFormatting sqref="CK96:CO99">
    <cfRule type="cellIs" dxfId="2492" priority="886" stopIfTrue="1" operator="equal">
      <formula>"J"</formula>
    </cfRule>
  </conditionalFormatting>
  <conditionalFormatting sqref="CK96:CO99">
    <cfRule type="cellIs" dxfId="2491" priority="887" stopIfTrue="1" operator="equal">
      <formula>"O"</formula>
    </cfRule>
  </conditionalFormatting>
  <conditionalFormatting sqref="CK96:CO99">
    <cfRule type="expression" dxfId="2490" priority="888" stopIfTrue="1">
      <formula>LEN(TRIM(CK96))=0</formula>
    </cfRule>
  </conditionalFormatting>
  <conditionalFormatting sqref="CQ4:CU16">
    <cfRule type="cellIs" dxfId="2489" priority="889" stopIfTrue="1" operator="equal">
      <formula>"E"</formula>
    </cfRule>
  </conditionalFormatting>
  <conditionalFormatting sqref="CQ4:CU16">
    <cfRule type="cellIs" dxfId="2488" priority="890" stopIfTrue="1" operator="equal">
      <formula>"S"</formula>
    </cfRule>
  </conditionalFormatting>
  <conditionalFormatting sqref="CQ4:CU16">
    <cfRule type="cellIs" dxfId="2487" priority="891" stopIfTrue="1" operator="equal">
      <formula>"M"</formula>
    </cfRule>
  </conditionalFormatting>
  <conditionalFormatting sqref="CQ4:CU16">
    <cfRule type="cellIs" dxfId="2486" priority="892" stopIfTrue="1" operator="equal">
      <formula>"J"</formula>
    </cfRule>
  </conditionalFormatting>
  <conditionalFormatting sqref="CQ4:CU16">
    <cfRule type="cellIs" dxfId="2485" priority="893" stopIfTrue="1" operator="equal">
      <formula>"O"</formula>
    </cfRule>
  </conditionalFormatting>
  <conditionalFormatting sqref="CQ4:CU16">
    <cfRule type="expression" dxfId="2484" priority="894" stopIfTrue="1">
      <formula>LEN(TRIM(CQ4))=0</formula>
    </cfRule>
  </conditionalFormatting>
  <conditionalFormatting sqref="CQ18:CU26">
    <cfRule type="cellIs" dxfId="2483" priority="895" stopIfTrue="1" operator="equal">
      <formula>"E"</formula>
    </cfRule>
  </conditionalFormatting>
  <conditionalFormatting sqref="CQ18:CU26">
    <cfRule type="cellIs" dxfId="2482" priority="896" stopIfTrue="1" operator="equal">
      <formula>"S"</formula>
    </cfRule>
  </conditionalFormatting>
  <conditionalFormatting sqref="CQ18:CU26">
    <cfRule type="cellIs" dxfId="2481" priority="897" stopIfTrue="1" operator="equal">
      <formula>"M"</formula>
    </cfRule>
  </conditionalFormatting>
  <conditionalFormatting sqref="CQ18:CU26">
    <cfRule type="cellIs" dxfId="2480" priority="898" stopIfTrue="1" operator="equal">
      <formula>"J"</formula>
    </cfRule>
  </conditionalFormatting>
  <conditionalFormatting sqref="CQ18:CU26">
    <cfRule type="cellIs" dxfId="2479" priority="899" stopIfTrue="1" operator="equal">
      <formula>"O"</formula>
    </cfRule>
  </conditionalFormatting>
  <conditionalFormatting sqref="CQ18:CU26">
    <cfRule type="expression" dxfId="2478" priority="900" stopIfTrue="1">
      <formula>LEN(TRIM(CQ18))=0</formula>
    </cfRule>
  </conditionalFormatting>
  <conditionalFormatting sqref="CQ28:CU37">
    <cfRule type="cellIs" dxfId="2477" priority="901" stopIfTrue="1" operator="equal">
      <formula>"E"</formula>
    </cfRule>
  </conditionalFormatting>
  <conditionalFormatting sqref="CQ28:CU37">
    <cfRule type="cellIs" dxfId="2476" priority="902" stopIfTrue="1" operator="equal">
      <formula>"S"</formula>
    </cfRule>
  </conditionalFormatting>
  <conditionalFormatting sqref="CQ28:CU37">
    <cfRule type="cellIs" dxfId="2475" priority="903" stopIfTrue="1" operator="equal">
      <formula>"M"</formula>
    </cfRule>
  </conditionalFormatting>
  <conditionalFormatting sqref="CQ28:CU37">
    <cfRule type="cellIs" dxfId="2474" priority="904" stopIfTrue="1" operator="equal">
      <formula>"J"</formula>
    </cfRule>
  </conditionalFormatting>
  <conditionalFormatting sqref="CQ28:CU37">
    <cfRule type="cellIs" dxfId="2473" priority="905" stopIfTrue="1" operator="equal">
      <formula>"O"</formula>
    </cfRule>
  </conditionalFormatting>
  <conditionalFormatting sqref="CQ28:CU37">
    <cfRule type="expression" dxfId="2472" priority="906" stopIfTrue="1">
      <formula>LEN(TRIM(CQ28))=0</formula>
    </cfRule>
  </conditionalFormatting>
  <conditionalFormatting sqref="CQ39:CU50">
    <cfRule type="cellIs" dxfId="2471" priority="907" stopIfTrue="1" operator="equal">
      <formula>"E"</formula>
    </cfRule>
  </conditionalFormatting>
  <conditionalFormatting sqref="CQ39:CU50">
    <cfRule type="cellIs" dxfId="2470" priority="908" stopIfTrue="1" operator="equal">
      <formula>"S"</formula>
    </cfRule>
  </conditionalFormatting>
  <conditionalFormatting sqref="CQ39:CU50">
    <cfRule type="cellIs" dxfId="2469" priority="909" stopIfTrue="1" operator="equal">
      <formula>"M"</formula>
    </cfRule>
  </conditionalFormatting>
  <conditionalFormatting sqref="CQ39:CU50">
    <cfRule type="cellIs" dxfId="2468" priority="910" stopIfTrue="1" operator="equal">
      <formula>"J"</formula>
    </cfRule>
  </conditionalFormatting>
  <conditionalFormatting sqref="CQ39:CU50">
    <cfRule type="cellIs" dxfId="2467" priority="911" stopIfTrue="1" operator="equal">
      <formula>"O"</formula>
    </cfRule>
  </conditionalFormatting>
  <conditionalFormatting sqref="CQ39:CU50">
    <cfRule type="expression" dxfId="2466" priority="912" stopIfTrue="1">
      <formula>LEN(TRIM(CQ39))=0</formula>
    </cfRule>
  </conditionalFormatting>
  <conditionalFormatting sqref="CQ52:CU59">
    <cfRule type="cellIs" dxfId="2465" priority="913" stopIfTrue="1" operator="equal">
      <formula>"E"</formula>
    </cfRule>
  </conditionalFormatting>
  <conditionalFormatting sqref="CQ52:CU59">
    <cfRule type="cellIs" dxfId="2464" priority="914" stopIfTrue="1" operator="equal">
      <formula>"S"</formula>
    </cfRule>
  </conditionalFormatting>
  <conditionalFormatting sqref="CQ52:CU59">
    <cfRule type="cellIs" dxfId="2463" priority="915" stopIfTrue="1" operator="equal">
      <formula>"M"</formula>
    </cfRule>
  </conditionalFormatting>
  <conditionalFormatting sqref="CQ52:CU59">
    <cfRule type="cellIs" dxfId="2462" priority="916" stopIfTrue="1" operator="equal">
      <formula>"J"</formula>
    </cfRule>
  </conditionalFormatting>
  <conditionalFormatting sqref="CQ52:CU59">
    <cfRule type="cellIs" dxfId="2461" priority="917" stopIfTrue="1" operator="equal">
      <formula>"O"</formula>
    </cfRule>
  </conditionalFormatting>
  <conditionalFormatting sqref="CQ52:CU59">
    <cfRule type="expression" dxfId="2460" priority="918" stopIfTrue="1">
      <formula>LEN(TRIM(CQ52))=0</formula>
    </cfRule>
  </conditionalFormatting>
  <conditionalFormatting sqref="CQ61:CU78">
    <cfRule type="cellIs" dxfId="2459" priority="919" stopIfTrue="1" operator="equal">
      <formula>"E"</formula>
    </cfRule>
  </conditionalFormatting>
  <conditionalFormatting sqref="CQ61:CU78">
    <cfRule type="cellIs" dxfId="2458" priority="920" stopIfTrue="1" operator="equal">
      <formula>"S"</formula>
    </cfRule>
  </conditionalFormatting>
  <conditionalFormatting sqref="CQ61:CU78">
    <cfRule type="cellIs" dxfId="2457" priority="921" stopIfTrue="1" operator="equal">
      <formula>"M"</formula>
    </cfRule>
  </conditionalFormatting>
  <conditionalFormatting sqref="CQ61:CU78">
    <cfRule type="cellIs" dxfId="2456" priority="922" stopIfTrue="1" operator="equal">
      <formula>"J"</formula>
    </cfRule>
  </conditionalFormatting>
  <conditionalFormatting sqref="CQ61:CU78">
    <cfRule type="cellIs" dxfId="2455" priority="923" stopIfTrue="1" operator="equal">
      <formula>"O"</formula>
    </cfRule>
  </conditionalFormatting>
  <conditionalFormatting sqref="CQ61:CU78">
    <cfRule type="expression" dxfId="2454" priority="924" stopIfTrue="1">
      <formula>LEN(TRIM(CQ61))=0</formula>
    </cfRule>
  </conditionalFormatting>
  <conditionalFormatting sqref="CQ80:CU94">
    <cfRule type="cellIs" dxfId="2453" priority="925" stopIfTrue="1" operator="equal">
      <formula>"E"</formula>
    </cfRule>
  </conditionalFormatting>
  <conditionalFormatting sqref="CQ80:CU94">
    <cfRule type="cellIs" dxfId="2452" priority="926" stopIfTrue="1" operator="equal">
      <formula>"S"</formula>
    </cfRule>
  </conditionalFormatting>
  <conditionalFormatting sqref="CQ80:CU94">
    <cfRule type="cellIs" dxfId="2451" priority="927" stopIfTrue="1" operator="equal">
      <formula>"M"</formula>
    </cfRule>
  </conditionalFormatting>
  <conditionalFormatting sqref="CQ80:CU94">
    <cfRule type="cellIs" dxfId="2450" priority="928" stopIfTrue="1" operator="equal">
      <formula>"J"</formula>
    </cfRule>
  </conditionalFormatting>
  <conditionalFormatting sqref="CQ80:CU94">
    <cfRule type="cellIs" dxfId="2449" priority="929" stopIfTrue="1" operator="equal">
      <formula>"O"</formula>
    </cfRule>
  </conditionalFormatting>
  <conditionalFormatting sqref="CQ80:CU94">
    <cfRule type="expression" dxfId="2448" priority="930" stopIfTrue="1">
      <formula>LEN(TRIM(CQ80))=0</formula>
    </cfRule>
  </conditionalFormatting>
  <conditionalFormatting sqref="CQ96:CU99">
    <cfRule type="cellIs" dxfId="2447" priority="931" stopIfTrue="1" operator="equal">
      <formula>"E"</formula>
    </cfRule>
  </conditionalFormatting>
  <conditionalFormatting sqref="CQ96:CU99">
    <cfRule type="cellIs" dxfId="2446" priority="932" stopIfTrue="1" operator="equal">
      <formula>"S"</formula>
    </cfRule>
  </conditionalFormatting>
  <conditionalFormatting sqref="CQ96:CU99">
    <cfRule type="cellIs" dxfId="2445" priority="933" stopIfTrue="1" operator="equal">
      <formula>"M"</formula>
    </cfRule>
  </conditionalFormatting>
  <conditionalFormatting sqref="CQ96:CU99">
    <cfRule type="cellIs" dxfId="2444" priority="934" stopIfTrue="1" operator="equal">
      <formula>"J"</formula>
    </cfRule>
  </conditionalFormatting>
  <conditionalFormatting sqref="CQ96:CU99">
    <cfRule type="cellIs" dxfId="2443" priority="935" stopIfTrue="1" operator="equal">
      <formula>"O"</formula>
    </cfRule>
  </conditionalFormatting>
  <conditionalFormatting sqref="CQ96:CU99">
    <cfRule type="expression" dxfId="2442" priority="936" stopIfTrue="1">
      <formula>LEN(TRIM(CQ96))=0</formula>
    </cfRule>
  </conditionalFormatting>
  <conditionalFormatting sqref="CW4:DA16">
    <cfRule type="cellIs" dxfId="2441" priority="937" stopIfTrue="1" operator="equal">
      <formula>"E"</formula>
    </cfRule>
  </conditionalFormatting>
  <conditionalFormatting sqref="CW4:DA16">
    <cfRule type="cellIs" dxfId="2440" priority="938" stopIfTrue="1" operator="equal">
      <formula>"S"</formula>
    </cfRule>
  </conditionalFormatting>
  <conditionalFormatting sqref="CW4:DA16">
    <cfRule type="cellIs" dxfId="2439" priority="939" stopIfTrue="1" operator="equal">
      <formula>"M"</formula>
    </cfRule>
  </conditionalFormatting>
  <conditionalFormatting sqref="CW4:DA16">
    <cfRule type="cellIs" dxfId="2438" priority="940" stopIfTrue="1" operator="equal">
      <formula>"J"</formula>
    </cfRule>
  </conditionalFormatting>
  <conditionalFormatting sqref="CW4:DA16">
    <cfRule type="cellIs" dxfId="2437" priority="941" stopIfTrue="1" operator="equal">
      <formula>"O"</formula>
    </cfRule>
  </conditionalFormatting>
  <conditionalFormatting sqref="CW4:DA16">
    <cfRule type="expression" dxfId="2436" priority="942" stopIfTrue="1">
      <formula>LEN(TRIM(CW4))=0</formula>
    </cfRule>
  </conditionalFormatting>
  <conditionalFormatting sqref="CW18:DA26">
    <cfRule type="cellIs" dxfId="2435" priority="943" stopIfTrue="1" operator="equal">
      <formula>"E"</formula>
    </cfRule>
  </conditionalFormatting>
  <conditionalFormatting sqref="CW18:DA26">
    <cfRule type="cellIs" dxfId="2434" priority="944" stopIfTrue="1" operator="equal">
      <formula>"S"</formula>
    </cfRule>
  </conditionalFormatting>
  <conditionalFormatting sqref="CW18:DA26">
    <cfRule type="cellIs" dxfId="2433" priority="945" stopIfTrue="1" operator="equal">
      <formula>"M"</formula>
    </cfRule>
  </conditionalFormatting>
  <conditionalFormatting sqref="CW18:DA26">
    <cfRule type="cellIs" dxfId="2432" priority="946" stopIfTrue="1" operator="equal">
      <formula>"J"</formula>
    </cfRule>
  </conditionalFormatting>
  <conditionalFormatting sqref="CW18:DA26">
    <cfRule type="cellIs" dxfId="2431" priority="947" stopIfTrue="1" operator="equal">
      <formula>"O"</formula>
    </cfRule>
  </conditionalFormatting>
  <conditionalFormatting sqref="CW18:DA26">
    <cfRule type="expression" dxfId="2430" priority="948" stopIfTrue="1">
      <formula>LEN(TRIM(CW18))=0</formula>
    </cfRule>
  </conditionalFormatting>
  <conditionalFormatting sqref="CW28:DA37">
    <cfRule type="cellIs" dxfId="2429" priority="949" stopIfTrue="1" operator="equal">
      <formula>"E"</formula>
    </cfRule>
  </conditionalFormatting>
  <conditionalFormatting sqref="CW28:DA37">
    <cfRule type="cellIs" dxfId="2428" priority="950" stopIfTrue="1" operator="equal">
      <formula>"S"</formula>
    </cfRule>
  </conditionalFormatting>
  <conditionalFormatting sqref="CW28:DA37">
    <cfRule type="cellIs" dxfId="2427" priority="951" stopIfTrue="1" operator="equal">
      <formula>"M"</formula>
    </cfRule>
  </conditionalFormatting>
  <conditionalFormatting sqref="CW28:DA37">
    <cfRule type="cellIs" dxfId="2426" priority="952" stopIfTrue="1" operator="equal">
      <formula>"J"</formula>
    </cfRule>
  </conditionalFormatting>
  <conditionalFormatting sqref="CW28:DA37">
    <cfRule type="cellIs" dxfId="2425" priority="953" stopIfTrue="1" operator="equal">
      <formula>"O"</formula>
    </cfRule>
  </conditionalFormatting>
  <conditionalFormatting sqref="CW28:DA37">
    <cfRule type="expression" dxfId="2424" priority="954" stopIfTrue="1">
      <formula>LEN(TRIM(CW28))=0</formula>
    </cfRule>
  </conditionalFormatting>
  <conditionalFormatting sqref="CW39:DA50">
    <cfRule type="cellIs" dxfId="2423" priority="955" stopIfTrue="1" operator="equal">
      <formula>"E"</formula>
    </cfRule>
  </conditionalFormatting>
  <conditionalFormatting sqref="CW39:DA50">
    <cfRule type="cellIs" dxfId="2422" priority="956" stopIfTrue="1" operator="equal">
      <formula>"S"</formula>
    </cfRule>
  </conditionalFormatting>
  <conditionalFormatting sqref="CW39:DA50">
    <cfRule type="cellIs" dxfId="2421" priority="957" stopIfTrue="1" operator="equal">
      <formula>"M"</formula>
    </cfRule>
  </conditionalFormatting>
  <conditionalFormatting sqref="CW39:DA50">
    <cfRule type="cellIs" dxfId="2420" priority="958" stopIfTrue="1" operator="equal">
      <formula>"J"</formula>
    </cfRule>
  </conditionalFormatting>
  <conditionalFormatting sqref="CW39:DA50">
    <cfRule type="cellIs" dxfId="2419" priority="959" stopIfTrue="1" operator="equal">
      <formula>"O"</formula>
    </cfRule>
  </conditionalFormatting>
  <conditionalFormatting sqref="CW39:DA50">
    <cfRule type="expression" dxfId="2418" priority="960" stopIfTrue="1">
      <formula>LEN(TRIM(CW39))=0</formula>
    </cfRule>
  </conditionalFormatting>
  <conditionalFormatting sqref="CW52:DA59">
    <cfRule type="cellIs" dxfId="2417" priority="961" stopIfTrue="1" operator="equal">
      <formula>"E"</formula>
    </cfRule>
  </conditionalFormatting>
  <conditionalFormatting sqref="CW52:DA59">
    <cfRule type="cellIs" dxfId="2416" priority="962" stopIfTrue="1" operator="equal">
      <formula>"S"</formula>
    </cfRule>
  </conditionalFormatting>
  <conditionalFormatting sqref="CW52:DA59">
    <cfRule type="cellIs" dxfId="2415" priority="963" stopIfTrue="1" operator="equal">
      <formula>"M"</formula>
    </cfRule>
  </conditionalFormatting>
  <conditionalFormatting sqref="CW52:DA59">
    <cfRule type="cellIs" dxfId="2414" priority="964" stopIfTrue="1" operator="equal">
      <formula>"J"</formula>
    </cfRule>
  </conditionalFormatting>
  <conditionalFormatting sqref="CW52:DA59">
    <cfRule type="cellIs" dxfId="2413" priority="965" stopIfTrue="1" operator="equal">
      <formula>"O"</formula>
    </cfRule>
  </conditionalFormatting>
  <conditionalFormatting sqref="CW52:DA59">
    <cfRule type="expression" dxfId="2412" priority="966" stopIfTrue="1">
      <formula>LEN(TRIM(CW52))=0</formula>
    </cfRule>
  </conditionalFormatting>
  <conditionalFormatting sqref="CW61:DA78">
    <cfRule type="cellIs" dxfId="2411" priority="967" stopIfTrue="1" operator="equal">
      <formula>"E"</formula>
    </cfRule>
  </conditionalFormatting>
  <conditionalFormatting sqref="CW61:DA78">
    <cfRule type="cellIs" dxfId="2410" priority="968" stopIfTrue="1" operator="equal">
      <formula>"S"</formula>
    </cfRule>
  </conditionalFormatting>
  <conditionalFormatting sqref="CW61:DA78">
    <cfRule type="cellIs" dxfId="2409" priority="969" stopIfTrue="1" operator="equal">
      <formula>"M"</formula>
    </cfRule>
  </conditionalFormatting>
  <conditionalFormatting sqref="CW61:DA78">
    <cfRule type="cellIs" dxfId="2408" priority="970" stopIfTrue="1" operator="equal">
      <formula>"J"</formula>
    </cfRule>
  </conditionalFormatting>
  <conditionalFormatting sqref="CW61:DA78">
    <cfRule type="cellIs" dxfId="2407" priority="971" stopIfTrue="1" operator="equal">
      <formula>"O"</formula>
    </cfRule>
  </conditionalFormatting>
  <conditionalFormatting sqref="CW61:DA78">
    <cfRule type="expression" dxfId="2406" priority="972" stopIfTrue="1">
      <formula>LEN(TRIM(CW61))=0</formula>
    </cfRule>
  </conditionalFormatting>
  <conditionalFormatting sqref="CW80:DA94">
    <cfRule type="cellIs" dxfId="2405" priority="973" stopIfTrue="1" operator="equal">
      <formula>"E"</formula>
    </cfRule>
  </conditionalFormatting>
  <conditionalFormatting sqref="CW80:DA94">
    <cfRule type="cellIs" dxfId="2404" priority="974" stopIfTrue="1" operator="equal">
      <formula>"S"</formula>
    </cfRule>
  </conditionalFormatting>
  <conditionalFormatting sqref="CW80:DA94">
    <cfRule type="cellIs" dxfId="2403" priority="975" stopIfTrue="1" operator="equal">
      <formula>"M"</formula>
    </cfRule>
  </conditionalFormatting>
  <conditionalFormatting sqref="CW80:DA94">
    <cfRule type="cellIs" dxfId="2402" priority="976" stopIfTrue="1" operator="equal">
      <formula>"J"</formula>
    </cfRule>
  </conditionalFormatting>
  <conditionalFormatting sqref="CW80:DA94">
    <cfRule type="cellIs" dxfId="2401" priority="977" stopIfTrue="1" operator="equal">
      <formula>"O"</formula>
    </cfRule>
  </conditionalFormatting>
  <conditionalFormatting sqref="CW80:DA94">
    <cfRule type="expression" dxfId="2400" priority="978" stopIfTrue="1">
      <formula>LEN(TRIM(CW80))=0</formula>
    </cfRule>
  </conditionalFormatting>
  <conditionalFormatting sqref="CW96:DA99">
    <cfRule type="cellIs" dxfId="2399" priority="979" stopIfTrue="1" operator="equal">
      <formula>"E"</formula>
    </cfRule>
  </conditionalFormatting>
  <conditionalFormatting sqref="CW96:DA99">
    <cfRule type="cellIs" dxfId="2398" priority="980" stopIfTrue="1" operator="equal">
      <formula>"S"</formula>
    </cfRule>
  </conditionalFormatting>
  <conditionalFormatting sqref="CW96:DA99">
    <cfRule type="cellIs" dxfId="2397" priority="981" stopIfTrue="1" operator="equal">
      <formula>"M"</formula>
    </cfRule>
  </conditionalFormatting>
  <conditionalFormatting sqref="CW96:DA99">
    <cfRule type="cellIs" dxfId="2396" priority="982" stopIfTrue="1" operator="equal">
      <formula>"J"</formula>
    </cfRule>
  </conditionalFormatting>
  <conditionalFormatting sqref="CW96:DA99">
    <cfRule type="cellIs" dxfId="2395" priority="983" stopIfTrue="1" operator="equal">
      <formula>"O"</formula>
    </cfRule>
  </conditionalFormatting>
  <conditionalFormatting sqref="CW96:DA99">
    <cfRule type="expression" dxfId="2394" priority="984" stopIfTrue="1">
      <formula>LEN(TRIM(CW96))=0</formula>
    </cfRule>
  </conditionalFormatting>
  <conditionalFormatting sqref="D3:CI3">
    <cfRule type="cellIs" dxfId="2393" priority="985" stopIfTrue="1" operator="equal">
      <formula>"e"</formula>
    </cfRule>
  </conditionalFormatting>
  <conditionalFormatting sqref="D3:CI3">
    <cfRule type="cellIs" dxfId="2392" priority="986" stopIfTrue="1" operator="equal">
      <formula>"i"</formula>
    </cfRule>
  </conditionalFormatting>
  <pageMargins left="0.7" right="0.7" top="0.75" bottom="0.75" header="0.3" footer="0.3"/>
  <drawing r:id="rId1"/>
  <legacyDrawing r:id="rId2"/>
  <controls>
    <mc:AlternateContent xmlns:mc="http://schemas.openxmlformats.org/markup-compatibility/2006">
      <mc:Choice Requires="x14">
        <control shapeId="38913" r:id="rId3" name="butEdit">
          <controlPr defaultSize="0" autoLine="0" r:id="rId4">
            <anchor moveWithCells="1">
              <from>
                <xdr:col>2</xdr:col>
                <xdr:colOff>66675</xdr:colOff>
                <xdr:row>1</xdr:row>
                <xdr:rowOff>1143000</xdr:rowOff>
              </from>
              <to>
                <xdr:col>2</xdr:col>
                <xdr:colOff>1714500</xdr:colOff>
                <xdr:row>1</xdr:row>
                <xdr:rowOff>1600200</xdr:rowOff>
              </to>
            </anchor>
          </controlPr>
        </control>
      </mc:Choice>
      <mc:Fallback>
        <control shapeId="38913" r:id="rId3" name="butEdi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A102"/>
  <sheetViews>
    <sheetView showGridLines="0" zoomScale="110" zoomScaleNormal="110" workbookViewId="0">
      <pane xSplit="3" ySplit="2" topLeftCell="D3" activePane="bottomRight" state="frozenSplit"/>
      <selection pane="topRight" activeCell="D1" sqref="D1"/>
      <selection pane="bottomLeft" activeCell="A3" sqref="A3"/>
      <selection pane="bottomRight" activeCell="D3" sqref="D3"/>
    </sheetView>
  </sheetViews>
  <sheetFormatPr defaultRowHeight="15" x14ac:dyDescent="0.25"/>
  <cols>
    <col min="2" max="2" width="6.5703125" customWidth="1"/>
    <col min="3" max="3" width="31.7109375" customWidth="1"/>
    <col min="4" max="73" width="3.85546875" customWidth="1"/>
    <col min="74" max="74" width="2.5703125" customWidth="1"/>
    <col min="75" max="79" width="3.85546875" customWidth="1"/>
  </cols>
  <sheetData>
    <row r="1" spans="1:79" ht="37.5" customHeight="1" thickTop="1" thickBot="1" x14ac:dyDescent="0.3">
      <c r="A1" s="424" t="s">
        <v>224</v>
      </c>
      <c r="B1" s="424"/>
      <c r="C1" s="425"/>
      <c r="D1" s="431" t="s">
        <v>230</v>
      </c>
      <c r="E1" s="432"/>
      <c r="F1" s="432"/>
      <c r="G1" s="432"/>
      <c r="H1" s="432"/>
      <c r="I1" s="431" t="s">
        <v>231</v>
      </c>
      <c r="J1" s="432"/>
      <c r="K1" s="432"/>
      <c r="L1" s="432"/>
      <c r="M1" s="432"/>
      <c r="N1" s="431" t="s">
        <v>232</v>
      </c>
      <c r="O1" s="432"/>
      <c r="P1" s="432"/>
      <c r="Q1" s="432"/>
      <c r="R1" s="432"/>
      <c r="S1" s="431" t="s">
        <v>233</v>
      </c>
      <c r="T1" s="432"/>
      <c r="U1" s="432"/>
      <c r="V1" s="432"/>
      <c r="W1" s="432"/>
      <c r="X1" s="431" t="s">
        <v>234</v>
      </c>
      <c r="Y1" s="432"/>
      <c r="Z1" s="432"/>
      <c r="AA1" s="432"/>
      <c r="AB1" s="432"/>
      <c r="AC1" s="431" t="s">
        <v>235</v>
      </c>
      <c r="AD1" s="432"/>
      <c r="AE1" s="432"/>
      <c r="AF1" s="432"/>
      <c r="AG1" s="432"/>
      <c r="AH1" s="431" t="s">
        <v>1</v>
      </c>
      <c r="AI1" s="432"/>
      <c r="AJ1" s="432"/>
      <c r="AK1" s="432"/>
      <c r="AL1" s="432"/>
      <c r="AM1" s="431" t="s">
        <v>131</v>
      </c>
      <c r="AN1" s="432"/>
      <c r="AO1" s="432"/>
      <c r="AP1" s="432"/>
      <c r="AQ1" s="432"/>
      <c r="AR1" s="431" t="s">
        <v>3</v>
      </c>
      <c r="AS1" s="432"/>
      <c r="AT1" s="432"/>
      <c r="AU1" s="432"/>
      <c r="AV1" s="432"/>
      <c r="AW1" s="431" t="s">
        <v>4</v>
      </c>
      <c r="AX1" s="432"/>
      <c r="AY1" s="432"/>
      <c r="AZ1" s="432"/>
      <c r="BA1" s="432"/>
      <c r="BB1" s="431" t="s">
        <v>5</v>
      </c>
      <c r="BC1" s="432"/>
      <c r="BD1" s="432"/>
      <c r="BE1" s="432"/>
      <c r="BF1" s="432"/>
      <c r="BG1" s="431" t="s">
        <v>6</v>
      </c>
      <c r="BH1" s="432"/>
      <c r="BI1" s="432"/>
      <c r="BJ1" s="432"/>
      <c r="BK1" s="432"/>
      <c r="BL1" s="431" t="s">
        <v>135</v>
      </c>
      <c r="BM1" s="432"/>
      <c r="BN1" s="432"/>
      <c r="BO1" s="432"/>
      <c r="BP1" s="432"/>
      <c r="BQ1" s="431" t="s">
        <v>236</v>
      </c>
      <c r="BR1" s="432"/>
      <c r="BS1" s="432"/>
      <c r="BT1" s="432"/>
      <c r="BU1" s="433"/>
      <c r="BW1" s="431" t="s">
        <v>306</v>
      </c>
      <c r="BX1" s="432"/>
      <c r="BY1" s="432"/>
      <c r="BZ1" s="432"/>
      <c r="CA1" s="433"/>
    </row>
    <row r="2" spans="1:79" ht="128.1" customHeight="1" thickTop="1" thickBot="1" x14ac:dyDescent="0.3">
      <c r="A2" s="124"/>
      <c r="B2" s="5"/>
      <c r="C2" s="231" t="s">
        <v>216</v>
      </c>
      <c r="D2" s="323" t="s">
        <v>217</v>
      </c>
      <c r="E2" s="324" t="s">
        <v>218</v>
      </c>
      <c r="F2" s="325" t="s">
        <v>219</v>
      </c>
      <c r="G2" s="326" t="s">
        <v>220</v>
      </c>
      <c r="H2" s="328" t="s">
        <v>221</v>
      </c>
      <c r="I2" s="323" t="s">
        <v>217</v>
      </c>
      <c r="J2" s="324" t="s">
        <v>218</v>
      </c>
      <c r="K2" s="325" t="s">
        <v>219</v>
      </c>
      <c r="L2" s="326" t="s">
        <v>220</v>
      </c>
      <c r="M2" s="328" t="s">
        <v>221</v>
      </c>
      <c r="N2" s="323" t="s">
        <v>217</v>
      </c>
      <c r="O2" s="324" t="s">
        <v>218</v>
      </c>
      <c r="P2" s="325" t="s">
        <v>219</v>
      </c>
      <c r="Q2" s="326" t="s">
        <v>220</v>
      </c>
      <c r="R2" s="328" t="s">
        <v>221</v>
      </c>
      <c r="S2" s="323" t="s">
        <v>217</v>
      </c>
      <c r="T2" s="324" t="s">
        <v>218</v>
      </c>
      <c r="U2" s="325" t="s">
        <v>219</v>
      </c>
      <c r="V2" s="326" t="s">
        <v>220</v>
      </c>
      <c r="W2" s="328" t="s">
        <v>221</v>
      </c>
      <c r="X2" s="323" t="s">
        <v>217</v>
      </c>
      <c r="Y2" s="324" t="s">
        <v>218</v>
      </c>
      <c r="Z2" s="325" t="s">
        <v>219</v>
      </c>
      <c r="AA2" s="326" t="s">
        <v>220</v>
      </c>
      <c r="AB2" s="328" t="s">
        <v>221</v>
      </c>
      <c r="AC2" s="323" t="s">
        <v>217</v>
      </c>
      <c r="AD2" s="324" t="s">
        <v>218</v>
      </c>
      <c r="AE2" s="325" t="s">
        <v>219</v>
      </c>
      <c r="AF2" s="326" t="s">
        <v>220</v>
      </c>
      <c r="AG2" s="328" t="s">
        <v>221</v>
      </c>
      <c r="AH2" s="323" t="s">
        <v>217</v>
      </c>
      <c r="AI2" s="324" t="s">
        <v>218</v>
      </c>
      <c r="AJ2" s="325" t="s">
        <v>219</v>
      </c>
      <c r="AK2" s="326" t="s">
        <v>220</v>
      </c>
      <c r="AL2" s="328" t="s">
        <v>221</v>
      </c>
      <c r="AM2" s="323" t="s">
        <v>217</v>
      </c>
      <c r="AN2" s="324" t="s">
        <v>218</v>
      </c>
      <c r="AO2" s="325" t="s">
        <v>219</v>
      </c>
      <c r="AP2" s="326" t="s">
        <v>220</v>
      </c>
      <c r="AQ2" s="328" t="s">
        <v>221</v>
      </c>
      <c r="AR2" s="323" t="s">
        <v>217</v>
      </c>
      <c r="AS2" s="324" t="s">
        <v>218</v>
      </c>
      <c r="AT2" s="325" t="s">
        <v>219</v>
      </c>
      <c r="AU2" s="326" t="s">
        <v>220</v>
      </c>
      <c r="AV2" s="328" t="s">
        <v>221</v>
      </c>
      <c r="AW2" s="323" t="s">
        <v>217</v>
      </c>
      <c r="AX2" s="324" t="s">
        <v>218</v>
      </c>
      <c r="AY2" s="325" t="s">
        <v>219</v>
      </c>
      <c r="AZ2" s="326" t="s">
        <v>220</v>
      </c>
      <c r="BA2" s="328" t="s">
        <v>221</v>
      </c>
      <c r="BB2" s="323" t="s">
        <v>217</v>
      </c>
      <c r="BC2" s="324" t="s">
        <v>218</v>
      </c>
      <c r="BD2" s="325" t="s">
        <v>219</v>
      </c>
      <c r="BE2" s="326" t="s">
        <v>220</v>
      </c>
      <c r="BF2" s="328" t="s">
        <v>221</v>
      </c>
      <c r="BG2" s="323" t="s">
        <v>217</v>
      </c>
      <c r="BH2" s="324" t="s">
        <v>218</v>
      </c>
      <c r="BI2" s="325" t="s">
        <v>219</v>
      </c>
      <c r="BJ2" s="326" t="s">
        <v>220</v>
      </c>
      <c r="BK2" s="328" t="s">
        <v>221</v>
      </c>
      <c r="BL2" s="323" t="s">
        <v>217</v>
      </c>
      <c r="BM2" s="324" t="s">
        <v>218</v>
      </c>
      <c r="BN2" s="325" t="s">
        <v>219</v>
      </c>
      <c r="BO2" s="326" t="s">
        <v>220</v>
      </c>
      <c r="BP2" s="328" t="s">
        <v>221</v>
      </c>
      <c r="BQ2" s="323" t="s">
        <v>217</v>
      </c>
      <c r="BR2" s="324" t="s">
        <v>218</v>
      </c>
      <c r="BS2" s="325" t="s">
        <v>219</v>
      </c>
      <c r="BT2" s="326" t="s">
        <v>220</v>
      </c>
      <c r="BU2" s="327" t="s">
        <v>221</v>
      </c>
      <c r="BW2" s="304" t="s">
        <v>217</v>
      </c>
      <c r="BX2" s="305" t="s">
        <v>218</v>
      </c>
      <c r="BY2" s="306" t="s">
        <v>219</v>
      </c>
      <c r="BZ2" s="307" t="s">
        <v>220</v>
      </c>
      <c r="CA2" s="308" t="s">
        <v>221</v>
      </c>
    </row>
    <row r="3" spans="1:79" ht="15.75" thickTop="1" x14ac:dyDescent="0.25">
      <c r="B3" s="434" t="s">
        <v>48</v>
      </c>
      <c r="C3" s="290" t="s">
        <v>49</v>
      </c>
      <c r="D3" s="332"/>
      <c r="E3" s="333"/>
      <c r="F3" s="333"/>
      <c r="G3" s="333"/>
      <c r="H3" s="334"/>
      <c r="I3" s="332"/>
      <c r="J3" s="333"/>
      <c r="K3" s="333"/>
      <c r="L3" s="333"/>
      <c r="M3" s="334"/>
      <c r="N3" s="332"/>
      <c r="O3" s="333"/>
      <c r="P3" s="333"/>
      <c r="Q3" s="333"/>
      <c r="R3" s="334"/>
      <c r="S3" s="332"/>
      <c r="T3" s="333"/>
      <c r="U3" s="333"/>
      <c r="V3" s="333"/>
      <c r="W3" s="334"/>
      <c r="X3" s="332"/>
      <c r="Y3" s="333"/>
      <c r="Z3" s="333"/>
      <c r="AA3" s="333"/>
      <c r="AB3" s="334"/>
      <c r="AC3" s="332"/>
      <c r="AD3" s="333"/>
      <c r="AE3" s="333"/>
      <c r="AF3" s="333"/>
      <c r="AG3" s="334"/>
      <c r="AH3" s="332">
        <v>1</v>
      </c>
      <c r="AI3" s="333"/>
      <c r="AJ3" s="333"/>
      <c r="AK3" s="333"/>
      <c r="AL3" s="334"/>
      <c r="AM3" s="332"/>
      <c r="AN3" s="333"/>
      <c r="AO3" s="333"/>
      <c r="AP3" s="333"/>
      <c r="AQ3" s="334"/>
      <c r="AR3" s="332"/>
      <c r="AS3" s="333"/>
      <c r="AT3" s="333"/>
      <c r="AU3" s="333"/>
      <c r="AV3" s="334"/>
      <c r="AW3" s="332"/>
      <c r="AX3" s="333"/>
      <c r="AY3" s="333"/>
      <c r="AZ3" s="333"/>
      <c r="BA3" s="334"/>
      <c r="BB3" s="332"/>
      <c r="BC3" s="333"/>
      <c r="BD3" s="333"/>
      <c r="BE3" s="333"/>
      <c r="BF3" s="334"/>
      <c r="BG3" s="332"/>
      <c r="BH3" s="333"/>
      <c r="BI3" s="333"/>
      <c r="BJ3" s="333"/>
      <c r="BK3" s="334"/>
      <c r="BL3" s="332"/>
      <c r="BM3" s="333"/>
      <c r="BN3" s="333"/>
      <c r="BO3" s="333"/>
      <c r="BP3" s="334"/>
      <c r="BQ3" s="332"/>
      <c r="BR3" s="333"/>
      <c r="BS3" s="333"/>
      <c r="BT3" s="333"/>
      <c r="BU3" s="335"/>
      <c r="BW3" s="329" t="str">
        <f>sum_level("o",'Needs 171007_1812'!D3:BU3)</f>
        <v>1</v>
      </c>
      <c r="BX3" s="330" t="str">
        <f>sum_level("j",'Needs 171007_1812'!D3:BU3)</f>
        <v/>
      </c>
      <c r="BY3" s="330" t="str">
        <f>sum_level("m",'Needs 171007_1812'!D3:BU3)</f>
        <v/>
      </c>
      <c r="BZ3" s="330" t="str">
        <f>sum_level("s",'Needs 171007_1812'!D3:BU3)</f>
        <v/>
      </c>
      <c r="CA3" s="331" t="str">
        <f>sum_level("e",'Needs 171007_1812'!D3:BU3)</f>
        <v/>
      </c>
    </row>
    <row r="4" spans="1:79" x14ac:dyDescent="0.25">
      <c r="B4" s="435"/>
      <c r="C4" s="291" t="s">
        <v>54</v>
      </c>
      <c r="D4" s="336"/>
      <c r="E4" s="337"/>
      <c r="F4" s="337"/>
      <c r="G4" s="337"/>
      <c r="H4" s="338"/>
      <c r="I4" s="336"/>
      <c r="J4" s="337"/>
      <c r="K4" s="337"/>
      <c r="L4" s="337"/>
      <c r="M4" s="338"/>
      <c r="N4" s="336"/>
      <c r="O4" s="337"/>
      <c r="P4" s="337"/>
      <c r="Q4" s="337"/>
      <c r="R4" s="338"/>
      <c r="S4" s="336"/>
      <c r="T4" s="337"/>
      <c r="U4" s="337"/>
      <c r="V4" s="337"/>
      <c r="W4" s="338"/>
      <c r="X4" s="336"/>
      <c r="Y4" s="337"/>
      <c r="Z4" s="337"/>
      <c r="AA4" s="337"/>
      <c r="AB4" s="338"/>
      <c r="AC4" s="336"/>
      <c r="AD4" s="337"/>
      <c r="AE4" s="337"/>
      <c r="AF4" s="337"/>
      <c r="AG4" s="338"/>
      <c r="AH4" s="336"/>
      <c r="AI4" s="337">
        <v>2</v>
      </c>
      <c r="AJ4" s="337"/>
      <c r="AK4" s="337"/>
      <c r="AL4" s="338"/>
      <c r="AM4" s="336"/>
      <c r="AN4" s="337"/>
      <c r="AO4" s="337"/>
      <c r="AP4" s="337"/>
      <c r="AQ4" s="338"/>
      <c r="AR4" s="336"/>
      <c r="AS4" s="337"/>
      <c r="AT4" s="337"/>
      <c r="AU4" s="337"/>
      <c r="AV4" s="338"/>
      <c r="AW4" s="336"/>
      <c r="AX4" s="337"/>
      <c r="AY4" s="337"/>
      <c r="AZ4" s="337"/>
      <c r="BA4" s="338"/>
      <c r="BB4" s="336"/>
      <c r="BC4" s="337"/>
      <c r="BD4" s="337"/>
      <c r="BE4" s="337"/>
      <c r="BF4" s="338"/>
      <c r="BG4" s="336"/>
      <c r="BH4" s="337"/>
      <c r="BI4" s="337"/>
      <c r="BJ4" s="337"/>
      <c r="BK4" s="338"/>
      <c r="BL4" s="336"/>
      <c r="BM4" s="337"/>
      <c r="BN4" s="337"/>
      <c r="BO4" s="337"/>
      <c r="BP4" s="338"/>
      <c r="BQ4" s="336"/>
      <c r="BR4" s="337"/>
      <c r="BS4" s="337"/>
      <c r="BT4" s="337"/>
      <c r="BU4" s="339"/>
      <c r="BW4" s="236" t="str">
        <f>sum_level("o",'Needs 171007_1812'!D4:BU4)</f>
        <v/>
      </c>
      <c r="BX4" s="237" t="str">
        <f>sum_level("j",'Needs 171007_1812'!D4:BU4)</f>
        <v>2</v>
      </c>
      <c r="BY4" s="237" t="str">
        <f>sum_level("m",'Needs 171007_1812'!D4:BU4)</f>
        <v/>
      </c>
      <c r="BZ4" s="237" t="str">
        <f>sum_level("s",'Needs 171007_1812'!D4:BU4)</f>
        <v/>
      </c>
      <c r="CA4" s="238" t="str">
        <f>sum_level("e",'Needs 171007_1812'!D4:BU4)</f>
        <v/>
      </c>
    </row>
    <row r="5" spans="1:79" x14ac:dyDescent="0.25">
      <c r="B5" s="435"/>
      <c r="C5" s="291" t="s">
        <v>51</v>
      </c>
      <c r="D5" s="336"/>
      <c r="E5" s="337"/>
      <c r="F5" s="337"/>
      <c r="G5" s="337"/>
      <c r="H5" s="338"/>
      <c r="I5" s="336"/>
      <c r="J5" s="337"/>
      <c r="K5" s="337"/>
      <c r="L5" s="337"/>
      <c r="M5" s="338"/>
      <c r="N5" s="336"/>
      <c r="O5" s="337"/>
      <c r="P5" s="337"/>
      <c r="Q5" s="337"/>
      <c r="R5" s="338"/>
      <c r="S5" s="336"/>
      <c r="T5" s="337"/>
      <c r="U5" s="337"/>
      <c r="V5" s="337"/>
      <c r="W5" s="338"/>
      <c r="X5" s="336"/>
      <c r="Y5" s="337"/>
      <c r="Z5" s="337"/>
      <c r="AA5" s="337"/>
      <c r="AB5" s="338"/>
      <c r="AC5" s="336"/>
      <c r="AD5" s="337"/>
      <c r="AE5" s="337"/>
      <c r="AF5" s="337"/>
      <c r="AG5" s="338"/>
      <c r="AH5" s="336"/>
      <c r="AI5" s="337"/>
      <c r="AJ5" s="337">
        <v>3</v>
      </c>
      <c r="AK5" s="337"/>
      <c r="AL5" s="338"/>
      <c r="AM5" s="336"/>
      <c r="AN5" s="337"/>
      <c r="AO5" s="337"/>
      <c r="AP5" s="337"/>
      <c r="AQ5" s="338"/>
      <c r="AR5" s="336"/>
      <c r="AS5" s="337"/>
      <c r="AT5" s="337"/>
      <c r="AU5" s="337"/>
      <c r="AV5" s="338"/>
      <c r="AW5" s="336"/>
      <c r="AX5" s="337"/>
      <c r="AY5" s="337"/>
      <c r="AZ5" s="337"/>
      <c r="BA5" s="338"/>
      <c r="BB5" s="336"/>
      <c r="BC5" s="337"/>
      <c r="BD5" s="337"/>
      <c r="BE5" s="337"/>
      <c r="BF5" s="338"/>
      <c r="BG5" s="336"/>
      <c r="BH5" s="337"/>
      <c r="BI5" s="337"/>
      <c r="BJ5" s="337"/>
      <c r="BK5" s="338"/>
      <c r="BL5" s="336"/>
      <c r="BM5" s="337"/>
      <c r="BN5" s="337"/>
      <c r="BO5" s="337"/>
      <c r="BP5" s="338"/>
      <c r="BQ5" s="336"/>
      <c r="BR5" s="337"/>
      <c r="BS5" s="337"/>
      <c r="BT5" s="337"/>
      <c r="BU5" s="339"/>
      <c r="BW5" s="236" t="str">
        <f>sum_level("o",'Needs 171007_1812'!D5:BU5)</f>
        <v/>
      </c>
      <c r="BX5" s="237" t="str">
        <f>sum_level("j",'Needs 171007_1812'!D5:BU5)</f>
        <v/>
      </c>
      <c r="BY5" s="237" t="str">
        <f>sum_level("m",'Needs 171007_1812'!D5:BU5)</f>
        <v>3</v>
      </c>
      <c r="BZ5" s="237" t="str">
        <f>sum_level("s",'Needs 171007_1812'!D5:BU5)</f>
        <v/>
      </c>
      <c r="CA5" s="238" t="str">
        <f>sum_level("e",'Needs 171007_1812'!D5:BU5)</f>
        <v/>
      </c>
    </row>
    <row r="6" spans="1:79" x14ac:dyDescent="0.25">
      <c r="B6" s="435"/>
      <c r="C6" s="291" t="s">
        <v>52</v>
      </c>
      <c r="D6" s="336"/>
      <c r="E6" s="337"/>
      <c r="F6" s="337"/>
      <c r="G6" s="337"/>
      <c r="H6" s="338"/>
      <c r="I6" s="336"/>
      <c r="J6" s="337"/>
      <c r="K6" s="337"/>
      <c r="L6" s="337"/>
      <c r="M6" s="338"/>
      <c r="N6" s="336"/>
      <c r="O6" s="337"/>
      <c r="P6" s="337"/>
      <c r="Q6" s="337"/>
      <c r="R6" s="338"/>
      <c r="S6" s="336"/>
      <c r="T6" s="337"/>
      <c r="U6" s="337"/>
      <c r="V6" s="337"/>
      <c r="W6" s="338"/>
      <c r="X6" s="336"/>
      <c r="Y6" s="337"/>
      <c r="Z6" s="337"/>
      <c r="AA6" s="337"/>
      <c r="AB6" s="338"/>
      <c r="AC6" s="336"/>
      <c r="AD6" s="337"/>
      <c r="AE6" s="337"/>
      <c r="AF6" s="337"/>
      <c r="AG6" s="338"/>
      <c r="AH6" s="336"/>
      <c r="AI6" s="337"/>
      <c r="AJ6" s="337"/>
      <c r="AK6" s="337">
        <v>4</v>
      </c>
      <c r="AL6" s="338"/>
      <c r="AM6" s="336"/>
      <c r="AN6" s="337"/>
      <c r="AO6" s="337"/>
      <c r="AP6" s="337"/>
      <c r="AQ6" s="338"/>
      <c r="AR6" s="336"/>
      <c r="AS6" s="337"/>
      <c r="AT6" s="337"/>
      <c r="AU6" s="337"/>
      <c r="AV6" s="338"/>
      <c r="AW6" s="336"/>
      <c r="AX6" s="337"/>
      <c r="AY6" s="337"/>
      <c r="AZ6" s="337"/>
      <c r="BA6" s="338"/>
      <c r="BB6" s="336"/>
      <c r="BC6" s="337"/>
      <c r="BD6" s="337"/>
      <c r="BE6" s="337"/>
      <c r="BF6" s="338"/>
      <c r="BG6" s="336"/>
      <c r="BH6" s="337"/>
      <c r="BI6" s="337"/>
      <c r="BJ6" s="337"/>
      <c r="BK6" s="338"/>
      <c r="BL6" s="336"/>
      <c r="BM6" s="337"/>
      <c r="BN6" s="337"/>
      <c r="BO6" s="337"/>
      <c r="BP6" s="338"/>
      <c r="BQ6" s="336"/>
      <c r="BR6" s="337"/>
      <c r="BS6" s="337"/>
      <c r="BT6" s="337"/>
      <c r="BU6" s="339"/>
      <c r="BW6" s="236" t="str">
        <f>sum_level("o",'Needs 171007_1812'!D6:BU6)</f>
        <v/>
      </c>
      <c r="BX6" s="237" t="str">
        <f>sum_level("j",'Needs 171007_1812'!D6:BU6)</f>
        <v/>
      </c>
      <c r="BY6" s="237" t="str">
        <f>sum_level("m",'Needs 171007_1812'!D6:BU6)</f>
        <v/>
      </c>
      <c r="BZ6" s="237" t="str">
        <f>sum_level("s",'Needs 171007_1812'!D6:BU6)</f>
        <v>4</v>
      </c>
      <c r="CA6" s="238" t="str">
        <f>sum_level("e",'Needs 171007_1812'!D6:BU6)</f>
        <v/>
      </c>
    </row>
    <row r="7" spans="1:79" x14ac:dyDescent="0.25">
      <c r="B7" s="435"/>
      <c r="C7" s="291" t="s">
        <v>53</v>
      </c>
      <c r="D7" s="336"/>
      <c r="E7" s="337"/>
      <c r="F7" s="337"/>
      <c r="G7" s="337"/>
      <c r="H7" s="338"/>
      <c r="I7" s="336"/>
      <c r="J7" s="337"/>
      <c r="K7" s="337"/>
      <c r="L7" s="337"/>
      <c r="M7" s="338"/>
      <c r="N7" s="336"/>
      <c r="O7" s="337"/>
      <c r="P7" s="337"/>
      <c r="Q7" s="337"/>
      <c r="R7" s="338"/>
      <c r="S7" s="336"/>
      <c r="T7" s="337"/>
      <c r="U7" s="337"/>
      <c r="V7" s="337"/>
      <c r="W7" s="338"/>
      <c r="X7" s="336"/>
      <c r="Y7" s="337"/>
      <c r="Z7" s="337"/>
      <c r="AA7" s="337"/>
      <c r="AB7" s="338"/>
      <c r="AC7" s="336"/>
      <c r="AD7" s="337"/>
      <c r="AE7" s="337"/>
      <c r="AF7" s="337"/>
      <c r="AG7" s="338"/>
      <c r="AH7" s="336"/>
      <c r="AI7" s="337"/>
      <c r="AJ7" s="337"/>
      <c r="AK7" s="337"/>
      <c r="AL7" s="338">
        <v>5</v>
      </c>
      <c r="AM7" s="336"/>
      <c r="AN7" s="337"/>
      <c r="AO7" s="337"/>
      <c r="AP7" s="337"/>
      <c r="AQ7" s="338"/>
      <c r="AR7" s="336"/>
      <c r="AS7" s="337"/>
      <c r="AT7" s="337"/>
      <c r="AU7" s="337"/>
      <c r="AV7" s="338"/>
      <c r="AW7" s="336"/>
      <c r="AX7" s="337"/>
      <c r="AY7" s="337"/>
      <c r="AZ7" s="337"/>
      <c r="BA7" s="338"/>
      <c r="BB7" s="336"/>
      <c r="BC7" s="337"/>
      <c r="BD7" s="337"/>
      <c r="BE7" s="337"/>
      <c r="BF7" s="338"/>
      <c r="BG7" s="336"/>
      <c r="BH7" s="337"/>
      <c r="BI7" s="337"/>
      <c r="BJ7" s="337"/>
      <c r="BK7" s="338"/>
      <c r="BL7" s="336"/>
      <c r="BM7" s="337"/>
      <c r="BN7" s="337"/>
      <c r="BO7" s="337"/>
      <c r="BP7" s="338"/>
      <c r="BQ7" s="336"/>
      <c r="BR7" s="337"/>
      <c r="BS7" s="337"/>
      <c r="BT7" s="337"/>
      <c r="BU7" s="339"/>
      <c r="BW7" s="236" t="str">
        <f>sum_level("o",'Needs 171007_1812'!D7:BU7)</f>
        <v/>
      </c>
      <c r="BX7" s="237" t="str">
        <f>sum_level("j",'Needs 171007_1812'!D7:BU7)</f>
        <v/>
      </c>
      <c r="BY7" s="237" t="str">
        <f>sum_level("m",'Needs 171007_1812'!D7:BU7)</f>
        <v/>
      </c>
      <c r="BZ7" s="237" t="str">
        <f>sum_level("s",'Needs 171007_1812'!D7:BU7)</f>
        <v/>
      </c>
      <c r="CA7" s="238" t="str">
        <f>sum_level("e",'Needs 171007_1812'!D7:BU7)</f>
        <v>5</v>
      </c>
    </row>
    <row r="8" spans="1:79" x14ac:dyDescent="0.25">
      <c r="B8" s="435"/>
      <c r="C8" s="291" t="s">
        <v>50</v>
      </c>
      <c r="D8" s="336"/>
      <c r="E8" s="337"/>
      <c r="F8" s="337"/>
      <c r="G8" s="337"/>
      <c r="H8" s="338"/>
      <c r="I8" s="336"/>
      <c r="J8" s="337"/>
      <c r="K8" s="337"/>
      <c r="L8" s="337"/>
      <c r="M8" s="338"/>
      <c r="N8" s="336"/>
      <c r="O8" s="337"/>
      <c r="P8" s="337"/>
      <c r="Q8" s="337"/>
      <c r="R8" s="338"/>
      <c r="S8" s="336"/>
      <c r="T8" s="337"/>
      <c r="U8" s="337"/>
      <c r="V8" s="337"/>
      <c r="W8" s="338"/>
      <c r="X8" s="336"/>
      <c r="Y8" s="337"/>
      <c r="Z8" s="337"/>
      <c r="AA8" s="337"/>
      <c r="AB8" s="338"/>
      <c r="AC8" s="336"/>
      <c r="AD8" s="337"/>
      <c r="AE8" s="337"/>
      <c r="AF8" s="337"/>
      <c r="AG8" s="338"/>
      <c r="AH8" s="336"/>
      <c r="AI8" s="337"/>
      <c r="AJ8" s="337"/>
      <c r="AK8" s="337"/>
      <c r="AL8" s="338"/>
      <c r="AM8" s="336"/>
      <c r="AN8" s="337"/>
      <c r="AO8" s="337"/>
      <c r="AP8" s="337"/>
      <c r="AQ8" s="338"/>
      <c r="AR8" s="336"/>
      <c r="AS8" s="337"/>
      <c r="AT8" s="337"/>
      <c r="AU8" s="337"/>
      <c r="AV8" s="338"/>
      <c r="AW8" s="336"/>
      <c r="AX8" s="337"/>
      <c r="AY8" s="337"/>
      <c r="AZ8" s="337"/>
      <c r="BA8" s="338"/>
      <c r="BB8" s="336"/>
      <c r="BC8" s="337"/>
      <c r="BD8" s="337"/>
      <c r="BE8" s="337"/>
      <c r="BF8" s="338"/>
      <c r="BG8" s="336"/>
      <c r="BH8" s="337"/>
      <c r="BI8" s="337"/>
      <c r="BJ8" s="337"/>
      <c r="BK8" s="338"/>
      <c r="BL8" s="336"/>
      <c r="BM8" s="337"/>
      <c r="BN8" s="337"/>
      <c r="BO8" s="337"/>
      <c r="BP8" s="338"/>
      <c r="BQ8" s="336"/>
      <c r="BR8" s="337"/>
      <c r="BS8" s="337"/>
      <c r="BT8" s="337"/>
      <c r="BU8" s="339"/>
      <c r="BW8" s="236" t="str">
        <f>sum_level("o",'Needs 171007_1812'!D8:BU8)</f>
        <v/>
      </c>
      <c r="BX8" s="237" t="str">
        <f>sum_level("j",'Needs 171007_1812'!D8:BU8)</f>
        <v/>
      </c>
      <c r="BY8" s="237" t="str">
        <f>sum_level("m",'Needs 171007_1812'!D8:BU8)</f>
        <v/>
      </c>
      <c r="BZ8" s="237" t="str">
        <f>sum_level("s",'Needs 171007_1812'!D8:BU8)</f>
        <v/>
      </c>
      <c r="CA8" s="238" t="str">
        <f>sum_level("e",'Needs 171007_1812'!D8:BU8)</f>
        <v/>
      </c>
    </row>
    <row r="9" spans="1:79" x14ac:dyDescent="0.25">
      <c r="B9" s="435"/>
      <c r="C9" s="291" t="s">
        <v>55</v>
      </c>
      <c r="D9" s="336"/>
      <c r="E9" s="337"/>
      <c r="F9" s="337"/>
      <c r="G9" s="337"/>
      <c r="H9" s="338"/>
      <c r="I9" s="336"/>
      <c r="J9" s="337"/>
      <c r="K9" s="337"/>
      <c r="L9" s="337"/>
      <c r="M9" s="338"/>
      <c r="N9" s="336"/>
      <c r="O9" s="337"/>
      <c r="P9" s="337"/>
      <c r="Q9" s="337"/>
      <c r="R9" s="338"/>
      <c r="S9" s="336"/>
      <c r="T9" s="337"/>
      <c r="U9" s="337"/>
      <c r="V9" s="337"/>
      <c r="W9" s="338"/>
      <c r="X9" s="336"/>
      <c r="Y9" s="337"/>
      <c r="Z9" s="337"/>
      <c r="AA9" s="337"/>
      <c r="AB9" s="338"/>
      <c r="AC9" s="336"/>
      <c r="AD9" s="337"/>
      <c r="AE9" s="337"/>
      <c r="AF9" s="337"/>
      <c r="AG9" s="338"/>
      <c r="AH9" s="336"/>
      <c r="AI9" s="337"/>
      <c r="AJ9" s="337"/>
      <c r="AK9" s="337"/>
      <c r="AL9" s="338"/>
      <c r="AM9" s="336">
        <v>6</v>
      </c>
      <c r="AN9" s="337"/>
      <c r="AO9" s="337"/>
      <c r="AP9" s="337"/>
      <c r="AQ9" s="338"/>
      <c r="AR9" s="336"/>
      <c r="AS9" s="337"/>
      <c r="AT9" s="337"/>
      <c r="AU9" s="337"/>
      <c r="AV9" s="338"/>
      <c r="AW9" s="336"/>
      <c r="AX9" s="337"/>
      <c r="AY9" s="337"/>
      <c r="AZ9" s="337"/>
      <c r="BA9" s="338"/>
      <c r="BB9" s="336"/>
      <c r="BC9" s="337"/>
      <c r="BD9" s="337"/>
      <c r="BE9" s="337"/>
      <c r="BF9" s="338"/>
      <c r="BG9" s="336"/>
      <c r="BH9" s="337"/>
      <c r="BI9" s="337"/>
      <c r="BJ9" s="337"/>
      <c r="BK9" s="338"/>
      <c r="BL9" s="336"/>
      <c r="BM9" s="337"/>
      <c r="BN9" s="337"/>
      <c r="BO9" s="337"/>
      <c r="BP9" s="338"/>
      <c r="BQ9" s="336"/>
      <c r="BR9" s="337"/>
      <c r="BS9" s="337"/>
      <c r="BT9" s="337"/>
      <c r="BU9" s="339"/>
      <c r="BW9" s="236" t="str">
        <f>sum_level("o",'Needs 171007_1812'!D9:BU9)</f>
        <v>6</v>
      </c>
      <c r="BX9" s="237" t="str">
        <f>sum_level("j",'Needs 171007_1812'!D9:BU9)</f>
        <v/>
      </c>
      <c r="BY9" s="237" t="str">
        <f>sum_level("m",'Needs 171007_1812'!D9:BU9)</f>
        <v/>
      </c>
      <c r="BZ9" s="237" t="str">
        <f>sum_level("s",'Needs 171007_1812'!D9:BU9)</f>
        <v/>
      </c>
      <c r="CA9" s="238" t="str">
        <f>sum_level("e",'Needs 171007_1812'!D9:BU9)</f>
        <v/>
      </c>
    </row>
    <row r="10" spans="1:79" x14ac:dyDescent="0.25">
      <c r="B10" s="435"/>
      <c r="C10" s="291" t="s">
        <v>56</v>
      </c>
      <c r="D10" s="336"/>
      <c r="E10" s="337"/>
      <c r="F10" s="337"/>
      <c r="G10" s="337"/>
      <c r="H10" s="338"/>
      <c r="I10" s="336"/>
      <c r="J10" s="337"/>
      <c r="K10" s="337"/>
      <c r="L10" s="337"/>
      <c r="M10" s="338"/>
      <c r="N10" s="336"/>
      <c r="O10" s="337"/>
      <c r="P10" s="337"/>
      <c r="Q10" s="337"/>
      <c r="R10" s="338"/>
      <c r="S10" s="336"/>
      <c r="T10" s="337"/>
      <c r="U10" s="337"/>
      <c r="V10" s="337"/>
      <c r="W10" s="338"/>
      <c r="X10" s="336"/>
      <c r="Y10" s="337"/>
      <c r="Z10" s="337"/>
      <c r="AA10" s="337"/>
      <c r="AB10" s="338"/>
      <c r="AC10" s="336"/>
      <c r="AD10" s="337"/>
      <c r="AE10" s="337"/>
      <c r="AF10" s="337"/>
      <c r="AG10" s="338"/>
      <c r="AH10" s="336"/>
      <c r="AI10" s="337"/>
      <c r="AJ10" s="337"/>
      <c r="AK10" s="337"/>
      <c r="AL10" s="338"/>
      <c r="AM10" s="336"/>
      <c r="AN10" s="337">
        <v>7</v>
      </c>
      <c r="AO10" s="337"/>
      <c r="AP10" s="337"/>
      <c r="AQ10" s="338"/>
      <c r="AR10" s="336"/>
      <c r="AS10" s="337"/>
      <c r="AT10" s="337"/>
      <c r="AU10" s="337"/>
      <c r="AV10" s="338"/>
      <c r="AW10" s="336"/>
      <c r="AX10" s="337"/>
      <c r="AY10" s="337"/>
      <c r="AZ10" s="337"/>
      <c r="BA10" s="338"/>
      <c r="BB10" s="336"/>
      <c r="BC10" s="337"/>
      <c r="BD10" s="337"/>
      <c r="BE10" s="337"/>
      <c r="BF10" s="338"/>
      <c r="BG10" s="336"/>
      <c r="BH10" s="337"/>
      <c r="BI10" s="337"/>
      <c r="BJ10" s="337"/>
      <c r="BK10" s="338"/>
      <c r="BL10" s="336"/>
      <c r="BM10" s="337"/>
      <c r="BN10" s="337"/>
      <c r="BO10" s="337"/>
      <c r="BP10" s="338"/>
      <c r="BQ10" s="336"/>
      <c r="BR10" s="337"/>
      <c r="BS10" s="337"/>
      <c r="BT10" s="337"/>
      <c r="BU10" s="339"/>
      <c r="BW10" s="236" t="str">
        <f>sum_level("o",'Needs 171007_1812'!D10:BU10)</f>
        <v/>
      </c>
      <c r="BX10" s="237" t="str">
        <f>sum_level("j",'Needs 171007_1812'!D10:BU10)</f>
        <v>7</v>
      </c>
      <c r="BY10" s="237" t="str">
        <f>sum_level("m",'Needs 171007_1812'!D10:BU10)</f>
        <v/>
      </c>
      <c r="BZ10" s="237" t="str">
        <f>sum_level("s",'Needs 171007_1812'!D10:BU10)</f>
        <v/>
      </c>
      <c r="CA10" s="238" t="str">
        <f>sum_level("e",'Needs 171007_1812'!D10:BU10)</f>
        <v/>
      </c>
    </row>
    <row r="11" spans="1:79" x14ac:dyDescent="0.25">
      <c r="B11" s="435"/>
      <c r="C11" s="291" t="s">
        <v>57</v>
      </c>
      <c r="D11" s="336"/>
      <c r="E11" s="337"/>
      <c r="F11" s="337"/>
      <c r="G11" s="337"/>
      <c r="H11" s="338"/>
      <c r="I11" s="336"/>
      <c r="J11" s="337"/>
      <c r="K11" s="337"/>
      <c r="L11" s="337"/>
      <c r="M11" s="338"/>
      <c r="N11" s="336"/>
      <c r="O11" s="337"/>
      <c r="P11" s="337"/>
      <c r="Q11" s="337"/>
      <c r="R11" s="338"/>
      <c r="S11" s="336"/>
      <c r="T11" s="337"/>
      <c r="U11" s="337"/>
      <c r="V11" s="337"/>
      <c r="W11" s="338"/>
      <c r="X11" s="336"/>
      <c r="Y11" s="337"/>
      <c r="Z11" s="337"/>
      <c r="AA11" s="337"/>
      <c r="AB11" s="338"/>
      <c r="AC11" s="336"/>
      <c r="AD11" s="337"/>
      <c r="AE11" s="337"/>
      <c r="AF11" s="337"/>
      <c r="AG11" s="338"/>
      <c r="AH11" s="336"/>
      <c r="AI11" s="337"/>
      <c r="AJ11" s="337"/>
      <c r="AK11" s="337"/>
      <c r="AL11" s="338"/>
      <c r="AM11" s="336"/>
      <c r="AN11" s="337"/>
      <c r="AO11" s="337">
        <v>8</v>
      </c>
      <c r="AP11" s="337"/>
      <c r="AQ11" s="338"/>
      <c r="AR11" s="336"/>
      <c r="AS11" s="337"/>
      <c r="AT11" s="337"/>
      <c r="AU11" s="337"/>
      <c r="AV11" s="338"/>
      <c r="AW11" s="336"/>
      <c r="AX11" s="337"/>
      <c r="AY11" s="337"/>
      <c r="AZ11" s="337"/>
      <c r="BA11" s="338"/>
      <c r="BB11" s="336"/>
      <c r="BC11" s="337"/>
      <c r="BD11" s="337"/>
      <c r="BE11" s="337"/>
      <c r="BF11" s="338"/>
      <c r="BG11" s="336"/>
      <c r="BH11" s="337"/>
      <c r="BI11" s="337"/>
      <c r="BJ11" s="337"/>
      <c r="BK11" s="338"/>
      <c r="BL11" s="336"/>
      <c r="BM11" s="337"/>
      <c r="BN11" s="337"/>
      <c r="BO11" s="337"/>
      <c r="BP11" s="338"/>
      <c r="BQ11" s="336"/>
      <c r="BR11" s="337"/>
      <c r="BS11" s="337"/>
      <c r="BT11" s="337"/>
      <c r="BU11" s="339"/>
      <c r="BW11" s="236" t="str">
        <f>sum_level("o",'Needs 171007_1812'!D11:BU11)</f>
        <v/>
      </c>
      <c r="BX11" s="237" t="str">
        <f>sum_level("j",'Needs 171007_1812'!D11:BU11)</f>
        <v/>
      </c>
      <c r="BY11" s="237" t="str">
        <f>sum_level("m",'Needs 171007_1812'!D11:BU11)</f>
        <v>8</v>
      </c>
      <c r="BZ11" s="237" t="str">
        <f>sum_level("s",'Needs 171007_1812'!D11:BU11)</f>
        <v/>
      </c>
      <c r="CA11" s="238" t="str">
        <f>sum_level("e",'Needs 171007_1812'!D11:BU11)</f>
        <v/>
      </c>
    </row>
    <row r="12" spans="1:79" x14ac:dyDescent="0.25">
      <c r="B12" s="435"/>
      <c r="C12" s="291" t="s">
        <v>58</v>
      </c>
      <c r="D12" s="336"/>
      <c r="E12" s="337"/>
      <c r="F12" s="337"/>
      <c r="G12" s="337"/>
      <c r="H12" s="338"/>
      <c r="I12" s="336"/>
      <c r="J12" s="337"/>
      <c r="K12" s="337"/>
      <c r="L12" s="337"/>
      <c r="M12" s="338"/>
      <c r="N12" s="336"/>
      <c r="O12" s="337"/>
      <c r="P12" s="337"/>
      <c r="Q12" s="337"/>
      <c r="R12" s="338"/>
      <c r="S12" s="336"/>
      <c r="T12" s="337"/>
      <c r="U12" s="337"/>
      <c r="V12" s="337"/>
      <c r="W12" s="338"/>
      <c r="X12" s="336"/>
      <c r="Y12" s="337"/>
      <c r="Z12" s="337"/>
      <c r="AA12" s="337"/>
      <c r="AB12" s="338"/>
      <c r="AC12" s="336"/>
      <c r="AD12" s="337"/>
      <c r="AE12" s="337"/>
      <c r="AF12" s="337"/>
      <c r="AG12" s="338"/>
      <c r="AH12" s="336"/>
      <c r="AI12" s="337"/>
      <c r="AJ12" s="337"/>
      <c r="AK12" s="337"/>
      <c r="AL12" s="338"/>
      <c r="AM12" s="336"/>
      <c r="AN12" s="337"/>
      <c r="AO12" s="337"/>
      <c r="AP12" s="337">
        <v>9</v>
      </c>
      <c r="AQ12" s="338"/>
      <c r="AR12" s="336"/>
      <c r="AS12" s="337"/>
      <c r="AT12" s="337"/>
      <c r="AU12" s="337"/>
      <c r="AV12" s="338"/>
      <c r="AW12" s="336"/>
      <c r="AX12" s="337"/>
      <c r="AY12" s="337"/>
      <c r="AZ12" s="337"/>
      <c r="BA12" s="338"/>
      <c r="BB12" s="336"/>
      <c r="BC12" s="337"/>
      <c r="BD12" s="337"/>
      <c r="BE12" s="337"/>
      <c r="BF12" s="338"/>
      <c r="BG12" s="336"/>
      <c r="BH12" s="337"/>
      <c r="BI12" s="337"/>
      <c r="BJ12" s="337"/>
      <c r="BK12" s="338"/>
      <c r="BL12" s="336"/>
      <c r="BM12" s="337"/>
      <c r="BN12" s="337"/>
      <c r="BO12" s="337"/>
      <c r="BP12" s="338"/>
      <c r="BQ12" s="336"/>
      <c r="BR12" s="337"/>
      <c r="BS12" s="337"/>
      <c r="BT12" s="337"/>
      <c r="BU12" s="339"/>
      <c r="BW12" s="236" t="str">
        <f>sum_level("o",'Needs 171007_1812'!D12:BU12)</f>
        <v/>
      </c>
      <c r="BX12" s="237" t="str">
        <f>sum_level("j",'Needs 171007_1812'!D12:BU12)</f>
        <v/>
      </c>
      <c r="BY12" s="237" t="str">
        <f>sum_level("m",'Needs 171007_1812'!D12:BU12)</f>
        <v/>
      </c>
      <c r="BZ12" s="237" t="str">
        <f>sum_level("s",'Needs 171007_1812'!D12:BU12)</f>
        <v>9</v>
      </c>
      <c r="CA12" s="238" t="str">
        <f>sum_level("e",'Needs 171007_1812'!D12:BU12)</f>
        <v/>
      </c>
    </row>
    <row r="13" spans="1:79" x14ac:dyDescent="0.25">
      <c r="B13" s="435"/>
      <c r="C13" s="291" t="s">
        <v>59</v>
      </c>
      <c r="D13" s="336"/>
      <c r="E13" s="337"/>
      <c r="F13" s="337"/>
      <c r="G13" s="337"/>
      <c r="H13" s="338"/>
      <c r="I13" s="336"/>
      <c r="J13" s="337"/>
      <c r="K13" s="337"/>
      <c r="L13" s="337"/>
      <c r="M13" s="338"/>
      <c r="N13" s="336"/>
      <c r="O13" s="337"/>
      <c r="P13" s="337"/>
      <c r="Q13" s="337"/>
      <c r="R13" s="338"/>
      <c r="S13" s="336"/>
      <c r="T13" s="337"/>
      <c r="U13" s="337"/>
      <c r="V13" s="337"/>
      <c r="W13" s="338"/>
      <c r="X13" s="336"/>
      <c r="Y13" s="337"/>
      <c r="Z13" s="337"/>
      <c r="AA13" s="337"/>
      <c r="AB13" s="338"/>
      <c r="AC13" s="336"/>
      <c r="AD13" s="337"/>
      <c r="AE13" s="337"/>
      <c r="AF13" s="337"/>
      <c r="AG13" s="338"/>
      <c r="AH13" s="336"/>
      <c r="AI13" s="337"/>
      <c r="AJ13" s="337"/>
      <c r="AK13" s="337"/>
      <c r="AL13" s="338"/>
      <c r="AM13" s="336"/>
      <c r="AN13" s="337"/>
      <c r="AO13" s="337"/>
      <c r="AP13" s="337"/>
      <c r="AQ13" s="338">
        <v>10</v>
      </c>
      <c r="AR13" s="336"/>
      <c r="AS13" s="337"/>
      <c r="AT13" s="337"/>
      <c r="AU13" s="337"/>
      <c r="AV13" s="338"/>
      <c r="AW13" s="336"/>
      <c r="AX13" s="337"/>
      <c r="AY13" s="337"/>
      <c r="AZ13" s="337"/>
      <c r="BA13" s="338"/>
      <c r="BB13" s="336"/>
      <c r="BC13" s="337"/>
      <c r="BD13" s="337"/>
      <c r="BE13" s="337"/>
      <c r="BF13" s="338"/>
      <c r="BG13" s="336"/>
      <c r="BH13" s="337"/>
      <c r="BI13" s="337"/>
      <c r="BJ13" s="337"/>
      <c r="BK13" s="338"/>
      <c r="BL13" s="336"/>
      <c r="BM13" s="337"/>
      <c r="BN13" s="337"/>
      <c r="BO13" s="337"/>
      <c r="BP13" s="338"/>
      <c r="BQ13" s="336"/>
      <c r="BR13" s="337"/>
      <c r="BS13" s="337"/>
      <c r="BT13" s="337"/>
      <c r="BU13" s="339"/>
      <c r="BW13" s="236" t="str">
        <f>sum_level("o",'Needs 171007_1812'!D13:BU13)</f>
        <v/>
      </c>
      <c r="BX13" s="237" t="str">
        <f>sum_level("j",'Needs 171007_1812'!D13:BU13)</f>
        <v/>
      </c>
      <c r="BY13" s="237" t="str">
        <f>sum_level("m",'Needs 171007_1812'!D13:BU13)</f>
        <v/>
      </c>
      <c r="BZ13" s="237" t="str">
        <f>sum_level("s",'Needs 171007_1812'!D13:BU13)</f>
        <v/>
      </c>
      <c r="CA13" s="238" t="str">
        <f>sum_level("e",'Needs 171007_1812'!D13:BU13)</f>
        <v>10</v>
      </c>
    </row>
    <row r="14" spans="1:79" x14ac:dyDescent="0.25">
      <c r="B14" s="435"/>
      <c r="C14" s="291" t="s">
        <v>60</v>
      </c>
      <c r="D14" s="336"/>
      <c r="E14" s="337"/>
      <c r="F14" s="337"/>
      <c r="G14" s="337"/>
      <c r="H14" s="338"/>
      <c r="I14" s="336"/>
      <c r="J14" s="337"/>
      <c r="K14" s="337"/>
      <c r="L14" s="337"/>
      <c r="M14" s="338"/>
      <c r="N14" s="336"/>
      <c r="O14" s="337"/>
      <c r="P14" s="337"/>
      <c r="Q14" s="337"/>
      <c r="R14" s="338"/>
      <c r="S14" s="336"/>
      <c r="T14" s="337"/>
      <c r="U14" s="337"/>
      <c r="V14" s="337"/>
      <c r="W14" s="338"/>
      <c r="X14" s="336"/>
      <c r="Y14" s="337"/>
      <c r="Z14" s="337"/>
      <c r="AA14" s="337"/>
      <c r="AB14" s="338"/>
      <c r="AC14" s="336"/>
      <c r="AD14" s="337"/>
      <c r="AE14" s="337"/>
      <c r="AF14" s="337"/>
      <c r="AG14" s="338"/>
      <c r="AH14" s="336"/>
      <c r="AI14" s="337"/>
      <c r="AJ14" s="337"/>
      <c r="AK14" s="337"/>
      <c r="AL14" s="338"/>
      <c r="AM14" s="336"/>
      <c r="AN14" s="337"/>
      <c r="AO14" s="337"/>
      <c r="AP14" s="337"/>
      <c r="AQ14" s="338"/>
      <c r="AR14" s="336"/>
      <c r="AS14" s="337"/>
      <c r="AT14" s="337"/>
      <c r="AU14" s="337"/>
      <c r="AV14" s="338"/>
      <c r="AW14" s="336"/>
      <c r="AX14" s="337"/>
      <c r="AY14" s="337"/>
      <c r="AZ14" s="337"/>
      <c r="BA14" s="338"/>
      <c r="BB14" s="336"/>
      <c r="BC14" s="337"/>
      <c r="BD14" s="337"/>
      <c r="BE14" s="337"/>
      <c r="BF14" s="338"/>
      <c r="BG14" s="336"/>
      <c r="BH14" s="337"/>
      <c r="BI14" s="337"/>
      <c r="BJ14" s="337"/>
      <c r="BK14" s="338"/>
      <c r="BL14" s="336"/>
      <c r="BM14" s="337"/>
      <c r="BN14" s="337"/>
      <c r="BO14" s="337"/>
      <c r="BP14" s="338"/>
      <c r="BQ14" s="336"/>
      <c r="BR14" s="337"/>
      <c r="BS14" s="337"/>
      <c r="BT14" s="337"/>
      <c r="BU14" s="339"/>
      <c r="BW14" s="236" t="str">
        <f>sum_level("o",'Needs 171007_1812'!D14:BU14)</f>
        <v/>
      </c>
      <c r="BX14" s="237" t="str">
        <f>sum_level("j",'Needs 171007_1812'!D14:BU14)</f>
        <v/>
      </c>
      <c r="BY14" s="237" t="str">
        <f>sum_level("m",'Needs 171007_1812'!D14:BU14)</f>
        <v/>
      </c>
      <c r="BZ14" s="237" t="str">
        <f>sum_level("s",'Needs 171007_1812'!D14:BU14)</f>
        <v/>
      </c>
      <c r="CA14" s="238" t="str">
        <f>sum_level("e",'Needs 171007_1812'!D14:BU14)</f>
        <v/>
      </c>
    </row>
    <row r="15" spans="1:79" ht="15.75" thickBot="1" x14ac:dyDescent="0.3">
      <c r="B15" s="435"/>
      <c r="C15" s="292" t="s">
        <v>61</v>
      </c>
      <c r="D15" s="340"/>
      <c r="E15" s="341"/>
      <c r="F15" s="341"/>
      <c r="G15" s="341"/>
      <c r="H15" s="342"/>
      <c r="I15" s="340"/>
      <c r="J15" s="341"/>
      <c r="K15" s="341"/>
      <c r="L15" s="341"/>
      <c r="M15" s="342"/>
      <c r="N15" s="340"/>
      <c r="O15" s="341"/>
      <c r="P15" s="341"/>
      <c r="Q15" s="341"/>
      <c r="R15" s="342"/>
      <c r="S15" s="340"/>
      <c r="T15" s="341"/>
      <c r="U15" s="341"/>
      <c r="V15" s="341"/>
      <c r="W15" s="342"/>
      <c r="X15" s="340"/>
      <c r="Y15" s="341"/>
      <c r="Z15" s="341"/>
      <c r="AA15" s="341"/>
      <c r="AB15" s="342"/>
      <c r="AC15" s="340"/>
      <c r="AD15" s="341"/>
      <c r="AE15" s="341"/>
      <c r="AF15" s="341"/>
      <c r="AG15" s="342"/>
      <c r="AH15" s="340"/>
      <c r="AI15" s="341"/>
      <c r="AJ15" s="341"/>
      <c r="AK15" s="341"/>
      <c r="AL15" s="342"/>
      <c r="AM15" s="340"/>
      <c r="AN15" s="341"/>
      <c r="AO15" s="341"/>
      <c r="AP15" s="341"/>
      <c r="AQ15" s="342"/>
      <c r="AR15" s="340"/>
      <c r="AS15" s="341"/>
      <c r="AT15" s="341"/>
      <c r="AU15" s="341"/>
      <c r="AV15" s="342"/>
      <c r="AW15" s="340"/>
      <c r="AX15" s="341"/>
      <c r="AY15" s="341"/>
      <c r="AZ15" s="341"/>
      <c r="BA15" s="342"/>
      <c r="BB15" s="340"/>
      <c r="BC15" s="341"/>
      <c r="BD15" s="341"/>
      <c r="BE15" s="341"/>
      <c r="BF15" s="342"/>
      <c r="BG15" s="340"/>
      <c r="BH15" s="341"/>
      <c r="BI15" s="341"/>
      <c r="BJ15" s="341"/>
      <c r="BK15" s="342"/>
      <c r="BL15" s="340"/>
      <c r="BM15" s="341"/>
      <c r="BN15" s="341"/>
      <c r="BO15" s="341"/>
      <c r="BP15" s="342"/>
      <c r="BQ15" s="340"/>
      <c r="BR15" s="341"/>
      <c r="BS15" s="341"/>
      <c r="BT15" s="341"/>
      <c r="BU15" s="343"/>
      <c r="BW15" s="239" t="str">
        <f>sum_level("o",'Needs 171007_1812'!D15:BU15)</f>
        <v/>
      </c>
      <c r="BX15" s="240" t="str">
        <f>sum_level("j",'Needs 171007_1812'!D15:BU15)</f>
        <v/>
      </c>
      <c r="BY15" s="240" t="str">
        <f>sum_level("m",'Needs 171007_1812'!D15:BU15)</f>
        <v/>
      </c>
      <c r="BZ15" s="240" t="str">
        <f>sum_level("s",'Needs 171007_1812'!D15:BU15)</f>
        <v/>
      </c>
      <c r="CA15" s="241" t="str">
        <f>sum_level("e",'Needs 171007_1812'!D15:BU15)</f>
        <v/>
      </c>
    </row>
    <row r="16" spans="1:79" ht="12.75" customHeight="1" thickTop="1" thickBot="1" x14ac:dyDescent="0.3">
      <c r="B16" s="436"/>
      <c r="C16" s="248"/>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W16" s="249"/>
      <c r="BX16" s="249"/>
      <c r="BY16" s="249"/>
      <c r="BZ16" s="249"/>
      <c r="CA16" s="249"/>
    </row>
    <row r="17" spans="2:79" ht="15.75" thickTop="1" x14ac:dyDescent="0.25">
      <c r="B17" s="434" t="s">
        <v>62</v>
      </c>
      <c r="C17" s="290" t="s">
        <v>63</v>
      </c>
      <c r="D17" s="332"/>
      <c r="E17" s="333"/>
      <c r="F17" s="333"/>
      <c r="G17" s="333"/>
      <c r="H17" s="334"/>
      <c r="I17" s="332"/>
      <c r="J17" s="333"/>
      <c r="K17" s="333"/>
      <c r="L17" s="333"/>
      <c r="M17" s="334"/>
      <c r="N17" s="332"/>
      <c r="O17" s="333"/>
      <c r="P17" s="333"/>
      <c r="Q17" s="333"/>
      <c r="R17" s="334"/>
      <c r="S17" s="332"/>
      <c r="T17" s="333"/>
      <c r="U17" s="333"/>
      <c r="V17" s="333"/>
      <c r="W17" s="334"/>
      <c r="X17" s="332"/>
      <c r="Y17" s="333"/>
      <c r="Z17" s="333"/>
      <c r="AA17" s="333"/>
      <c r="AB17" s="334"/>
      <c r="AC17" s="332"/>
      <c r="AD17" s="333"/>
      <c r="AE17" s="333"/>
      <c r="AF17" s="333"/>
      <c r="AG17" s="334"/>
      <c r="AH17" s="332"/>
      <c r="AI17" s="333"/>
      <c r="AJ17" s="333"/>
      <c r="AK17" s="333"/>
      <c r="AL17" s="334"/>
      <c r="AM17" s="332"/>
      <c r="AN17" s="333"/>
      <c r="AO17" s="333"/>
      <c r="AP17" s="333"/>
      <c r="AQ17" s="334"/>
      <c r="AR17" s="332">
        <v>11</v>
      </c>
      <c r="AS17" s="333"/>
      <c r="AT17" s="333"/>
      <c r="AU17" s="333"/>
      <c r="AV17" s="334"/>
      <c r="AW17" s="332"/>
      <c r="AX17" s="333"/>
      <c r="AY17" s="333"/>
      <c r="AZ17" s="333"/>
      <c r="BA17" s="334"/>
      <c r="BB17" s="332"/>
      <c r="BC17" s="333"/>
      <c r="BD17" s="333"/>
      <c r="BE17" s="333"/>
      <c r="BF17" s="334"/>
      <c r="BG17" s="332"/>
      <c r="BH17" s="333"/>
      <c r="BI17" s="333"/>
      <c r="BJ17" s="333"/>
      <c r="BK17" s="334"/>
      <c r="BL17" s="332"/>
      <c r="BM17" s="333"/>
      <c r="BN17" s="333"/>
      <c r="BO17" s="333"/>
      <c r="BP17" s="334"/>
      <c r="BQ17" s="332"/>
      <c r="BR17" s="333"/>
      <c r="BS17" s="333"/>
      <c r="BT17" s="333"/>
      <c r="BU17" s="335"/>
      <c r="BW17" s="233" t="str">
        <f>sum_level("o",'Needs 171007_1812'!D17:BU17)</f>
        <v>11</v>
      </c>
      <c r="BX17" s="234" t="str">
        <f>sum_level("j",'Needs 171007_1812'!D17:BU17)</f>
        <v/>
      </c>
      <c r="BY17" s="234" t="str">
        <f>sum_level("m",'Needs 171007_1812'!D17:BU17)</f>
        <v/>
      </c>
      <c r="BZ17" s="234" t="str">
        <f>sum_level("s",'Needs 171007_1812'!D17:BU17)</f>
        <v/>
      </c>
      <c r="CA17" s="235" t="str">
        <f>sum_level("e",'Needs 171007_1812'!D17:BU17)</f>
        <v/>
      </c>
    </row>
    <row r="18" spans="2:79" x14ac:dyDescent="0.25">
      <c r="B18" s="435"/>
      <c r="C18" s="291" t="s">
        <v>118</v>
      </c>
      <c r="D18" s="336"/>
      <c r="E18" s="337"/>
      <c r="F18" s="337"/>
      <c r="G18" s="337"/>
      <c r="H18" s="338"/>
      <c r="I18" s="336"/>
      <c r="J18" s="337"/>
      <c r="K18" s="337"/>
      <c r="L18" s="337"/>
      <c r="M18" s="338"/>
      <c r="N18" s="336"/>
      <c r="O18" s="337"/>
      <c r="P18" s="337"/>
      <c r="Q18" s="337"/>
      <c r="R18" s="338"/>
      <c r="S18" s="336"/>
      <c r="T18" s="337"/>
      <c r="U18" s="337"/>
      <c r="V18" s="337"/>
      <c r="W18" s="338"/>
      <c r="X18" s="336"/>
      <c r="Y18" s="337"/>
      <c r="Z18" s="337"/>
      <c r="AA18" s="337"/>
      <c r="AB18" s="338"/>
      <c r="AC18" s="336"/>
      <c r="AD18" s="337"/>
      <c r="AE18" s="337"/>
      <c r="AF18" s="337"/>
      <c r="AG18" s="338"/>
      <c r="AH18" s="336"/>
      <c r="AI18" s="337"/>
      <c r="AJ18" s="337"/>
      <c r="AK18" s="337"/>
      <c r="AL18" s="338"/>
      <c r="AM18" s="336"/>
      <c r="AN18" s="337"/>
      <c r="AO18" s="337"/>
      <c r="AP18" s="337"/>
      <c r="AQ18" s="338"/>
      <c r="AR18" s="336"/>
      <c r="AS18" s="337">
        <v>12</v>
      </c>
      <c r="AT18" s="337"/>
      <c r="AU18" s="337"/>
      <c r="AV18" s="338"/>
      <c r="AW18" s="336"/>
      <c r="AX18" s="337"/>
      <c r="AY18" s="337"/>
      <c r="AZ18" s="337"/>
      <c r="BA18" s="338"/>
      <c r="BB18" s="336"/>
      <c r="BC18" s="337"/>
      <c r="BD18" s="337"/>
      <c r="BE18" s="337"/>
      <c r="BF18" s="338"/>
      <c r="BG18" s="336"/>
      <c r="BH18" s="337"/>
      <c r="BI18" s="337"/>
      <c r="BJ18" s="337"/>
      <c r="BK18" s="338"/>
      <c r="BL18" s="336"/>
      <c r="BM18" s="337"/>
      <c r="BN18" s="337"/>
      <c r="BO18" s="337"/>
      <c r="BP18" s="338"/>
      <c r="BQ18" s="336"/>
      <c r="BR18" s="337"/>
      <c r="BS18" s="337"/>
      <c r="BT18" s="337"/>
      <c r="BU18" s="339"/>
      <c r="BW18" s="236" t="str">
        <f>sum_level("o",'Needs 171007_1812'!D18:BU18)</f>
        <v/>
      </c>
      <c r="BX18" s="237" t="str">
        <f>sum_level("j",'Needs 171007_1812'!D18:BU18)</f>
        <v>12</v>
      </c>
      <c r="BY18" s="237" t="str">
        <f>sum_level("m",'Needs 171007_1812'!D18:BU18)</f>
        <v/>
      </c>
      <c r="BZ18" s="237" t="str">
        <f>sum_level("s",'Needs 171007_1812'!D18:BU18)</f>
        <v/>
      </c>
      <c r="CA18" s="238" t="str">
        <f>sum_level("e",'Needs 171007_1812'!D18:BU18)</f>
        <v/>
      </c>
    </row>
    <row r="19" spans="2:79" x14ac:dyDescent="0.25">
      <c r="B19" s="435"/>
      <c r="C19" s="291" t="s">
        <v>64</v>
      </c>
      <c r="D19" s="336"/>
      <c r="E19" s="337"/>
      <c r="F19" s="337"/>
      <c r="G19" s="337"/>
      <c r="H19" s="338"/>
      <c r="I19" s="336"/>
      <c r="J19" s="337"/>
      <c r="K19" s="337"/>
      <c r="L19" s="337"/>
      <c r="M19" s="338"/>
      <c r="N19" s="336"/>
      <c r="O19" s="337"/>
      <c r="P19" s="337"/>
      <c r="Q19" s="337"/>
      <c r="R19" s="338"/>
      <c r="S19" s="336"/>
      <c r="T19" s="337"/>
      <c r="U19" s="337"/>
      <c r="V19" s="337"/>
      <c r="W19" s="338"/>
      <c r="X19" s="336"/>
      <c r="Y19" s="337"/>
      <c r="Z19" s="337"/>
      <c r="AA19" s="337"/>
      <c r="AB19" s="338"/>
      <c r="AC19" s="336"/>
      <c r="AD19" s="337"/>
      <c r="AE19" s="337"/>
      <c r="AF19" s="337"/>
      <c r="AG19" s="338"/>
      <c r="AH19" s="336"/>
      <c r="AI19" s="337"/>
      <c r="AJ19" s="337"/>
      <c r="AK19" s="337"/>
      <c r="AL19" s="338"/>
      <c r="AM19" s="336"/>
      <c r="AN19" s="337"/>
      <c r="AO19" s="337"/>
      <c r="AP19" s="337"/>
      <c r="AQ19" s="338"/>
      <c r="AR19" s="336"/>
      <c r="AS19" s="337"/>
      <c r="AT19" s="337">
        <v>13</v>
      </c>
      <c r="AU19" s="337"/>
      <c r="AV19" s="338"/>
      <c r="AW19" s="336"/>
      <c r="AX19" s="337"/>
      <c r="AY19" s="337"/>
      <c r="AZ19" s="337"/>
      <c r="BA19" s="338"/>
      <c r="BB19" s="336"/>
      <c r="BC19" s="337"/>
      <c r="BD19" s="337"/>
      <c r="BE19" s="337"/>
      <c r="BF19" s="338"/>
      <c r="BG19" s="336"/>
      <c r="BH19" s="337"/>
      <c r="BI19" s="337"/>
      <c r="BJ19" s="337"/>
      <c r="BK19" s="338"/>
      <c r="BL19" s="336"/>
      <c r="BM19" s="337"/>
      <c r="BN19" s="337"/>
      <c r="BO19" s="337"/>
      <c r="BP19" s="338"/>
      <c r="BQ19" s="336"/>
      <c r="BR19" s="337"/>
      <c r="BS19" s="337"/>
      <c r="BT19" s="337"/>
      <c r="BU19" s="339"/>
      <c r="BW19" s="236" t="str">
        <f>sum_level("o",'Needs 171007_1812'!D19:BU19)</f>
        <v/>
      </c>
      <c r="BX19" s="237" t="str">
        <f>sum_level("j",'Needs 171007_1812'!D19:BU19)</f>
        <v/>
      </c>
      <c r="BY19" s="237" t="str">
        <f>sum_level("m",'Needs 171007_1812'!D19:BU19)</f>
        <v>13</v>
      </c>
      <c r="BZ19" s="237" t="str">
        <f>sum_level("s",'Needs 171007_1812'!D19:BU19)</f>
        <v/>
      </c>
      <c r="CA19" s="238" t="str">
        <f>sum_level("e",'Needs 171007_1812'!D19:BU19)</f>
        <v/>
      </c>
    </row>
    <row r="20" spans="2:79" x14ac:dyDescent="0.25">
      <c r="B20" s="435"/>
      <c r="C20" s="291" t="s">
        <v>65</v>
      </c>
      <c r="D20" s="336"/>
      <c r="E20" s="337"/>
      <c r="F20" s="337"/>
      <c r="G20" s="337"/>
      <c r="H20" s="338"/>
      <c r="I20" s="336"/>
      <c r="J20" s="337"/>
      <c r="K20" s="337"/>
      <c r="L20" s="337"/>
      <c r="M20" s="338"/>
      <c r="N20" s="336"/>
      <c r="O20" s="337"/>
      <c r="P20" s="337"/>
      <c r="Q20" s="337"/>
      <c r="R20" s="338"/>
      <c r="S20" s="336"/>
      <c r="T20" s="337"/>
      <c r="U20" s="337"/>
      <c r="V20" s="337"/>
      <c r="W20" s="338"/>
      <c r="X20" s="336"/>
      <c r="Y20" s="337"/>
      <c r="Z20" s="337"/>
      <c r="AA20" s="337"/>
      <c r="AB20" s="338"/>
      <c r="AC20" s="336"/>
      <c r="AD20" s="337"/>
      <c r="AE20" s="337"/>
      <c r="AF20" s="337"/>
      <c r="AG20" s="338"/>
      <c r="AH20" s="336"/>
      <c r="AI20" s="337"/>
      <c r="AJ20" s="337"/>
      <c r="AK20" s="337"/>
      <c r="AL20" s="338"/>
      <c r="AM20" s="336"/>
      <c r="AN20" s="337"/>
      <c r="AO20" s="337"/>
      <c r="AP20" s="337"/>
      <c r="AQ20" s="338"/>
      <c r="AR20" s="336"/>
      <c r="AS20" s="337"/>
      <c r="AT20" s="337"/>
      <c r="AU20" s="337">
        <v>14</v>
      </c>
      <c r="AV20" s="338"/>
      <c r="AW20" s="336"/>
      <c r="AX20" s="337"/>
      <c r="AY20" s="337"/>
      <c r="AZ20" s="337"/>
      <c r="BA20" s="338"/>
      <c r="BB20" s="336"/>
      <c r="BC20" s="337"/>
      <c r="BD20" s="337"/>
      <c r="BE20" s="337"/>
      <c r="BF20" s="338"/>
      <c r="BG20" s="336"/>
      <c r="BH20" s="337"/>
      <c r="BI20" s="337"/>
      <c r="BJ20" s="337"/>
      <c r="BK20" s="338"/>
      <c r="BL20" s="336"/>
      <c r="BM20" s="337"/>
      <c r="BN20" s="337"/>
      <c r="BO20" s="337"/>
      <c r="BP20" s="338"/>
      <c r="BQ20" s="336"/>
      <c r="BR20" s="337"/>
      <c r="BS20" s="337"/>
      <c r="BT20" s="337"/>
      <c r="BU20" s="339"/>
      <c r="BW20" s="236" t="str">
        <f>sum_level("o",'Needs 171007_1812'!D20:BU20)</f>
        <v/>
      </c>
      <c r="BX20" s="237" t="str">
        <f>sum_level("j",'Needs 171007_1812'!D20:BU20)</f>
        <v/>
      </c>
      <c r="BY20" s="237" t="str">
        <f>sum_level("m",'Needs 171007_1812'!D20:BU20)</f>
        <v/>
      </c>
      <c r="BZ20" s="237" t="str">
        <f>sum_level("s",'Needs 171007_1812'!D20:BU20)</f>
        <v>14</v>
      </c>
      <c r="CA20" s="238" t="str">
        <f>sum_level("e",'Needs 171007_1812'!D20:BU20)</f>
        <v/>
      </c>
    </row>
    <row r="21" spans="2:79" x14ac:dyDescent="0.25">
      <c r="B21" s="435"/>
      <c r="C21" s="291" t="s">
        <v>66</v>
      </c>
      <c r="D21" s="336"/>
      <c r="E21" s="337"/>
      <c r="F21" s="337"/>
      <c r="G21" s="337"/>
      <c r="H21" s="338"/>
      <c r="I21" s="336"/>
      <c r="J21" s="337"/>
      <c r="K21" s="337"/>
      <c r="L21" s="337"/>
      <c r="M21" s="338"/>
      <c r="N21" s="336"/>
      <c r="O21" s="337"/>
      <c r="P21" s="337"/>
      <c r="Q21" s="337"/>
      <c r="R21" s="338"/>
      <c r="S21" s="336"/>
      <c r="T21" s="337"/>
      <c r="U21" s="337"/>
      <c r="V21" s="337"/>
      <c r="W21" s="338"/>
      <c r="X21" s="336"/>
      <c r="Y21" s="337"/>
      <c r="Z21" s="337"/>
      <c r="AA21" s="337"/>
      <c r="AB21" s="338"/>
      <c r="AC21" s="336"/>
      <c r="AD21" s="337"/>
      <c r="AE21" s="337"/>
      <c r="AF21" s="337"/>
      <c r="AG21" s="338"/>
      <c r="AH21" s="336"/>
      <c r="AI21" s="337"/>
      <c r="AJ21" s="337"/>
      <c r="AK21" s="337"/>
      <c r="AL21" s="338"/>
      <c r="AM21" s="336"/>
      <c r="AN21" s="337"/>
      <c r="AO21" s="337"/>
      <c r="AP21" s="337"/>
      <c r="AQ21" s="338"/>
      <c r="AR21" s="336"/>
      <c r="AS21" s="337"/>
      <c r="AT21" s="337"/>
      <c r="AU21" s="337"/>
      <c r="AV21" s="338">
        <v>15</v>
      </c>
      <c r="AW21" s="336"/>
      <c r="AX21" s="337"/>
      <c r="AY21" s="337"/>
      <c r="AZ21" s="337"/>
      <c r="BA21" s="338"/>
      <c r="BB21" s="336"/>
      <c r="BC21" s="337"/>
      <c r="BD21" s="337"/>
      <c r="BE21" s="337"/>
      <c r="BF21" s="338"/>
      <c r="BG21" s="336"/>
      <c r="BH21" s="337"/>
      <c r="BI21" s="337"/>
      <c r="BJ21" s="337"/>
      <c r="BK21" s="338"/>
      <c r="BL21" s="336"/>
      <c r="BM21" s="337"/>
      <c r="BN21" s="337"/>
      <c r="BO21" s="337"/>
      <c r="BP21" s="338"/>
      <c r="BQ21" s="336"/>
      <c r="BR21" s="337"/>
      <c r="BS21" s="337"/>
      <c r="BT21" s="337"/>
      <c r="BU21" s="339"/>
      <c r="BW21" s="236" t="str">
        <f>sum_level("o",'Needs 171007_1812'!D21:BU21)</f>
        <v/>
      </c>
      <c r="BX21" s="237" t="str">
        <f>sum_level("j",'Needs 171007_1812'!D21:BU21)</f>
        <v/>
      </c>
      <c r="BY21" s="237" t="str">
        <f>sum_level("m",'Needs 171007_1812'!D21:BU21)</f>
        <v/>
      </c>
      <c r="BZ21" s="237" t="str">
        <f>sum_level("s",'Needs 171007_1812'!D21:BU21)</f>
        <v/>
      </c>
      <c r="CA21" s="238" t="str">
        <f>sum_level("e",'Needs 171007_1812'!D21:BU21)</f>
        <v>15</v>
      </c>
    </row>
    <row r="22" spans="2:79" x14ac:dyDescent="0.25">
      <c r="B22" s="435"/>
      <c r="C22" s="291" t="s">
        <v>67</v>
      </c>
      <c r="D22" s="336"/>
      <c r="E22" s="337"/>
      <c r="F22" s="337"/>
      <c r="G22" s="337"/>
      <c r="H22" s="338"/>
      <c r="I22" s="336"/>
      <c r="J22" s="337"/>
      <c r="K22" s="337"/>
      <c r="L22" s="337"/>
      <c r="M22" s="338"/>
      <c r="N22" s="336"/>
      <c r="O22" s="337"/>
      <c r="P22" s="337"/>
      <c r="Q22" s="337"/>
      <c r="R22" s="338"/>
      <c r="S22" s="336"/>
      <c r="T22" s="337"/>
      <c r="U22" s="337"/>
      <c r="V22" s="337"/>
      <c r="W22" s="338"/>
      <c r="X22" s="336"/>
      <c r="Y22" s="337"/>
      <c r="Z22" s="337"/>
      <c r="AA22" s="337"/>
      <c r="AB22" s="338"/>
      <c r="AC22" s="336"/>
      <c r="AD22" s="337"/>
      <c r="AE22" s="337"/>
      <c r="AF22" s="337"/>
      <c r="AG22" s="338"/>
      <c r="AH22" s="336"/>
      <c r="AI22" s="337"/>
      <c r="AJ22" s="337"/>
      <c r="AK22" s="337"/>
      <c r="AL22" s="338"/>
      <c r="AM22" s="336"/>
      <c r="AN22" s="337"/>
      <c r="AO22" s="337"/>
      <c r="AP22" s="337"/>
      <c r="AQ22" s="338"/>
      <c r="AR22" s="336"/>
      <c r="AS22" s="337"/>
      <c r="AT22" s="337"/>
      <c r="AU22" s="337"/>
      <c r="AV22" s="338"/>
      <c r="AW22" s="336"/>
      <c r="AX22" s="337"/>
      <c r="AY22" s="337"/>
      <c r="AZ22" s="337"/>
      <c r="BA22" s="338"/>
      <c r="BB22" s="336"/>
      <c r="BC22" s="337"/>
      <c r="BD22" s="337"/>
      <c r="BE22" s="337"/>
      <c r="BF22" s="338"/>
      <c r="BG22" s="336"/>
      <c r="BH22" s="337"/>
      <c r="BI22" s="337"/>
      <c r="BJ22" s="337"/>
      <c r="BK22" s="338"/>
      <c r="BL22" s="336"/>
      <c r="BM22" s="337"/>
      <c r="BN22" s="337"/>
      <c r="BO22" s="337"/>
      <c r="BP22" s="338"/>
      <c r="BQ22" s="336"/>
      <c r="BR22" s="337"/>
      <c r="BS22" s="337"/>
      <c r="BT22" s="337"/>
      <c r="BU22" s="339"/>
      <c r="BW22" s="236" t="str">
        <f>sum_level("o",'Needs 171007_1812'!D22:BU22)</f>
        <v/>
      </c>
      <c r="BX22" s="237" t="str">
        <f>sum_level("j",'Needs 171007_1812'!D22:BU22)</f>
        <v/>
      </c>
      <c r="BY22" s="237" t="str">
        <f>sum_level("m",'Needs 171007_1812'!D22:BU22)</f>
        <v/>
      </c>
      <c r="BZ22" s="237" t="str">
        <f>sum_level("s",'Needs 171007_1812'!D22:BU22)</f>
        <v/>
      </c>
      <c r="CA22" s="238" t="str">
        <f>sum_level("e",'Needs 171007_1812'!D22:BU22)</f>
        <v/>
      </c>
    </row>
    <row r="23" spans="2:79" x14ac:dyDescent="0.25">
      <c r="B23" s="435"/>
      <c r="C23" s="291" t="s">
        <v>68</v>
      </c>
      <c r="D23" s="336"/>
      <c r="E23" s="337"/>
      <c r="F23" s="337"/>
      <c r="G23" s="337"/>
      <c r="H23" s="338"/>
      <c r="I23" s="336"/>
      <c r="J23" s="337"/>
      <c r="K23" s="337"/>
      <c r="L23" s="337"/>
      <c r="M23" s="338"/>
      <c r="N23" s="336"/>
      <c r="O23" s="337"/>
      <c r="P23" s="337"/>
      <c r="Q23" s="337"/>
      <c r="R23" s="338"/>
      <c r="S23" s="336"/>
      <c r="T23" s="337"/>
      <c r="U23" s="337"/>
      <c r="V23" s="337"/>
      <c r="W23" s="338"/>
      <c r="X23" s="336"/>
      <c r="Y23" s="337"/>
      <c r="Z23" s="337"/>
      <c r="AA23" s="337"/>
      <c r="AB23" s="338"/>
      <c r="AC23" s="336"/>
      <c r="AD23" s="337"/>
      <c r="AE23" s="337"/>
      <c r="AF23" s="337"/>
      <c r="AG23" s="338"/>
      <c r="AH23" s="336"/>
      <c r="AI23" s="337"/>
      <c r="AJ23" s="337"/>
      <c r="AK23" s="337"/>
      <c r="AL23" s="338"/>
      <c r="AM23" s="336"/>
      <c r="AN23" s="337"/>
      <c r="AO23" s="337"/>
      <c r="AP23" s="337"/>
      <c r="AQ23" s="338"/>
      <c r="AR23" s="336"/>
      <c r="AS23" s="337"/>
      <c r="AT23" s="337"/>
      <c r="AU23" s="337"/>
      <c r="AV23" s="338"/>
      <c r="AW23" s="336"/>
      <c r="AX23" s="337"/>
      <c r="AY23" s="337"/>
      <c r="AZ23" s="337"/>
      <c r="BA23" s="338"/>
      <c r="BB23" s="336"/>
      <c r="BC23" s="337"/>
      <c r="BD23" s="337"/>
      <c r="BE23" s="337"/>
      <c r="BF23" s="338"/>
      <c r="BG23" s="336"/>
      <c r="BH23" s="337"/>
      <c r="BI23" s="337"/>
      <c r="BJ23" s="337"/>
      <c r="BK23" s="338"/>
      <c r="BL23" s="336"/>
      <c r="BM23" s="337"/>
      <c r="BN23" s="337"/>
      <c r="BO23" s="337"/>
      <c r="BP23" s="338"/>
      <c r="BQ23" s="336"/>
      <c r="BR23" s="337"/>
      <c r="BS23" s="337"/>
      <c r="BT23" s="337"/>
      <c r="BU23" s="339"/>
      <c r="BW23" s="236" t="str">
        <f>sum_level("o",'Needs 171007_1812'!D23:BU23)</f>
        <v/>
      </c>
      <c r="BX23" s="237" t="str">
        <f>sum_level("j",'Needs 171007_1812'!D23:BU23)</f>
        <v/>
      </c>
      <c r="BY23" s="237" t="str">
        <f>sum_level("m",'Needs 171007_1812'!D23:BU23)</f>
        <v/>
      </c>
      <c r="BZ23" s="237" t="str">
        <f>sum_level("s",'Needs 171007_1812'!D23:BU23)</f>
        <v/>
      </c>
      <c r="CA23" s="238" t="str">
        <f>sum_level("e",'Needs 171007_1812'!D23:BU23)</f>
        <v/>
      </c>
    </row>
    <row r="24" spans="2:79" x14ac:dyDescent="0.25">
      <c r="B24" s="435"/>
      <c r="C24" s="291" t="s">
        <v>69</v>
      </c>
      <c r="D24" s="336"/>
      <c r="E24" s="337"/>
      <c r="F24" s="337"/>
      <c r="G24" s="337"/>
      <c r="H24" s="338"/>
      <c r="I24" s="336"/>
      <c r="J24" s="337"/>
      <c r="K24" s="337"/>
      <c r="L24" s="337"/>
      <c r="M24" s="338"/>
      <c r="N24" s="336"/>
      <c r="O24" s="337"/>
      <c r="P24" s="337"/>
      <c r="Q24" s="337"/>
      <c r="R24" s="338"/>
      <c r="S24" s="336"/>
      <c r="T24" s="337"/>
      <c r="U24" s="337"/>
      <c r="V24" s="337"/>
      <c r="W24" s="338"/>
      <c r="X24" s="336"/>
      <c r="Y24" s="337"/>
      <c r="Z24" s="337"/>
      <c r="AA24" s="337"/>
      <c r="AB24" s="338"/>
      <c r="AC24" s="336"/>
      <c r="AD24" s="337"/>
      <c r="AE24" s="337"/>
      <c r="AF24" s="337"/>
      <c r="AG24" s="338"/>
      <c r="AH24" s="336"/>
      <c r="AI24" s="337"/>
      <c r="AJ24" s="337"/>
      <c r="AK24" s="337"/>
      <c r="AL24" s="338"/>
      <c r="AM24" s="336"/>
      <c r="AN24" s="337"/>
      <c r="AO24" s="337"/>
      <c r="AP24" s="337"/>
      <c r="AQ24" s="338"/>
      <c r="AR24" s="336"/>
      <c r="AS24" s="337"/>
      <c r="AT24" s="337"/>
      <c r="AU24" s="337"/>
      <c r="AV24" s="338"/>
      <c r="AW24" s="336"/>
      <c r="AX24" s="337"/>
      <c r="AY24" s="337"/>
      <c r="AZ24" s="337"/>
      <c r="BA24" s="338"/>
      <c r="BB24" s="336"/>
      <c r="BC24" s="337"/>
      <c r="BD24" s="337"/>
      <c r="BE24" s="337"/>
      <c r="BF24" s="338"/>
      <c r="BG24" s="336"/>
      <c r="BH24" s="337"/>
      <c r="BI24" s="337"/>
      <c r="BJ24" s="337"/>
      <c r="BK24" s="338"/>
      <c r="BL24" s="336"/>
      <c r="BM24" s="337"/>
      <c r="BN24" s="337"/>
      <c r="BO24" s="337"/>
      <c r="BP24" s="338"/>
      <c r="BQ24" s="336"/>
      <c r="BR24" s="337"/>
      <c r="BS24" s="337"/>
      <c r="BT24" s="337"/>
      <c r="BU24" s="339"/>
      <c r="BW24" s="236" t="str">
        <f>sum_level("o",'Needs 171007_1812'!D24:BU24)</f>
        <v/>
      </c>
      <c r="BX24" s="237" t="str">
        <f>sum_level("j",'Needs 171007_1812'!D24:BU24)</f>
        <v/>
      </c>
      <c r="BY24" s="237" t="str">
        <f>sum_level("m",'Needs 171007_1812'!D24:BU24)</f>
        <v/>
      </c>
      <c r="BZ24" s="237" t="str">
        <f>sum_level("s",'Needs 171007_1812'!D24:BU24)</f>
        <v/>
      </c>
      <c r="CA24" s="238" t="str">
        <f>sum_level("e",'Needs 171007_1812'!D24:BU24)</f>
        <v/>
      </c>
    </row>
    <row r="25" spans="2:79" ht="15.75" thickBot="1" x14ac:dyDescent="0.3">
      <c r="B25" s="435"/>
      <c r="C25" s="292" t="s">
        <v>75</v>
      </c>
      <c r="D25" s="340"/>
      <c r="E25" s="341"/>
      <c r="F25" s="341"/>
      <c r="G25" s="341"/>
      <c r="H25" s="342"/>
      <c r="I25" s="340"/>
      <c r="J25" s="341"/>
      <c r="K25" s="341"/>
      <c r="L25" s="341"/>
      <c r="M25" s="342"/>
      <c r="N25" s="340"/>
      <c r="O25" s="341"/>
      <c r="P25" s="341"/>
      <c r="Q25" s="341"/>
      <c r="R25" s="342"/>
      <c r="S25" s="340"/>
      <c r="T25" s="341"/>
      <c r="U25" s="341"/>
      <c r="V25" s="341"/>
      <c r="W25" s="342"/>
      <c r="X25" s="340"/>
      <c r="Y25" s="341"/>
      <c r="Z25" s="341"/>
      <c r="AA25" s="341"/>
      <c r="AB25" s="342"/>
      <c r="AC25" s="340"/>
      <c r="AD25" s="341"/>
      <c r="AE25" s="341"/>
      <c r="AF25" s="341"/>
      <c r="AG25" s="342"/>
      <c r="AH25" s="340"/>
      <c r="AI25" s="341"/>
      <c r="AJ25" s="341"/>
      <c r="AK25" s="341"/>
      <c r="AL25" s="342"/>
      <c r="AM25" s="340"/>
      <c r="AN25" s="341"/>
      <c r="AO25" s="341"/>
      <c r="AP25" s="341"/>
      <c r="AQ25" s="342"/>
      <c r="AR25" s="340"/>
      <c r="AS25" s="341"/>
      <c r="AT25" s="341"/>
      <c r="AU25" s="341"/>
      <c r="AV25" s="342"/>
      <c r="AW25" s="340"/>
      <c r="AX25" s="341"/>
      <c r="AY25" s="341"/>
      <c r="AZ25" s="341"/>
      <c r="BA25" s="342"/>
      <c r="BB25" s="340"/>
      <c r="BC25" s="341"/>
      <c r="BD25" s="341"/>
      <c r="BE25" s="341"/>
      <c r="BF25" s="342"/>
      <c r="BG25" s="340"/>
      <c r="BH25" s="341"/>
      <c r="BI25" s="341"/>
      <c r="BJ25" s="341"/>
      <c r="BK25" s="342"/>
      <c r="BL25" s="340"/>
      <c r="BM25" s="341"/>
      <c r="BN25" s="341"/>
      <c r="BO25" s="341"/>
      <c r="BP25" s="342"/>
      <c r="BQ25" s="340"/>
      <c r="BR25" s="341"/>
      <c r="BS25" s="341"/>
      <c r="BT25" s="341"/>
      <c r="BU25" s="343"/>
      <c r="BW25" s="239" t="str">
        <f>sum_level("o",'Needs 171007_1812'!D25:BU25)</f>
        <v/>
      </c>
      <c r="BX25" s="240" t="str">
        <f>sum_level("j",'Needs 171007_1812'!D25:BU25)</f>
        <v/>
      </c>
      <c r="BY25" s="240" t="str">
        <f>sum_level("m",'Needs 171007_1812'!D25:BU25)</f>
        <v/>
      </c>
      <c r="BZ25" s="240" t="str">
        <f>sum_level("s",'Needs 171007_1812'!D25:BU25)</f>
        <v/>
      </c>
      <c r="CA25" s="241" t="str">
        <f>sum_level("e",'Needs 171007_1812'!D25:BU25)</f>
        <v/>
      </c>
    </row>
    <row r="26" spans="2:79" ht="12.75" customHeight="1" thickTop="1" thickBot="1" x14ac:dyDescent="0.3">
      <c r="B26" s="436"/>
      <c r="C26" s="248"/>
      <c r="D26" s="344"/>
      <c r="E26" s="344"/>
      <c r="F26" s="344"/>
      <c r="G26" s="344"/>
      <c r="H26" s="344"/>
      <c r="I26" s="344"/>
      <c r="J26" s="344"/>
      <c r="K26" s="344"/>
      <c r="L26" s="344"/>
      <c r="M26" s="344"/>
      <c r="N26" s="344"/>
      <c r="O26" s="344"/>
      <c r="P26" s="344"/>
      <c r="Q26" s="344"/>
      <c r="R26" s="344"/>
      <c r="S26" s="344"/>
      <c r="T26" s="344"/>
      <c r="U26" s="344"/>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344"/>
      <c r="AW26" s="344"/>
      <c r="AX26" s="344"/>
      <c r="AY26" s="344"/>
      <c r="AZ26" s="344"/>
      <c r="BA26" s="344"/>
      <c r="BB26" s="344"/>
      <c r="BC26" s="344"/>
      <c r="BD26" s="344"/>
      <c r="BE26" s="344"/>
      <c r="BF26" s="344"/>
      <c r="BG26" s="344"/>
      <c r="BH26" s="344"/>
      <c r="BI26" s="344"/>
      <c r="BJ26" s="344"/>
      <c r="BK26" s="344"/>
      <c r="BL26" s="344"/>
      <c r="BM26" s="344"/>
      <c r="BN26" s="344"/>
      <c r="BO26" s="344"/>
      <c r="BP26" s="344"/>
      <c r="BQ26" s="344"/>
      <c r="BR26" s="344"/>
      <c r="BS26" s="344"/>
      <c r="BT26" s="344"/>
      <c r="BU26" s="344"/>
      <c r="BW26" s="249"/>
      <c r="BX26" s="249"/>
      <c r="BY26" s="249"/>
      <c r="BZ26" s="249"/>
      <c r="CA26" s="249"/>
    </row>
    <row r="27" spans="2:79" ht="15.75" thickTop="1" x14ac:dyDescent="0.25">
      <c r="B27" s="434" t="s">
        <v>70</v>
      </c>
      <c r="C27" s="290" t="s">
        <v>71</v>
      </c>
      <c r="D27" s="332"/>
      <c r="E27" s="333"/>
      <c r="F27" s="333"/>
      <c r="G27" s="333"/>
      <c r="H27" s="334"/>
      <c r="I27" s="332"/>
      <c r="J27" s="333"/>
      <c r="K27" s="333"/>
      <c r="L27" s="333"/>
      <c r="M27" s="334"/>
      <c r="N27" s="332"/>
      <c r="O27" s="333"/>
      <c r="P27" s="333"/>
      <c r="Q27" s="333"/>
      <c r="R27" s="334"/>
      <c r="S27" s="332"/>
      <c r="T27" s="333"/>
      <c r="U27" s="333"/>
      <c r="V27" s="333"/>
      <c r="W27" s="334"/>
      <c r="X27" s="332"/>
      <c r="Y27" s="333"/>
      <c r="Z27" s="333"/>
      <c r="AA27" s="333"/>
      <c r="AB27" s="334"/>
      <c r="AC27" s="332"/>
      <c r="AD27" s="333"/>
      <c r="AE27" s="333"/>
      <c r="AF27" s="333"/>
      <c r="AG27" s="334"/>
      <c r="AH27" s="332"/>
      <c r="AI27" s="333"/>
      <c r="AJ27" s="333"/>
      <c r="AK27" s="333"/>
      <c r="AL27" s="334"/>
      <c r="AM27" s="332"/>
      <c r="AN27" s="333"/>
      <c r="AO27" s="333"/>
      <c r="AP27" s="333"/>
      <c r="AQ27" s="334"/>
      <c r="AR27" s="332"/>
      <c r="AS27" s="333"/>
      <c r="AT27" s="333"/>
      <c r="AU27" s="333"/>
      <c r="AV27" s="334"/>
      <c r="AW27" s="332">
        <v>16</v>
      </c>
      <c r="AX27" s="333"/>
      <c r="AY27" s="333"/>
      <c r="AZ27" s="333"/>
      <c r="BA27" s="334"/>
      <c r="BB27" s="332"/>
      <c r="BC27" s="333"/>
      <c r="BD27" s="333"/>
      <c r="BE27" s="333"/>
      <c r="BF27" s="334"/>
      <c r="BG27" s="332"/>
      <c r="BH27" s="333"/>
      <c r="BI27" s="333"/>
      <c r="BJ27" s="333"/>
      <c r="BK27" s="334"/>
      <c r="BL27" s="332"/>
      <c r="BM27" s="333"/>
      <c r="BN27" s="333"/>
      <c r="BO27" s="333"/>
      <c r="BP27" s="334"/>
      <c r="BQ27" s="332"/>
      <c r="BR27" s="333"/>
      <c r="BS27" s="333"/>
      <c r="BT27" s="333"/>
      <c r="BU27" s="335"/>
      <c r="BW27" s="233" t="str">
        <f>sum_level("o",'Needs 171007_1812'!D27:BU27)</f>
        <v>16</v>
      </c>
      <c r="BX27" s="234" t="str">
        <f>sum_level("j",'Needs 171007_1812'!D27:BU27)</f>
        <v/>
      </c>
      <c r="BY27" s="234" t="str">
        <f>sum_level("m",'Needs 171007_1812'!D27:BU27)</f>
        <v/>
      </c>
      <c r="BZ27" s="234" t="str">
        <f>sum_level("s",'Needs 171007_1812'!D27:BU27)</f>
        <v/>
      </c>
      <c r="CA27" s="235" t="str">
        <f>sum_level("e",'Needs 171007_1812'!D27:BU27)</f>
        <v/>
      </c>
    </row>
    <row r="28" spans="2:79" x14ac:dyDescent="0.25">
      <c r="B28" s="435"/>
      <c r="C28" s="291" t="s">
        <v>72</v>
      </c>
      <c r="D28" s="336"/>
      <c r="E28" s="337"/>
      <c r="F28" s="337"/>
      <c r="G28" s="337"/>
      <c r="H28" s="338"/>
      <c r="I28" s="336"/>
      <c r="J28" s="337"/>
      <c r="K28" s="337"/>
      <c r="L28" s="337"/>
      <c r="M28" s="338"/>
      <c r="N28" s="336"/>
      <c r="O28" s="337"/>
      <c r="P28" s="337"/>
      <c r="Q28" s="337"/>
      <c r="R28" s="338"/>
      <c r="S28" s="336"/>
      <c r="T28" s="337"/>
      <c r="U28" s="337"/>
      <c r="V28" s="337"/>
      <c r="W28" s="338"/>
      <c r="X28" s="336"/>
      <c r="Y28" s="337"/>
      <c r="Z28" s="337"/>
      <c r="AA28" s="337"/>
      <c r="AB28" s="338"/>
      <c r="AC28" s="336"/>
      <c r="AD28" s="337"/>
      <c r="AE28" s="337"/>
      <c r="AF28" s="337"/>
      <c r="AG28" s="338"/>
      <c r="AH28" s="336"/>
      <c r="AI28" s="337"/>
      <c r="AJ28" s="337"/>
      <c r="AK28" s="337"/>
      <c r="AL28" s="338"/>
      <c r="AM28" s="336"/>
      <c r="AN28" s="337"/>
      <c r="AO28" s="337"/>
      <c r="AP28" s="337"/>
      <c r="AQ28" s="338"/>
      <c r="AR28" s="336"/>
      <c r="AS28" s="337"/>
      <c r="AT28" s="337"/>
      <c r="AU28" s="337"/>
      <c r="AV28" s="338"/>
      <c r="AW28" s="336"/>
      <c r="AX28" s="337">
        <v>17</v>
      </c>
      <c r="AY28" s="337"/>
      <c r="AZ28" s="337"/>
      <c r="BA28" s="338"/>
      <c r="BB28" s="336"/>
      <c r="BC28" s="337"/>
      <c r="BD28" s="337"/>
      <c r="BE28" s="337"/>
      <c r="BF28" s="338"/>
      <c r="BG28" s="336"/>
      <c r="BH28" s="337"/>
      <c r="BI28" s="337"/>
      <c r="BJ28" s="337"/>
      <c r="BK28" s="338"/>
      <c r="BL28" s="336"/>
      <c r="BM28" s="337"/>
      <c r="BN28" s="337"/>
      <c r="BO28" s="337"/>
      <c r="BP28" s="338"/>
      <c r="BQ28" s="336"/>
      <c r="BR28" s="337"/>
      <c r="BS28" s="337"/>
      <c r="BT28" s="337"/>
      <c r="BU28" s="339"/>
      <c r="BW28" s="236" t="str">
        <f>sum_level("o",'Needs 171007_1812'!D28:BU28)</f>
        <v/>
      </c>
      <c r="BX28" s="237" t="str">
        <f>sum_level("j",'Needs 171007_1812'!D28:BU28)</f>
        <v>17</v>
      </c>
      <c r="BY28" s="237" t="str">
        <f>sum_level("m",'Needs 171007_1812'!D28:BU28)</f>
        <v/>
      </c>
      <c r="BZ28" s="237" t="str">
        <f>sum_level("s",'Needs 171007_1812'!D28:BU28)</f>
        <v/>
      </c>
      <c r="CA28" s="238" t="str">
        <f>sum_level("e",'Needs 171007_1812'!D28:BU28)</f>
        <v/>
      </c>
    </row>
    <row r="29" spans="2:79" x14ac:dyDescent="0.25">
      <c r="B29" s="435"/>
      <c r="C29" s="291" t="s">
        <v>73</v>
      </c>
      <c r="D29" s="336"/>
      <c r="E29" s="337"/>
      <c r="F29" s="337"/>
      <c r="G29" s="337"/>
      <c r="H29" s="338"/>
      <c r="I29" s="336"/>
      <c r="J29" s="337"/>
      <c r="K29" s="337"/>
      <c r="L29" s="337"/>
      <c r="M29" s="338"/>
      <c r="N29" s="336"/>
      <c r="O29" s="337"/>
      <c r="P29" s="337"/>
      <c r="Q29" s="337"/>
      <c r="R29" s="338"/>
      <c r="S29" s="336"/>
      <c r="T29" s="337"/>
      <c r="U29" s="337"/>
      <c r="V29" s="337"/>
      <c r="W29" s="338"/>
      <c r="X29" s="336"/>
      <c r="Y29" s="337"/>
      <c r="Z29" s="337"/>
      <c r="AA29" s="337"/>
      <c r="AB29" s="338"/>
      <c r="AC29" s="336"/>
      <c r="AD29" s="337"/>
      <c r="AE29" s="337"/>
      <c r="AF29" s="337"/>
      <c r="AG29" s="338"/>
      <c r="AH29" s="336"/>
      <c r="AI29" s="337"/>
      <c r="AJ29" s="337"/>
      <c r="AK29" s="337"/>
      <c r="AL29" s="338"/>
      <c r="AM29" s="336"/>
      <c r="AN29" s="337"/>
      <c r="AO29" s="337"/>
      <c r="AP29" s="337"/>
      <c r="AQ29" s="338"/>
      <c r="AR29" s="336"/>
      <c r="AS29" s="337"/>
      <c r="AT29" s="337"/>
      <c r="AU29" s="337"/>
      <c r="AV29" s="338"/>
      <c r="AW29" s="336"/>
      <c r="AX29" s="337"/>
      <c r="AY29" s="337">
        <v>18</v>
      </c>
      <c r="AZ29" s="337"/>
      <c r="BA29" s="338"/>
      <c r="BB29" s="336"/>
      <c r="BC29" s="337"/>
      <c r="BD29" s="337"/>
      <c r="BE29" s="337"/>
      <c r="BF29" s="338"/>
      <c r="BG29" s="336"/>
      <c r="BH29" s="337"/>
      <c r="BI29" s="337"/>
      <c r="BJ29" s="337"/>
      <c r="BK29" s="338"/>
      <c r="BL29" s="336"/>
      <c r="BM29" s="337"/>
      <c r="BN29" s="337"/>
      <c r="BO29" s="337"/>
      <c r="BP29" s="338"/>
      <c r="BQ29" s="336"/>
      <c r="BR29" s="337"/>
      <c r="BS29" s="337"/>
      <c r="BT29" s="337"/>
      <c r="BU29" s="339"/>
      <c r="BW29" s="236" t="str">
        <f>sum_level("o",'Needs 171007_1812'!D29:BU29)</f>
        <v/>
      </c>
      <c r="BX29" s="237" t="str">
        <f>sum_level("j",'Needs 171007_1812'!D29:BU29)</f>
        <v/>
      </c>
      <c r="BY29" s="237" t="str">
        <f>sum_level("m",'Needs 171007_1812'!D29:BU29)</f>
        <v>18</v>
      </c>
      <c r="BZ29" s="237" t="str">
        <f>sum_level("s",'Needs 171007_1812'!D29:BU29)</f>
        <v/>
      </c>
      <c r="CA29" s="238" t="str">
        <f>sum_level("e",'Needs 171007_1812'!D29:BU29)</f>
        <v/>
      </c>
    </row>
    <row r="30" spans="2:79" x14ac:dyDescent="0.25">
      <c r="B30" s="435"/>
      <c r="C30" s="291" t="s">
        <v>74</v>
      </c>
      <c r="D30" s="336"/>
      <c r="E30" s="337"/>
      <c r="F30" s="337"/>
      <c r="G30" s="337"/>
      <c r="H30" s="338"/>
      <c r="I30" s="336"/>
      <c r="J30" s="337"/>
      <c r="K30" s="337"/>
      <c r="L30" s="337"/>
      <c r="M30" s="338"/>
      <c r="N30" s="336"/>
      <c r="O30" s="337"/>
      <c r="P30" s="337"/>
      <c r="Q30" s="337"/>
      <c r="R30" s="338"/>
      <c r="S30" s="336"/>
      <c r="T30" s="337"/>
      <c r="U30" s="337"/>
      <c r="V30" s="337"/>
      <c r="W30" s="338"/>
      <c r="X30" s="336"/>
      <c r="Y30" s="337"/>
      <c r="Z30" s="337"/>
      <c r="AA30" s="337"/>
      <c r="AB30" s="338"/>
      <c r="AC30" s="336"/>
      <c r="AD30" s="337"/>
      <c r="AE30" s="337"/>
      <c r="AF30" s="337"/>
      <c r="AG30" s="338"/>
      <c r="AH30" s="336"/>
      <c r="AI30" s="337"/>
      <c r="AJ30" s="337"/>
      <c r="AK30" s="337"/>
      <c r="AL30" s="338"/>
      <c r="AM30" s="336"/>
      <c r="AN30" s="337"/>
      <c r="AO30" s="337"/>
      <c r="AP30" s="337"/>
      <c r="AQ30" s="338"/>
      <c r="AR30" s="336"/>
      <c r="AS30" s="337"/>
      <c r="AT30" s="337"/>
      <c r="AU30" s="337"/>
      <c r="AV30" s="338"/>
      <c r="AW30" s="336"/>
      <c r="AX30" s="337"/>
      <c r="AY30" s="337"/>
      <c r="AZ30" s="337">
        <v>19</v>
      </c>
      <c r="BA30" s="338"/>
      <c r="BB30" s="336"/>
      <c r="BC30" s="337"/>
      <c r="BD30" s="337"/>
      <c r="BE30" s="337"/>
      <c r="BF30" s="338"/>
      <c r="BG30" s="336"/>
      <c r="BH30" s="337"/>
      <c r="BI30" s="337"/>
      <c r="BJ30" s="337"/>
      <c r="BK30" s="338"/>
      <c r="BL30" s="336"/>
      <c r="BM30" s="337"/>
      <c r="BN30" s="337"/>
      <c r="BO30" s="337"/>
      <c r="BP30" s="338"/>
      <c r="BQ30" s="336"/>
      <c r="BR30" s="337"/>
      <c r="BS30" s="337"/>
      <c r="BT30" s="337"/>
      <c r="BU30" s="339"/>
      <c r="BW30" s="236" t="str">
        <f>sum_level("o",'Needs 171007_1812'!D30:BU30)</f>
        <v/>
      </c>
      <c r="BX30" s="237" t="str">
        <f>sum_level("j",'Needs 171007_1812'!D30:BU30)</f>
        <v/>
      </c>
      <c r="BY30" s="237" t="str">
        <f>sum_level("m",'Needs 171007_1812'!D30:BU30)</f>
        <v/>
      </c>
      <c r="BZ30" s="237" t="str">
        <f>sum_level("s",'Needs 171007_1812'!D30:BU30)</f>
        <v>19</v>
      </c>
      <c r="CA30" s="238" t="str">
        <f>sum_level("e",'Needs 171007_1812'!D30:BU30)</f>
        <v/>
      </c>
    </row>
    <row r="31" spans="2:79" x14ac:dyDescent="0.25">
      <c r="B31" s="435"/>
      <c r="C31" s="291" t="s">
        <v>76</v>
      </c>
      <c r="D31" s="336"/>
      <c r="E31" s="337"/>
      <c r="F31" s="337"/>
      <c r="G31" s="337"/>
      <c r="H31" s="338"/>
      <c r="I31" s="336"/>
      <c r="J31" s="337"/>
      <c r="K31" s="337"/>
      <c r="L31" s="337"/>
      <c r="M31" s="338"/>
      <c r="N31" s="336"/>
      <c r="O31" s="337"/>
      <c r="P31" s="337"/>
      <c r="Q31" s="337"/>
      <c r="R31" s="338"/>
      <c r="S31" s="336"/>
      <c r="T31" s="337"/>
      <c r="U31" s="337"/>
      <c r="V31" s="337"/>
      <c r="W31" s="338"/>
      <c r="X31" s="336"/>
      <c r="Y31" s="337"/>
      <c r="Z31" s="337"/>
      <c r="AA31" s="337"/>
      <c r="AB31" s="338"/>
      <c r="AC31" s="336"/>
      <c r="AD31" s="337"/>
      <c r="AE31" s="337"/>
      <c r="AF31" s="337"/>
      <c r="AG31" s="338"/>
      <c r="AH31" s="336"/>
      <c r="AI31" s="337"/>
      <c r="AJ31" s="337"/>
      <c r="AK31" s="337"/>
      <c r="AL31" s="338"/>
      <c r="AM31" s="336"/>
      <c r="AN31" s="337"/>
      <c r="AO31" s="337"/>
      <c r="AP31" s="337"/>
      <c r="AQ31" s="338"/>
      <c r="AR31" s="336"/>
      <c r="AS31" s="337"/>
      <c r="AT31" s="337"/>
      <c r="AU31" s="337"/>
      <c r="AV31" s="338"/>
      <c r="AW31" s="336"/>
      <c r="AX31" s="337"/>
      <c r="AY31" s="337"/>
      <c r="AZ31" s="337"/>
      <c r="BA31" s="338">
        <v>20</v>
      </c>
      <c r="BB31" s="336"/>
      <c r="BC31" s="337"/>
      <c r="BD31" s="337"/>
      <c r="BE31" s="337"/>
      <c r="BF31" s="338"/>
      <c r="BG31" s="336"/>
      <c r="BH31" s="337"/>
      <c r="BI31" s="337"/>
      <c r="BJ31" s="337"/>
      <c r="BK31" s="338"/>
      <c r="BL31" s="336"/>
      <c r="BM31" s="337"/>
      <c r="BN31" s="337"/>
      <c r="BO31" s="337"/>
      <c r="BP31" s="338"/>
      <c r="BQ31" s="336"/>
      <c r="BR31" s="337"/>
      <c r="BS31" s="337"/>
      <c r="BT31" s="337"/>
      <c r="BU31" s="339"/>
      <c r="BW31" s="236" t="str">
        <f>sum_level("o",'Needs 171007_1812'!D31:BU31)</f>
        <v/>
      </c>
      <c r="BX31" s="237" t="str">
        <f>sum_level("j",'Needs 171007_1812'!D31:BU31)</f>
        <v/>
      </c>
      <c r="BY31" s="237" t="str">
        <f>sum_level("m",'Needs 171007_1812'!D31:BU31)</f>
        <v/>
      </c>
      <c r="BZ31" s="237" t="str">
        <f>sum_level("s",'Needs 171007_1812'!D31:BU31)</f>
        <v/>
      </c>
      <c r="CA31" s="238" t="str">
        <f>sum_level("e",'Needs 171007_1812'!D31:BU31)</f>
        <v>20</v>
      </c>
    </row>
    <row r="32" spans="2:79" x14ac:dyDescent="0.25">
      <c r="B32" s="435"/>
      <c r="C32" s="291" t="s">
        <v>77</v>
      </c>
      <c r="D32" s="336"/>
      <c r="E32" s="337"/>
      <c r="F32" s="337"/>
      <c r="G32" s="337"/>
      <c r="H32" s="338"/>
      <c r="I32" s="336"/>
      <c r="J32" s="337"/>
      <c r="K32" s="337"/>
      <c r="L32" s="337"/>
      <c r="M32" s="338"/>
      <c r="N32" s="336"/>
      <c r="O32" s="337"/>
      <c r="P32" s="337"/>
      <c r="Q32" s="337"/>
      <c r="R32" s="338"/>
      <c r="S32" s="336"/>
      <c r="T32" s="337"/>
      <c r="U32" s="337"/>
      <c r="V32" s="337"/>
      <c r="W32" s="338"/>
      <c r="X32" s="336"/>
      <c r="Y32" s="337"/>
      <c r="Z32" s="337"/>
      <c r="AA32" s="337"/>
      <c r="AB32" s="338"/>
      <c r="AC32" s="336"/>
      <c r="AD32" s="337"/>
      <c r="AE32" s="337"/>
      <c r="AF32" s="337"/>
      <c r="AG32" s="338"/>
      <c r="AH32" s="336"/>
      <c r="AI32" s="337"/>
      <c r="AJ32" s="337"/>
      <c r="AK32" s="337"/>
      <c r="AL32" s="338"/>
      <c r="AM32" s="336"/>
      <c r="AN32" s="337"/>
      <c r="AO32" s="337"/>
      <c r="AP32" s="337"/>
      <c r="AQ32" s="338"/>
      <c r="AR32" s="336"/>
      <c r="AS32" s="337"/>
      <c r="AT32" s="337"/>
      <c r="AU32" s="337"/>
      <c r="AV32" s="338"/>
      <c r="AW32" s="336"/>
      <c r="AX32" s="337"/>
      <c r="AY32" s="337"/>
      <c r="AZ32" s="337"/>
      <c r="BA32" s="338"/>
      <c r="BB32" s="336"/>
      <c r="BC32" s="337"/>
      <c r="BD32" s="337"/>
      <c r="BE32" s="337"/>
      <c r="BF32" s="338"/>
      <c r="BG32" s="336"/>
      <c r="BH32" s="337"/>
      <c r="BI32" s="337"/>
      <c r="BJ32" s="337"/>
      <c r="BK32" s="338"/>
      <c r="BL32" s="336"/>
      <c r="BM32" s="337"/>
      <c r="BN32" s="337"/>
      <c r="BO32" s="337"/>
      <c r="BP32" s="338"/>
      <c r="BQ32" s="336"/>
      <c r="BR32" s="337"/>
      <c r="BS32" s="337"/>
      <c r="BT32" s="337"/>
      <c r="BU32" s="339"/>
      <c r="BW32" s="236" t="str">
        <f>sum_level("o",'Needs 171007_1812'!D32:BU32)</f>
        <v/>
      </c>
      <c r="BX32" s="237" t="str">
        <f>sum_level("j",'Needs 171007_1812'!D32:BU32)</f>
        <v/>
      </c>
      <c r="BY32" s="237" t="str">
        <f>sum_level("m",'Needs 171007_1812'!D32:BU32)</f>
        <v/>
      </c>
      <c r="BZ32" s="237" t="str">
        <f>sum_level("s",'Needs 171007_1812'!D32:BU32)</f>
        <v/>
      </c>
      <c r="CA32" s="238" t="str">
        <f>sum_level("e",'Needs 171007_1812'!D32:BU32)</f>
        <v/>
      </c>
    </row>
    <row r="33" spans="2:79" x14ac:dyDescent="0.25">
      <c r="B33" s="435"/>
      <c r="C33" s="291" t="s">
        <v>78</v>
      </c>
      <c r="D33" s="336"/>
      <c r="E33" s="337"/>
      <c r="F33" s="337"/>
      <c r="G33" s="337"/>
      <c r="H33" s="338"/>
      <c r="I33" s="336"/>
      <c r="J33" s="337"/>
      <c r="K33" s="337"/>
      <c r="L33" s="337"/>
      <c r="M33" s="338"/>
      <c r="N33" s="336"/>
      <c r="O33" s="337"/>
      <c r="P33" s="337"/>
      <c r="Q33" s="337"/>
      <c r="R33" s="338"/>
      <c r="S33" s="336"/>
      <c r="T33" s="337"/>
      <c r="U33" s="337"/>
      <c r="V33" s="337"/>
      <c r="W33" s="338"/>
      <c r="X33" s="336"/>
      <c r="Y33" s="337"/>
      <c r="Z33" s="337"/>
      <c r="AA33" s="337"/>
      <c r="AB33" s="338"/>
      <c r="AC33" s="336"/>
      <c r="AD33" s="337"/>
      <c r="AE33" s="337"/>
      <c r="AF33" s="337"/>
      <c r="AG33" s="338"/>
      <c r="AH33" s="336"/>
      <c r="AI33" s="337"/>
      <c r="AJ33" s="337"/>
      <c r="AK33" s="337"/>
      <c r="AL33" s="338"/>
      <c r="AM33" s="336"/>
      <c r="AN33" s="337"/>
      <c r="AO33" s="337"/>
      <c r="AP33" s="337"/>
      <c r="AQ33" s="338"/>
      <c r="AR33" s="336"/>
      <c r="AS33" s="337"/>
      <c r="AT33" s="337"/>
      <c r="AU33" s="337"/>
      <c r="AV33" s="338"/>
      <c r="AW33" s="336"/>
      <c r="AX33" s="337"/>
      <c r="AY33" s="337"/>
      <c r="AZ33" s="337"/>
      <c r="BA33" s="338"/>
      <c r="BB33" s="336"/>
      <c r="BC33" s="337"/>
      <c r="BD33" s="337"/>
      <c r="BE33" s="337"/>
      <c r="BF33" s="338"/>
      <c r="BG33" s="336"/>
      <c r="BH33" s="337"/>
      <c r="BI33" s="337"/>
      <c r="BJ33" s="337"/>
      <c r="BK33" s="338"/>
      <c r="BL33" s="336"/>
      <c r="BM33" s="337"/>
      <c r="BN33" s="337"/>
      <c r="BO33" s="337"/>
      <c r="BP33" s="338"/>
      <c r="BQ33" s="336"/>
      <c r="BR33" s="337"/>
      <c r="BS33" s="337"/>
      <c r="BT33" s="337"/>
      <c r="BU33" s="339"/>
      <c r="BW33" s="236" t="str">
        <f>sum_level("o",'Needs 171007_1812'!D33:BU33)</f>
        <v/>
      </c>
      <c r="BX33" s="237" t="str">
        <f>sum_level("j",'Needs 171007_1812'!D33:BU33)</f>
        <v/>
      </c>
      <c r="BY33" s="237" t="str">
        <f>sum_level("m",'Needs 171007_1812'!D33:BU33)</f>
        <v/>
      </c>
      <c r="BZ33" s="237" t="str">
        <f>sum_level("s",'Needs 171007_1812'!D33:BU33)</f>
        <v/>
      </c>
      <c r="CA33" s="238" t="str">
        <f>sum_level("e",'Needs 171007_1812'!D33:BU33)</f>
        <v/>
      </c>
    </row>
    <row r="34" spans="2:79" x14ac:dyDescent="0.25">
      <c r="B34" s="435"/>
      <c r="C34" s="291" t="s">
        <v>79</v>
      </c>
      <c r="D34" s="336"/>
      <c r="E34" s="337"/>
      <c r="F34" s="337"/>
      <c r="G34" s="337"/>
      <c r="H34" s="338"/>
      <c r="I34" s="336"/>
      <c r="J34" s="337"/>
      <c r="K34" s="337"/>
      <c r="L34" s="337"/>
      <c r="M34" s="338"/>
      <c r="N34" s="336"/>
      <c r="O34" s="337"/>
      <c r="P34" s="337"/>
      <c r="Q34" s="337"/>
      <c r="R34" s="338"/>
      <c r="S34" s="336"/>
      <c r="T34" s="337"/>
      <c r="U34" s="337"/>
      <c r="V34" s="337"/>
      <c r="W34" s="338"/>
      <c r="X34" s="336"/>
      <c r="Y34" s="337"/>
      <c r="Z34" s="337"/>
      <c r="AA34" s="337"/>
      <c r="AB34" s="338"/>
      <c r="AC34" s="336"/>
      <c r="AD34" s="337"/>
      <c r="AE34" s="337"/>
      <c r="AF34" s="337"/>
      <c r="AG34" s="338"/>
      <c r="AH34" s="336"/>
      <c r="AI34" s="337"/>
      <c r="AJ34" s="337"/>
      <c r="AK34" s="337"/>
      <c r="AL34" s="338"/>
      <c r="AM34" s="336"/>
      <c r="AN34" s="337"/>
      <c r="AO34" s="337"/>
      <c r="AP34" s="337"/>
      <c r="AQ34" s="338"/>
      <c r="AR34" s="336"/>
      <c r="AS34" s="337"/>
      <c r="AT34" s="337"/>
      <c r="AU34" s="337"/>
      <c r="AV34" s="338"/>
      <c r="AW34" s="336"/>
      <c r="AX34" s="337"/>
      <c r="AY34" s="337"/>
      <c r="AZ34" s="337"/>
      <c r="BA34" s="338"/>
      <c r="BB34" s="336"/>
      <c r="BC34" s="337"/>
      <c r="BD34" s="337"/>
      <c r="BE34" s="337"/>
      <c r="BF34" s="338"/>
      <c r="BG34" s="336"/>
      <c r="BH34" s="337"/>
      <c r="BI34" s="337"/>
      <c r="BJ34" s="337"/>
      <c r="BK34" s="338"/>
      <c r="BL34" s="336"/>
      <c r="BM34" s="337"/>
      <c r="BN34" s="337"/>
      <c r="BO34" s="337"/>
      <c r="BP34" s="338"/>
      <c r="BQ34" s="336"/>
      <c r="BR34" s="337"/>
      <c r="BS34" s="337"/>
      <c r="BT34" s="337"/>
      <c r="BU34" s="339"/>
      <c r="BW34" s="236" t="str">
        <f>sum_level("o",'Needs 171007_1812'!D34:BU34)</f>
        <v/>
      </c>
      <c r="BX34" s="237" t="str">
        <f>sum_level("j",'Needs 171007_1812'!D34:BU34)</f>
        <v/>
      </c>
      <c r="BY34" s="237" t="str">
        <f>sum_level("m",'Needs 171007_1812'!D34:BU34)</f>
        <v/>
      </c>
      <c r="BZ34" s="237" t="str">
        <f>sum_level("s",'Needs 171007_1812'!D34:BU34)</f>
        <v/>
      </c>
      <c r="CA34" s="238" t="str">
        <f>sum_level("e",'Needs 171007_1812'!D34:BU34)</f>
        <v/>
      </c>
    </row>
    <row r="35" spans="2:79" x14ac:dyDescent="0.25">
      <c r="B35" s="435"/>
      <c r="C35" s="291" t="s">
        <v>80</v>
      </c>
      <c r="D35" s="336"/>
      <c r="E35" s="337"/>
      <c r="F35" s="337"/>
      <c r="G35" s="337"/>
      <c r="H35" s="338"/>
      <c r="I35" s="336"/>
      <c r="J35" s="337"/>
      <c r="K35" s="337"/>
      <c r="L35" s="337"/>
      <c r="M35" s="338"/>
      <c r="N35" s="336"/>
      <c r="O35" s="337"/>
      <c r="P35" s="337"/>
      <c r="Q35" s="337"/>
      <c r="R35" s="338"/>
      <c r="S35" s="336"/>
      <c r="T35" s="337"/>
      <c r="U35" s="337"/>
      <c r="V35" s="337"/>
      <c r="W35" s="338"/>
      <c r="X35" s="336"/>
      <c r="Y35" s="337"/>
      <c r="Z35" s="337"/>
      <c r="AA35" s="337"/>
      <c r="AB35" s="338"/>
      <c r="AC35" s="336"/>
      <c r="AD35" s="337"/>
      <c r="AE35" s="337"/>
      <c r="AF35" s="337"/>
      <c r="AG35" s="338"/>
      <c r="AH35" s="336"/>
      <c r="AI35" s="337"/>
      <c r="AJ35" s="337"/>
      <c r="AK35" s="337"/>
      <c r="AL35" s="338"/>
      <c r="AM35" s="336"/>
      <c r="AN35" s="337"/>
      <c r="AO35" s="337"/>
      <c r="AP35" s="337"/>
      <c r="AQ35" s="338"/>
      <c r="AR35" s="336"/>
      <c r="AS35" s="337"/>
      <c r="AT35" s="337"/>
      <c r="AU35" s="337"/>
      <c r="AV35" s="338"/>
      <c r="AW35" s="336"/>
      <c r="AX35" s="337"/>
      <c r="AY35" s="337"/>
      <c r="AZ35" s="337"/>
      <c r="BA35" s="338"/>
      <c r="BB35" s="336"/>
      <c r="BC35" s="337"/>
      <c r="BD35" s="337"/>
      <c r="BE35" s="337"/>
      <c r="BF35" s="338"/>
      <c r="BG35" s="336"/>
      <c r="BH35" s="337"/>
      <c r="BI35" s="337"/>
      <c r="BJ35" s="337"/>
      <c r="BK35" s="338"/>
      <c r="BL35" s="336"/>
      <c r="BM35" s="337"/>
      <c r="BN35" s="337"/>
      <c r="BO35" s="337"/>
      <c r="BP35" s="338"/>
      <c r="BQ35" s="336"/>
      <c r="BR35" s="337"/>
      <c r="BS35" s="337"/>
      <c r="BT35" s="337"/>
      <c r="BU35" s="339"/>
      <c r="BW35" s="236" t="str">
        <f>sum_level("o",'Needs 171007_1812'!D35:BU35)</f>
        <v/>
      </c>
      <c r="BX35" s="237" t="str">
        <f>sum_level("j",'Needs 171007_1812'!D35:BU35)</f>
        <v/>
      </c>
      <c r="BY35" s="237" t="str">
        <f>sum_level("m",'Needs 171007_1812'!D35:BU35)</f>
        <v/>
      </c>
      <c r="BZ35" s="237" t="str">
        <f>sum_level("s",'Needs 171007_1812'!D35:BU35)</f>
        <v/>
      </c>
      <c r="CA35" s="238" t="str">
        <f>sum_level("e",'Needs 171007_1812'!D35:BU35)</f>
        <v/>
      </c>
    </row>
    <row r="36" spans="2:79" ht="15.75" thickBot="1" x14ac:dyDescent="0.3">
      <c r="B36" s="435"/>
      <c r="C36" s="292" t="s">
        <v>225</v>
      </c>
      <c r="D36" s="340"/>
      <c r="E36" s="341"/>
      <c r="F36" s="341"/>
      <c r="G36" s="341"/>
      <c r="H36" s="342"/>
      <c r="I36" s="340"/>
      <c r="J36" s="341"/>
      <c r="K36" s="341"/>
      <c r="L36" s="341"/>
      <c r="M36" s="342"/>
      <c r="N36" s="340"/>
      <c r="O36" s="341"/>
      <c r="P36" s="341"/>
      <c r="Q36" s="341"/>
      <c r="R36" s="342"/>
      <c r="S36" s="340"/>
      <c r="T36" s="341"/>
      <c r="U36" s="341"/>
      <c r="V36" s="341"/>
      <c r="W36" s="342"/>
      <c r="X36" s="340"/>
      <c r="Y36" s="341"/>
      <c r="Z36" s="341"/>
      <c r="AA36" s="341"/>
      <c r="AB36" s="342"/>
      <c r="AC36" s="340"/>
      <c r="AD36" s="341"/>
      <c r="AE36" s="341"/>
      <c r="AF36" s="341"/>
      <c r="AG36" s="342"/>
      <c r="AH36" s="340"/>
      <c r="AI36" s="341"/>
      <c r="AJ36" s="341"/>
      <c r="AK36" s="341"/>
      <c r="AL36" s="342"/>
      <c r="AM36" s="340"/>
      <c r="AN36" s="341"/>
      <c r="AO36" s="341"/>
      <c r="AP36" s="341"/>
      <c r="AQ36" s="342"/>
      <c r="AR36" s="340"/>
      <c r="AS36" s="341"/>
      <c r="AT36" s="341"/>
      <c r="AU36" s="341"/>
      <c r="AV36" s="342"/>
      <c r="AW36" s="340"/>
      <c r="AX36" s="341"/>
      <c r="AY36" s="341"/>
      <c r="AZ36" s="341"/>
      <c r="BA36" s="342"/>
      <c r="BB36" s="340"/>
      <c r="BC36" s="341"/>
      <c r="BD36" s="341"/>
      <c r="BE36" s="341"/>
      <c r="BF36" s="342"/>
      <c r="BG36" s="340"/>
      <c r="BH36" s="341"/>
      <c r="BI36" s="341"/>
      <c r="BJ36" s="341"/>
      <c r="BK36" s="342"/>
      <c r="BL36" s="340"/>
      <c r="BM36" s="341"/>
      <c r="BN36" s="341"/>
      <c r="BO36" s="341"/>
      <c r="BP36" s="342"/>
      <c r="BQ36" s="340"/>
      <c r="BR36" s="341"/>
      <c r="BS36" s="341"/>
      <c r="BT36" s="341"/>
      <c r="BU36" s="343"/>
      <c r="BW36" s="239" t="str">
        <f>sum_level("o",'Needs 171007_1812'!D36:BU36)</f>
        <v/>
      </c>
      <c r="BX36" s="240" t="str">
        <f>sum_level("j",'Needs 171007_1812'!D36:BU36)</f>
        <v/>
      </c>
      <c r="BY36" s="240" t="str">
        <f>sum_level("m",'Needs 171007_1812'!D36:BU36)</f>
        <v/>
      </c>
      <c r="BZ36" s="240" t="str">
        <f>sum_level("s",'Needs 171007_1812'!D36:BU36)</f>
        <v/>
      </c>
      <c r="CA36" s="241" t="str">
        <f>sum_level("e",'Needs 171007_1812'!D36:BU36)</f>
        <v/>
      </c>
    </row>
    <row r="37" spans="2:79" ht="12.75" customHeight="1" thickTop="1" thickBot="1" x14ac:dyDescent="0.3">
      <c r="B37" s="436"/>
      <c r="C37" s="248"/>
      <c r="D37" s="344"/>
      <c r="E37" s="344"/>
      <c r="F37" s="344"/>
      <c r="G37" s="344"/>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W37" s="249"/>
      <c r="BX37" s="249"/>
      <c r="BY37" s="249"/>
      <c r="BZ37" s="249"/>
      <c r="CA37" s="249"/>
    </row>
    <row r="38" spans="2:79" ht="15.75" thickTop="1" x14ac:dyDescent="0.25">
      <c r="B38" s="434" t="s">
        <v>81</v>
      </c>
      <c r="C38" s="290" t="s">
        <v>82</v>
      </c>
      <c r="D38" s="332"/>
      <c r="E38" s="333"/>
      <c r="F38" s="333"/>
      <c r="G38" s="333"/>
      <c r="H38" s="334"/>
      <c r="I38" s="332"/>
      <c r="J38" s="333"/>
      <c r="K38" s="333"/>
      <c r="L38" s="333"/>
      <c r="M38" s="334"/>
      <c r="N38" s="332"/>
      <c r="O38" s="333"/>
      <c r="P38" s="333"/>
      <c r="Q38" s="333"/>
      <c r="R38" s="334"/>
      <c r="S38" s="332"/>
      <c r="T38" s="333"/>
      <c r="U38" s="333"/>
      <c r="V38" s="333"/>
      <c r="W38" s="334"/>
      <c r="X38" s="332"/>
      <c r="Y38" s="333"/>
      <c r="Z38" s="333"/>
      <c r="AA38" s="333"/>
      <c r="AB38" s="334"/>
      <c r="AC38" s="332"/>
      <c r="AD38" s="333"/>
      <c r="AE38" s="333"/>
      <c r="AF38" s="333"/>
      <c r="AG38" s="334"/>
      <c r="AH38" s="332"/>
      <c r="AI38" s="333"/>
      <c r="AJ38" s="333"/>
      <c r="AK38" s="333"/>
      <c r="AL38" s="334"/>
      <c r="AM38" s="332"/>
      <c r="AN38" s="333"/>
      <c r="AO38" s="333"/>
      <c r="AP38" s="333"/>
      <c r="AQ38" s="334"/>
      <c r="AR38" s="332"/>
      <c r="AS38" s="333"/>
      <c r="AT38" s="333"/>
      <c r="AU38" s="333"/>
      <c r="AV38" s="334"/>
      <c r="AW38" s="332"/>
      <c r="AX38" s="333"/>
      <c r="AY38" s="333"/>
      <c r="AZ38" s="333"/>
      <c r="BA38" s="334"/>
      <c r="BB38" s="332">
        <v>21</v>
      </c>
      <c r="BC38" s="333"/>
      <c r="BD38" s="333"/>
      <c r="BE38" s="333"/>
      <c r="BF38" s="334"/>
      <c r="BG38" s="332"/>
      <c r="BH38" s="333"/>
      <c r="BI38" s="333"/>
      <c r="BJ38" s="333"/>
      <c r="BK38" s="334"/>
      <c r="BL38" s="332"/>
      <c r="BM38" s="333"/>
      <c r="BN38" s="333"/>
      <c r="BO38" s="333"/>
      <c r="BP38" s="334"/>
      <c r="BQ38" s="332"/>
      <c r="BR38" s="333"/>
      <c r="BS38" s="333"/>
      <c r="BT38" s="333"/>
      <c r="BU38" s="335"/>
      <c r="BW38" s="233" t="str">
        <f>sum_level("o",'Needs 171007_1812'!D38:BU38)</f>
        <v>21</v>
      </c>
      <c r="BX38" s="234" t="str">
        <f>sum_level("j",'Needs 171007_1812'!D38:BU38)</f>
        <v/>
      </c>
      <c r="BY38" s="234" t="str">
        <f>sum_level("m",'Needs 171007_1812'!D38:BU38)</f>
        <v/>
      </c>
      <c r="BZ38" s="234" t="str">
        <f>sum_level("s",'Needs 171007_1812'!D38:BU38)</f>
        <v/>
      </c>
      <c r="CA38" s="235" t="str">
        <f>sum_level("e",'Needs 171007_1812'!D38:BU38)</f>
        <v/>
      </c>
    </row>
    <row r="39" spans="2:79" x14ac:dyDescent="0.25">
      <c r="B39" s="435"/>
      <c r="C39" s="291" t="s">
        <v>83</v>
      </c>
      <c r="D39" s="336"/>
      <c r="E39" s="337"/>
      <c r="F39" s="337"/>
      <c r="G39" s="337"/>
      <c r="H39" s="338"/>
      <c r="I39" s="336"/>
      <c r="J39" s="337"/>
      <c r="K39" s="337"/>
      <c r="L39" s="337"/>
      <c r="M39" s="338"/>
      <c r="N39" s="336"/>
      <c r="O39" s="337"/>
      <c r="P39" s="337"/>
      <c r="Q39" s="337"/>
      <c r="R39" s="338"/>
      <c r="S39" s="336"/>
      <c r="T39" s="337"/>
      <c r="U39" s="337"/>
      <c r="V39" s="337"/>
      <c r="W39" s="338"/>
      <c r="X39" s="336"/>
      <c r="Y39" s="337"/>
      <c r="Z39" s="337"/>
      <c r="AA39" s="337"/>
      <c r="AB39" s="338"/>
      <c r="AC39" s="336"/>
      <c r="AD39" s="337"/>
      <c r="AE39" s="337"/>
      <c r="AF39" s="337"/>
      <c r="AG39" s="338"/>
      <c r="AH39" s="336"/>
      <c r="AI39" s="337"/>
      <c r="AJ39" s="337"/>
      <c r="AK39" s="337"/>
      <c r="AL39" s="338"/>
      <c r="AM39" s="336"/>
      <c r="AN39" s="337"/>
      <c r="AO39" s="337"/>
      <c r="AP39" s="337"/>
      <c r="AQ39" s="338"/>
      <c r="AR39" s="336"/>
      <c r="AS39" s="337"/>
      <c r="AT39" s="337"/>
      <c r="AU39" s="337"/>
      <c r="AV39" s="338"/>
      <c r="AW39" s="336"/>
      <c r="AX39" s="337"/>
      <c r="AY39" s="337"/>
      <c r="AZ39" s="337"/>
      <c r="BA39" s="338"/>
      <c r="BB39" s="336"/>
      <c r="BC39" s="337">
        <v>22</v>
      </c>
      <c r="BD39" s="337"/>
      <c r="BE39" s="337"/>
      <c r="BF39" s="338"/>
      <c r="BG39" s="336"/>
      <c r="BH39" s="337"/>
      <c r="BI39" s="337"/>
      <c r="BJ39" s="337"/>
      <c r="BK39" s="338"/>
      <c r="BL39" s="336"/>
      <c r="BM39" s="337"/>
      <c r="BN39" s="337"/>
      <c r="BO39" s="337"/>
      <c r="BP39" s="338"/>
      <c r="BQ39" s="336"/>
      <c r="BR39" s="337"/>
      <c r="BS39" s="337"/>
      <c r="BT39" s="337"/>
      <c r="BU39" s="339"/>
      <c r="BW39" s="236" t="str">
        <f>sum_level("o",'Needs 171007_1812'!D39:BU39)</f>
        <v/>
      </c>
      <c r="BX39" s="237" t="str">
        <f>sum_level("j",'Needs 171007_1812'!D39:BU39)</f>
        <v>22</v>
      </c>
      <c r="BY39" s="237" t="str">
        <f>sum_level("m",'Needs 171007_1812'!D39:BU39)</f>
        <v/>
      </c>
      <c r="BZ39" s="237" t="str">
        <f>sum_level("s",'Needs 171007_1812'!D39:BU39)</f>
        <v/>
      </c>
      <c r="CA39" s="238" t="str">
        <f>sum_level("e",'Needs 171007_1812'!D39:BU39)</f>
        <v/>
      </c>
    </row>
    <row r="40" spans="2:79" x14ac:dyDescent="0.25">
      <c r="B40" s="435"/>
      <c r="C40" s="291" t="s">
        <v>84</v>
      </c>
      <c r="D40" s="336"/>
      <c r="E40" s="337"/>
      <c r="F40" s="337"/>
      <c r="G40" s="337"/>
      <c r="H40" s="338"/>
      <c r="I40" s="336"/>
      <c r="J40" s="337"/>
      <c r="K40" s="337"/>
      <c r="L40" s="337"/>
      <c r="M40" s="338"/>
      <c r="N40" s="336"/>
      <c r="O40" s="337"/>
      <c r="P40" s="337"/>
      <c r="Q40" s="337"/>
      <c r="R40" s="338"/>
      <c r="S40" s="336"/>
      <c r="T40" s="337"/>
      <c r="U40" s="337"/>
      <c r="V40" s="337"/>
      <c r="W40" s="338"/>
      <c r="X40" s="336"/>
      <c r="Y40" s="337"/>
      <c r="Z40" s="337"/>
      <c r="AA40" s="337"/>
      <c r="AB40" s="338"/>
      <c r="AC40" s="336"/>
      <c r="AD40" s="337"/>
      <c r="AE40" s="337"/>
      <c r="AF40" s="337"/>
      <c r="AG40" s="338"/>
      <c r="AH40" s="336"/>
      <c r="AI40" s="337"/>
      <c r="AJ40" s="337"/>
      <c r="AK40" s="337"/>
      <c r="AL40" s="338"/>
      <c r="AM40" s="336"/>
      <c r="AN40" s="337"/>
      <c r="AO40" s="337"/>
      <c r="AP40" s="337"/>
      <c r="AQ40" s="338"/>
      <c r="AR40" s="336"/>
      <c r="AS40" s="337"/>
      <c r="AT40" s="337"/>
      <c r="AU40" s="337"/>
      <c r="AV40" s="338"/>
      <c r="AW40" s="336"/>
      <c r="AX40" s="337"/>
      <c r="AY40" s="337"/>
      <c r="AZ40" s="337"/>
      <c r="BA40" s="338"/>
      <c r="BB40" s="336"/>
      <c r="BC40" s="337"/>
      <c r="BD40" s="337">
        <v>23</v>
      </c>
      <c r="BE40" s="337"/>
      <c r="BF40" s="338"/>
      <c r="BG40" s="336"/>
      <c r="BH40" s="337"/>
      <c r="BI40" s="337"/>
      <c r="BJ40" s="337"/>
      <c r="BK40" s="338"/>
      <c r="BL40" s="336"/>
      <c r="BM40" s="337"/>
      <c r="BN40" s="337"/>
      <c r="BO40" s="337"/>
      <c r="BP40" s="338"/>
      <c r="BQ40" s="336"/>
      <c r="BR40" s="337"/>
      <c r="BS40" s="337"/>
      <c r="BT40" s="337"/>
      <c r="BU40" s="339"/>
      <c r="BW40" s="236" t="str">
        <f>sum_level("o",'Needs 171007_1812'!D40:BU40)</f>
        <v/>
      </c>
      <c r="BX40" s="237" t="str">
        <f>sum_level("j",'Needs 171007_1812'!D40:BU40)</f>
        <v/>
      </c>
      <c r="BY40" s="237" t="str">
        <f>sum_level("m",'Needs 171007_1812'!D40:BU40)</f>
        <v>23</v>
      </c>
      <c r="BZ40" s="237" t="str">
        <f>sum_level("s",'Needs 171007_1812'!D40:BU40)</f>
        <v/>
      </c>
      <c r="CA40" s="238" t="str">
        <f>sum_level("e",'Needs 171007_1812'!D40:BU40)</f>
        <v/>
      </c>
    </row>
    <row r="41" spans="2:79" x14ac:dyDescent="0.25">
      <c r="B41" s="435"/>
      <c r="C41" s="291" t="s">
        <v>85</v>
      </c>
      <c r="D41" s="336"/>
      <c r="E41" s="337"/>
      <c r="F41" s="337"/>
      <c r="G41" s="337"/>
      <c r="H41" s="338"/>
      <c r="I41" s="336"/>
      <c r="J41" s="337"/>
      <c r="K41" s="337"/>
      <c r="L41" s="337"/>
      <c r="M41" s="338"/>
      <c r="N41" s="336"/>
      <c r="O41" s="337"/>
      <c r="P41" s="337"/>
      <c r="Q41" s="337"/>
      <c r="R41" s="338"/>
      <c r="S41" s="336"/>
      <c r="T41" s="337"/>
      <c r="U41" s="337"/>
      <c r="V41" s="337"/>
      <c r="W41" s="338"/>
      <c r="X41" s="336"/>
      <c r="Y41" s="337"/>
      <c r="Z41" s="337"/>
      <c r="AA41" s="337"/>
      <c r="AB41" s="338"/>
      <c r="AC41" s="336"/>
      <c r="AD41" s="337"/>
      <c r="AE41" s="337"/>
      <c r="AF41" s="337"/>
      <c r="AG41" s="338"/>
      <c r="AH41" s="336"/>
      <c r="AI41" s="337"/>
      <c r="AJ41" s="337"/>
      <c r="AK41" s="337"/>
      <c r="AL41" s="338"/>
      <c r="AM41" s="336"/>
      <c r="AN41" s="337"/>
      <c r="AO41" s="337"/>
      <c r="AP41" s="337"/>
      <c r="AQ41" s="338"/>
      <c r="AR41" s="336"/>
      <c r="AS41" s="337"/>
      <c r="AT41" s="337"/>
      <c r="AU41" s="337"/>
      <c r="AV41" s="338"/>
      <c r="AW41" s="336"/>
      <c r="AX41" s="337"/>
      <c r="AY41" s="337"/>
      <c r="AZ41" s="337"/>
      <c r="BA41" s="338"/>
      <c r="BB41" s="336"/>
      <c r="BC41" s="337"/>
      <c r="BD41" s="337"/>
      <c r="BE41" s="337">
        <v>24</v>
      </c>
      <c r="BF41" s="338"/>
      <c r="BG41" s="336"/>
      <c r="BH41" s="337"/>
      <c r="BI41" s="337"/>
      <c r="BJ41" s="337"/>
      <c r="BK41" s="338"/>
      <c r="BL41" s="336"/>
      <c r="BM41" s="337"/>
      <c r="BN41" s="337"/>
      <c r="BO41" s="337"/>
      <c r="BP41" s="338"/>
      <c r="BQ41" s="336"/>
      <c r="BR41" s="337"/>
      <c r="BS41" s="337"/>
      <c r="BT41" s="337"/>
      <c r="BU41" s="339"/>
      <c r="BW41" s="236" t="str">
        <f>sum_level("o",'Needs 171007_1812'!D41:BU41)</f>
        <v/>
      </c>
      <c r="BX41" s="237" t="str">
        <f>sum_level("j",'Needs 171007_1812'!D41:BU41)</f>
        <v/>
      </c>
      <c r="BY41" s="237" t="str">
        <f>sum_level("m",'Needs 171007_1812'!D41:BU41)</f>
        <v/>
      </c>
      <c r="BZ41" s="237" t="str">
        <f>sum_level("s",'Needs 171007_1812'!D41:BU41)</f>
        <v>24</v>
      </c>
      <c r="CA41" s="238" t="str">
        <f>sum_level("e",'Needs 171007_1812'!D41:BU41)</f>
        <v/>
      </c>
    </row>
    <row r="42" spans="2:79" x14ac:dyDescent="0.25">
      <c r="B42" s="435"/>
      <c r="C42" s="291" t="s">
        <v>86</v>
      </c>
      <c r="D42" s="336"/>
      <c r="E42" s="337"/>
      <c r="F42" s="337"/>
      <c r="G42" s="337"/>
      <c r="H42" s="338"/>
      <c r="I42" s="336"/>
      <c r="J42" s="337"/>
      <c r="K42" s="337"/>
      <c r="L42" s="337"/>
      <c r="M42" s="338"/>
      <c r="N42" s="336"/>
      <c r="O42" s="337"/>
      <c r="P42" s="337"/>
      <c r="Q42" s="337"/>
      <c r="R42" s="338"/>
      <c r="S42" s="336"/>
      <c r="T42" s="337"/>
      <c r="U42" s="337"/>
      <c r="V42" s="337"/>
      <c r="W42" s="338"/>
      <c r="X42" s="336"/>
      <c r="Y42" s="337"/>
      <c r="Z42" s="337"/>
      <c r="AA42" s="337"/>
      <c r="AB42" s="338"/>
      <c r="AC42" s="336"/>
      <c r="AD42" s="337"/>
      <c r="AE42" s="337"/>
      <c r="AF42" s="337"/>
      <c r="AG42" s="338"/>
      <c r="AH42" s="336"/>
      <c r="AI42" s="337"/>
      <c r="AJ42" s="337"/>
      <c r="AK42" s="337"/>
      <c r="AL42" s="338"/>
      <c r="AM42" s="336"/>
      <c r="AN42" s="337"/>
      <c r="AO42" s="337"/>
      <c r="AP42" s="337"/>
      <c r="AQ42" s="338"/>
      <c r="AR42" s="336"/>
      <c r="AS42" s="337"/>
      <c r="AT42" s="337"/>
      <c r="AU42" s="337"/>
      <c r="AV42" s="338"/>
      <c r="AW42" s="336"/>
      <c r="AX42" s="337"/>
      <c r="AY42" s="337"/>
      <c r="AZ42" s="337"/>
      <c r="BA42" s="338"/>
      <c r="BB42" s="336"/>
      <c r="BC42" s="337"/>
      <c r="BD42" s="337"/>
      <c r="BE42" s="337"/>
      <c r="BF42" s="338">
        <v>25</v>
      </c>
      <c r="BG42" s="336"/>
      <c r="BH42" s="337"/>
      <c r="BI42" s="337"/>
      <c r="BJ42" s="337"/>
      <c r="BK42" s="338"/>
      <c r="BL42" s="336"/>
      <c r="BM42" s="337"/>
      <c r="BN42" s="337"/>
      <c r="BO42" s="337"/>
      <c r="BP42" s="338"/>
      <c r="BQ42" s="336"/>
      <c r="BR42" s="337"/>
      <c r="BS42" s="337"/>
      <c r="BT42" s="337"/>
      <c r="BU42" s="339"/>
      <c r="BW42" s="236" t="str">
        <f>sum_level("o",'Needs 171007_1812'!D42:BU42)</f>
        <v/>
      </c>
      <c r="BX42" s="237" t="str">
        <f>sum_level("j",'Needs 171007_1812'!D42:BU42)</f>
        <v/>
      </c>
      <c r="BY42" s="237" t="str">
        <f>sum_level("m",'Needs 171007_1812'!D42:BU42)</f>
        <v/>
      </c>
      <c r="BZ42" s="237" t="str">
        <f>sum_level("s",'Needs 171007_1812'!D42:BU42)</f>
        <v/>
      </c>
      <c r="CA42" s="238" t="str">
        <f>sum_level("e",'Needs 171007_1812'!D42:BU42)</f>
        <v>25</v>
      </c>
    </row>
    <row r="43" spans="2:79" x14ac:dyDescent="0.25">
      <c r="B43" s="435"/>
      <c r="C43" s="291" t="s">
        <v>87</v>
      </c>
      <c r="D43" s="336"/>
      <c r="E43" s="337"/>
      <c r="F43" s="337"/>
      <c r="G43" s="337"/>
      <c r="H43" s="338"/>
      <c r="I43" s="336"/>
      <c r="J43" s="337"/>
      <c r="K43" s="337"/>
      <c r="L43" s="337"/>
      <c r="M43" s="338"/>
      <c r="N43" s="336"/>
      <c r="O43" s="337"/>
      <c r="P43" s="337"/>
      <c r="Q43" s="337"/>
      <c r="R43" s="338"/>
      <c r="S43" s="336"/>
      <c r="T43" s="337"/>
      <c r="U43" s="337"/>
      <c r="V43" s="337"/>
      <c r="W43" s="338"/>
      <c r="X43" s="336"/>
      <c r="Y43" s="337"/>
      <c r="Z43" s="337"/>
      <c r="AA43" s="337"/>
      <c r="AB43" s="338"/>
      <c r="AC43" s="336"/>
      <c r="AD43" s="337"/>
      <c r="AE43" s="337"/>
      <c r="AF43" s="337"/>
      <c r="AG43" s="338"/>
      <c r="AH43" s="336"/>
      <c r="AI43" s="337"/>
      <c r="AJ43" s="337"/>
      <c r="AK43" s="337"/>
      <c r="AL43" s="338"/>
      <c r="AM43" s="336"/>
      <c r="AN43" s="337"/>
      <c r="AO43" s="337"/>
      <c r="AP43" s="337"/>
      <c r="AQ43" s="338"/>
      <c r="AR43" s="336"/>
      <c r="AS43" s="337"/>
      <c r="AT43" s="337"/>
      <c r="AU43" s="337"/>
      <c r="AV43" s="338"/>
      <c r="AW43" s="336"/>
      <c r="AX43" s="337"/>
      <c r="AY43" s="337"/>
      <c r="AZ43" s="337"/>
      <c r="BA43" s="338"/>
      <c r="BB43" s="336"/>
      <c r="BC43" s="337"/>
      <c r="BD43" s="337"/>
      <c r="BE43" s="337"/>
      <c r="BF43" s="338"/>
      <c r="BG43" s="336"/>
      <c r="BH43" s="337"/>
      <c r="BI43" s="337"/>
      <c r="BJ43" s="337"/>
      <c r="BK43" s="338"/>
      <c r="BL43" s="336"/>
      <c r="BM43" s="337"/>
      <c r="BN43" s="337"/>
      <c r="BO43" s="337"/>
      <c r="BP43" s="338"/>
      <c r="BQ43" s="336"/>
      <c r="BR43" s="337"/>
      <c r="BS43" s="337"/>
      <c r="BT43" s="337"/>
      <c r="BU43" s="339"/>
      <c r="BW43" s="236" t="str">
        <f>sum_level("o",'Needs 171007_1812'!D43:BU43)</f>
        <v/>
      </c>
      <c r="BX43" s="237" t="str">
        <f>sum_level("j",'Needs 171007_1812'!D43:BU43)</f>
        <v/>
      </c>
      <c r="BY43" s="237" t="str">
        <f>sum_level("m",'Needs 171007_1812'!D43:BU43)</f>
        <v/>
      </c>
      <c r="BZ43" s="237" t="str">
        <f>sum_level("s",'Needs 171007_1812'!D43:BU43)</f>
        <v/>
      </c>
      <c r="CA43" s="238" t="str">
        <f>sum_level("e",'Needs 171007_1812'!D43:BU43)</f>
        <v/>
      </c>
    </row>
    <row r="44" spans="2:79" x14ac:dyDescent="0.25">
      <c r="B44" s="435"/>
      <c r="C44" s="291" t="s">
        <v>88</v>
      </c>
      <c r="D44" s="336"/>
      <c r="E44" s="337"/>
      <c r="F44" s="337"/>
      <c r="G44" s="337"/>
      <c r="H44" s="338"/>
      <c r="I44" s="336"/>
      <c r="J44" s="337"/>
      <c r="K44" s="337"/>
      <c r="L44" s="337"/>
      <c r="M44" s="338"/>
      <c r="N44" s="336"/>
      <c r="O44" s="337"/>
      <c r="P44" s="337"/>
      <c r="Q44" s="337"/>
      <c r="R44" s="338"/>
      <c r="S44" s="336"/>
      <c r="T44" s="337"/>
      <c r="U44" s="337"/>
      <c r="V44" s="337"/>
      <c r="W44" s="338"/>
      <c r="X44" s="336"/>
      <c r="Y44" s="337"/>
      <c r="Z44" s="337"/>
      <c r="AA44" s="337"/>
      <c r="AB44" s="338"/>
      <c r="AC44" s="336"/>
      <c r="AD44" s="337"/>
      <c r="AE44" s="337"/>
      <c r="AF44" s="337"/>
      <c r="AG44" s="338"/>
      <c r="AH44" s="336"/>
      <c r="AI44" s="337"/>
      <c r="AJ44" s="337"/>
      <c r="AK44" s="337"/>
      <c r="AL44" s="338"/>
      <c r="AM44" s="336"/>
      <c r="AN44" s="337"/>
      <c r="AO44" s="337"/>
      <c r="AP44" s="337"/>
      <c r="AQ44" s="338"/>
      <c r="AR44" s="336"/>
      <c r="AS44" s="337"/>
      <c r="AT44" s="337"/>
      <c r="AU44" s="337"/>
      <c r="AV44" s="338"/>
      <c r="AW44" s="336"/>
      <c r="AX44" s="337"/>
      <c r="AY44" s="337"/>
      <c r="AZ44" s="337"/>
      <c r="BA44" s="338"/>
      <c r="BB44" s="336"/>
      <c r="BC44" s="337"/>
      <c r="BD44" s="337"/>
      <c r="BE44" s="337"/>
      <c r="BF44" s="338"/>
      <c r="BG44" s="336"/>
      <c r="BH44" s="337"/>
      <c r="BI44" s="337"/>
      <c r="BJ44" s="337"/>
      <c r="BK44" s="338"/>
      <c r="BL44" s="336"/>
      <c r="BM44" s="337"/>
      <c r="BN44" s="337"/>
      <c r="BO44" s="337"/>
      <c r="BP44" s="338"/>
      <c r="BQ44" s="336"/>
      <c r="BR44" s="337"/>
      <c r="BS44" s="337"/>
      <c r="BT44" s="337"/>
      <c r="BU44" s="339"/>
      <c r="BW44" s="236" t="str">
        <f>sum_level("o",'Needs 171007_1812'!D44:BU44)</f>
        <v/>
      </c>
      <c r="BX44" s="237" t="str">
        <f>sum_level("j",'Needs 171007_1812'!D44:BU44)</f>
        <v/>
      </c>
      <c r="BY44" s="237" t="str">
        <f>sum_level("m",'Needs 171007_1812'!D44:BU44)</f>
        <v/>
      </c>
      <c r="BZ44" s="237" t="str">
        <f>sum_level("s",'Needs 171007_1812'!D44:BU44)</f>
        <v/>
      </c>
      <c r="CA44" s="238" t="str">
        <f>sum_level("e",'Needs 171007_1812'!D44:BU44)</f>
        <v/>
      </c>
    </row>
    <row r="45" spans="2:79" x14ac:dyDescent="0.25">
      <c r="B45" s="435"/>
      <c r="C45" s="291" t="s">
        <v>89</v>
      </c>
      <c r="D45" s="336"/>
      <c r="E45" s="337"/>
      <c r="F45" s="337"/>
      <c r="G45" s="337"/>
      <c r="H45" s="338"/>
      <c r="I45" s="336"/>
      <c r="J45" s="337"/>
      <c r="K45" s="337"/>
      <c r="L45" s="337"/>
      <c r="M45" s="338"/>
      <c r="N45" s="336"/>
      <c r="O45" s="337"/>
      <c r="P45" s="337"/>
      <c r="Q45" s="337"/>
      <c r="R45" s="338"/>
      <c r="S45" s="336"/>
      <c r="T45" s="337"/>
      <c r="U45" s="337"/>
      <c r="V45" s="337"/>
      <c r="W45" s="338"/>
      <c r="X45" s="336"/>
      <c r="Y45" s="337"/>
      <c r="Z45" s="337"/>
      <c r="AA45" s="337"/>
      <c r="AB45" s="338"/>
      <c r="AC45" s="336"/>
      <c r="AD45" s="337"/>
      <c r="AE45" s="337"/>
      <c r="AF45" s="337"/>
      <c r="AG45" s="338"/>
      <c r="AH45" s="336"/>
      <c r="AI45" s="337"/>
      <c r="AJ45" s="337"/>
      <c r="AK45" s="337"/>
      <c r="AL45" s="338"/>
      <c r="AM45" s="336"/>
      <c r="AN45" s="337"/>
      <c r="AO45" s="337"/>
      <c r="AP45" s="337"/>
      <c r="AQ45" s="338"/>
      <c r="AR45" s="336"/>
      <c r="AS45" s="337"/>
      <c r="AT45" s="337"/>
      <c r="AU45" s="337"/>
      <c r="AV45" s="338"/>
      <c r="AW45" s="336"/>
      <c r="AX45" s="337"/>
      <c r="AY45" s="337"/>
      <c r="AZ45" s="337"/>
      <c r="BA45" s="338"/>
      <c r="BB45" s="336"/>
      <c r="BC45" s="337"/>
      <c r="BD45" s="337"/>
      <c r="BE45" s="337"/>
      <c r="BF45" s="338"/>
      <c r="BG45" s="336"/>
      <c r="BH45" s="337"/>
      <c r="BI45" s="337"/>
      <c r="BJ45" s="337"/>
      <c r="BK45" s="338"/>
      <c r="BL45" s="336"/>
      <c r="BM45" s="337"/>
      <c r="BN45" s="337"/>
      <c r="BO45" s="337"/>
      <c r="BP45" s="338"/>
      <c r="BQ45" s="336"/>
      <c r="BR45" s="337"/>
      <c r="BS45" s="337"/>
      <c r="BT45" s="337"/>
      <c r="BU45" s="339"/>
      <c r="BW45" s="236" t="str">
        <f>sum_level("o",'Needs 171007_1812'!D45:BU45)</f>
        <v/>
      </c>
      <c r="BX45" s="237" t="str">
        <f>sum_level("j",'Needs 171007_1812'!D45:BU45)</f>
        <v/>
      </c>
      <c r="BY45" s="237" t="str">
        <f>sum_level("m",'Needs 171007_1812'!D45:BU45)</f>
        <v/>
      </c>
      <c r="BZ45" s="237" t="str">
        <f>sum_level("s",'Needs 171007_1812'!D45:BU45)</f>
        <v/>
      </c>
      <c r="CA45" s="238" t="str">
        <f>sum_level("e",'Needs 171007_1812'!D45:BU45)</f>
        <v/>
      </c>
    </row>
    <row r="46" spans="2:79" x14ac:dyDescent="0.25">
      <c r="B46" s="435"/>
      <c r="C46" s="291" t="s">
        <v>90</v>
      </c>
      <c r="D46" s="336"/>
      <c r="E46" s="337"/>
      <c r="F46" s="337"/>
      <c r="G46" s="337"/>
      <c r="H46" s="338"/>
      <c r="I46" s="336"/>
      <c r="J46" s="337"/>
      <c r="K46" s="337"/>
      <c r="L46" s="337"/>
      <c r="M46" s="338"/>
      <c r="N46" s="336"/>
      <c r="O46" s="337"/>
      <c r="P46" s="337"/>
      <c r="Q46" s="337"/>
      <c r="R46" s="338"/>
      <c r="S46" s="336"/>
      <c r="T46" s="337"/>
      <c r="U46" s="337"/>
      <c r="V46" s="337"/>
      <c r="W46" s="338"/>
      <c r="X46" s="336"/>
      <c r="Y46" s="337"/>
      <c r="Z46" s="337"/>
      <c r="AA46" s="337"/>
      <c r="AB46" s="338"/>
      <c r="AC46" s="336"/>
      <c r="AD46" s="337"/>
      <c r="AE46" s="337"/>
      <c r="AF46" s="337"/>
      <c r="AG46" s="338"/>
      <c r="AH46" s="336"/>
      <c r="AI46" s="337"/>
      <c r="AJ46" s="337"/>
      <c r="AK46" s="337"/>
      <c r="AL46" s="338"/>
      <c r="AM46" s="336"/>
      <c r="AN46" s="337"/>
      <c r="AO46" s="337"/>
      <c r="AP46" s="337"/>
      <c r="AQ46" s="338"/>
      <c r="AR46" s="336"/>
      <c r="AS46" s="337"/>
      <c r="AT46" s="337"/>
      <c r="AU46" s="337"/>
      <c r="AV46" s="338"/>
      <c r="AW46" s="336"/>
      <c r="AX46" s="337"/>
      <c r="AY46" s="337"/>
      <c r="AZ46" s="337"/>
      <c r="BA46" s="338"/>
      <c r="BB46" s="336"/>
      <c r="BC46" s="337"/>
      <c r="BD46" s="337"/>
      <c r="BE46" s="337"/>
      <c r="BF46" s="338"/>
      <c r="BG46" s="336"/>
      <c r="BH46" s="337"/>
      <c r="BI46" s="337"/>
      <c r="BJ46" s="337"/>
      <c r="BK46" s="338"/>
      <c r="BL46" s="336"/>
      <c r="BM46" s="337"/>
      <c r="BN46" s="337"/>
      <c r="BO46" s="337"/>
      <c r="BP46" s="338"/>
      <c r="BQ46" s="336"/>
      <c r="BR46" s="337"/>
      <c r="BS46" s="337"/>
      <c r="BT46" s="337"/>
      <c r="BU46" s="339"/>
      <c r="BW46" s="236" t="str">
        <f>sum_level("o",'Needs 171007_1812'!D46:BU46)</f>
        <v/>
      </c>
      <c r="BX46" s="237" t="str">
        <f>sum_level("j",'Needs 171007_1812'!D46:BU46)</f>
        <v/>
      </c>
      <c r="BY46" s="237" t="str">
        <f>sum_level("m",'Needs 171007_1812'!D46:BU46)</f>
        <v/>
      </c>
      <c r="BZ46" s="237" t="str">
        <f>sum_level("s",'Needs 171007_1812'!D46:BU46)</f>
        <v/>
      </c>
      <c r="CA46" s="238" t="str">
        <f>sum_level("e",'Needs 171007_1812'!D46:BU46)</f>
        <v/>
      </c>
    </row>
    <row r="47" spans="2:79" x14ac:dyDescent="0.25">
      <c r="B47" s="435"/>
      <c r="C47" s="291" t="s">
        <v>91</v>
      </c>
      <c r="D47" s="336"/>
      <c r="E47" s="337"/>
      <c r="F47" s="337"/>
      <c r="G47" s="337"/>
      <c r="H47" s="338"/>
      <c r="I47" s="336"/>
      <c r="J47" s="337"/>
      <c r="K47" s="337"/>
      <c r="L47" s="337"/>
      <c r="M47" s="338"/>
      <c r="N47" s="336"/>
      <c r="O47" s="337"/>
      <c r="P47" s="337"/>
      <c r="Q47" s="337"/>
      <c r="R47" s="338"/>
      <c r="S47" s="336"/>
      <c r="T47" s="337"/>
      <c r="U47" s="337"/>
      <c r="V47" s="337"/>
      <c r="W47" s="338"/>
      <c r="X47" s="336"/>
      <c r="Y47" s="337"/>
      <c r="Z47" s="337"/>
      <c r="AA47" s="337"/>
      <c r="AB47" s="338"/>
      <c r="AC47" s="336"/>
      <c r="AD47" s="337"/>
      <c r="AE47" s="337"/>
      <c r="AF47" s="337"/>
      <c r="AG47" s="338"/>
      <c r="AH47" s="336"/>
      <c r="AI47" s="337"/>
      <c r="AJ47" s="337"/>
      <c r="AK47" s="337"/>
      <c r="AL47" s="338"/>
      <c r="AM47" s="336"/>
      <c r="AN47" s="337"/>
      <c r="AO47" s="337"/>
      <c r="AP47" s="337"/>
      <c r="AQ47" s="338"/>
      <c r="AR47" s="336"/>
      <c r="AS47" s="337"/>
      <c r="AT47" s="337"/>
      <c r="AU47" s="337"/>
      <c r="AV47" s="338"/>
      <c r="AW47" s="336"/>
      <c r="AX47" s="337"/>
      <c r="AY47" s="337"/>
      <c r="AZ47" s="337"/>
      <c r="BA47" s="338"/>
      <c r="BB47" s="336"/>
      <c r="BC47" s="337"/>
      <c r="BD47" s="337"/>
      <c r="BE47" s="337"/>
      <c r="BF47" s="338"/>
      <c r="BG47" s="336"/>
      <c r="BH47" s="337"/>
      <c r="BI47" s="337"/>
      <c r="BJ47" s="337"/>
      <c r="BK47" s="338"/>
      <c r="BL47" s="336"/>
      <c r="BM47" s="337"/>
      <c r="BN47" s="337"/>
      <c r="BO47" s="337"/>
      <c r="BP47" s="338"/>
      <c r="BQ47" s="336"/>
      <c r="BR47" s="337"/>
      <c r="BS47" s="337"/>
      <c r="BT47" s="337"/>
      <c r="BU47" s="339"/>
      <c r="BW47" s="236" t="str">
        <f>sum_level("o",'Needs 171007_1812'!D47:BU47)</f>
        <v/>
      </c>
      <c r="BX47" s="237" t="str">
        <f>sum_level("j",'Needs 171007_1812'!D47:BU47)</f>
        <v/>
      </c>
      <c r="BY47" s="237" t="str">
        <f>sum_level("m",'Needs 171007_1812'!D47:BU47)</f>
        <v/>
      </c>
      <c r="BZ47" s="237" t="str">
        <f>sum_level("s",'Needs 171007_1812'!D47:BU47)</f>
        <v/>
      </c>
      <c r="CA47" s="238" t="str">
        <f>sum_level("e",'Needs 171007_1812'!D47:BU47)</f>
        <v/>
      </c>
    </row>
    <row r="48" spans="2:79" x14ac:dyDescent="0.25">
      <c r="B48" s="435"/>
      <c r="C48" s="291" t="s">
        <v>226</v>
      </c>
      <c r="D48" s="336"/>
      <c r="E48" s="337"/>
      <c r="F48" s="337"/>
      <c r="G48" s="337"/>
      <c r="H48" s="338"/>
      <c r="I48" s="336"/>
      <c r="J48" s="337"/>
      <c r="K48" s="337"/>
      <c r="L48" s="337"/>
      <c r="M48" s="338"/>
      <c r="N48" s="336"/>
      <c r="O48" s="337"/>
      <c r="P48" s="337"/>
      <c r="Q48" s="337"/>
      <c r="R48" s="338"/>
      <c r="S48" s="336"/>
      <c r="T48" s="337"/>
      <c r="U48" s="337"/>
      <c r="V48" s="337"/>
      <c r="W48" s="338"/>
      <c r="X48" s="336"/>
      <c r="Y48" s="337"/>
      <c r="Z48" s="337"/>
      <c r="AA48" s="337"/>
      <c r="AB48" s="338"/>
      <c r="AC48" s="336"/>
      <c r="AD48" s="337"/>
      <c r="AE48" s="337"/>
      <c r="AF48" s="337"/>
      <c r="AG48" s="338"/>
      <c r="AH48" s="336"/>
      <c r="AI48" s="337"/>
      <c r="AJ48" s="337"/>
      <c r="AK48" s="337"/>
      <c r="AL48" s="338"/>
      <c r="AM48" s="336"/>
      <c r="AN48" s="337"/>
      <c r="AO48" s="337"/>
      <c r="AP48" s="337"/>
      <c r="AQ48" s="338"/>
      <c r="AR48" s="336"/>
      <c r="AS48" s="337"/>
      <c r="AT48" s="337"/>
      <c r="AU48" s="337"/>
      <c r="AV48" s="338"/>
      <c r="AW48" s="336"/>
      <c r="AX48" s="337"/>
      <c r="AY48" s="337"/>
      <c r="AZ48" s="337"/>
      <c r="BA48" s="338"/>
      <c r="BB48" s="336"/>
      <c r="BC48" s="337"/>
      <c r="BD48" s="337"/>
      <c r="BE48" s="337"/>
      <c r="BF48" s="338"/>
      <c r="BG48" s="336"/>
      <c r="BH48" s="337"/>
      <c r="BI48" s="337"/>
      <c r="BJ48" s="337"/>
      <c r="BK48" s="338"/>
      <c r="BL48" s="336"/>
      <c r="BM48" s="337"/>
      <c r="BN48" s="337"/>
      <c r="BO48" s="337"/>
      <c r="BP48" s="338"/>
      <c r="BQ48" s="336"/>
      <c r="BR48" s="337"/>
      <c r="BS48" s="337"/>
      <c r="BT48" s="337"/>
      <c r="BU48" s="339"/>
      <c r="BW48" s="236" t="str">
        <f>sum_level("o",'Needs 171007_1812'!D48:BU48)</f>
        <v/>
      </c>
      <c r="BX48" s="237" t="str">
        <f>sum_level("j",'Needs 171007_1812'!D48:BU48)</f>
        <v/>
      </c>
      <c r="BY48" s="237" t="str">
        <f>sum_level("m",'Needs 171007_1812'!D48:BU48)</f>
        <v/>
      </c>
      <c r="BZ48" s="237" t="str">
        <f>sum_level("s",'Needs 171007_1812'!D48:BU48)</f>
        <v/>
      </c>
      <c r="CA48" s="238" t="str">
        <f>sum_level("e",'Needs 171007_1812'!D48:BU48)</f>
        <v/>
      </c>
    </row>
    <row r="49" spans="2:79" ht="15.75" thickBot="1" x14ac:dyDescent="0.3">
      <c r="B49" s="435"/>
      <c r="C49" s="292" t="s">
        <v>227</v>
      </c>
      <c r="D49" s="340"/>
      <c r="E49" s="341"/>
      <c r="F49" s="341"/>
      <c r="G49" s="341"/>
      <c r="H49" s="342"/>
      <c r="I49" s="340"/>
      <c r="J49" s="341"/>
      <c r="K49" s="341"/>
      <c r="L49" s="341"/>
      <c r="M49" s="342"/>
      <c r="N49" s="340"/>
      <c r="O49" s="341"/>
      <c r="P49" s="341"/>
      <c r="Q49" s="341"/>
      <c r="R49" s="342"/>
      <c r="S49" s="340"/>
      <c r="T49" s="341"/>
      <c r="U49" s="341"/>
      <c r="V49" s="341"/>
      <c r="W49" s="342"/>
      <c r="X49" s="340"/>
      <c r="Y49" s="341"/>
      <c r="Z49" s="341"/>
      <c r="AA49" s="341"/>
      <c r="AB49" s="342"/>
      <c r="AC49" s="340"/>
      <c r="AD49" s="341"/>
      <c r="AE49" s="341"/>
      <c r="AF49" s="341"/>
      <c r="AG49" s="342"/>
      <c r="AH49" s="340"/>
      <c r="AI49" s="341"/>
      <c r="AJ49" s="341"/>
      <c r="AK49" s="341"/>
      <c r="AL49" s="342"/>
      <c r="AM49" s="340"/>
      <c r="AN49" s="341"/>
      <c r="AO49" s="341"/>
      <c r="AP49" s="341"/>
      <c r="AQ49" s="342"/>
      <c r="AR49" s="340"/>
      <c r="AS49" s="341"/>
      <c r="AT49" s="341"/>
      <c r="AU49" s="341"/>
      <c r="AV49" s="342"/>
      <c r="AW49" s="340"/>
      <c r="AX49" s="341"/>
      <c r="AY49" s="341"/>
      <c r="AZ49" s="341"/>
      <c r="BA49" s="342"/>
      <c r="BB49" s="340"/>
      <c r="BC49" s="341"/>
      <c r="BD49" s="341"/>
      <c r="BE49" s="341"/>
      <c r="BF49" s="342"/>
      <c r="BG49" s="340"/>
      <c r="BH49" s="341"/>
      <c r="BI49" s="341"/>
      <c r="BJ49" s="341"/>
      <c r="BK49" s="342"/>
      <c r="BL49" s="340"/>
      <c r="BM49" s="341"/>
      <c r="BN49" s="341"/>
      <c r="BO49" s="341"/>
      <c r="BP49" s="342"/>
      <c r="BQ49" s="340"/>
      <c r="BR49" s="341"/>
      <c r="BS49" s="341"/>
      <c r="BT49" s="341"/>
      <c r="BU49" s="343"/>
      <c r="BW49" s="239" t="str">
        <f>sum_level("o",'Needs 171007_1812'!D49:BU49)</f>
        <v/>
      </c>
      <c r="BX49" s="240" t="str">
        <f>sum_level("j",'Needs 171007_1812'!D49:BU49)</f>
        <v/>
      </c>
      <c r="BY49" s="240" t="str">
        <f>sum_level("m",'Needs 171007_1812'!D49:BU49)</f>
        <v/>
      </c>
      <c r="BZ49" s="240" t="str">
        <f>sum_level("s",'Needs 171007_1812'!D49:BU49)</f>
        <v/>
      </c>
      <c r="CA49" s="241" t="str">
        <f>sum_level("e",'Needs 171007_1812'!D49:BU49)</f>
        <v/>
      </c>
    </row>
    <row r="50" spans="2:79" ht="12.75" customHeight="1" thickTop="1" thickBot="1" x14ac:dyDescent="0.3">
      <c r="B50" s="436"/>
      <c r="C50" s="248"/>
      <c r="D50" s="344"/>
      <c r="E50" s="344"/>
      <c r="F50" s="344"/>
      <c r="G50" s="344"/>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c r="BH50" s="344"/>
      <c r="BI50" s="344"/>
      <c r="BJ50" s="344"/>
      <c r="BK50" s="344"/>
      <c r="BL50" s="344"/>
      <c r="BM50" s="344"/>
      <c r="BN50" s="344"/>
      <c r="BO50" s="344"/>
      <c r="BP50" s="344"/>
      <c r="BQ50" s="344"/>
      <c r="BR50" s="344"/>
      <c r="BS50" s="344"/>
      <c r="BT50" s="344"/>
      <c r="BU50" s="344"/>
      <c r="BW50" s="249"/>
      <c r="BX50" s="249"/>
      <c r="BY50" s="249"/>
      <c r="BZ50" s="249"/>
      <c r="CA50" s="249"/>
    </row>
    <row r="51" spans="2:79" ht="15.75" thickTop="1" x14ac:dyDescent="0.25">
      <c r="B51" s="434" t="s">
        <v>122</v>
      </c>
      <c r="C51" s="290" t="s">
        <v>92</v>
      </c>
      <c r="D51" s="332"/>
      <c r="E51" s="333"/>
      <c r="F51" s="333"/>
      <c r="G51" s="333"/>
      <c r="H51" s="334"/>
      <c r="I51" s="332"/>
      <c r="J51" s="333"/>
      <c r="K51" s="333"/>
      <c r="L51" s="333"/>
      <c r="M51" s="334"/>
      <c r="N51" s="332"/>
      <c r="O51" s="333"/>
      <c r="P51" s="333"/>
      <c r="Q51" s="333"/>
      <c r="R51" s="334"/>
      <c r="S51" s="332"/>
      <c r="T51" s="333"/>
      <c r="U51" s="333"/>
      <c r="V51" s="333"/>
      <c r="W51" s="334"/>
      <c r="X51" s="332"/>
      <c r="Y51" s="333"/>
      <c r="Z51" s="333"/>
      <c r="AA51" s="333"/>
      <c r="AB51" s="334"/>
      <c r="AC51" s="332"/>
      <c r="AD51" s="333"/>
      <c r="AE51" s="333"/>
      <c r="AF51" s="333"/>
      <c r="AG51" s="334"/>
      <c r="AH51" s="332"/>
      <c r="AI51" s="333"/>
      <c r="AJ51" s="333"/>
      <c r="AK51" s="333"/>
      <c r="AL51" s="334"/>
      <c r="AM51" s="332"/>
      <c r="AN51" s="333"/>
      <c r="AO51" s="333"/>
      <c r="AP51" s="333"/>
      <c r="AQ51" s="334"/>
      <c r="AR51" s="332"/>
      <c r="AS51" s="333"/>
      <c r="AT51" s="333"/>
      <c r="AU51" s="333"/>
      <c r="AV51" s="334"/>
      <c r="AW51" s="332"/>
      <c r="AX51" s="333"/>
      <c r="AY51" s="333"/>
      <c r="AZ51" s="333"/>
      <c r="BA51" s="334"/>
      <c r="BB51" s="332"/>
      <c r="BC51" s="333"/>
      <c r="BD51" s="333"/>
      <c r="BE51" s="333"/>
      <c r="BF51" s="334"/>
      <c r="BG51" s="332">
        <v>26</v>
      </c>
      <c r="BH51" s="333"/>
      <c r="BI51" s="333"/>
      <c r="BJ51" s="333"/>
      <c r="BK51" s="334"/>
      <c r="BL51" s="332"/>
      <c r="BM51" s="333"/>
      <c r="BN51" s="333"/>
      <c r="BO51" s="333"/>
      <c r="BP51" s="334"/>
      <c r="BQ51" s="332"/>
      <c r="BR51" s="333"/>
      <c r="BS51" s="333"/>
      <c r="BT51" s="333"/>
      <c r="BU51" s="335"/>
      <c r="BW51" s="233" t="str">
        <f>sum_level("o",'Needs 171007_1812'!D51:BU51)</f>
        <v>26</v>
      </c>
      <c r="BX51" s="234" t="str">
        <f>sum_level("j",'Needs 171007_1812'!D51:BU51)</f>
        <v/>
      </c>
      <c r="BY51" s="234" t="str">
        <f>sum_level("m",'Needs 171007_1812'!D51:BU51)</f>
        <v/>
      </c>
      <c r="BZ51" s="234" t="str">
        <f>sum_level("s",'Needs 171007_1812'!D51:BU51)</f>
        <v/>
      </c>
      <c r="CA51" s="235" t="str">
        <f>sum_level("e",'Needs 171007_1812'!D51:BU51)</f>
        <v/>
      </c>
    </row>
    <row r="52" spans="2:79" x14ac:dyDescent="0.25">
      <c r="B52" s="435"/>
      <c r="C52" s="291" t="s">
        <v>93</v>
      </c>
      <c r="D52" s="336"/>
      <c r="E52" s="337"/>
      <c r="F52" s="337"/>
      <c r="G52" s="337"/>
      <c r="H52" s="338"/>
      <c r="I52" s="336"/>
      <c r="J52" s="337"/>
      <c r="K52" s="337"/>
      <c r="L52" s="337"/>
      <c r="M52" s="338"/>
      <c r="N52" s="336"/>
      <c r="O52" s="337"/>
      <c r="P52" s="337"/>
      <c r="Q52" s="337"/>
      <c r="R52" s="338"/>
      <c r="S52" s="336"/>
      <c r="T52" s="337"/>
      <c r="U52" s="337"/>
      <c r="V52" s="337"/>
      <c r="W52" s="338"/>
      <c r="X52" s="336"/>
      <c r="Y52" s="337"/>
      <c r="Z52" s="337"/>
      <c r="AA52" s="337"/>
      <c r="AB52" s="338"/>
      <c r="AC52" s="336"/>
      <c r="AD52" s="337"/>
      <c r="AE52" s="337"/>
      <c r="AF52" s="337"/>
      <c r="AG52" s="338"/>
      <c r="AH52" s="336"/>
      <c r="AI52" s="337"/>
      <c r="AJ52" s="337"/>
      <c r="AK52" s="337"/>
      <c r="AL52" s="338"/>
      <c r="AM52" s="336"/>
      <c r="AN52" s="337"/>
      <c r="AO52" s="337"/>
      <c r="AP52" s="337"/>
      <c r="AQ52" s="338"/>
      <c r="AR52" s="336"/>
      <c r="AS52" s="337"/>
      <c r="AT52" s="337"/>
      <c r="AU52" s="337"/>
      <c r="AV52" s="338"/>
      <c r="AW52" s="336"/>
      <c r="AX52" s="337"/>
      <c r="AY52" s="337"/>
      <c r="AZ52" s="337"/>
      <c r="BA52" s="338"/>
      <c r="BB52" s="336"/>
      <c r="BC52" s="337"/>
      <c r="BD52" s="337"/>
      <c r="BE52" s="337"/>
      <c r="BF52" s="338"/>
      <c r="BG52" s="336"/>
      <c r="BH52" s="337">
        <v>27</v>
      </c>
      <c r="BI52" s="337"/>
      <c r="BJ52" s="337"/>
      <c r="BK52" s="338"/>
      <c r="BL52" s="336"/>
      <c r="BM52" s="337"/>
      <c r="BN52" s="337"/>
      <c r="BO52" s="337"/>
      <c r="BP52" s="338"/>
      <c r="BQ52" s="336"/>
      <c r="BR52" s="337"/>
      <c r="BS52" s="337"/>
      <c r="BT52" s="337"/>
      <c r="BU52" s="339"/>
      <c r="BW52" s="236" t="str">
        <f>sum_level("o",'Needs 171007_1812'!D52:BU52)</f>
        <v/>
      </c>
      <c r="BX52" s="237" t="str">
        <f>sum_level("j",'Needs 171007_1812'!D52:BU52)</f>
        <v>27</v>
      </c>
      <c r="BY52" s="237" t="str">
        <f>sum_level("m",'Needs 171007_1812'!D52:BU52)</f>
        <v/>
      </c>
      <c r="BZ52" s="237" t="str">
        <f>sum_level("s",'Needs 171007_1812'!D52:BU52)</f>
        <v/>
      </c>
      <c r="CA52" s="238" t="str">
        <f>sum_level("e",'Needs 171007_1812'!D52:BU52)</f>
        <v/>
      </c>
    </row>
    <row r="53" spans="2:79" x14ac:dyDescent="0.25">
      <c r="B53" s="435"/>
      <c r="C53" s="291" t="s">
        <v>94</v>
      </c>
      <c r="D53" s="336"/>
      <c r="E53" s="337"/>
      <c r="F53" s="337"/>
      <c r="G53" s="337"/>
      <c r="H53" s="338"/>
      <c r="I53" s="336"/>
      <c r="J53" s="337"/>
      <c r="K53" s="337"/>
      <c r="L53" s="337"/>
      <c r="M53" s="338"/>
      <c r="N53" s="336"/>
      <c r="O53" s="337"/>
      <c r="P53" s="337"/>
      <c r="Q53" s="337"/>
      <c r="R53" s="338"/>
      <c r="S53" s="336"/>
      <c r="T53" s="337"/>
      <c r="U53" s="337"/>
      <c r="V53" s="337"/>
      <c r="W53" s="338"/>
      <c r="X53" s="336"/>
      <c r="Y53" s="337"/>
      <c r="Z53" s="337"/>
      <c r="AA53" s="337"/>
      <c r="AB53" s="338"/>
      <c r="AC53" s="336"/>
      <c r="AD53" s="337"/>
      <c r="AE53" s="337"/>
      <c r="AF53" s="337"/>
      <c r="AG53" s="338"/>
      <c r="AH53" s="336"/>
      <c r="AI53" s="337"/>
      <c r="AJ53" s="337"/>
      <c r="AK53" s="337"/>
      <c r="AL53" s="338"/>
      <c r="AM53" s="336"/>
      <c r="AN53" s="337"/>
      <c r="AO53" s="337"/>
      <c r="AP53" s="337"/>
      <c r="AQ53" s="338"/>
      <c r="AR53" s="336"/>
      <c r="AS53" s="337"/>
      <c r="AT53" s="337"/>
      <c r="AU53" s="337"/>
      <c r="AV53" s="338"/>
      <c r="AW53" s="336"/>
      <c r="AX53" s="337"/>
      <c r="AY53" s="337"/>
      <c r="AZ53" s="337"/>
      <c r="BA53" s="338"/>
      <c r="BB53" s="336"/>
      <c r="BC53" s="337"/>
      <c r="BD53" s="337"/>
      <c r="BE53" s="337"/>
      <c r="BF53" s="338"/>
      <c r="BG53" s="336"/>
      <c r="BH53" s="337"/>
      <c r="BI53" s="337">
        <v>28</v>
      </c>
      <c r="BJ53" s="337"/>
      <c r="BK53" s="338"/>
      <c r="BL53" s="336"/>
      <c r="BM53" s="337"/>
      <c r="BN53" s="337"/>
      <c r="BO53" s="337"/>
      <c r="BP53" s="338"/>
      <c r="BQ53" s="336"/>
      <c r="BR53" s="337"/>
      <c r="BS53" s="337"/>
      <c r="BT53" s="337"/>
      <c r="BU53" s="339"/>
      <c r="BW53" s="236" t="str">
        <f>sum_level("o",'Needs 171007_1812'!D53:BU53)</f>
        <v/>
      </c>
      <c r="BX53" s="237" t="str">
        <f>sum_level("j",'Needs 171007_1812'!D53:BU53)</f>
        <v/>
      </c>
      <c r="BY53" s="237" t="str">
        <f>sum_level("m",'Needs 171007_1812'!D53:BU53)</f>
        <v>28</v>
      </c>
      <c r="BZ53" s="237" t="str">
        <f>sum_level("s",'Needs 171007_1812'!D53:BU53)</f>
        <v/>
      </c>
      <c r="CA53" s="238" t="str">
        <f>sum_level("e",'Needs 171007_1812'!D53:BU53)</f>
        <v/>
      </c>
    </row>
    <row r="54" spans="2:79" x14ac:dyDescent="0.25">
      <c r="B54" s="435"/>
      <c r="C54" s="291" t="s">
        <v>95</v>
      </c>
      <c r="D54" s="336"/>
      <c r="E54" s="337"/>
      <c r="F54" s="337"/>
      <c r="G54" s="337"/>
      <c r="H54" s="338"/>
      <c r="I54" s="336"/>
      <c r="J54" s="337"/>
      <c r="K54" s="337"/>
      <c r="L54" s="337"/>
      <c r="M54" s="338"/>
      <c r="N54" s="336"/>
      <c r="O54" s="337"/>
      <c r="P54" s="337"/>
      <c r="Q54" s="337"/>
      <c r="R54" s="338"/>
      <c r="S54" s="336"/>
      <c r="T54" s="337"/>
      <c r="U54" s="337"/>
      <c r="V54" s="337"/>
      <c r="W54" s="338"/>
      <c r="X54" s="336"/>
      <c r="Y54" s="337"/>
      <c r="Z54" s="337"/>
      <c r="AA54" s="337"/>
      <c r="AB54" s="338"/>
      <c r="AC54" s="336"/>
      <c r="AD54" s="337"/>
      <c r="AE54" s="337"/>
      <c r="AF54" s="337"/>
      <c r="AG54" s="338"/>
      <c r="AH54" s="336"/>
      <c r="AI54" s="337"/>
      <c r="AJ54" s="337"/>
      <c r="AK54" s="337"/>
      <c r="AL54" s="338"/>
      <c r="AM54" s="336"/>
      <c r="AN54" s="337"/>
      <c r="AO54" s="337"/>
      <c r="AP54" s="337"/>
      <c r="AQ54" s="338"/>
      <c r="AR54" s="336"/>
      <c r="AS54" s="337"/>
      <c r="AT54" s="337"/>
      <c r="AU54" s="337"/>
      <c r="AV54" s="338"/>
      <c r="AW54" s="336"/>
      <c r="AX54" s="337"/>
      <c r="AY54" s="337"/>
      <c r="AZ54" s="337"/>
      <c r="BA54" s="338"/>
      <c r="BB54" s="336"/>
      <c r="BC54" s="337"/>
      <c r="BD54" s="337"/>
      <c r="BE54" s="337"/>
      <c r="BF54" s="338"/>
      <c r="BG54" s="336"/>
      <c r="BH54" s="337"/>
      <c r="BI54" s="337"/>
      <c r="BJ54" s="337">
        <v>29</v>
      </c>
      <c r="BK54" s="338"/>
      <c r="BL54" s="336"/>
      <c r="BM54" s="337"/>
      <c r="BN54" s="337"/>
      <c r="BO54" s="337"/>
      <c r="BP54" s="338"/>
      <c r="BQ54" s="336"/>
      <c r="BR54" s="337"/>
      <c r="BS54" s="337"/>
      <c r="BT54" s="337"/>
      <c r="BU54" s="339"/>
      <c r="BW54" s="236" t="str">
        <f>sum_level("o",'Needs 171007_1812'!D54:BU54)</f>
        <v/>
      </c>
      <c r="BX54" s="237" t="str">
        <f>sum_level("j",'Needs 171007_1812'!D54:BU54)</f>
        <v/>
      </c>
      <c r="BY54" s="237" t="str">
        <f>sum_level("m",'Needs 171007_1812'!D54:BU54)</f>
        <v/>
      </c>
      <c r="BZ54" s="237" t="str">
        <f>sum_level("s",'Needs 171007_1812'!D54:BU54)</f>
        <v>29</v>
      </c>
      <c r="CA54" s="238" t="str">
        <f>sum_level("e",'Needs 171007_1812'!D54:BU54)</f>
        <v/>
      </c>
    </row>
    <row r="55" spans="2:79" x14ac:dyDescent="0.25">
      <c r="B55" s="435"/>
      <c r="C55" s="291" t="s">
        <v>96</v>
      </c>
      <c r="D55" s="336"/>
      <c r="E55" s="337"/>
      <c r="F55" s="337"/>
      <c r="G55" s="337"/>
      <c r="H55" s="338"/>
      <c r="I55" s="336"/>
      <c r="J55" s="337"/>
      <c r="K55" s="337"/>
      <c r="L55" s="337"/>
      <c r="M55" s="338"/>
      <c r="N55" s="336"/>
      <c r="O55" s="337"/>
      <c r="P55" s="337"/>
      <c r="Q55" s="337"/>
      <c r="R55" s="338"/>
      <c r="S55" s="336"/>
      <c r="T55" s="337"/>
      <c r="U55" s="337"/>
      <c r="V55" s="337"/>
      <c r="W55" s="338"/>
      <c r="X55" s="336"/>
      <c r="Y55" s="337"/>
      <c r="Z55" s="337"/>
      <c r="AA55" s="337"/>
      <c r="AB55" s="338"/>
      <c r="AC55" s="336"/>
      <c r="AD55" s="337"/>
      <c r="AE55" s="337"/>
      <c r="AF55" s="337"/>
      <c r="AG55" s="338"/>
      <c r="AH55" s="336"/>
      <c r="AI55" s="337"/>
      <c r="AJ55" s="337"/>
      <c r="AK55" s="337"/>
      <c r="AL55" s="338"/>
      <c r="AM55" s="336"/>
      <c r="AN55" s="337"/>
      <c r="AO55" s="337"/>
      <c r="AP55" s="337"/>
      <c r="AQ55" s="338"/>
      <c r="AR55" s="336"/>
      <c r="AS55" s="337"/>
      <c r="AT55" s="337"/>
      <c r="AU55" s="337"/>
      <c r="AV55" s="338"/>
      <c r="AW55" s="336"/>
      <c r="AX55" s="337"/>
      <c r="AY55" s="337"/>
      <c r="AZ55" s="337"/>
      <c r="BA55" s="338"/>
      <c r="BB55" s="336"/>
      <c r="BC55" s="337"/>
      <c r="BD55" s="337"/>
      <c r="BE55" s="337"/>
      <c r="BF55" s="338"/>
      <c r="BG55" s="336"/>
      <c r="BH55" s="337"/>
      <c r="BI55" s="337"/>
      <c r="BJ55" s="337"/>
      <c r="BK55" s="338">
        <v>30</v>
      </c>
      <c r="BL55" s="336"/>
      <c r="BM55" s="337"/>
      <c r="BN55" s="337"/>
      <c r="BO55" s="337"/>
      <c r="BP55" s="338"/>
      <c r="BQ55" s="336"/>
      <c r="BR55" s="337"/>
      <c r="BS55" s="337"/>
      <c r="BT55" s="337"/>
      <c r="BU55" s="339"/>
      <c r="BW55" s="236" t="str">
        <f>sum_level("o",'Needs 171007_1812'!D55:BU55)</f>
        <v/>
      </c>
      <c r="BX55" s="237" t="str">
        <f>sum_level("j",'Needs 171007_1812'!D55:BU55)</f>
        <v/>
      </c>
      <c r="BY55" s="237" t="str">
        <f>sum_level("m",'Needs 171007_1812'!D55:BU55)</f>
        <v/>
      </c>
      <c r="BZ55" s="237" t="str">
        <f>sum_level("s",'Needs 171007_1812'!D55:BU55)</f>
        <v/>
      </c>
      <c r="CA55" s="238" t="str">
        <f>sum_level("e",'Needs 171007_1812'!D55:BU55)</f>
        <v>30</v>
      </c>
    </row>
    <row r="56" spans="2:79" x14ac:dyDescent="0.25">
      <c r="B56" s="435"/>
      <c r="C56" s="291" t="s">
        <v>97</v>
      </c>
      <c r="D56" s="336"/>
      <c r="E56" s="337"/>
      <c r="F56" s="337"/>
      <c r="G56" s="337"/>
      <c r="H56" s="338"/>
      <c r="I56" s="336"/>
      <c r="J56" s="337"/>
      <c r="K56" s="337"/>
      <c r="L56" s="337"/>
      <c r="M56" s="338"/>
      <c r="N56" s="336"/>
      <c r="O56" s="337"/>
      <c r="P56" s="337"/>
      <c r="Q56" s="337"/>
      <c r="R56" s="338"/>
      <c r="S56" s="336"/>
      <c r="T56" s="337"/>
      <c r="U56" s="337"/>
      <c r="V56" s="337"/>
      <c r="W56" s="338"/>
      <c r="X56" s="336"/>
      <c r="Y56" s="337"/>
      <c r="Z56" s="337"/>
      <c r="AA56" s="337"/>
      <c r="AB56" s="338"/>
      <c r="AC56" s="336"/>
      <c r="AD56" s="337"/>
      <c r="AE56" s="337"/>
      <c r="AF56" s="337"/>
      <c r="AG56" s="338"/>
      <c r="AH56" s="336"/>
      <c r="AI56" s="337"/>
      <c r="AJ56" s="337"/>
      <c r="AK56" s="337"/>
      <c r="AL56" s="338"/>
      <c r="AM56" s="336"/>
      <c r="AN56" s="337"/>
      <c r="AO56" s="337"/>
      <c r="AP56" s="337"/>
      <c r="AQ56" s="338"/>
      <c r="AR56" s="336"/>
      <c r="AS56" s="337"/>
      <c r="AT56" s="337"/>
      <c r="AU56" s="337"/>
      <c r="AV56" s="338"/>
      <c r="AW56" s="336"/>
      <c r="AX56" s="337"/>
      <c r="AY56" s="337"/>
      <c r="AZ56" s="337"/>
      <c r="BA56" s="338"/>
      <c r="BB56" s="336"/>
      <c r="BC56" s="337"/>
      <c r="BD56" s="337"/>
      <c r="BE56" s="337"/>
      <c r="BF56" s="338"/>
      <c r="BG56" s="336"/>
      <c r="BH56" s="337"/>
      <c r="BI56" s="337"/>
      <c r="BJ56" s="337"/>
      <c r="BK56" s="338"/>
      <c r="BL56" s="336"/>
      <c r="BM56" s="337"/>
      <c r="BN56" s="337"/>
      <c r="BO56" s="337"/>
      <c r="BP56" s="338"/>
      <c r="BQ56" s="336"/>
      <c r="BR56" s="337"/>
      <c r="BS56" s="337"/>
      <c r="BT56" s="337"/>
      <c r="BU56" s="339"/>
      <c r="BW56" s="236" t="str">
        <f>sum_level("o",'Needs 171007_1812'!D56:BU56)</f>
        <v/>
      </c>
      <c r="BX56" s="237" t="str">
        <f>sum_level("j",'Needs 171007_1812'!D56:BU56)</f>
        <v/>
      </c>
      <c r="BY56" s="237" t="str">
        <f>sum_level("m",'Needs 171007_1812'!D56:BU56)</f>
        <v/>
      </c>
      <c r="BZ56" s="237" t="str">
        <f>sum_level("s",'Needs 171007_1812'!D56:BU56)</f>
        <v/>
      </c>
      <c r="CA56" s="238" t="str">
        <f>sum_level("e",'Needs 171007_1812'!D56:BU56)</f>
        <v/>
      </c>
    </row>
    <row r="57" spans="2:79" x14ac:dyDescent="0.25">
      <c r="B57" s="435"/>
      <c r="C57" s="291" t="s">
        <v>228</v>
      </c>
      <c r="D57" s="336"/>
      <c r="E57" s="337"/>
      <c r="F57" s="337"/>
      <c r="G57" s="337"/>
      <c r="H57" s="338"/>
      <c r="I57" s="336"/>
      <c r="J57" s="337"/>
      <c r="K57" s="337"/>
      <c r="L57" s="337"/>
      <c r="M57" s="338"/>
      <c r="N57" s="336"/>
      <c r="O57" s="337"/>
      <c r="P57" s="337"/>
      <c r="Q57" s="337"/>
      <c r="R57" s="338"/>
      <c r="S57" s="336"/>
      <c r="T57" s="337"/>
      <c r="U57" s="337"/>
      <c r="V57" s="337"/>
      <c r="W57" s="338"/>
      <c r="X57" s="336"/>
      <c r="Y57" s="337"/>
      <c r="Z57" s="337"/>
      <c r="AA57" s="337"/>
      <c r="AB57" s="338"/>
      <c r="AC57" s="336"/>
      <c r="AD57" s="337"/>
      <c r="AE57" s="337"/>
      <c r="AF57" s="337"/>
      <c r="AG57" s="338"/>
      <c r="AH57" s="336"/>
      <c r="AI57" s="337"/>
      <c r="AJ57" s="337"/>
      <c r="AK57" s="337"/>
      <c r="AL57" s="338"/>
      <c r="AM57" s="336"/>
      <c r="AN57" s="337"/>
      <c r="AO57" s="337"/>
      <c r="AP57" s="337"/>
      <c r="AQ57" s="338"/>
      <c r="AR57" s="336"/>
      <c r="AS57" s="337"/>
      <c r="AT57" s="337"/>
      <c r="AU57" s="337"/>
      <c r="AV57" s="338"/>
      <c r="AW57" s="336"/>
      <c r="AX57" s="337"/>
      <c r="AY57" s="337"/>
      <c r="AZ57" s="337"/>
      <c r="BA57" s="338"/>
      <c r="BB57" s="336"/>
      <c r="BC57" s="337"/>
      <c r="BD57" s="337"/>
      <c r="BE57" s="337"/>
      <c r="BF57" s="338"/>
      <c r="BG57" s="336"/>
      <c r="BH57" s="337"/>
      <c r="BI57" s="337"/>
      <c r="BJ57" s="337"/>
      <c r="BK57" s="338"/>
      <c r="BL57" s="336"/>
      <c r="BM57" s="337"/>
      <c r="BN57" s="337"/>
      <c r="BO57" s="337"/>
      <c r="BP57" s="338"/>
      <c r="BQ57" s="336"/>
      <c r="BR57" s="337"/>
      <c r="BS57" s="337"/>
      <c r="BT57" s="337"/>
      <c r="BU57" s="339"/>
      <c r="BW57" s="236" t="str">
        <f>sum_level("o",'Needs 171007_1812'!D57:BU57)</f>
        <v/>
      </c>
      <c r="BX57" s="237" t="str">
        <f>sum_level("j",'Needs 171007_1812'!D57:BU57)</f>
        <v/>
      </c>
      <c r="BY57" s="237" t="str">
        <f>sum_level("m",'Needs 171007_1812'!D57:BU57)</f>
        <v/>
      </c>
      <c r="BZ57" s="237" t="str">
        <f>sum_level("s",'Needs 171007_1812'!D57:BU57)</f>
        <v/>
      </c>
      <c r="CA57" s="238" t="str">
        <f>sum_level("e",'Needs 171007_1812'!D57:BU57)</f>
        <v/>
      </c>
    </row>
    <row r="58" spans="2:79" ht="15.75" thickBot="1" x14ac:dyDescent="0.3">
      <c r="B58" s="435"/>
      <c r="C58" s="292" t="s">
        <v>229</v>
      </c>
      <c r="D58" s="340"/>
      <c r="E58" s="341"/>
      <c r="F58" s="341"/>
      <c r="G58" s="341"/>
      <c r="H58" s="342"/>
      <c r="I58" s="340"/>
      <c r="J58" s="341"/>
      <c r="K58" s="341"/>
      <c r="L58" s="341"/>
      <c r="M58" s="342"/>
      <c r="N58" s="340"/>
      <c r="O58" s="341"/>
      <c r="P58" s="341"/>
      <c r="Q58" s="341"/>
      <c r="R58" s="342"/>
      <c r="S58" s="340"/>
      <c r="T58" s="341"/>
      <c r="U58" s="341"/>
      <c r="V58" s="341"/>
      <c r="W58" s="342"/>
      <c r="X58" s="340"/>
      <c r="Y58" s="341"/>
      <c r="Z58" s="341"/>
      <c r="AA58" s="341"/>
      <c r="AB58" s="342"/>
      <c r="AC58" s="340"/>
      <c r="AD58" s="341"/>
      <c r="AE58" s="341"/>
      <c r="AF58" s="341"/>
      <c r="AG58" s="342"/>
      <c r="AH58" s="340"/>
      <c r="AI58" s="341"/>
      <c r="AJ58" s="341"/>
      <c r="AK58" s="341"/>
      <c r="AL58" s="342"/>
      <c r="AM58" s="340"/>
      <c r="AN58" s="341"/>
      <c r="AO58" s="341"/>
      <c r="AP58" s="341"/>
      <c r="AQ58" s="342"/>
      <c r="AR58" s="340"/>
      <c r="AS58" s="341"/>
      <c r="AT58" s="341"/>
      <c r="AU58" s="341"/>
      <c r="AV58" s="342"/>
      <c r="AW58" s="340"/>
      <c r="AX58" s="341"/>
      <c r="AY58" s="341"/>
      <c r="AZ58" s="341"/>
      <c r="BA58" s="342"/>
      <c r="BB58" s="340"/>
      <c r="BC58" s="341"/>
      <c r="BD58" s="341"/>
      <c r="BE58" s="341"/>
      <c r="BF58" s="342"/>
      <c r="BG58" s="340"/>
      <c r="BH58" s="341"/>
      <c r="BI58" s="341"/>
      <c r="BJ58" s="341"/>
      <c r="BK58" s="342"/>
      <c r="BL58" s="340"/>
      <c r="BM58" s="341"/>
      <c r="BN58" s="341"/>
      <c r="BO58" s="341"/>
      <c r="BP58" s="342"/>
      <c r="BQ58" s="340"/>
      <c r="BR58" s="341"/>
      <c r="BS58" s="341"/>
      <c r="BT58" s="341"/>
      <c r="BU58" s="343"/>
      <c r="BW58" s="239" t="str">
        <f>sum_level("o",'Needs 171007_1812'!D58:BU58)</f>
        <v/>
      </c>
      <c r="BX58" s="240" t="str">
        <f>sum_level("j",'Needs 171007_1812'!D58:BU58)</f>
        <v/>
      </c>
      <c r="BY58" s="240" t="str">
        <f>sum_level("m",'Needs 171007_1812'!D58:BU58)</f>
        <v/>
      </c>
      <c r="BZ58" s="240" t="str">
        <f>sum_level("s",'Needs 171007_1812'!D58:BU58)</f>
        <v/>
      </c>
      <c r="CA58" s="241" t="str">
        <f>sum_level("e",'Needs 171007_1812'!D58:BU58)</f>
        <v/>
      </c>
    </row>
    <row r="59" spans="2:79" ht="12.75" customHeight="1" thickTop="1" thickBot="1" x14ac:dyDescent="0.3">
      <c r="B59" s="436"/>
      <c r="C59" s="248"/>
      <c r="D59" s="344"/>
      <c r="E59" s="344"/>
      <c r="F59" s="344"/>
      <c r="G59" s="344"/>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s="344"/>
      <c r="BN59" s="344"/>
      <c r="BO59" s="344"/>
      <c r="BP59" s="344"/>
      <c r="BQ59" s="344"/>
      <c r="BR59" s="344"/>
      <c r="BS59" s="344"/>
      <c r="BT59" s="344"/>
      <c r="BU59" s="344"/>
      <c r="BW59" s="249"/>
      <c r="BX59" s="249"/>
      <c r="BY59" s="249"/>
      <c r="BZ59" s="249"/>
      <c r="CA59" s="249"/>
    </row>
    <row r="60" spans="2:79" ht="15.75" thickTop="1" x14ac:dyDescent="0.25">
      <c r="B60" s="434" t="s">
        <v>98</v>
      </c>
      <c r="C60" s="290" t="s">
        <v>99</v>
      </c>
      <c r="D60" s="332"/>
      <c r="E60" s="333"/>
      <c r="F60" s="333"/>
      <c r="G60" s="333"/>
      <c r="H60" s="334"/>
      <c r="I60" s="332"/>
      <c r="J60" s="333"/>
      <c r="K60" s="333"/>
      <c r="L60" s="333"/>
      <c r="M60" s="334"/>
      <c r="N60" s="332"/>
      <c r="O60" s="333"/>
      <c r="P60" s="333"/>
      <c r="Q60" s="333"/>
      <c r="R60" s="334"/>
      <c r="S60" s="332"/>
      <c r="T60" s="333"/>
      <c r="U60" s="333"/>
      <c r="V60" s="333"/>
      <c r="W60" s="334"/>
      <c r="X60" s="332"/>
      <c r="Y60" s="333"/>
      <c r="Z60" s="333"/>
      <c r="AA60" s="333"/>
      <c r="AB60" s="334"/>
      <c r="AC60" s="332"/>
      <c r="AD60" s="333"/>
      <c r="AE60" s="333"/>
      <c r="AF60" s="333"/>
      <c r="AG60" s="334"/>
      <c r="AH60" s="332"/>
      <c r="AI60" s="333"/>
      <c r="AJ60" s="333"/>
      <c r="AK60" s="333"/>
      <c r="AL60" s="334"/>
      <c r="AM60" s="332"/>
      <c r="AN60" s="333"/>
      <c r="AO60" s="333"/>
      <c r="AP60" s="333"/>
      <c r="AQ60" s="334"/>
      <c r="AR60" s="332"/>
      <c r="AS60" s="333"/>
      <c r="AT60" s="333"/>
      <c r="AU60" s="333"/>
      <c r="AV60" s="334"/>
      <c r="AW60" s="332"/>
      <c r="AX60" s="333"/>
      <c r="AY60" s="333"/>
      <c r="AZ60" s="333"/>
      <c r="BA60" s="334"/>
      <c r="BB60" s="332"/>
      <c r="BC60" s="333"/>
      <c r="BD60" s="333"/>
      <c r="BE60" s="333"/>
      <c r="BF60" s="334"/>
      <c r="BG60" s="332"/>
      <c r="BH60" s="333"/>
      <c r="BI60" s="333"/>
      <c r="BJ60" s="333"/>
      <c r="BK60" s="334"/>
      <c r="BL60" s="332">
        <v>31</v>
      </c>
      <c r="BM60" s="333"/>
      <c r="BN60" s="333"/>
      <c r="BO60" s="333"/>
      <c r="BP60" s="334"/>
      <c r="BQ60" s="332"/>
      <c r="BR60" s="333"/>
      <c r="BS60" s="333"/>
      <c r="BT60" s="333"/>
      <c r="BU60" s="335"/>
      <c r="BW60" s="233" t="str">
        <f>sum_level("o",'Needs 171007_1812'!D60:BU60)</f>
        <v>31</v>
      </c>
      <c r="BX60" s="234" t="str">
        <f>sum_level("j",'Needs 171007_1812'!D60:BU60)</f>
        <v/>
      </c>
      <c r="BY60" s="234" t="str">
        <f>sum_level("m",'Needs 171007_1812'!D60:BU60)</f>
        <v/>
      </c>
      <c r="BZ60" s="234" t="str">
        <f>sum_level("s",'Needs 171007_1812'!D60:BU60)</f>
        <v/>
      </c>
      <c r="CA60" s="235" t="str">
        <f>sum_level("e",'Needs 171007_1812'!D60:BU60)</f>
        <v/>
      </c>
    </row>
    <row r="61" spans="2:79" x14ac:dyDescent="0.25">
      <c r="B61" s="435"/>
      <c r="C61" s="291" t="s">
        <v>100</v>
      </c>
      <c r="D61" s="336"/>
      <c r="E61" s="337"/>
      <c r="F61" s="337"/>
      <c r="G61" s="337"/>
      <c r="H61" s="338"/>
      <c r="I61" s="336"/>
      <c r="J61" s="337"/>
      <c r="K61" s="337"/>
      <c r="L61" s="337"/>
      <c r="M61" s="338"/>
      <c r="N61" s="336"/>
      <c r="O61" s="337"/>
      <c r="P61" s="337"/>
      <c r="Q61" s="337"/>
      <c r="R61" s="338"/>
      <c r="S61" s="336"/>
      <c r="T61" s="337"/>
      <c r="U61" s="337"/>
      <c r="V61" s="337"/>
      <c r="W61" s="338"/>
      <c r="X61" s="336"/>
      <c r="Y61" s="337"/>
      <c r="Z61" s="337"/>
      <c r="AA61" s="337"/>
      <c r="AB61" s="338"/>
      <c r="AC61" s="336"/>
      <c r="AD61" s="337"/>
      <c r="AE61" s="337"/>
      <c r="AF61" s="337"/>
      <c r="AG61" s="338"/>
      <c r="AH61" s="336"/>
      <c r="AI61" s="337"/>
      <c r="AJ61" s="337"/>
      <c r="AK61" s="337"/>
      <c r="AL61" s="338"/>
      <c r="AM61" s="336"/>
      <c r="AN61" s="337"/>
      <c r="AO61" s="337"/>
      <c r="AP61" s="337"/>
      <c r="AQ61" s="338"/>
      <c r="AR61" s="336"/>
      <c r="AS61" s="337"/>
      <c r="AT61" s="337"/>
      <c r="AU61" s="337"/>
      <c r="AV61" s="338"/>
      <c r="AW61" s="336"/>
      <c r="AX61" s="337"/>
      <c r="AY61" s="337"/>
      <c r="AZ61" s="337"/>
      <c r="BA61" s="338"/>
      <c r="BB61" s="336"/>
      <c r="BC61" s="337"/>
      <c r="BD61" s="337"/>
      <c r="BE61" s="337"/>
      <c r="BF61" s="338"/>
      <c r="BG61" s="336"/>
      <c r="BH61" s="337"/>
      <c r="BI61" s="337"/>
      <c r="BJ61" s="337"/>
      <c r="BK61" s="338"/>
      <c r="BL61" s="336"/>
      <c r="BM61" s="337">
        <v>32</v>
      </c>
      <c r="BN61" s="337"/>
      <c r="BO61" s="337"/>
      <c r="BP61" s="338"/>
      <c r="BQ61" s="336"/>
      <c r="BR61" s="337"/>
      <c r="BS61" s="337"/>
      <c r="BT61" s="337"/>
      <c r="BU61" s="339"/>
      <c r="BW61" s="236" t="str">
        <f>sum_level("o",'Needs 171007_1812'!D61:BU61)</f>
        <v/>
      </c>
      <c r="BX61" s="237" t="str">
        <f>sum_level("j",'Needs 171007_1812'!D61:BU61)</f>
        <v>32</v>
      </c>
      <c r="BY61" s="237" t="str">
        <f>sum_level("m",'Needs 171007_1812'!D61:BU61)</f>
        <v/>
      </c>
      <c r="BZ61" s="237" t="str">
        <f>sum_level("s",'Needs 171007_1812'!D61:BU61)</f>
        <v/>
      </c>
      <c r="CA61" s="238" t="str">
        <f>sum_level("e",'Needs 171007_1812'!D61:BU61)</f>
        <v/>
      </c>
    </row>
    <row r="62" spans="2:79" x14ac:dyDescent="0.25">
      <c r="B62" s="435"/>
      <c r="C62" s="291" t="s">
        <v>101</v>
      </c>
      <c r="D62" s="336"/>
      <c r="E62" s="337"/>
      <c r="F62" s="337"/>
      <c r="G62" s="337"/>
      <c r="H62" s="338"/>
      <c r="I62" s="336"/>
      <c r="J62" s="337"/>
      <c r="K62" s="337"/>
      <c r="L62" s="337"/>
      <c r="M62" s="338"/>
      <c r="N62" s="336"/>
      <c r="O62" s="337"/>
      <c r="P62" s="337"/>
      <c r="Q62" s="337"/>
      <c r="R62" s="338"/>
      <c r="S62" s="336"/>
      <c r="T62" s="337"/>
      <c r="U62" s="337"/>
      <c r="V62" s="337"/>
      <c r="W62" s="338"/>
      <c r="X62" s="336"/>
      <c r="Y62" s="337"/>
      <c r="Z62" s="337"/>
      <c r="AA62" s="337"/>
      <c r="AB62" s="338"/>
      <c r="AC62" s="336"/>
      <c r="AD62" s="337"/>
      <c r="AE62" s="337"/>
      <c r="AF62" s="337"/>
      <c r="AG62" s="338"/>
      <c r="AH62" s="336"/>
      <c r="AI62" s="337"/>
      <c r="AJ62" s="337"/>
      <c r="AK62" s="337"/>
      <c r="AL62" s="338"/>
      <c r="AM62" s="336"/>
      <c r="AN62" s="337"/>
      <c r="AO62" s="337"/>
      <c r="AP62" s="337"/>
      <c r="AQ62" s="338"/>
      <c r="AR62" s="336"/>
      <c r="AS62" s="337"/>
      <c r="AT62" s="337"/>
      <c r="AU62" s="337"/>
      <c r="AV62" s="338"/>
      <c r="AW62" s="336"/>
      <c r="AX62" s="337"/>
      <c r="AY62" s="337"/>
      <c r="AZ62" s="337"/>
      <c r="BA62" s="338"/>
      <c r="BB62" s="336"/>
      <c r="BC62" s="337"/>
      <c r="BD62" s="337"/>
      <c r="BE62" s="337"/>
      <c r="BF62" s="338"/>
      <c r="BG62" s="336"/>
      <c r="BH62" s="337"/>
      <c r="BI62" s="337"/>
      <c r="BJ62" s="337"/>
      <c r="BK62" s="338"/>
      <c r="BL62" s="336"/>
      <c r="BM62" s="337"/>
      <c r="BN62" s="337">
        <v>33</v>
      </c>
      <c r="BO62" s="337"/>
      <c r="BP62" s="338"/>
      <c r="BQ62" s="336"/>
      <c r="BR62" s="337"/>
      <c r="BS62" s="337"/>
      <c r="BT62" s="337"/>
      <c r="BU62" s="339"/>
      <c r="BW62" s="236" t="str">
        <f>sum_level("o",'Needs 171007_1812'!D62:BU62)</f>
        <v/>
      </c>
      <c r="BX62" s="237" t="str">
        <f>sum_level("j",'Needs 171007_1812'!D62:BU62)</f>
        <v/>
      </c>
      <c r="BY62" s="237" t="str">
        <f>sum_level("m",'Needs 171007_1812'!D62:BU62)</f>
        <v>33</v>
      </c>
      <c r="BZ62" s="237" t="str">
        <f>sum_level("s",'Needs 171007_1812'!D62:BU62)</f>
        <v/>
      </c>
      <c r="CA62" s="238" t="str">
        <f>sum_level("e",'Needs 171007_1812'!D62:BU62)</f>
        <v/>
      </c>
    </row>
    <row r="63" spans="2:79" x14ac:dyDescent="0.25">
      <c r="B63" s="435"/>
      <c r="C63" s="291" t="s">
        <v>102</v>
      </c>
      <c r="D63" s="336"/>
      <c r="E63" s="337"/>
      <c r="F63" s="337"/>
      <c r="G63" s="337"/>
      <c r="H63" s="338"/>
      <c r="I63" s="336"/>
      <c r="J63" s="337"/>
      <c r="K63" s="337"/>
      <c r="L63" s="337"/>
      <c r="M63" s="338"/>
      <c r="N63" s="336"/>
      <c r="O63" s="337"/>
      <c r="P63" s="337"/>
      <c r="Q63" s="337"/>
      <c r="R63" s="338"/>
      <c r="S63" s="336"/>
      <c r="T63" s="337"/>
      <c r="U63" s="337"/>
      <c r="V63" s="337"/>
      <c r="W63" s="338"/>
      <c r="X63" s="336"/>
      <c r="Y63" s="337"/>
      <c r="Z63" s="337"/>
      <c r="AA63" s="337"/>
      <c r="AB63" s="338"/>
      <c r="AC63" s="336"/>
      <c r="AD63" s="337"/>
      <c r="AE63" s="337"/>
      <c r="AF63" s="337"/>
      <c r="AG63" s="338"/>
      <c r="AH63" s="336"/>
      <c r="AI63" s="337"/>
      <c r="AJ63" s="337"/>
      <c r="AK63" s="337"/>
      <c r="AL63" s="338"/>
      <c r="AM63" s="336"/>
      <c r="AN63" s="337"/>
      <c r="AO63" s="337"/>
      <c r="AP63" s="337"/>
      <c r="AQ63" s="338"/>
      <c r="AR63" s="336"/>
      <c r="AS63" s="337"/>
      <c r="AT63" s="337"/>
      <c r="AU63" s="337"/>
      <c r="AV63" s="338"/>
      <c r="AW63" s="336"/>
      <c r="AX63" s="337"/>
      <c r="AY63" s="337"/>
      <c r="AZ63" s="337"/>
      <c r="BA63" s="338"/>
      <c r="BB63" s="336"/>
      <c r="BC63" s="337"/>
      <c r="BD63" s="337"/>
      <c r="BE63" s="337"/>
      <c r="BF63" s="338"/>
      <c r="BG63" s="336"/>
      <c r="BH63" s="337"/>
      <c r="BI63" s="337"/>
      <c r="BJ63" s="337"/>
      <c r="BK63" s="338"/>
      <c r="BL63" s="336"/>
      <c r="BM63" s="337"/>
      <c r="BN63" s="337"/>
      <c r="BO63" s="337">
        <v>34</v>
      </c>
      <c r="BP63" s="338"/>
      <c r="BQ63" s="336"/>
      <c r="BR63" s="337"/>
      <c r="BS63" s="337"/>
      <c r="BT63" s="337"/>
      <c r="BU63" s="339"/>
      <c r="BW63" s="236" t="str">
        <f>sum_level("o",'Needs 171007_1812'!D63:BU63)</f>
        <v/>
      </c>
      <c r="BX63" s="237" t="str">
        <f>sum_level("j",'Needs 171007_1812'!D63:BU63)</f>
        <v/>
      </c>
      <c r="BY63" s="237" t="str">
        <f>sum_level("m",'Needs 171007_1812'!D63:BU63)</f>
        <v/>
      </c>
      <c r="BZ63" s="237" t="str">
        <f>sum_level("s",'Needs 171007_1812'!D63:BU63)</f>
        <v>34</v>
      </c>
      <c r="CA63" s="238" t="str">
        <f>sum_level("e",'Needs 171007_1812'!D63:BU63)</f>
        <v/>
      </c>
    </row>
    <row r="64" spans="2:79" x14ac:dyDescent="0.25">
      <c r="B64" s="435"/>
      <c r="C64" s="291" t="s">
        <v>103</v>
      </c>
      <c r="D64" s="336"/>
      <c r="E64" s="337"/>
      <c r="F64" s="337"/>
      <c r="G64" s="337"/>
      <c r="H64" s="338"/>
      <c r="I64" s="336"/>
      <c r="J64" s="337"/>
      <c r="K64" s="337"/>
      <c r="L64" s="337"/>
      <c r="M64" s="338"/>
      <c r="N64" s="336"/>
      <c r="O64" s="337"/>
      <c r="P64" s="337"/>
      <c r="Q64" s="337"/>
      <c r="R64" s="338"/>
      <c r="S64" s="336"/>
      <c r="T64" s="337"/>
      <c r="U64" s="337"/>
      <c r="V64" s="337"/>
      <c r="W64" s="338"/>
      <c r="X64" s="336"/>
      <c r="Y64" s="337"/>
      <c r="Z64" s="337"/>
      <c r="AA64" s="337"/>
      <c r="AB64" s="338"/>
      <c r="AC64" s="336"/>
      <c r="AD64" s="337"/>
      <c r="AE64" s="337"/>
      <c r="AF64" s="337"/>
      <c r="AG64" s="338"/>
      <c r="AH64" s="336"/>
      <c r="AI64" s="337"/>
      <c r="AJ64" s="337"/>
      <c r="AK64" s="337"/>
      <c r="AL64" s="338"/>
      <c r="AM64" s="336"/>
      <c r="AN64" s="337"/>
      <c r="AO64" s="337"/>
      <c r="AP64" s="337"/>
      <c r="AQ64" s="338"/>
      <c r="AR64" s="336"/>
      <c r="AS64" s="337"/>
      <c r="AT64" s="337"/>
      <c r="AU64" s="337"/>
      <c r="AV64" s="338"/>
      <c r="AW64" s="336"/>
      <c r="AX64" s="337"/>
      <c r="AY64" s="337"/>
      <c r="AZ64" s="337"/>
      <c r="BA64" s="338"/>
      <c r="BB64" s="336"/>
      <c r="BC64" s="337"/>
      <c r="BD64" s="337"/>
      <c r="BE64" s="337"/>
      <c r="BF64" s="338"/>
      <c r="BG64" s="336"/>
      <c r="BH64" s="337"/>
      <c r="BI64" s="337"/>
      <c r="BJ64" s="337"/>
      <c r="BK64" s="338"/>
      <c r="BL64" s="336"/>
      <c r="BM64" s="337"/>
      <c r="BN64" s="337"/>
      <c r="BO64" s="337"/>
      <c r="BP64" s="338">
        <v>35</v>
      </c>
      <c r="BQ64" s="336"/>
      <c r="BR64" s="337"/>
      <c r="BS64" s="337"/>
      <c r="BT64" s="337"/>
      <c r="BU64" s="339"/>
      <c r="BW64" s="236" t="str">
        <f>sum_level("o",'Needs 171007_1812'!D64:BU64)</f>
        <v/>
      </c>
      <c r="BX64" s="237" t="str">
        <f>sum_level("j",'Needs 171007_1812'!D64:BU64)</f>
        <v/>
      </c>
      <c r="BY64" s="237" t="str">
        <f>sum_level("m",'Needs 171007_1812'!D64:BU64)</f>
        <v/>
      </c>
      <c r="BZ64" s="237" t="str">
        <f>sum_level("s",'Needs 171007_1812'!D64:BU64)</f>
        <v/>
      </c>
      <c r="CA64" s="238" t="str">
        <f>sum_level("e",'Needs 171007_1812'!D64:BU64)</f>
        <v>35</v>
      </c>
    </row>
    <row r="65" spans="2:79" x14ac:dyDescent="0.25">
      <c r="B65" s="435"/>
      <c r="C65" s="291" t="s">
        <v>104</v>
      </c>
      <c r="D65" s="336"/>
      <c r="E65" s="337"/>
      <c r="F65" s="337"/>
      <c r="G65" s="337"/>
      <c r="H65" s="338"/>
      <c r="I65" s="336"/>
      <c r="J65" s="337"/>
      <c r="K65" s="337"/>
      <c r="L65" s="337"/>
      <c r="M65" s="338"/>
      <c r="N65" s="336"/>
      <c r="O65" s="337"/>
      <c r="P65" s="337"/>
      <c r="Q65" s="337"/>
      <c r="R65" s="338"/>
      <c r="S65" s="336"/>
      <c r="T65" s="337"/>
      <c r="U65" s="337"/>
      <c r="V65" s="337"/>
      <c r="W65" s="338"/>
      <c r="X65" s="336"/>
      <c r="Y65" s="337"/>
      <c r="Z65" s="337"/>
      <c r="AA65" s="337"/>
      <c r="AB65" s="338"/>
      <c r="AC65" s="336"/>
      <c r="AD65" s="337"/>
      <c r="AE65" s="337"/>
      <c r="AF65" s="337"/>
      <c r="AG65" s="338"/>
      <c r="AH65" s="336"/>
      <c r="AI65" s="337"/>
      <c r="AJ65" s="337"/>
      <c r="AK65" s="337"/>
      <c r="AL65" s="338"/>
      <c r="AM65" s="336"/>
      <c r="AN65" s="337"/>
      <c r="AO65" s="337"/>
      <c r="AP65" s="337"/>
      <c r="AQ65" s="338"/>
      <c r="AR65" s="336"/>
      <c r="AS65" s="337"/>
      <c r="AT65" s="337"/>
      <c r="AU65" s="337"/>
      <c r="AV65" s="338"/>
      <c r="AW65" s="336"/>
      <c r="AX65" s="337"/>
      <c r="AY65" s="337"/>
      <c r="AZ65" s="337"/>
      <c r="BA65" s="338"/>
      <c r="BB65" s="336"/>
      <c r="BC65" s="337"/>
      <c r="BD65" s="337"/>
      <c r="BE65" s="337"/>
      <c r="BF65" s="338"/>
      <c r="BG65" s="336"/>
      <c r="BH65" s="337"/>
      <c r="BI65" s="337"/>
      <c r="BJ65" s="337"/>
      <c r="BK65" s="338"/>
      <c r="BL65" s="336"/>
      <c r="BM65" s="337"/>
      <c r="BN65" s="337"/>
      <c r="BO65" s="337"/>
      <c r="BP65" s="338"/>
      <c r="BQ65" s="336"/>
      <c r="BR65" s="337"/>
      <c r="BS65" s="337"/>
      <c r="BT65" s="337"/>
      <c r="BU65" s="339"/>
      <c r="BW65" s="236" t="str">
        <f>sum_level("o",'Needs 171007_1812'!D65:BU65)</f>
        <v/>
      </c>
      <c r="BX65" s="237" t="str">
        <f>sum_level("j",'Needs 171007_1812'!D65:BU65)</f>
        <v/>
      </c>
      <c r="BY65" s="237" t="str">
        <f>sum_level("m",'Needs 171007_1812'!D65:BU65)</f>
        <v/>
      </c>
      <c r="BZ65" s="237" t="str">
        <f>sum_level("s",'Needs 171007_1812'!D65:BU65)</f>
        <v/>
      </c>
      <c r="CA65" s="238" t="str">
        <f>sum_level("e",'Needs 171007_1812'!D65:BU65)</f>
        <v/>
      </c>
    </row>
    <row r="66" spans="2:79" x14ac:dyDescent="0.25">
      <c r="B66" s="435"/>
      <c r="C66" s="291" t="s">
        <v>105</v>
      </c>
      <c r="D66" s="336"/>
      <c r="E66" s="337"/>
      <c r="F66" s="337"/>
      <c r="G66" s="337"/>
      <c r="H66" s="338"/>
      <c r="I66" s="336"/>
      <c r="J66" s="337"/>
      <c r="K66" s="337"/>
      <c r="L66" s="337"/>
      <c r="M66" s="338"/>
      <c r="N66" s="336"/>
      <c r="O66" s="337"/>
      <c r="P66" s="337"/>
      <c r="Q66" s="337"/>
      <c r="R66" s="338"/>
      <c r="S66" s="336"/>
      <c r="T66" s="337"/>
      <c r="U66" s="337"/>
      <c r="V66" s="337"/>
      <c r="W66" s="338"/>
      <c r="X66" s="336"/>
      <c r="Y66" s="337"/>
      <c r="Z66" s="337"/>
      <c r="AA66" s="337"/>
      <c r="AB66" s="338"/>
      <c r="AC66" s="336"/>
      <c r="AD66" s="337"/>
      <c r="AE66" s="337"/>
      <c r="AF66" s="337"/>
      <c r="AG66" s="338"/>
      <c r="AH66" s="336"/>
      <c r="AI66" s="337"/>
      <c r="AJ66" s="337"/>
      <c r="AK66" s="337"/>
      <c r="AL66" s="338"/>
      <c r="AM66" s="336"/>
      <c r="AN66" s="337"/>
      <c r="AO66" s="337"/>
      <c r="AP66" s="337"/>
      <c r="AQ66" s="338"/>
      <c r="AR66" s="336"/>
      <c r="AS66" s="337"/>
      <c r="AT66" s="337"/>
      <c r="AU66" s="337"/>
      <c r="AV66" s="338"/>
      <c r="AW66" s="336"/>
      <c r="AX66" s="337"/>
      <c r="AY66" s="337"/>
      <c r="AZ66" s="337"/>
      <c r="BA66" s="338"/>
      <c r="BB66" s="336"/>
      <c r="BC66" s="337"/>
      <c r="BD66" s="337"/>
      <c r="BE66" s="337"/>
      <c r="BF66" s="338"/>
      <c r="BG66" s="336"/>
      <c r="BH66" s="337"/>
      <c r="BI66" s="337"/>
      <c r="BJ66" s="337"/>
      <c r="BK66" s="338"/>
      <c r="BL66" s="336"/>
      <c r="BM66" s="337"/>
      <c r="BN66" s="337"/>
      <c r="BO66" s="337"/>
      <c r="BP66" s="338"/>
      <c r="BQ66" s="336"/>
      <c r="BR66" s="337"/>
      <c r="BS66" s="337"/>
      <c r="BT66" s="337"/>
      <c r="BU66" s="339"/>
      <c r="BW66" s="236" t="str">
        <f>sum_level("o",'Needs 171007_1812'!D66:BU66)</f>
        <v/>
      </c>
      <c r="BX66" s="237" t="str">
        <f>sum_level("j",'Needs 171007_1812'!D66:BU66)</f>
        <v/>
      </c>
      <c r="BY66" s="237" t="str">
        <f>sum_level("m",'Needs 171007_1812'!D66:BU66)</f>
        <v/>
      </c>
      <c r="BZ66" s="237" t="str">
        <f>sum_level("s",'Needs 171007_1812'!D66:BU66)</f>
        <v/>
      </c>
      <c r="CA66" s="238" t="str">
        <f>sum_level("e",'Needs 171007_1812'!D66:BU66)</f>
        <v/>
      </c>
    </row>
    <row r="67" spans="2:79" x14ac:dyDescent="0.25">
      <c r="B67" s="435"/>
      <c r="C67" s="291" t="s">
        <v>106</v>
      </c>
      <c r="D67" s="336"/>
      <c r="E67" s="337"/>
      <c r="F67" s="337"/>
      <c r="G67" s="337"/>
      <c r="H67" s="338"/>
      <c r="I67" s="336"/>
      <c r="J67" s="337"/>
      <c r="K67" s="337"/>
      <c r="L67" s="337"/>
      <c r="M67" s="338"/>
      <c r="N67" s="336"/>
      <c r="O67" s="337"/>
      <c r="P67" s="337"/>
      <c r="Q67" s="337"/>
      <c r="R67" s="338"/>
      <c r="S67" s="336"/>
      <c r="T67" s="337"/>
      <c r="U67" s="337"/>
      <c r="V67" s="337"/>
      <c r="W67" s="338"/>
      <c r="X67" s="336"/>
      <c r="Y67" s="337"/>
      <c r="Z67" s="337"/>
      <c r="AA67" s="337"/>
      <c r="AB67" s="338"/>
      <c r="AC67" s="336"/>
      <c r="AD67" s="337"/>
      <c r="AE67" s="337"/>
      <c r="AF67" s="337"/>
      <c r="AG67" s="338"/>
      <c r="AH67" s="336"/>
      <c r="AI67" s="337"/>
      <c r="AJ67" s="337"/>
      <c r="AK67" s="337"/>
      <c r="AL67" s="338"/>
      <c r="AM67" s="336"/>
      <c r="AN67" s="337"/>
      <c r="AO67" s="337"/>
      <c r="AP67" s="337"/>
      <c r="AQ67" s="338"/>
      <c r="AR67" s="336"/>
      <c r="AS67" s="337"/>
      <c r="AT67" s="337"/>
      <c r="AU67" s="337"/>
      <c r="AV67" s="338"/>
      <c r="AW67" s="336"/>
      <c r="AX67" s="337"/>
      <c r="AY67" s="337"/>
      <c r="AZ67" s="337"/>
      <c r="BA67" s="338"/>
      <c r="BB67" s="336"/>
      <c r="BC67" s="337"/>
      <c r="BD67" s="337"/>
      <c r="BE67" s="337"/>
      <c r="BF67" s="338"/>
      <c r="BG67" s="336"/>
      <c r="BH67" s="337"/>
      <c r="BI67" s="337"/>
      <c r="BJ67" s="337"/>
      <c r="BK67" s="338"/>
      <c r="BL67" s="336"/>
      <c r="BM67" s="337"/>
      <c r="BN67" s="337"/>
      <c r="BO67" s="337"/>
      <c r="BP67" s="338"/>
      <c r="BQ67" s="336"/>
      <c r="BR67" s="337"/>
      <c r="BS67" s="337"/>
      <c r="BT67" s="337"/>
      <c r="BU67" s="339"/>
      <c r="BW67" s="236" t="str">
        <f>sum_level("o",'Needs 171007_1812'!D67:BU67)</f>
        <v/>
      </c>
      <c r="BX67" s="237" t="str">
        <f>sum_level("j",'Needs 171007_1812'!D67:BU67)</f>
        <v/>
      </c>
      <c r="BY67" s="237" t="str">
        <f>sum_level("m",'Needs 171007_1812'!D67:BU67)</f>
        <v/>
      </c>
      <c r="BZ67" s="237" t="str">
        <f>sum_level("s",'Needs 171007_1812'!D67:BU67)</f>
        <v/>
      </c>
      <c r="CA67" s="238" t="str">
        <f>sum_level("e",'Needs 171007_1812'!D67:BU67)</f>
        <v/>
      </c>
    </row>
    <row r="68" spans="2:79" x14ac:dyDescent="0.25">
      <c r="B68" s="435"/>
      <c r="C68" s="291" t="s">
        <v>107</v>
      </c>
      <c r="D68" s="336"/>
      <c r="E68" s="337"/>
      <c r="F68" s="337"/>
      <c r="G68" s="337"/>
      <c r="H68" s="338"/>
      <c r="I68" s="336"/>
      <c r="J68" s="337"/>
      <c r="K68" s="337"/>
      <c r="L68" s="337"/>
      <c r="M68" s="338"/>
      <c r="N68" s="336"/>
      <c r="O68" s="337"/>
      <c r="P68" s="337"/>
      <c r="Q68" s="337"/>
      <c r="R68" s="338"/>
      <c r="S68" s="336"/>
      <c r="T68" s="337"/>
      <c r="U68" s="337"/>
      <c r="V68" s="337"/>
      <c r="W68" s="338"/>
      <c r="X68" s="336"/>
      <c r="Y68" s="337"/>
      <c r="Z68" s="337"/>
      <c r="AA68" s="337"/>
      <c r="AB68" s="338"/>
      <c r="AC68" s="336"/>
      <c r="AD68" s="337"/>
      <c r="AE68" s="337"/>
      <c r="AF68" s="337"/>
      <c r="AG68" s="338"/>
      <c r="AH68" s="336"/>
      <c r="AI68" s="337"/>
      <c r="AJ68" s="337"/>
      <c r="AK68" s="337"/>
      <c r="AL68" s="338"/>
      <c r="AM68" s="336"/>
      <c r="AN68" s="337"/>
      <c r="AO68" s="337"/>
      <c r="AP68" s="337"/>
      <c r="AQ68" s="338"/>
      <c r="AR68" s="336"/>
      <c r="AS68" s="337"/>
      <c r="AT68" s="337"/>
      <c r="AU68" s="337"/>
      <c r="AV68" s="338"/>
      <c r="AW68" s="336"/>
      <c r="AX68" s="337"/>
      <c r="AY68" s="337"/>
      <c r="AZ68" s="337"/>
      <c r="BA68" s="338"/>
      <c r="BB68" s="336"/>
      <c r="BC68" s="337"/>
      <c r="BD68" s="337"/>
      <c r="BE68" s="337"/>
      <c r="BF68" s="338"/>
      <c r="BG68" s="336"/>
      <c r="BH68" s="337"/>
      <c r="BI68" s="337"/>
      <c r="BJ68" s="337"/>
      <c r="BK68" s="338"/>
      <c r="BL68" s="336"/>
      <c r="BM68" s="337"/>
      <c r="BN68" s="337"/>
      <c r="BO68" s="337"/>
      <c r="BP68" s="338"/>
      <c r="BQ68" s="336"/>
      <c r="BR68" s="337"/>
      <c r="BS68" s="337"/>
      <c r="BT68" s="337"/>
      <c r="BU68" s="339"/>
      <c r="BW68" s="236" t="str">
        <f>sum_level("o",'Needs 171007_1812'!D68:BU68)</f>
        <v/>
      </c>
      <c r="BX68" s="237" t="str">
        <f>sum_level("j",'Needs 171007_1812'!D68:BU68)</f>
        <v/>
      </c>
      <c r="BY68" s="237" t="str">
        <f>sum_level("m",'Needs 171007_1812'!D68:BU68)</f>
        <v/>
      </c>
      <c r="BZ68" s="237" t="str">
        <f>sum_level("s",'Needs 171007_1812'!D68:BU68)</f>
        <v/>
      </c>
      <c r="CA68" s="238" t="str">
        <f>sum_level("e",'Needs 171007_1812'!D68:BU68)</f>
        <v/>
      </c>
    </row>
    <row r="69" spans="2:79" x14ac:dyDescent="0.25">
      <c r="B69" s="435"/>
      <c r="C69" s="291" t="s">
        <v>108</v>
      </c>
      <c r="D69" s="336"/>
      <c r="E69" s="337"/>
      <c r="F69" s="337"/>
      <c r="G69" s="337"/>
      <c r="H69" s="338"/>
      <c r="I69" s="336"/>
      <c r="J69" s="337"/>
      <c r="K69" s="337"/>
      <c r="L69" s="337"/>
      <c r="M69" s="338"/>
      <c r="N69" s="336"/>
      <c r="O69" s="337"/>
      <c r="P69" s="337"/>
      <c r="Q69" s="337"/>
      <c r="R69" s="338"/>
      <c r="S69" s="336"/>
      <c r="T69" s="337"/>
      <c r="U69" s="337"/>
      <c r="V69" s="337"/>
      <c r="W69" s="338"/>
      <c r="X69" s="336"/>
      <c r="Y69" s="337"/>
      <c r="Z69" s="337"/>
      <c r="AA69" s="337"/>
      <c r="AB69" s="338"/>
      <c r="AC69" s="336"/>
      <c r="AD69" s="337"/>
      <c r="AE69" s="337"/>
      <c r="AF69" s="337"/>
      <c r="AG69" s="338"/>
      <c r="AH69" s="336"/>
      <c r="AI69" s="337"/>
      <c r="AJ69" s="337"/>
      <c r="AK69" s="337"/>
      <c r="AL69" s="338"/>
      <c r="AM69" s="336"/>
      <c r="AN69" s="337"/>
      <c r="AO69" s="337"/>
      <c r="AP69" s="337"/>
      <c r="AQ69" s="338"/>
      <c r="AR69" s="336"/>
      <c r="AS69" s="337"/>
      <c r="AT69" s="337"/>
      <c r="AU69" s="337"/>
      <c r="AV69" s="338"/>
      <c r="AW69" s="336"/>
      <c r="AX69" s="337"/>
      <c r="AY69" s="337"/>
      <c r="AZ69" s="337"/>
      <c r="BA69" s="338"/>
      <c r="BB69" s="336"/>
      <c r="BC69" s="337"/>
      <c r="BD69" s="337"/>
      <c r="BE69" s="337"/>
      <c r="BF69" s="338"/>
      <c r="BG69" s="336"/>
      <c r="BH69" s="337"/>
      <c r="BI69" s="337"/>
      <c r="BJ69" s="337"/>
      <c r="BK69" s="338"/>
      <c r="BL69" s="336"/>
      <c r="BM69" s="337"/>
      <c r="BN69" s="337"/>
      <c r="BO69" s="337"/>
      <c r="BP69" s="338"/>
      <c r="BQ69" s="336"/>
      <c r="BR69" s="337"/>
      <c r="BS69" s="337"/>
      <c r="BT69" s="337"/>
      <c r="BU69" s="339"/>
      <c r="BW69" s="236" t="str">
        <f>sum_level("o",'Needs 171007_1812'!D69:BU69)</f>
        <v/>
      </c>
      <c r="BX69" s="237" t="str">
        <f>sum_level("j",'Needs 171007_1812'!D69:BU69)</f>
        <v/>
      </c>
      <c r="BY69" s="237" t="str">
        <f>sum_level("m",'Needs 171007_1812'!D69:BU69)</f>
        <v/>
      </c>
      <c r="BZ69" s="237" t="str">
        <f>sum_level("s",'Needs 171007_1812'!D69:BU69)</f>
        <v/>
      </c>
      <c r="CA69" s="238" t="str">
        <f>sum_level("e",'Needs 171007_1812'!D69:BU69)</f>
        <v/>
      </c>
    </row>
    <row r="70" spans="2:79" x14ac:dyDescent="0.25">
      <c r="B70" s="435"/>
      <c r="C70" s="291" t="s">
        <v>109</v>
      </c>
      <c r="D70" s="336"/>
      <c r="E70" s="337"/>
      <c r="F70" s="337"/>
      <c r="G70" s="337"/>
      <c r="H70" s="338"/>
      <c r="I70" s="336"/>
      <c r="J70" s="337"/>
      <c r="K70" s="337"/>
      <c r="L70" s="337"/>
      <c r="M70" s="338"/>
      <c r="N70" s="336"/>
      <c r="O70" s="337"/>
      <c r="P70" s="337"/>
      <c r="Q70" s="337"/>
      <c r="R70" s="338"/>
      <c r="S70" s="336"/>
      <c r="T70" s="337"/>
      <c r="U70" s="337"/>
      <c r="V70" s="337"/>
      <c r="W70" s="338"/>
      <c r="X70" s="336"/>
      <c r="Y70" s="337"/>
      <c r="Z70" s="337"/>
      <c r="AA70" s="337"/>
      <c r="AB70" s="338"/>
      <c r="AC70" s="336"/>
      <c r="AD70" s="337"/>
      <c r="AE70" s="337"/>
      <c r="AF70" s="337"/>
      <c r="AG70" s="338"/>
      <c r="AH70" s="336"/>
      <c r="AI70" s="337"/>
      <c r="AJ70" s="337"/>
      <c r="AK70" s="337"/>
      <c r="AL70" s="338"/>
      <c r="AM70" s="336"/>
      <c r="AN70" s="337"/>
      <c r="AO70" s="337"/>
      <c r="AP70" s="337"/>
      <c r="AQ70" s="338"/>
      <c r="AR70" s="336"/>
      <c r="AS70" s="337"/>
      <c r="AT70" s="337"/>
      <c r="AU70" s="337"/>
      <c r="AV70" s="338"/>
      <c r="AW70" s="336"/>
      <c r="AX70" s="337"/>
      <c r="AY70" s="337"/>
      <c r="AZ70" s="337"/>
      <c r="BA70" s="338"/>
      <c r="BB70" s="336"/>
      <c r="BC70" s="337"/>
      <c r="BD70" s="337"/>
      <c r="BE70" s="337"/>
      <c r="BF70" s="338"/>
      <c r="BG70" s="336"/>
      <c r="BH70" s="337"/>
      <c r="BI70" s="337"/>
      <c r="BJ70" s="337"/>
      <c r="BK70" s="338"/>
      <c r="BL70" s="336"/>
      <c r="BM70" s="337"/>
      <c r="BN70" s="337"/>
      <c r="BO70" s="337"/>
      <c r="BP70" s="338"/>
      <c r="BQ70" s="336"/>
      <c r="BR70" s="337"/>
      <c r="BS70" s="337"/>
      <c r="BT70" s="337"/>
      <c r="BU70" s="339"/>
      <c r="BW70" s="236" t="str">
        <f>sum_level("o",'Needs 171007_1812'!D70:BU70)</f>
        <v/>
      </c>
      <c r="BX70" s="237" t="str">
        <f>sum_level("j",'Needs 171007_1812'!D70:BU70)</f>
        <v/>
      </c>
      <c r="BY70" s="237" t="str">
        <f>sum_level("m",'Needs 171007_1812'!D70:BU70)</f>
        <v/>
      </c>
      <c r="BZ70" s="237" t="str">
        <f>sum_level("s",'Needs 171007_1812'!D70:BU70)</f>
        <v/>
      </c>
      <c r="CA70" s="238" t="str">
        <f>sum_level("e",'Needs 171007_1812'!D70:BU70)</f>
        <v/>
      </c>
    </row>
    <row r="71" spans="2:79" x14ac:dyDescent="0.25">
      <c r="B71" s="435"/>
      <c r="C71" s="291" t="s">
        <v>110</v>
      </c>
      <c r="D71" s="336"/>
      <c r="E71" s="337"/>
      <c r="F71" s="337"/>
      <c r="G71" s="337"/>
      <c r="H71" s="338"/>
      <c r="I71" s="336"/>
      <c r="J71" s="337"/>
      <c r="K71" s="337"/>
      <c r="L71" s="337"/>
      <c r="M71" s="338"/>
      <c r="N71" s="336"/>
      <c r="O71" s="337"/>
      <c r="P71" s="337"/>
      <c r="Q71" s="337"/>
      <c r="R71" s="338"/>
      <c r="S71" s="336"/>
      <c r="T71" s="337"/>
      <c r="U71" s="337"/>
      <c r="V71" s="337"/>
      <c r="W71" s="338"/>
      <c r="X71" s="336"/>
      <c r="Y71" s="337"/>
      <c r="Z71" s="337"/>
      <c r="AA71" s="337"/>
      <c r="AB71" s="338"/>
      <c r="AC71" s="336"/>
      <c r="AD71" s="337"/>
      <c r="AE71" s="337"/>
      <c r="AF71" s="337"/>
      <c r="AG71" s="338"/>
      <c r="AH71" s="336"/>
      <c r="AI71" s="337"/>
      <c r="AJ71" s="337"/>
      <c r="AK71" s="337"/>
      <c r="AL71" s="338"/>
      <c r="AM71" s="336"/>
      <c r="AN71" s="337"/>
      <c r="AO71" s="337"/>
      <c r="AP71" s="337"/>
      <c r="AQ71" s="338"/>
      <c r="AR71" s="336"/>
      <c r="AS71" s="337"/>
      <c r="AT71" s="337"/>
      <c r="AU71" s="337"/>
      <c r="AV71" s="338"/>
      <c r="AW71" s="336"/>
      <c r="AX71" s="337"/>
      <c r="AY71" s="337"/>
      <c r="AZ71" s="337"/>
      <c r="BA71" s="338"/>
      <c r="BB71" s="336"/>
      <c r="BC71" s="337"/>
      <c r="BD71" s="337"/>
      <c r="BE71" s="337"/>
      <c r="BF71" s="338"/>
      <c r="BG71" s="336"/>
      <c r="BH71" s="337"/>
      <c r="BI71" s="337"/>
      <c r="BJ71" s="337"/>
      <c r="BK71" s="338"/>
      <c r="BL71" s="336"/>
      <c r="BM71" s="337"/>
      <c r="BN71" s="337"/>
      <c r="BO71" s="337"/>
      <c r="BP71" s="338"/>
      <c r="BQ71" s="336"/>
      <c r="BR71" s="337"/>
      <c r="BS71" s="337"/>
      <c r="BT71" s="337"/>
      <c r="BU71" s="339"/>
      <c r="BW71" s="236" t="str">
        <f>sum_level("o",'Needs 171007_1812'!D71:BU71)</f>
        <v/>
      </c>
      <c r="BX71" s="237" t="str">
        <f>sum_level("j",'Needs 171007_1812'!D71:BU71)</f>
        <v/>
      </c>
      <c r="BY71" s="237" t="str">
        <f>sum_level("m",'Needs 171007_1812'!D71:BU71)</f>
        <v/>
      </c>
      <c r="BZ71" s="237" t="str">
        <f>sum_level("s",'Needs 171007_1812'!D71:BU71)</f>
        <v/>
      </c>
      <c r="CA71" s="238" t="str">
        <f>sum_level("e",'Needs 171007_1812'!D71:BU71)</f>
        <v/>
      </c>
    </row>
    <row r="72" spans="2:79" x14ac:dyDescent="0.25">
      <c r="B72" s="435"/>
      <c r="C72" s="291" t="s">
        <v>111</v>
      </c>
      <c r="D72" s="336"/>
      <c r="E72" s="337"/>
      <c r="F72" s="337"/>
      <c r="G72" s="337"/>
      <c r="H72" s="338"/>
      <c r="I72" s="336"/>
      <c r="J72" s="337"/>
      <c r="K72" s="337"/>
      <c r="L72" s="337"/>
      <c r="M72" s="338"/>
      <c r="N72" s="336"/>
      <c r="O72" s="337"/>
      <c r="P72" s="337"/>
      <c r="Q72" s="337"/>
      <c r="R72" s="338"/>
      <c r="S72" s="336"/>
      <c r="T72" s="337"/>
      <c r="U72" s="337"/>
      <c r="V72" s="337"/>
      <c r="W72" s="338"/>
      <c r="X72" s="336"/>
      <c r="Y72" s="337"/>
      <c r="Z72" s="337"/>
      <c r="AA72" s="337"/>
      <c r="AB72" s="338"/>
      <c r="AC72" s="336"/>
      <c r="AD72" s="337"/>
      <c r="AE72" s="337"/>
      <c r="AF72" s="337"/>
      <c r="AG72" s="338"/>
      <c r="AH72" s="336"/>
      <c r="AI72" s="337"/>
      <c r="AJ72" s="337"/>
      <c r="AK72" s="337"/>
      <c r="AL72" s="338"/>
      <c r="AM72" s="336"/>
      <c r="AN72" s="337"/>
      <c r="AO72" s="337"/>
      <c r="AP72" s="337"/>
      <c r="AQ72" s="338"/>
      <c r="AR72" s="336"/>
      <c r="AS72" s="337"/>
      <c r="AT72" s="337"/>
      <c r="AU72" s="337"/>
      <c r="AV72" s="338"/>
      <c r="AW72" s="336"/>
      <c r="AX72" s="337"/>
      <c r="AY72" s="337"/>
      <c r="AZ72" s="337"/>
      <c r="BA72" s="338"/>
      <c r="BB72" s="336"/>
      <c r="BC72" s="337"/>
      <c r="BD72" s="337"/>
      <c r="BE72" s="337"/>
      <c r="BF72" s="338"/>
      <c r="BG72" s="336"/>
      <c r="BH72" s="337"/>
      <c r="BI72" s="337"/>
      <c r="BJ72" s="337"/>
      <c r="BK72" s="338"/>
      <c r="BL72" s="336"/>
      <c r="BM72" s="337"/>
      <c r="BN72" s="337"/>
      <c r="BO72" s="337"/>
      <c r="BP72" s="338"/>
      <c r="BQ72" s="336"/>
      <c r="BR72" s="337"/>
      <c r="BS72" s="337"/>
      <c r="BT72" s="337"/>
      <c r="BU72" s="339"/>
      <c r="BW72" s="236" t="str">
        <f>sum_level("o",'Needs 171007_1812'!D72:BU72)</f>
        <v/>
      </c>
      <c r="BX72" s="237" t="str">
        <f>sum_level("j",'Needs 171007_1812'!D72:BU72)</f>
        <v/>
      </c>
      <c r="BY72" s="237" t="str">
        <f>sum_level("m",'Needs 171007_1812'!D72:BU72)</f>
        <v/>
      </c>
      <c r="BZ72" s="237" t="str">
        <f>sum_level("s",'Needs 171007_1812'!D72:BU72)</f>
        <v/>
      </c>
      <c r="CA72" s="238" t="str">
        <f>sum_level("e",'Needs 171007_1812'!D72:BU72)</f>
        <v/>
      </c>
    </row>
    <row r="73" spans="2:79" x14ac:dyDescent="0.25">
      <c r="B73" s="435"/>
      <c r="C73" s="291" t="s">
        <v>112</v>
      </c>
      <c r="D73" s="336"/>
      <c r="E73" s="337"/>
      <c r="F73" s="337"/>
      <c r="G73" s="337"/>
      <c r="H73" s="338"/>
      <c r="I73" s="336"/>
      <c r="J73" s="337"/>
      <c r="K73" s="337"/>
      <c r="L73" s="337"/>
      <c r="M73" s="338"/>
      <c r="N73" s="336"/>
      <c r="O73" s="337"/>
      <c r="P73" s="337"/>
      <c r="Q73" s="337"/>
      <c r="R73" s="338"/>
      <c r="S73" s="336"/>
      <c r="T73" s="337"/>
      <c r="U73" s="337"/>
      <c r="V73" s="337"/>
      <c r="W73" s="338"/>
      <c r="X73" s="336"/>
      <c r="Y73" s="337"/>
      <c r="Z73" s="337"/>
      <c r="AA73" s="337"/>
      <c r="AB73" s="338"/>
      <c r="AC73" s="336"/>
      <c r="AD73" s="337"/>
      <c r="AE73" s="337"/>
      <c r="AF73" s="337"/>
      <c r="AG73" s="338"/>
      <c r="AH73" s="336"/>
      <c r="AI73" s="337"/>
      <c r="AJ73" s="337"/>
      <c r="AK73" s="337"/>
      <c r="AL73" s="338"/>
      <c r="AM73" s="336"/>
      <c r="AN73" s="337"/>
      <c r="AO73" s="337"/>
      <c r="AP73" s="337"/>
      <c r="AQ73" s="338"/>
      <c r="AR73" s="336"/>
      <c r="AS73" s="337"/>
      <c r="AT73" s="337"/>
      <c r="AU73" s="337"/>
      <c r="AV73" s="338"/>
      <c r="AW73" s="336"/>
      <c r="AX73" s="337"/>
      <c r="AY73" s="337"/>
      <c r="AZ73" s="337"/>
      <c r="BA73" s="338"/>
      <c r="BB73" s="336"/>
      <c r="BC73" s="337"/>
      <c r="BD73" s="337"/>
      <c r="BE73" s="337"/>
      <c r="BF73" s="338"/>
      <c r="BG73" s="336"/>
      <c r="BH73" s="337"/>
      <c r="BI73" s="337"/>
      <c r="BJ73" s="337"/>
      <c r="BK73" s="338"/>
      <c r="BL73" s="336"/>
      <c r="BM73" s="337"/>
      <c r="BN73" s="337"/>
      <c r="BO73" s="337"/>
      <c r="BP73" s="338"/>
      <c r="BQ73" s="336"/>
      <c r="BR73" s="337"/>
      <c r="BS73" s="337"/>
      <c r="BT73" s="337"/>
      <c r="BU73" s="339"/>
      <c r="BW73" s="236" t="str">
        <f>sum_level("o",'Needs 171007_1812'!D73:BU73)</f>
        <v/>
      </c>
      <c r="BX73" s="237" t="str">
        <f>sum_level("j",'Needs 171007_1812'!D73:BU73)</f>
        <v/>
      </c>
      <c r="BY73" s="237" t="str">
        <f>sum_level("m",'Needs 171007_1812'!D73:BU73)</f>
        <v/>
      </c>
      <c r="BZ73" s="237" t="str">
        <f>sum_level("s",'Needs 171007_1812'!D73:BU73)</f>
        <v/>
      </c>
      <c r="CA73" s="238" t="str">
        <f>sum_level("e",'Needs 171007_1812'!D73:BU73)</f>
        <v/>
      </c>
    </row>
    <row r="74" spans="2:79" x14ac:dyDescent="0.25">
      <c r="B74" s="435"/>
      <c r="C74" s="291" t="s">
        <v>113</v>
      </c>
      <c r="D74" s="336"/>
      <c r="E74" s="337"/>
      <c r="F74" s="337"/>
      <c r="G74" s="337"/>
      <c r="H74" s="338"/>
      <c r="I74" s="336"/>
      <c r="J74" s="337"/>
      <c r="K74" s="337"/>
      <c r="L74" s="337"/>
      <c r="M74" s="338"/>
      <c r="N74" s="336"/>
      <c r="O74" s="337"/>
      <c r="P74" s="337"/>
      <c r="Q74" s="337"/>
      <c r="R74" s="338"/>
      <c r="S74" s="336"/>
      <c r="T74" s="337"/>
      <c r="U74" s="337"/>
      <c r="V74" s="337"/>
      <c r="W74" s="338"/>
      <c r="X74" s="336"/>
      <c r="Y74" s="337"/>
      <c r="Z74" s="337"/>
      <c r="AA74" s="337"/>
      <c r="AB74" s="338"/>
      <c r="AC74" s="336"/>
      <c r="AD74" s="337"/>
      <c r="AE74" s="337"/>
      <c r="AF74" s="337"/>
      <c r="AG74" s="338"/>
      <c r="AH74" s="336"/>
      <c r="AI74" s="337"/>
      <c r="AJ74" s="337"/>
      <c r="AK74" s="337"/>
      <c r="AL74" s="338"/>
      <c r="AM74" s="336"/>
      <c r="AN74" s="337"/>
      <c r="AO74" s="337"/>
      <c r="AP74" s="337"/>
      <c r="AQ74" s="338"/>
      <c r="AR74" s="336"/>
      <c r="AS74" s="337"/>
      <c r="AT74" s="337"/>
      <c r="AU74" s="337"/>
      <c r="AV74" s="338"/>
      <c r="AW74" s="336"/>
      <c r="AX74" s="337"/>
      <c r="AY74" s="337"/>
      <c r="AZ74" s="337"/>
      <c r="BA74" s="338"/>
      <c r="BB74" s="336"/>
      <c r="BC74" s="337"/>
      <c r="BD74" s="337"/>
      <c r="BE74" s="337"/>
      <c r="BF74" s="338"/>
      <c r="BG74" s="336"/>
      <c r="BH74" s="337"/>
      <c r="BI74" s="337"/>
      <c r="BJ74" s="337"/>
      <c r="BK74" s="338"/>
      <c r="BL74" s="336"/>
      <c r="BM74" s="337"/>
      <c r="BN74" s="337"/>
      <c r="BO74" s="337"/>
      <c r="BP74" s="338"/>
      <c r="BQ74" s="336"/>
      <c r="BR74" s="337"/>
      <c r="BS74" s="337"/>
      <c r="BT74" s="337"/>
      <c r="BU74" s="339"/>
      <c r="BW74" s="236" t="str">
        <f>sum_level("o",'Needs 171007_1812'!D74:BU74)</f>
        <v/>
      </c>
      <c r="BX74" s="237" t="str">
        <f>sum_level("j",'Needs 171007_1812'!D74:BU74)</f>
        <v/>
      </c>
      <c r="BY74" s="237" t="str">
        <f>sum_level("m",'Needs 171007_1812'!D74:BU74)</f>
        <v/>
      </c>
      <c r="BZ74" s="237" t="str">
        <f>sum_level("s",'Needs 171007_1812'!D74:BU74)</f>
        <v/>
      </c>
      <c r="CA74" s="238" t="str">
        <f>sum_level("e",'Needs 171007_1812'!D74:BU74)</f>
        <v/>
      </c>
    </row>
    <row r="75" spans="2:79" x14ac:dyDescent="0.25">
      <c r="B75" s="435"/>
      <c r="C75" s="291" t="s">
        <v>114</v>
      </c>
      <c r="D75" s="336"/>
      <c r="E75" s="337"/>
      <c r="F75" s="337"/>
      <c r="G75" s="337"/>
      <c r="H75" s="338"/>
      <c r="I75" s="336"/>
      <c r="J75" s="337"/>
      <c r="K75" s="337"/>
      <c r="L75" s="337"/>
      <c r="M75" s="338"/>
      <c r="N75" s="336"/>
      <c r="O75" s="337"/>
      <c r="P75" s="337"/>
      <c r="Q75" s="337"/>
      <c r="R75" s="338"/>
      <c r="S75" s="336"/>
      <c r="T75" s="337"/>
      <c r="U75" s="337"/>
      <c r="V75" s="337"/>
      <c r="W75" s="338"/>
      <c r="X75" s="336"/>
      <c r="Y75" s="337"/>
      <c r="Z75" s="337"/>
      <c r="AA75" s="337"/>
      <c r="AB75" s="338"/>
      <c r="AC75" s="336"/>
      <c r="AD75" s="337"/>
      <c r="AE75" s="337"/>
      <c r="AF75" s="337"/>
      <c r="AG75" s="338"/>
      <c r="AH75" s="336"/>
      <c r="AI75" s="337"/>
      <c r="AJ75" s="337"/>
      <c r="AK75" s="337"/>
      <c r="AL75" s="338"/>
      <c r="AM75" s="336"/>
      <c r="AN75" s="337"/>
      <c r="AO75" s="337"/>
      <c r="AP75" s="337"/>
      <c r="AQ75" s="338"/>
      <c r="AR75" s="336"/>
      <c r="AS75" s="337"/>
      <c r="AT75" s="337"/>
      <c r="AU75" s="337"/>
      <c r="AV75" s="338"/>
      <c r="AW75" s="336"/>
      <c r="AX75" s="337"/>
      <c r="AY75" s="337"/>
      <c r="AZ75" s="337"/>
      <c r="BA75" s="338"/>
      <c r="BB75" s="336"/>
      <c r="BC75" s="337"/>
      <c r="BD75" s="337"/>
      <c r="BE75" s="337"/>
      <c r="BF75" s="338"/>
      <c r="BG75" s="336"/>
      <c r="BH75" s="337"/>
      <c r="BI75" s="337"/>
      <c r="BJ75" s="337"/>
      <c r="BK75" s="338"/>
      <c r="BL75" s="336"/>
      <c r="BM75" s="337"/>
      <c r="BN75" s="337"/>
      <c r="BO75" s="337"/>
      <c r="BP75" s="338"/>
      <c r="BQ75" s="336"/>
      <c r="BR75" s="337"/>
      <c r="BS75" s="337"/>
      <c r="BT75" s="337"/>
      <c r="BU75" s="339"/>
      <c r="BW75" s="236" t="str">
        <f>sum_level("o",'Needs 171007_1812'!D75:BU75)</f>
        <v/>
      </c>
      <c r="BX75" s="237" t="str">
        <f>sum_level("j",'Needs 171007_1812'!D75:BU75)</f>
        <v/>
      </c>
      <c r="BY75" s="237" t="str">
        <f>sum_level("m",'Needs 171007_1812'!D75:BU75)</f>
        <v/>
      </c>
      <c r="BZ75" s="237" t="str">
        <f>sum_level("s",'Needs 171007_1812'!D75:BU75)</f>
        <v/>
      </c>
      <c r="CA75" s="238" t="str">
        <f>sum_level("e",'Needs 171007_1812'!D75:BU75)</f>
        <v/>
      </c>
    </row>
    <row r="76" spans="2:79" x14ac:dyDescent="0.25">
      <c r="B76" s="435"/>
      <c r="C76" s="291" t="s">
        <v>115</v>
      </c>
      <c r="D76" s="336"/>
      <c r="E76" s="337"/>
      <c r="F76" s="337"/>
      <c r="G76" s="337"/>
      <c r="H76" s="338"/>
      <c r="I76" s="336"/>
      <c r="J76" s="337"/>
      <c r="K76" s="337"/>
      <c r="L76" s="337"/>
      <c r="M76" s="338"/>
      <c r="N76" s="336"/>
      <c r="O76" s="337"/>
      <c r="P76" s="337"/>
      <c r="Q76" s="337"/>
      <c r="R76" s="338"/>
      <c r="S76" s="336"/>
      <c r="T76" s="337"/>
      <c r="U76" s="337"/>
      <c r="V76" s="337"/>
      <c r="W76" s="338"/>
      <c r="X76" s="336"/>
      <c r="Y76" s="337"/>
      <c r="Z76" s="337"/>
      <c r="AA76" s="337"/>
      <c r="AB76" s="338"/>
      <c r="AC76" s="336"/>
      <c r="AD76" s="337"/>
      <c r="AE76" s="337"/>
      <c r="AF76" s="337"/>
      <c r="AG76" s="338"/>
      <c r="AH76" s="336"/>
      <c r="AI76" s="337"/>
      <c r="AJ76" s="337"/>
      <c r="AK76" s="337"/>
      <c r="AL76" s="338"/>
      <c r="AM76" s="336"/>
      <c r="AN76" s="337"/>
      <c r="AO76" s="337"/>
      <c r="AP76" s="337"/>
      <c r="AQ76" s="338"/>
      <c r="AR76" s="336"/>
      <c r="AS76" s="337"/>
      <c r="AT76" s="337"/>
      <c r="AU76" s="337"/>
      <c r="AV76" s="338"/>
      <c r="AW76" s="336"/>
      <c r="AX76" s="337"/>
      <c r="AY76" s="337"/>
      <c r="AZ76" s="337"/>
      <c r="BA76" s="338"/>
      <c r="BB76" s="336"/>
      <c r="BC76" s="337"/>
      <c r="BD76" s="337"/>
      <c r="BE76" s="337"/>
      <c r="BF76" s="338"/>
      <c r="BG76" s="336"/>
      <c r="BH76" s="337"/>
      <c r="BI76" s="337"/>
      <c r="BJ76" s="337"/>
      <c r="BK76" s="338"/>
      <c r="BL76" s="336"/>
      <c r="BM76" s="337"/>
      <c r="BN76" s="337"/>
      <c r="BO76" s="337"/>
      <c r="BP76" s="338"/>
      <c r="BQ76" s="336"/>
      <c r="BR76" s="337"/>
      <c r="BS76" s="337"/>
      <c r="BT76" s="337"/>
      <c r="BU76" s="339"/>
      <c r="BW76" s="236" t="str">
        <f>sum_level("o",'Needs 171007_1812'!D76:BU76)</f>
        <v/>
      </c>
      <c r="BX76" s="237" t="str">
        <f>sum_level("j",'Needs 171007_1812'!D76:BU76)</f>
        <v/>
      </c>
      <c r="BY76" s="237" t="str">
        <f>sum_level("m",'Needs 171007_1812'!D76:BU76)</f>
        <v/>
      </c>
      <c r="BZ76" s="237" t="str">
        <f>sum_level("s",'Needs 171007_1812'!D76:BU76)</f>
        <v/>
      </c>
      <c r="CA76" s="238" t="str">
        <f>sum_level("e",'Needs 171007_1812'!D76:BU76)</f>
        <v/>
      </c>
    </row>
    <row r="77" spans="2:79" ht="15.75" thickBot="1" x14ac:dyDescent="0.3">
      <c r="B77" s="435"/>
      <c r="C77" s="292" t="s">
        <v>116</v>
      </c>
      <c r="D77" s="340"/>
      <c r="E77" s="341"/>
      <c r="F77" s="341"/>
      <c r="G77" s="341"/>
      <c r="H77" s="342"/>
      <c r="I77" s="340"/>
      <c r="J77" s="341"/>
      <c r="K77" s="341"/>
      <c r="L77" s="341"/>
      <c r="M77" s="342"/>
      <c r="N77" s="340"/>
      <c r="O77" s="341"/>
      <c r="P77" s="341"/>
      <c r="Q77" s="341"/>
      <c r="R77" s="342"/>
      <c r="S77" s="340"/>
      <c r="T77" s="341"/>
      <c r="U77" s="341"/>
      <c r="V77" s="341"/>
      <c r="W77" s="342"/>
      <c r="X77" s="340"/>
      <c r="Y77" s="341"/>
      <c r="Z77" s="341"/>
      <c r="AA77" s="341"/>
      <c r="AB77" s="342"/>
      <c r="AC77" s="340"/>
      <c r="AD77" s="341"/>
      <c r="AE77" s="341"/>
      <c r="AF77" s="341"/>
      <c r="AG77" s="342"/>
      <c r="AH77" s="340"/>
      <c r="AI77" s="341"/>
      <c r="AJ77" s="341"/>
      <c r="AK77" s="341"/>
      <c r="AL77" s="342"/>
      <c r="AM77" s="340"/>
      <c r="AN77" s="341"/>
      <c r="AO77" s="341"/>
      <c r="AP77" s="341"/>
      <c r="AQ77" s="342"/>
      <c r="AR77" s="340"/>
      <c r="AS77" s="341"/>
      <c r="AT77" s="341"/>
      <c r="AU77" s="341"/>
      <c r="AV77" s="342"/>
      <c r="AW77" s="340"/>
      <c r="AX77" s="341"/>
      <c r="AY77" s="341"/>
      <c r="AZ77" s="341"/>
      <c r="BA77" s="342"/>
      <c r="BB77" s="340"/>
      <c r="BC77" s="341"/>
      <c r="BD77" s="341"/>
      <c r="BE77" s="341"/>
      <c r="BF77" s="342"/>
      <c r="BG77" s="340"/>
      <c r="BH77" s="341"/>
      <c r="BI77" s="341"/>
      <c r="BJ77" s="341"/>
      <c r="BK77" s="342"/>
      <c r="BL77" s="340"/>
      <c r="BM77" s="341"/>
      <c r="BN77" s="341"/>
      <c r="BO77" s="341"/>
      <c r="BP77" s="342"/>
      <c r="BQ77" s="340"/>
      <c r="BR77" s="341"/>
      <c r="BS77" s="341"/>
      <c r="BT77" s="341"/>
      <c r="BU77" s="343"/>
      <c r="BW77" s="239" t="str">
        <f>sum_level("o",'Needs 171007_1812'!D77:BU77)</f>
        <v/>
      </c>
      <c r="BX77" s="240" t="str">
        <f>sum_level("j",'Needs 171007_1812'!D77:BU77)</f>
        <v/>
      </c>
      <c r="BY77" s="240" t="str">
        <f>sum_level("m",'Needs 171007_1812'!D77:BU77)</f>
        <v/>
      </c>
      <c r="BZ77" s="240" t="str">
        <f>sum_level("s",'Needs 171007_1812'!D77:BU77)</f>
        <v/>
      </c>
      <c r="CA77" s="241" t="str">
        <f>sum_level("e",'Needs 171007_1812'!D77:BU77)</f>
        <v/>
      </c>
    </row>
    <row r="78" spans="2:79" ht="12.75" customHeight="1" thickTop="1" thickBot="1" x14ac:dyDescent="0.3">
      <c r="B78" s="436"/>
      <c r="C78" s="248"/>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s="344"/>
      <c r="BN78" s="344"/>
      <c r="BO78" s="344"/>
      <c r="BP78" s="344"/>
      <c r="BQ78" s="344"/>
      <c r="BR78" s="344"/>
      <c r="BS78" s="344"/>
      <c r="BT78" s="344"/>
      <c r="BU78" s="344"/>
      <c r="BW78" s="249"/>
      <c r="BX78" s="249"/>
      <c r="BY78" s="249"/>
      <c r="BZ78" s="249"/>
      <c r="CA78" s="249"/>
    </row>
    <row r="79" spans="2:79" ht="15.75" thickTop="1" x14ac:dyDescent="0.25">
      <c r="B79" s="434" t="s">
        <v>267</v>
      </c>
      <c r="C79" s="290" t="s">
        <v>269</v>
      </c>
      <c r="D79" s="332"/>
      <c r="E79" s="333"/>
      <c r="F79" s="333"/>
      <c r="G79" s="333"/>
      <c r="H79" s="334"/>
      <c r="I79" s="332"/>
      <c r="J79" s="333"/>
      <c r="K79" s="333"/>
      <c r="L79" s="333"/>
      <c r="M79" s="334"/>
      <c r="N79" s="332"/>
      <c r="O79" s="333"/>
      <c r="P79" s="333"/>
      <c r="Q79" s="333"/>
      <c r="R79" s="334"/>
      <c r="S79" s="332"/>
      <c r="T79" s="333"/>
      <c r="U79" s="333"/>
      <c r="V79" s="333"/>
      <c r="W79" s="334"/>
      <c r="X79" s="332"/>
      <c r="Y79" s="333"/>
      <c r="Z79" s="333"/>
      <c r="AA79" s="333"/>
      <c r="AB79" s="334"/>
      <c r="AC79" s="332"/>
      <c r="AD79" s="333"/>
      <c r="AE79" s="333"/>
      <c r="AF79" s="333"/>
      <c r="AG79" s="334"/>
      <c r="AH79" s="332"/>
      <c r="AI79" s="333"/>
      <c r="AJ79" s="333"/>
      <c r="AK79" s="333"/>
      <c r="AL79" s="334"/>
      <c r="AM79" s="332"/>
      <c r="AN79" s="333"/>
      <c r="AO79" s="333"/>
      <c r="AP79" s="333"/>
      <c r="AQ79" s="334"/>
      <c r="AR79" s="332"/>
      <c r="AS79" s="333"/>
      <c r="AT79" s="333"/>
      <c r="AU79" s="333"/>
      <c r="AV79" s="334"/>
      <c r="AW79" s="332"/>
      <c r="AX79" s="333"/>
      <c r="AY79" s="333"/>
      <c r="AZ79" s="333"/>
      <c r="BA79" s="334"/>
      <c r="BB79" s="332"/>
      <c r="BC79" s="333"/>
      <c r="BD79" s="333"/>
      <c r="BE79" s="333"/>
      <c r="BF79" s="334"/>
      <c r="BG79" s="332"/>
      <c r="BH79" s="333"/>
      <c r="BI79" s="333"/>
      <c r="BJ79" s="333"/>
      <c r="BK79" s="334"/>
      <c r="BL79" s="332"/>
      <c r="BM79" s="333"/>
      <c r="BN79" s="333"/>
      <c r="BO79" s="333"/>
      <c r="BP79" s="334"/>
      <c r="BQ79" s="332"/>
      <c r="BR79" s="333"/>
      <c r="BS79" s="333"/>
      <c r="BT79" s="333"/>
      <c r="BU79" s="335"/>
      <c r="BW79" s="233" t="str">
        <f>sum_level("o",'Needs 171007_1812'!D79:BU79)</f>
        <v/>
      </c>
      <c r="BX79" s="234" t="str">
        <f>sum_level("j",'Needs 171007_1812'!D79:BU79)</f>
        <v/>
      </c>
      <c r="BY79" s="234" t="str">
        <f>sum_level("m",'Needs 171007_1812'!D79:BU79)</f>
        <v/>
      </c>
      <c r="BZ79" s="234" t="str">
        <f>sum_level("s",'Needs 171007_1812'!D79:BU79)</f>
        <v/>
      </c>
      <c r="CA79" s="235" t="str">
        <f>sum_level("e",'Needs 171007_1812'!D79:BU79)</f>
        <v/>
      </c>
    </row>
    <row r="80" spans="2:79" x14ac:dyDescent="0.25">
      <c r="B80" s="435"/>
      <c r="C80" s="291" t="s">
        <v>270</v>
      </c>
      <c r="D80" s="336"/>
      <c r="E80" s="337"/>
      <c r="F80" s="337"/>
      <c r="G80" s="337"/>
      <c r="H80" s="338"/>
      <c r="I80" s="336"/>
      <c r="J80" s="337"/>
      <c r="K80" s="337"/>
      <c r="L80" s="337"/>
      <c r="M80" s="338"/>
      <c r="N80" s="336"/>
      <c r="O80" s="337"/>
      <c r="P80" s="337"/>
      <c r="Q80" s="337"/>
      <c r="R80" s="338"/>
      <c r="S80" s="336"/>
      <c r="T80" s="337"/>
      <c r="U80" s="337"/>
      <c r="V80" s="337"/>
      <c r="W80" s="338"/>
      <c r="X80" s="336"/>
      <c r="Y80" s="337"/>
      <c r="Z80" s="337"/>
      <c r="AA80" s="337"/>
      <c r="AB80" s="338"/>
      <c r="AC80" s="336"/>
      <c r="AD80" s="337"/>
      <c r="AE80" s="337"/>
      <c r="AF80" s="337"/>
      <c r="AG80" s="338"/>
      <c r="AH80" s="336"/>
      <c r="AI80" s="337"/>
      <c r="AJ80" s="337"/>
      <c r="AK80" s="337"/>
      <c r="AL80" s="338"/>
      <c r="AM80" s="336"/>
      <c r="AN80" s="337"/>
      <c r="AO80" s="337"/>
      <c r="AP80" s="337"/>
      <c r="AQ80" s="338"/>
      <c r="AR80" s="336"/>
      <c r="AS80" s="337"/>
      <c r="AT80" s="337"/>
      <c r="AU80" s="337"/>
      <c r="AV80" s="338"/>
      <c r="AW80" s="336"/>
      <c r="AX80" s="337"/>
      <c r="AY80" s="337"/>
      <c r="AZ80" s="337"/>
      <c r="BA80" s="338"/>
      <c r="BB80" s="336"/>
      <c r="BC80" s="337"/>
      <c r="BD80" s="337"/>
      <c r="BE80" s="337"/>
      <c r="BF80" s="338"/>
      <c r="BG80" s="336"/>
      <c r="BH80" s="337"/>
      <c r="BI80" s="337"/>
      <c r="BJ80" s="337"/>
      <c r="BK80" s="338"/>
      <c r="BL80" s="336"/>
      <c r="BM80" s="337"/>
      <c r="BN80" s="337"/>
      <c r="BO80" s="337"/>
      <c r="BP80" s="338"/>
      <c r="BQ80" s="336"/>
      <c r="BR80" s="337"/>
      <c r="BS80" s="337"/>
      <c r="BT80" s="337"/>
      <c r="BU80" s="339"/>
      <c r="BW80" s="236" t="str">
        <f>sum_level("o",'Needs 171007_1812'!D80:BU80)</f>
        <v/>
      </c>
      <c r="BX80" s="237" t="str">
        <f>sum_level("j",'Needs 171007_1812'!D80:BU80)</f>
        <v/>
      </c>
      <c r="BY80" s="237" t="str">
        <f>sum_level("m",'Needs 171007_1812'!D80:BU80)</f>
        <v/>
      </c>
      <c r="BZ80" s="237" t="str">
        <f>sum_level("s",'Needs 171007_1812'!D80:BU80)</f>
        <v/>
      </c>
      <c r="CA80" s="238" t="str">
        <f>sum_level("e",'Needs 171007_1812'!D80:BU80)</f>
        <v/>
      </c>
    </row>
    <row r="81" spans="2:79" x14ac:dyDescent="0.25">
      <c r="B81" s="435"/>
      <c r="C81" s="291" t="s">
        <v>271</v>
      </c>
      <c r="D81" s="336"/>
      <c r="E81" s="337"/>
      <c r="F81" s="337"/>
      <c r="G81" s="337"/>
      <c r="H81" s="338"/>
      <c r="I81" s="336"/>
      <c r="J81" s="337"/>
      <c r="K81" s="337"/>
      <c r="L81" s="337"/>
      <c r="M81" s="338"/>
      <c r="N81" s="336"/>
      <c r="O81" s="337"/>
      <c r="P81" s="337"/>
      <c r="Q81" s="337"/>
      <c r="R81" s="338"/>
      <c r="S81" s="336"/>
      <c r="T81" s="337"/>
      <c r="U81" s="337"/>
      <c r="V81" s="337"/>
      <c r="W81" s="338"/>
      <c r="X81" s="336"/>
      <c r="Y81" s="337"/>
      <c r="Z81" s="337"/>
      <c r="AA81" s="337"/>
      <c r="AB81" s="338"/>
      <c r="AC81" s="336"/>
      <c r="AD81" s="337"/>
      <c r="AE81" s="337"/>
      <c r="AF81" s="337"/>
      <c r="AG81" s="338"/>
      <c r="AH81" s="336"/>
      <c r="AI81" s="337"/>
      <c r="AJ81" s="337"/>
      <c r="AK81" s="337"/>
      <c r="AL81" s="338"/>
      <c r="AM81" s="336"/>
      <c r="AN81" s="337"/>
      <c r="AO81" s="337"/>
      <c r="AP81" s="337"/>
      <c r="AQ81" s="338"/>
      <c r="AR81" s="336"/>
      <c r="AS81" s="337"/>
      <c r="AT81" s="337"/>
      <c r="AU81" s="337"/>
      <c r="AV81" s="338"/>
      <c r="AW81" s="336"/>
      <c r="AX81" s="337"/>
      <c r="AY81" s="337"/>
      <c r="AZ81" s="337"/>
      <c r="BA81" s="338"/>
      <c r="BB81" s="336"/>
      <c r="BC81" s="337"/>
      <c r="BD81" s="337"/>
      <c r="BE81" s="337"/>
      <c r="BF81" s="338"/>
      <c r="BG81" s="336"/>
      <c r="BH81" s="337"/>
      <c r="BI81" s="337"/>
      <c r="BJ81" s="337"/>
      <c r="BK81" s="338"/>
      <c r="BL81" s="336"/>
      <c r="BM81" s="337"/>
      <c r="BN81" s="337"/>
      <c r="BO81" s="337"/>
      <c r="BP81" s="338"/>
      <c r="BQ81" s="336"/>
      <c r="BR81" s="337"/>
      <c r="BS81" s="337"/>
      <c r="BT81" s="337"/>
      <c r="BU81" s="339"/>
      <c r="BW81" s="236" t="str">
        <f>sum_level("o",'Needs 171007_1812'!D81:BU81)</f>
        <v/>
      </c>
      <c r="BX81" s="237" t="str">
        <f>sum_level("j",'Needs 171007_1812'!D81:BU81)</f>
        <v/>
      </c>
      <c r="BY81" s="237" t="str">
        <f>sum_level("m",'Needs 171007_1812'!D81:BU81)</f>
        <v/>
      </c>
      <c r="BZ81" s="237" t="str">
        <f>sum_level("s",'Needs 171007_1812'!D81:BU81)</f>
        <v/>
      </c>
      <c r="CA81" s="238" t="str">
        <f>sum_level("e",'Needs 171007_1812'!D81:BU81)</f>
        <v/>
      </c>
    </row>
    <row r="82" spans="2:79" x14ac:dyDescent="0.25">
      <c r="B82" s="435"/>
      <c r="C82" s="291" t="s">
        <v>272</v>
      </c>
      <c r="D82" s="336"/>
      <c r="E82" s="337"/>
      <c r="F82" s="337"/>
      <c r="G82" s="337"/>
      <c r="H82" s="338"/>
      <c r="I82" s="336"/>
      <c r="J82" s="337"/>
      <c r="K82" s="337"/>
      <c r="L82" s="337"/>
      <c r="M82" s="338"/>
      <c r="N82" s="336"/>
      <c r="O82" s="337"/>
      <c r="P82" s="337"/>
      <c r="Q82" s="337"/>
      <c r="R82" s="338"/>
      <c r="S82" s="336"/>
      <c r="T82" s="337"/>
      <c r="U82" s="337"/>
      <c r="V82" s="337"/>
      <c r="W82" s="338"/>
      <c r="X82" s="336"/>
      <c r="Y82" s="337"/>
      <c r="Z82" s="337"/>
      <c r="AA82" s="337"/>
      <c r="AB82" s="338"/>
      <c r="AC82" s="336"/>
      <c r="AD82" s="337"/>
      <c r="AE82" s="337"/>
      <c r="AF82" s="337"/>
      <c r="AG82" s="338"/>
      <c r="AH82" s="336"/>
      <c r="AI82" s="337"/>
      <c r="AJ82" s="337"/>
      <c r="AK82" s="337"/>
      <c r="AL82" s="338"/>
      <c r="AM82" s="336"/>
      <c r="AN82" s="337"/>
      <c r="AO82" s="337"/>
      <c r="AP82" s="337"/>
      <c r="AQ82" s="338"/>
      <c r="AR82" s="336"/>
      <c r="AS82" s="337"/>
      <c r="AT82" s="337"/>
      <c r="AU82" s="337"/>
      <c r="AV82" s="338"/>
      <c r="AW82" s="336"/>
      <c r="AX82" s="337"/>
      <c r="AY82" s="337"/>
      <c r="AZ82" s="337"/>
      <c r="BA82" s="338"/>
      <c r="BB82" s="336"/>
      <c r="BC82" s="337"/>
      <c r="BD82" s="337"/>
      <c r="BE82" s="337"/>
      <c r="BF82" s="338"/>
      <c r="BG82" s="336"/>
      <c r="BH82" s="337"/>
      <c r="BI82" s="337"/>
      <c r="BJ82" s="337"/>
      <c r="BK82" s="338"/>
      <c r="BL82" s="336"/>
      <c r="BM82" s="337"/>
      <c r="BN82" s="337"/>
      <c r="BO82" s="337"/>
      <c r="BP82" s="338"/>
      <c r="BQ82" s="336"/>
      <c r="BR82" s="337"/>
      <c r="BS82" s="337"/>
      <c r="BT82" s="337"/>
      <c r="BU82" s="339"/>
      <c r="BW82" s="236" t="str">
        <f>sum_level("o",'Needs 171007_1812'!D82:BU82)</f>
        <v/>
      </c>
      <c r="BX82" s="237" t="str">
        <f>sum_level("j",'Needs 171007_1812'!D82:BU82)</f>
        <v/>
      </c>
      <c r="BY82" s="237" t="str">
        <f>sum_level("m",'Needs 171007_1812'!D82:BU82)</f>
        <v/>
      </c>
      <c r="BZ82" s="237" t="str">
        <f>sum_level("s",'Needs 171007_1812'!D82:BU82)</f>
        <v/>
      </c>
      <c r="CA82" s="238" t="str">
        <f>sum_level("e",'Needs 171007_1812'!D82:BU82)</f>
        <v/>
      </c>
    </row>
    <row r="83" spans="2:79" x14ac:dyDescent="0.25">
      <c r="B83" s="435"/>
      <c r="C83" s="291" t="s">
        <v>273</v>
      </c>
      <c r="D83" s="336"/>
      <c r="E83" s="337"/>
      <c r="F83" s="337"/>
      <c r="G83" s="337"/>
      <c r="H83" s="338"/>
      <c r="I83" s="336"/>
      <c r="J83" s="337"/>
      <c r="K83" s="337"/>
      <c r="L83" s="337"/>
      <c r="M83" s="338"/>
      <c r="N83" s="336"/>
      <c r="O83" s="337"/>
      <c r="P83" s="337"/>
      <c r="Q83" s="337"/>
      <c r="R83" s="338"/>
      <c r="S83" s="336"/>
      <c r="T83" s="337"/>
      <c r="U83" s="337"/>
      <c r="V83" s="337"/>
      <c r="W83" s="338"/>
      <c r="X83" s="336"/>
      <c r="Y83" s="337"/>
      <c r="Z83" s="337"/>
      <c r="AA83" s="337"/>
      <c r="AB83" s="338"/>
      <c r="AC83" s="336"/>
      <c r="AD83" s="337"/>
      <c r="AE83" s="337"/>
      <c r="AF83" s="337"/>
      <c r="AG83" s="338"/>
      <c r="AH83" s="336"/>
      <c r="AI83" s="337"/>
      <c r="AJ83" s="337"/>
      <c r="AK83" s="337"/>
      <c r="AL83" s="338"/>
      <c r="AM83" s="336"/>
      <c r="AN83" s="337"/>
      <c r="AO83" s="337"/>
      <c r="AP83" s="337"/>
      <c r="AQ83" s="338"/>
      <c r="AR83" s="336"/>
      <c r="AS83" s="337"/>
      <c r="AT83" s="337"/>
      <c r="AU83" s="337"/>
      <c r="AV83" s="338"/>
      <c r="AW83" s="336"/>
      <c r="AX83" s="337"/>
      <c r="AY83" s="337"/>
      <c r="AZ83" s="337"/>
      <c r="BA83" s="338"/>
      <c r="BB83" s="336"/>
      <c r="BC83" s="337"/>
      <c r="BD83" s="337"/>
      <c r="BE83" s="337"/>
      <c r="BF83" s="338"/>
      <c r="BG83" s="336"/>
      <c r="BH83" s="337"/>
      <c r="BI83" s="337"/>
      <c r="BJ83" s="337"/>
      <c r="BK83" s="338"/>
      <c r="BL83" s="336"/>
      <c r="BM83" s="337"/>
      <c r="BN83" s="337"/>
      <c r="BO83" s="337"/>
      <c r="BP83" s="338"/>
      <c r="BQ83" s="336"/>
      <c r="BR83" s="337"/>
      <c r="BS83" s="337"/>
      <c r="BT83" s="337"/>
      <c r="BU83" s="339"/>
      <c r="BW83" s="236" t="str">
        <f>sum_level("o",'Needs 171007_1812'!D83:BU83)</f>
        <v/>
      </c>
      <c r="BX83" s="237" t="str">
        <f>sum_level("j",'Needs 171007_1812'!D83:BU83)</f>
        <v/>
      </c>
      <c r="BY83" s="237" t="str">
        <f>sum_level("m",'Needs 171007_1812'!D83:BU83)</f>
        <v/>
      </c>
      <c r="BZ83" s="237" t="str">
        <f>sum_level("s",'Needs 171007_1812'!D83:BU83)</f>
        <v/>
      </c>
      <c r="CA83" s="238" t="str">
        <f>sum_level("e",'Needs 171007_1812'!D83:BU83)</f>
        <v/>
      </c>
    </row>
    <row r="84" spans="2:79" x14ac:dyDescent="0.25">
      <c r="B84" s="435"/>
      <c r="C84" s="291" t="s">
        <v>274</v>
      </c>
      <c r="D84" s="336"/>
      <c r="E84" s="337"/>
      <c r="F84" s="337"/>
      <c r="G84" s="337"/>
      <c r="H84" s="338"/>
      <c r="I84" s="336"/>
      <c r="J84" s="337"/>
      <c r="K84" s="337"/>
      <c r="L84" s="337"/>
      <c r="M84" s="338"/>
      <c r="N84" s="336"/>
      <c r="O84" s="337"/>
      <c r="P84" s="337"/>
      <c r="Q84" s="337"/>
      <c r="R84" s="338"/>
      <c r="S84" s="336"/>
      <c r="T84" s="337"/>
      <c r="U84" s="337"/>
      <c r="V84" s="337"/>
      <c r="W84" s="338"/>
      <c r="X84" s="336"/>
      <c r="Y84" s="337"/>
      <c r="Z84" s="337"/>
      <c r="AA84" s="337"/>
      <c r="AB84" s="338"/>
      <c r="AC84" s="336"/>
      <c r="AD84" s="337"/>
      <c r="AE84" s="337"/>
      <c r="AF84" s="337"/>
      <c r="AG84" s="338"/>
      <c r="AH84" s="336"/>
      <c r="AI84" s="337"/>
      <c r="AJ84" s="337"/>
      <c r="AK84" s="337"/>
      <c r="AL84" s="338"/>
      <c r="AM84" s="336"/>
      <c r="AN84" s="337"/>
      <c r="AO84" s="337"/>
      <c r="AP84" s="337"/>
      <c r="AQ84" s="338"/>
      <c r="AR84" s="336"/>
      <c r="AS84" s="337"/>
      <c r="AT84" s="337"/>
      <c r="AU84" s="337"/>
      <c r="AV84" s="338"/>
      <c r="AW84" s="336"/>
      <c r="AX84" s="337"/>
      <c r="AY84" s="337"/>
      <c r="AZ84" s="337"/>
      <c r="BA84" s="338"/>
      <c r="BB84" s="336"/>
      <c r="BC84" s="337"/>
      <c r="BD84" s="337"/>
      <c r="BE84" s="337"/>
      <c r="BF84" s="338"/>
      <c r="BG84" s="336"/>
      <c r="BH84" s="337"/>
      <c r="BI84" s="337"/>
      <c r="BJ84" s="337"/>
      <c r="BK84" s="338"/>
      <c r="BL84" s="336"/>
      <c r="BM84" s="337"/>
      <c r="BN84" s="337"/>
      <c r="BO84" s="337"/>
      <c r="BP84" s="338"/>
      <c r="BQ84" s="336"/>
      <c r="BR84" s="337"/>
      <c r="BS84" s="337"/>
      <c r="BT84" s="337"/>
      <c r="BU84" s="339"/>
      <c r="BW84" s="236" t="str">
        <f>sum_level("o",'Needs 171007_1812'!D84:BU84)</f>
        <v/>
      </c>
      <c r="BX84" s="237" t="str">
        <f>sum_level("j",'Needs 171007_1812'!D84:BU84)</f>
        <v/>
      </c>
      <c r="BY84" s="237" t="str">
        <f>sum_level("m",'Needs 171007_1812'!D84:BU84)</f>
        <v/>
      </c>
      <c r="BZ84" s="237" t="str">
        <f>sum_level("s",'Needs 171007_1812'!D84:BU84)</f>
        <v/>
      </c>
      <c r="CA84" s="238" t="str">
        <f>sum_level("e",'Needs 171007_1812'!D84:BU84)</f>
        <v/>
      </c>
    </row>
    <row r="85" spans="2:79" x14ac:dyDescent="0.25">
      <c r="B85" s="435"/>
      <c r="C85" s="291" t="s">
        <v>275</v>
      </c>
      <c r="D85" s="336"/>
      <c r="E85" s="337"/>
      <c r="F85" s="337"/>
      <c r="G85" s="337"/>
      <c r="H85" s="338"/>
      <c r="I85" s="336"/>
      <c r="J85" s="337"/>
      <c r="K85" s="337"/>
      <c r="L85" s="337"/>
      <c r="M85" s="338"/>
      <c r="N85" s="336"/>
      <c r="O85" s="337"/>
      <c r="P85" s="337"/>
      <c r="Q85" s="337"/>
      <c r="R85" s="338"/>
      <c r="S85" s="336"/>
      <c r="T85" s="337"/>
      <c r="U85" s="337"/>
      <c r="V85" s="337"/>
      <c r="W85" s="338"/>
      <c r="X85" s="336"/>
      <c r="Y85" s="337"/>
      <c r="Z85" s="337"/>
      <c r="AA85" s="337"/>
      <c r="AB85" s="338"/>
      <c r="AC85" s="336"/>
      <c r="AD85" s="337"/>
      <c r="AE85" s="337"/>
      <c r="AF85" s="337"/>
      <c r="AG85" s="338"/>
      <c r="AH85" s="336"/>
      <c r="AI85" s="337"/>
      <c r="AJ85" s="337"/>
      <c r="AK85" s="337"/>
      <c r="AL85" s="338"/>
      <c r="AM85" s="336"/>
      <c r="AN85" s="337"/>
      <c r="AO85" s="337"/>
      <c r="AP85" s="337"/>
      <c r="AQ85" s="338"/>
      <c r="AR85" s="336"/>
      <c r="AS85" s="337"/>
      <c r="AT85" s="337"/>
      <c r="AU85" s="337"/>
      <c r="AV85" s="338"/>
      <c r="AW85" s="336"/>
      <c r="AX85" s="337"/>
      <c r="AY85" s="337"/>
      <c r="AZ85" s="337"/>
      <c r="BA85" s="338"/>
      <c r="BB85" s="336"/>
      <c r="BC85" s="337"/>
      <c r="BD85" s="337"/>
      <c r="BE85" s="337"/>
      <c r="BF85" s="338"/>
      <c r="BG85" s="336"/>
      <c r="BH85" s="337"/>
      <c r="BI85" s="337"/>
      <c r="BJ85" s="337"/>
      <c r="BK85" s="338"/>
      <c r="BL85" s="336"/>
      <c r="BM85" s="337"/>
      <c r="BN85" s="337"/>
      <c r="BO85" s="337"/>
      <c r="BP85" s="338"/>
      <c r="BQ85" s="336"/>
      <c r="BR85" s="337"/>
      <c r="BS85" s="337"/>
      <c r="BT85" s="337"/>
      <c r="BU85" s="339"/>
      <c r="BW85" s="236" t="str">
        <f>sum_level("o",'Needs 171007_1812'!D85:BU85)</f>
        <v/>
      </c>
      <c r="BX85" s="237" t="str">
        <f>sum_level("j",'Needs 171007_1812'!D85:BU85)</f>
        <v/>
      </c>
      <c r="BY85" s="237" t="str">
        <f>sum_level("m",'Needs 171007_1812'!D85:BU85)</f>
        <v/>
      </c>
      <c r="BZ85" s="237" t="str">
        <f>sum_level("s",'Needs 171007_1812'!D85:BU85)</f>
        <v/>
      </c>
      <c r="CA85" s="238" t="str">
        <f>sum_level("e",'Needs 171007_1812'!D85:BU85)</f>
        <v/>
      </c>
    </row>
    <row r="86" spans="2:79" x14ac:dyDescent="0.25">
      <c r="B86" s="435"/>
      <c r="C86" s="291" t="s">
        <v>281</v>
      </c>
      <c r="D86" s="336"/>
      <c r="E86" s="337"/>
      <c r="F86" s="337"/>
      <c r="G86" s="337"/>
      <c r="H86" s="338"/>
      <c r="I86" s="336"/>
      <c r="J86" s="337"/>
      <c r="K86" s="337"/>
      <c r="L86" s="337"/>
      <c r="M86" s="338"/>
      <c r="N86" s="336"/>
      <c r="O86" s="337"/>
      <c r="P86" s="337"/>
      <c r="Q86" s="337"/>
      <c r="R86" s="338"/>
      <c r="S86" s="336"/>
      <c r="T86" s="337"/>
      <c r="U86" s="337"/>
      <c r="V86" s="337"/>
      <c r="W86" s="338"/>
      <c r="X86" s="336"/>
      <c r="Y86" s="337"/>
      <c r="Z86" s="337"/>
      <c r="AA86" s="337"/>
      <c r="AB86" s="338"/>
      <c r="AC86" s="336"/>
      <c r="AD86" s="337"/>
      <c r="AE86" s="337"/>
      <c r="AF86" s="337"/>
      <c r="AG86" s="338"/>
      <c r="AH86" s="336"/>
      <c r="AI86" s="337"/>
      <c r="AJ86" s="337"/>
      <c r="AK86" s="337"/>
      <c r="AL86" s="338"/>
      <c r="AM86" s="336"/>
      <c r="AN86" s="337"/>
      <c r="AO86" s="337"/>
      <c r="AP86" s="337"/>
      <c r="AQ86" s="338"/>
      <c r="AR86" s="336"/>
      <c r="AS86" s="337"/>
      <c r="AT86" s="337"/>
      <c r="AU86" s="337"/>
      <c r="AV86" s="338"/>
      <c r="AW86" s="336"/>
      <c r="AX86" s="337"/>
      <c r="AY86" s="337"/>
      <c r="AZ86" s="337"/>
      <c r="BA86" s="338"/>
      <c r="BB86" s="336"/>
      <c r="BC86" s="337"/>
      <c r="BD86" s="337"/>
      <c r="BE86" s="337"/>
      <c r="BF86" s="338"/>
      <c r="BG86" s="336"/>
      <c r="BH86" s="337"/>
      <c r="BI86" s="337"/>
      <c r="BJ86" s="337"/>
      <c r="BK86" s="338"/>
      <c r="BL86" s="336"/>
      <c r="BM86" s="337"/>
      <c r="BN86" s="337"/>
      <c r="BO86" s="337"/>
      <c r="BP86" s="338"/>
      <c r="BQ86" s="336"/>
      <c r="BR86" s="337"/>
      <c r="BS86" s="337"/>
      <c r="BT86" s="337"/>
      <c r="BU86" s="339"/>
      <c r="BW86" s="236" t="str">
        <f>sum_level("o",'Needs 171007_1812'!D86:BU86)</f>
        <v/>
      </c>
      <c r="BX86" s="237" t="str">
        <f>sum_level("j",'Needs 171007_1812'!D86:BU86)</f>
        <v/>
      </c>
      <c r="BY86" s="237" t="str">
        <f>sum_level("m",'Needs 171007_1812'!D86:BU86)</f>
        <v/>
      </c>
      <c r="BZ86" s="237" t="str">
        <f>sum_level("s",'Needs 171007_1812'!D86:BU86)</f>
        <v/>
      </c>
      <c r="CA86" s="238" t="str">
        <f>sum_level("e",'Needs 171007_1812'!D86:BU86)</f>
        <v/>
      </c>
    </row>
    <row r="87" spans="2:79" x14ac:dyDescent="0.25">
      <c r="B87" s="435"/>
      <c r="C87" s="291" t="s">
        <v>276</v>
      </c>
      <c r="D87" s="336"/>
      <c r="E87" s="337"/>
      <c r="F87" s="337"/>
      <c r="G87" s="337"/>
      <c r="H87" s="338"/>
      <c r="I87" s="336"/>
      <c r="J87" s="337"/>
      <c r="K87" s="337"/>
      <c r="L87" s="337"/>
      <c r="M87" s="338"/>
      <c r="N87" s="336"/>
      <c r="O87" s="337"/>
      <c r="P87" s="337"/>
      <c r="Q87" s="337"/>
      <c r="R87" s="338"/>
      <c r="S87" s="336"/>
      <c r="T87" s="337"/>
      <c r="U87" s="337"/>
      <c r="V87" s="337"/>
      <c r="W87" s="338"/>
      <c r="X87" s="336"/>
      <c r="Y87" s="337"/>
      <c r="Z87" s="337"/>
      <c r="AA87" s="337"/>
      <c r="AB87" s="338"/>
      <c r="AC87" s="336"/>
      <c r="AD87" s="337"/>
      <c r="AE87" s="337"/>
      <c r="AF87" s="337"/>
      <c r="AG87" s="338"/>
      <c r="AH87" s="336"/>
      <c r="AI87" s="337"/>
      <c r="AJ87" s="337"/>
      <c r="AK87" s="337"/>
      <c r="AL87" s="338"/>
      <c r="AM87" s="336"/>
      <c r="AN87" s="337"/>
      <c r="AO87" s="337"/>
      <c r="AP87" s="337"/>
      <c r="AQ87" s="338"/>
      <c r="AR87" s="336"/>
      <c r="AS87" s="337"/>
      <c r="AT87" s="337"/>
      <c r="AU87" s="337"/>
      <c r="AV87" s="338"/>
      <c r="AW87" s="336"/>
      <c r="AX87" s="337"/>
      <c r="AY87" s="337"/>
      <c r="AZ87" s="337"/>
      <c r="BA87" s="338"/>
      <c r="BB87" s="336"/>
      <c r="BC87" s="337"/>
      <c r="BD87" s="337"/>
      <c r="BE87" s="337"/>
      <c r="BF87" s="338"/>
      <c r="BG87" s="336"/>
      <c r="BH87" s="337"/>
      <c r="BI87" s="337"/>
      <c r="BJ87" s="337"/>
      <c r="BK87" s="338"/>
      <c r="BL87" s="336"/>
      <c r="BM87" s="337"/>
      <c r="BN87" s="337"/>
      <c r="BO87" s="337"/>
      <c r="BP87" s="338"/>
      <c r="BQ87" s="336"/>
      <c r="BR87" s="337"/>
      <c r="BS87" s="337"/>
      <c r="BT87" s="337"/>
      <c r="BU87" s="339"/>
      <c r="BW87" s="236" t="str">
        <f>sum_level("o",'Needs 171007_1812'!D87:BU87)</f>
        <v/>
      </c>
      <c r="BX87" s="237" t="str">
        <f>sum_level("j",'Needs 171007_1812'!D87:BU87)</f>
        <v/>
      </c>
      <c r="BY87" s="237" t="str">
        <f>sum_level("m",'Needs 171007_1812'!D87:BU87)</f>
        <v/>
      </c>
      <c r="BZ87" s="237" t="str">
        <f>sum_level("s",'Needs 171007_1812'!D87:BU87)</f>
        <v/>
      </c>
      <c r="CA87" s="238" t="str">
        <f>sum_level("e",'Needs 171007_1812'!D87:BU87)</f>
        <v/>
      </c>
    </row>
    <row r="88" spans="2:79" x14ac:dyDescent="0.25">
      <c r="B88" s="435"/>
      <c r="C88" s="291" t="s">
        <v>277</v>
      </c>
      <c r="D88" s="336"/>
      <c r="E88" s="337"/>
      <c r="F88" s="337"/>
      <c r="G88" s="337"/>
      <c r="H88" s="338"/>
      <c r="I88" s="336"/>
      <c r="J88" s="337"/>
      <c r="K88" s="337"/>
      <c r="L88" s="337"/>
      <c r="M88" s="338"/>
      <c r="N88" s="336"/>
      <c r="O88" s="337"/>
      <c r="P88" s="337"/>
      <c r="Q88" s="337"/>
      <c r="R88" s="338"/>
      <c r="S88" s="336"/>
      <c r="T88" s="337"/>
      <c r="U88" s="337"/>
      <c r="V88" s="337"/>
      <c r="W88" s="338"/>
      <c r="X88" s="336"/>
      <c r="Y88" s="337"/>
      <c r="Z88" s="337"/>
      <c r="AA88" s="337"/>
      <c r="AB88" s="338"/>
      <c r="AC88" s="336"/>
      <c r="AD88" s="337"/>
      <c r="AE88" s="337"/>
      <c r="AF88" s="337"/>
      <c r="AG88" s="338"/>
      <c r="AH88" s="336"/>
      <c r="AI88" s="337"/>
      <c r="AJ88" s="337"/>
      <c r="AK88" s="337"/>
      <c r="AL88" s="338"/>
      <c r="AM88" s="336"/>
      <c r="AN88" s="337"/>
      <c r="AO88" s="337"/>
      <c r="AP88" s="337"/>
      <c r="AQ88" s="338"/>
      <c r="AR88" s="336"/>
      <c r="AS88" s="337"/>
      <c r="AT88" s="337"/>
      <c r="AU88" s="337"/>
      <c r="AV88" s="338"/>
      <c r="AW88" s="336"/>
      <c r="AX88" s="337"/>
      <c r="AY88" s="337"/>
      <c r="AZ88" s="337"/>
      <c r="BA88" s="338"/>
      <c r="BB88" s="336"/>
      <c r="BC88" s="337"/>
      <c r="BD88" s="337"/>
      <c r="BE88" s="337"/>
      <c r="BF88" s="338"/>
      <c r="BG88" s="336"/>
      <c r="BH88" s="337"/>
      <c r="BI88" s="337"/>
      <c r="BJ88" s="337"/>
      <c r="BK88" s="338"/>
      <c r="BL88" s="336"/>
      <c r="BM88" s="337"/>
      <c r="BN88" s="337"/>
      <c r="BO88" s="337"/>
      <c r="BP88" s="338"/>
      <c r="BQ88" s="336"/>
      <c r="BR88" s="337"/>
      <c r="BS88" s="337"/>
      <c r="BT88" s="337"/>
      <c r="BU88" s="339"/>
      <c r="BW88" s="236" t="str">
        <f>sum_level("o",'Needs 171007_1812'!D88:BU88)</f>
        <v/>
      </c>
      <c r="BX88" s="237" t="str">
        <f>sum_level("j",'Needs 171007_1812'!D88:BU88)</f>
        <v/>
      </c>
      <c r="BY88" s="237" t="str">
        <f>sum_level("m",'Needs 171007_1812'!D88:BU88)</f>
        <v/>
      </c>
      <c r="BZ88" s="237" t="str">
        <f>sum_level("s",'Needs 171007_1812'!D88:BU88)</f>
        <v/>
      </c>
      <c r="CA88" s="238" t="str">
        <f>sum_level("e",'Needs 171007_1812'!D88:BU88)</f>
        <v/>
      </c>
    </row>
    <row r="89" spans="2:79" x14ac:dyDescent="0.25">
      <c r="B89" s="435"/>
      <c r="C89" s="291" t="s">
        <v>278</v>
      </c>
      <c r="D89" s="336"/>
      <c r="E89" s="337"/>
      <c r="F89" s="337"/>
      <c r="G89" s="337"/>
      <c r="H89" s="338"/>
      <c r="I89" s="336"/>
      <c r="J89" s="337"/>
      <c r="K89" s="337"/>
      <c r="L89" s="337"/>
      <c r="M89" s="338"/>
      <c r="N89" s="336"/>
      <c r="O89" s="337"/>
      <c r="P89" s="337"/>
      <c r="Q89" s="337"/>
      <c r="R89" s="338"/>
      <c r="S89" s="336"/>
      <c r="T89" s="337"/>
      <c r="U89" s="337"/>
      <c r="V89" s="337"/>
      <c r="W89" s="338"/>
      <c r="X89" s="336"/>
      <c r="Y89" s="337"/>
      <c r="Z89" s="337"/>
      <c r="AA89" s="337"/>
      <c r="AB89" s="338"/>
      <c r="AC89" s="336"/>
      <c r="AD89" s="337"/>
      <c r="AE89" s="337"/>
      <c r="AF89" s="337"/>
      <c r="AG89" s="338"/>
      <c r="AH89" s="336"/>
      <c r="AI89" s="337"/>
      <c r="AJ89" s="337"/>
      <c r="AK89" s="337"/>
      <c r="AL89" s="338"/>
      <c r="AM89" s="336"/>
      <c r="AN89" s="337"/>
      <c r="AO89" s="337"/>
      <c r="AP89" s="337"/>
      <c r="AQ89" s="338"/>
      <c r="AR89" s="336"/>
      <c r="AS89" s="337"/>
      <c r="AT89" s="337"/>
      <c r="AU89" s="337"/>
      <c r="AV89" s="338"/>
      <c r="AW89" s="336"/>
      <c r="AX89" s="337"/>
      <c r="AY89" s="337"/>
      <c r="AZ89" s="337"/>
      <c r="BA89" s="338"/>
      <c r="BB89" s="336"/>
      <c r="BC89" s="337"/>
      <c r="BD89" s="337"/>
      <c r="BE89" s="337"/>
      <c r="BF89" s="338"/>
      <c r="BG89" s="336"/>
      <c r="BH89" s="337"/>
      <c r="BI89" s="337"/>
      <c r="BJ89" s="337"/>
      <c r="BK89" s="338"/>
      <c r="BL89" s="336"/>
      <c r="BM89" s="337"/>
      <c r="BN89" s="337"/>
      <c r="BO89" s="337"/>
      <c r="BP89" s="338"/>
      <c r="BQ89" s="336"/>
      <c r="BR89" s="337"/>
      <c r="BS89" s="337"/>
      <c r="BT89" s="337"/>
      <c r="BU89" s="339"/>
      <c r="BW89" s="236" t="str">
        <f>sum_level("o",'Needs 171007_1812'!D89:BU89)</f>
        <v/>
      </c>
      <c r="BX89" s="237" t="str">
        <f>sum_level("j",'Needs 171007_1812'!D89:BU89)</f>
        <v/>
      </c>
      <c r="BY89" s="237" t="str">
        <f>sum_level("m",'Needs 171007_1812'!D89:BU89)</f>
        <v/>
      </c>
      <c r="BZ89" s="237" t="str">
        <f>sum_level("s",'Needs 171007_1812'!D89:BU89)</f>
        <v/>
      </c>
      <c r="CA89" s="238" t="str">
        <f>sum_level("e",'Needs 171007_1812'!D89:BU89)</f>
        <v/>
      </c>
    </row>
    <row r="90" spans="2:79" x14ac:dyDescent="0.25">
      <c r="B90" s="435"/>
      <c r="C90" s="291" t="s">
        <v>282</v>
      </c>
      <c r="D90" s="336"/>
      <c r="E90" s="337"/>
      <c r="F90" s="337"/>
      <c r="G90" s="337"/>
      <c r="H90" s="338"/>
      <c r="I90" s="336"/>
      <c r="J90" s="337"/>
      <c r="K90" s="337"/>
      <c r="L90" s="337"/>
      <c r="M90" s="338"/>
      <c r="N90" s="336"/>
      <c r="O90" s="337"/>
      <c r="P90" s="337"/>
      <c r="Q90" s="337"/>
      <c r="R90" s="338"/>
      <c r="S90" s="336"/>
      <c r="T90" s="337"/>
      <c r="U90" s="337"/>
      <c r="V90" s="337"/>
      <c r="W90" s="338"/>
      <c r="X90" s="336"/>
      <c r="Y90" s="337"/>
      <c r="Z90" s="337"/>
      <c r="AA90" s="337"/>
      <c r="AB90" s="338"/>
      <c r="AC90" s="336"/>
      <c r="AD90" s="337"/>
      <c r="AE90" s="337"/>
      <c r="AF90" s="337"/>
      <c r="AG90" s="338"/>
      <c r="AH90" s="336"/>
      <c r="AI90" s="337"/>
      <c r="AJ90" s="337"/>
      <c r="AK90" s="337"/>
      <c r="AL90" s="338"/>
      <c r="AM90" s="336"/>
      <c r="AN90" s="337"/>
      <c r="AO90" s="337"/>
      <c r="AP90" s="337"/>
      <c r="AQ90" s="338"/>
      <c r="AR90" s="336"/>
      <c r="AS90" s="337"/>
      <c r="AT90" s="337"/>
      <c r="AU90" s="337"/>
      <c r="AV90" s="338"/>
      <c r="AW90" s="336"/>
      <c r="AX90" s="337"/>
      <c r="AY90" s="337"/>
      <c r="AZ90" s="337"/>
      <c r="BA90" s="338"/>
      <c r="BB90" s="336"/>
      <c r="BC90" s="337"/>
      <c r="BD90" s="337"/>
      <c r="BE90" s="337"/>
      <c r="BF90" s="338"/>
      <c r="BG90" s="336"/>
      <c r="BH90" s="337"/>
      <c r="BI90" s="337"/>
      <c r="BJ90" s="337"/>
      <c r="BK90" s="338"/>
      <c r="BL90" s="336"/>
      <c r="BM90" s="337"/>
      <c r="BN90" s="337"/>
      <c r="BO90" s="337"/>
      <c r="BP90" s="338"/>
      <c r="BQ90" s="336"/>
      <c r="BR90" s="337"/>
      <c r="BS90" s="337"/>
      <c r="BT90" s="337"/>
      <c r="BU90" s="339"/>
      <c r="BW90" s="236" t="str">
        <f>sum_level("o",'Needs 171007_1812'!D90:BU90)</f>
        <v/>
      </c>
      <c r="BX90" s="237" t="str">
        <f>sum_level("j",'Needs 171007_1812'!D90:BU90)</f>
        <v/>
      </c>
      <c r="BY90" s="237" t="str">
        <f>sum_level("m",'Needs 171007_1812'!D90:BU90)</f>
        <v/>
      </c>
      <c r="BZ90" s="237" t="str">
        <f>sum_level("s",'Needs 171007_1812'!D90:BU90)</f>
        <v/>
      </c>
      <c r="CA90" s="238" t="str">
        <f>sum_level("e",'Needs 171007_1812'!D90:BU90)</f>
        <v/>
      </c>
    </row>
    <row r="91" spans="2:79" x14ac:dyDescent="0.25">
      <c r="B91" s="435"/>
      <c r="C91" s="291" t="s">
        <v>283</v>
      </c>
      <c r="D91" s="336"/>
      <c r="E91" s="337"/>
      <c r="F91" s="337"/>
      <c r="G91" s="337"/>
      <c r="H91" s="338"/>
      <c r="I91" s="336"/>
      <c r="J91" s="337"/>
      <c r="K91" s="337"/>
      <c r="L91" s="337"/>
      <c r="M91" s="338"/>
      <c r="N91" s="336"/>
      <c r="O91" s="337"/>
      <c r="P91" s="337"/>
      <c r="Q91" s="337"/>
      <c r="R91" s="338"/>
      <c r="S91" s="336"/>
      <c r="T91" s="337"/>
      <c r="U91" s="337"/>
      <c r="V91" s="337"/>
      <c r="W91" s="338"/>
      <c r="X91" s="336"/>
      <c r="Y91" s="337"/>
      <c r="Z91" s="337"/>
      <c r="AA91" s="337"/>
      <c r="AB91" s="338"/>
      <c r="AC91" s="336"/>
      <c r="AD91" s="337"/>
      <c r="AE91" s="337"/>
      <c r="AF91" s="337"/>
      <c r="AG91" s="338"/>
      <c r="AH91" s="336"/>
      <c r="AI91" s="337"/>
      <c r="AJ91" s="337"/>
      <c r="AK91" s="337"/>
      <c r="AL91" s="338"/>
      <c r="AM91" s="336"/>
      <c r="AN91" s="337"/>
      <c r="AO91" s="337"/>
      <c r="AP91" s="337"/>
      <c r="AQ91" s="338"/>
      <c r="AR91" s="336"/>
      <c r="AS91" s="337"/>
      <c r="AT91" s="337"/>
      <c r="AU91" s="337"/>
      <c r="AV91" s="338"/>
      <c r="AW91" s="336"/>
      <c r="AX91" s="337"/>
      <c r="AY91" s="337"/>
      <c r="AZ91" s="337"/>
      <c r="BA91" s="338"/>
      <c r="BB91" s="336"/>
      <c r="BC91" s="337"/>
      <c r="BD91" s="337"/>
      <c r="BE91" s="337"/>
      <c r="BF91" s="338"/>
      <c r="BG91" s="336"/>
      <c r="BH91" s="337"/>
      <c r="BI91" s="337"/>
      <c r="BJ91" s="337"/>
      <c r="BK91" s="338"/>
      <c r="BL91" s="336"/>
      <c r="BM91" s="337"/>
      <c r="BN91" s="337"/>
      <c r="BO91" s="337"/>
      <c r="BP91" s="338"/>
      <c r="BQ91" s="336"/>
      <c r="BR91" s="337"/>
      <c r="BS91" s="337"/>
      <c r="BT91" s="337"/>
      <c r="BU91" s="339"/>
      <c r="BW91" s="236" t="str">
        <f>sum_level("o",'Needs 171007_1812'!D91:BU91)</f>
        <v/>
      </c>
      <c r="BX91" s="237" t="str">
        <f>sum_level("j",'Needs 171007_1812'!D91:BU91)</f>
        <v/>
      </c>
      <c r="BY91" s="237" t="str">
        <f>sum_level("m",'Needs 171007_1812'!D91:BU91)</f>
        <v/>
      </c>
      <c r="BZ91" s="237" t="str">
        <f>sum_level("s",'Needs 171007_1812'!D91:BU91)</f>
        <v/>
      </c>
      <c r="CA91" s="238" t="str">
        <f>sum_level("e",'Needs 171007_1812'!D91:BU91)</f>
        <v/>
      </c>
    </row>
    <row r="92" spans="2:79" x14ac:dyDescent="0.25">
      <c r="B92" s="435"/>
      <c r="C92" s="291" t="s">
        <v>279</v>
      </c>
      <c r="D92" s="336"/>
      <c r="E92" s="337"/>
      <c r="F92" s="337"/>
      <c r="G92" s="337"/>
      <c r="H92" s="338"/>
      <c r="I92" s="336"/>
      <c r="J92" s="337"/>
      <c r="K92" s="337"/>
      <c r="L92" s="337"/>
      <c r="M92" s="338"/>
      <c r="N92" s="336"/>
      <c r="O92" s="337"/>
      <c r="P92" s="337"/>
      <c r="Q92" s="337"/>
      <c r="R92" s="338"/>
      <c r="S92" s="336"/>
      <c r="T92" s="337"/>
      <c r="U92" s="337"/>
      <c r="V92" s="337"/>
      <c r="W92" s="338"/>
      <c r="X92" s="336"/>
      <c r="Y92" s="337"/>
      <c r="Z92" s="337"/>
      <c r="AA92" s="337"/>
      <c r="AB92" s="338"/>
      <c r="AC92" s="336"/>
      <c r="AD92" s="337"/>
      <c r="AE92" s="337"/>
      <c r="AF92" s="337"/>
      <c r="AG92" s="338"/>
      <c r="AH92" s="336"/>
      <c r="AI92" s="337"/>
      <c r="AJ92" s="337"/>
      <c r="AK92" s="337"/>
      <c r="AL92" s="338"/>
      <c r="AM92" s="336"/>
      <c r="AN92" s="337"/>
      <c r="AO92" s="337"/>
      <c r="AP92" s="337"/>
      <c r="AQ92" s="338"/>
      <c r="AR92" s="336"/>
      <c r="AS92" s="337"/>
      <c r="AT92" s="337"/>
      <c r="AU92" s="337"/>
      <c r="AV92" s="338"/>
      <c r="AW92" s="336"/>
      <c r="AX92" s="337"/>
      <c r="AY92" s="337"/>
      <c r="AZ92" s="337"/>
      <c r="BA92" s="338"/>
      <c r="BB92" s="336"/>
      <c r="BC92" s="337"/>
      <c r="BD92" s="337"/>
      <c r="BE92" s="337"/>
      <c r="BF92" s="338"/>
      <c r="BG92" s="336"/>
      <c r="BH92" s="337"/>
      <c r="BI92" s="337"/>
      <c r="BJ92" s="337"/>
      <c r="BK92" s="338"/>
      <c r="BL92" s="336"/>
      <c r="BM92" s="337"/>
      <c r="BN92" s="337"/>
      <c r="BO92" s="337"/>
      <c r="BP92" s="338"/>
      <c r="BQ92" s="336"/>
      <c r="BR92" s="337"/>
      <c r="BS92" s="337"/>
      <c r="BT92" s="337"/>
      <c r="BU92" s="339"/>
      <c r="BW92" s="236" t="str">
        <f>sum_level("o",'Needs 171007_1812'!D92:BU92)</f>
        <v/>
      </c>
      <c r="BX92" s="237" t="str">
        <f>sum_level("j",'Needs 171007_1812'!D92:BU92)</f>
        <v/>
      </c>
      <c r="BY92" s="237" t="str">
        <f>sum_level("m",'Needs 171007_1812'!D92:BU92)</f>
        <v/>
      </c>
      <c r="BZ92" s="237" t="str">
        <f>sum_level("s",'Needs 171007_1812'!D92:BU92)</f>
        <v/>
      </c>
      <c r="CA92" s="238" t="str">
        <f>sum_level("e",'Needs 171007_1812'!D92:BU92)</f>
        <v/>
      </c>
    </row>
    <row r="93" spans="2:79" ht="15.75" thickBot="1" x14ac:dyDescent="0.3">
      <c r="B93" s="435"/>
      <c r="C93" s="292" t="s">
        <v>280</v>
      </c>
      <c r="D93" s="340"/>
      <c r="E93" s="341"/>
      <c r="F93" s="341"/>
      <c r="G93" s="341"/>
      <c r="H93" s="342"/>
      <c r="I93" s="340"/>
      <c r="J93" s="341"/>
      <c r="K93" s="341"/>
      <c r="L93" s="341"/>
      <c r="M93" s="342"/>
      <c r="N93" s="340"/>
      <c r="O93" s="341"/>
      <c r="P93" s="341"/>
      <c r="Q93" s="341"/>
      <c r="R93" s="342"/>
      <c r="S93" s="340"/>
      <c r="T93" s="341"/>
      <c r="U93" s="341"/>
      <c r="V93" s="341"/>
      <c r="W93" s="342"/>
      <c r="X93" s="340"/>
      <c r="Y93" s="341"/>
      <c r="Z93" s="341"/>
      <c r="AA93" s="341"/>
      <c r="AB93" s="342"/>
      <c r="AC93" s="340"/>
      <c r="AD93" s="341"/>
      <c r="AE93" s="341"/>
      <c r="AF93" s="341"/>
      <c r="AG93" s="342"/>
      <c r="AH93" s="340"/>
      <c r="AI93" s="341"/>
      <c r="AJ93" s="341"/>
      <c r="AK93" s="341"/>
      <c r="AL93" s="342"/>
      <c r="AM93" s="340"/>
      <c r="AN93" s="341"/>
      <c r="AO93" s="341"/>
      <c r="AP93" s="341"/>
      <c r="AQ93" s="342"/>
      <c r="AR93" s="340"/>
      <c r="AS93" s="341"/>
      <c r="AT93" s="341"/>
      <c r="AU93" s="341"/>
      <c r="AV93" s="342"/>
      <c r="AW93" s="340"/>
      <c r="AX93" s="341"/>
      <c r="AY93" s="341"/>
      <c r="AZ93" s="341"/>
      <c r="BA93" s="342"/>
      <c r="BB93" s="340"/>
      <c r="BC93" s="341"/>
      <c r="BD93" s="341"/>
      <c r="BE93" s="341"/>
      <c r="BF93" s="342"/>
      <c r="BG93" s="340"/>
      <c r="BH93" s="341"/>
      <c r="BI93" s="341"/>
      <c r="BJ93" s="341"/>
      <c r="BK93" s="342"/>
      <c r="BL93" s="340"/>
      <c r="BM93" s="341"/>
      <c r="BN93" s="341"/>
      <c r="BO93" s="341"/>
      <c r="BP93" s="342"/>
      <c r="BQ93" s="340"/>
      <c r="BR93" s="341"/>
      <c r="BS93" s="341"/>
      <c r="BT93" s="341"/>
      <c r="BU93" s="343"/>
      <c r="BW93" s="239" t="str">
        <f>sum_level("o",'Needs 171007_1812'!D93:BU93)</f>
        <v/>
      </c>
      <c r="BX93" s="240" t="str">
        <f>sum_level("j",'Needs 171007_1812'!D93:BU93)</f>
        <v/>
      </c>
      <c r="BY93" s="240" t="str">
        <f>sum_level("m",'Needs 171007_1812'!D93:BU93)</f>
        <v/>
      </c>
      <c r="BZ93" s="240" t="str">
        <f>sum_level("s",'Needs 171007_1812'!D93:BU93)</f>
        <v/>
      </c>
      <c r="CA93" s="241" t="str">
        <f>sum_level("e",'Needs 171007_1812'!D93:BU93)</f>
        <v/>
      </c>
    </row>
    <row r="94" spans="2:79" ht="12.75" customHeight="1" thickTop="1" thickBot="1" x14ac:dyDescent="0.3">
      <c r="B94" s="436"/>
      <c r="C94" s="248"/>
      <c r="D94" s="344"/>
      <c r="E94" s="344"/>
      <c r="F94" s="344"/>
      <c r="G94" s="344"/>
      <c r="H94" s="344"/>
      <c r="I94" s="344"/>
      <c r="J94" s="344"/>
      <c r="K94" s="344"/>
      <c r="L94" s="344"/>
      <c r="M94" s="344"/>
      <c r="N94" s="344"/>
      <c r="O94" s="344"/>
      <c r="P94" s="344"/>
      <c r="Q94" s="344"/>
      <c r="R94" s="344"/>
      <c r="S94" s="344"/>
      <c r="T94" s="344"/>
      <c r="U94" s="344"/>
      <c r="V94" s="344"/>
      <c r="W94" s="344"/>
      <c r="X94" s="344"/>
      <c r="Y94" s="344"/>
      <c r="Z94" s="344"/>
      <c r="AA94" s="344"/>
      <c r="AB94" s="344"/>
      <c r="AC94" s="344"/>
      <c r="AD94" s="344"/>
      <c r="AE94" s="344"/>
      <c r="AF94" s="344"/>
      <c r="AG94" s="344"/>
      <c r="AH94" s="344"/>
      <c r="AI94" s="344"/>
      <c r="AJ94" s="344"/>
      <c r="AK94" s="344"/>
      <c r="AL94" s="344"/>
      <c r="AM94" s="344"/>
      <c r="AN94" s="344"/>
      <c r="AO94" s="344"/>
      <c r="AP94" s="344"/>
      <c r="AQ94" s="344"/>
      <c r="AR94" s="344"/>
      <c r="AS94" s="344"/>
      <c r="AT94" s="344"/>
      <c r="AU94" s="344"/>
      <c r="AV94" s="344"/>
      <c r="AW94" s="344"/>
      <c r="AX94" s="344"/>
      <c r="AY94" s="344"/>
      <c r="AZ94" s="344"/>
      <c r="BA94" s="344"/>
      <c r="BB94" s="344"/>
      <c r="BC94" s="344"/>
      <c r="BD94" s="344"/>
      <c r="BE94" s="344"/>
      <c r="BF94" s="344"/>
      <c r="BG94" s="344"/>
      <c r="BH94" s="344"/>
      <c r="BI94" s="344"/>
      <c r="BJ94" s="344"/>
      <c r="BK94" s="344"/>
      <c r="BL94" s="344"/>
      <c r="BM94" s="344"/>
      <c r="BN94" s="344"/>
      <c r="BO94" s="344"/>
      <c r="BP94" s="344"/>
      <c r="BQ94" s="344"/>
      <c r="BR94" s="344"/>
      <c r="BS94" s="344"/>
      <c r="BT94" s="344"/>
      <c r="BU94" s="344"/>
      <c r="BW94" s="249"/>
      <c r="BX94" s="249"/>
      <c r="BY94" s="249"/>
      <c r="BZ94" s="249"/>
      <c r="CA94" s="249"/>
    </row>
    <row r="95" spans="2:79" ht="15.75" thickTop="1" x14ac:dyDescent="0.25">
      <c r="B95" s="434" t="s">
        <v>266</v>
      </c>
      <c r="C95" s="290" t="s">
        <v>184</v>
      </c>
      <c r="D95" s="332"/>
      <c r="E95" s="333"/>
      <c r="F95" s="333"/>
      <c r="G95" s="333"/>
      <c r="H95" s="334"/>
      <c r="I95" s="332"/>
      <c r="J95" s="333"/>
      <c r="K95" s="333"/>
      <c r="L95" s="333"/>
      <c r="M95" s="334"/>
      <c r="N95" s="332"/>
      <c r="O95" s="333"/>
      <c r="P95" s="333"/>
      <c r="Q95" s="333"/>
      <c r="R95" s="334"/>
      <c r="S95" s="332"/>
      <c r="T95" s="333"/>
      <c r="U95" s="333"/>
      <c r="V95" s="333"/>
      <c r="W95" s="334"/>
      <c r="X95" s="332"/>
      <c r="Y95" s="333"/>
      <c r="Z95" s="333"/>
      <c r="AA95" s="333"/>
      <c r="AB95" s="334"/>
      <c r="AC95" s="332"/>
      <c r="AD95" s="333"/>
      <c r="AE95" s="333"/>
      <c r="AF95" s="333"/>
      <c r="AG95" s="334"/>
      <c r="AH95" s="332"/>
      <c r="AI95" s="333"/>
      <c r="AJ95" s="333"/>
      <c r="AK95" s="333"/>
      <c r="AL95" s="334"/>
      <c r="AM95" s="332"/>
      <c r="AN95" s="333"/>
      <c r="AO95" s="333"/>
      <c r="AP95" s="333"/>
      <c r="AQ95" s="334"/>
      <c r="AR95" s="332"/>
      <c r="AS95" s="333"/>
      <c r="AT95" s="333"/>
      <c r="AU95" s="333"/>
      <c r="AV95" s="334"/>
      <c r="AW95" s="332"/>
      <c r="AX95" s="333"/>
      <c r="AY95" s="333"/>
      <c r="AZ95" s="333"/>
      <c r="BA95" s="334"/>
      <c r="BB95" s="332"/>
      <c r="BC95" s="333"/>
      <c r="BD95" s="333"/>
      <c r="BE95" s="333"/>
      <c r="BF95" s="334"/>
      <c r="BG95" s="332"/>
      <c r="BH95" s="333"/>
      <c r="BI95" s="333"/>
      <c r="BJ95" s="333"/>
      <c r="BK95" s="334"/>
      <c r="BL95" s="332"/>
      <c r="BM95" s="333"/>
      <c r="BN95" s="333"/>
      <c r="BO95" s="333"/>
      <c r="BP95" s="334"/>
      <c r="BQ95" s="332"/>
      <c r="BR95" s="333"/>
      <c r="BS95" s="333"/>
      <c r="BT95" s="333"/>
      <c r="BU95" s="335"/>
      <c r="BW95" s="233" t="str">
        <f>sum_level("o",'Needs 171007_1812'!D95:BU95)</f>
        <v/>
      </c>
      <c r="BX95" s="234" t="str">
        <f>sum_level("j",'Needs 171007_1812'!D95:BU95)</f>
        <v/>
      </c>
      <c r="BY95" s="234" t="str">
        <f>sum_level("m",'Needs 171007_1812'!D95:BU95)</f>
        <v/>
      </c>
      <c r="BZ95" s="234" t="str">
        <f>sum_level("s",'Needs 171007_1812'!D95:BU95)</f>
        <v/>
      </c>
      <c r="CA95" s="235" t="str">
        <f>sum_level("e",'Needs 171007_1812'!D95:BU95)</f>
        <v/>
      </c>
    </row>
    <row r="96" spans="2:79" x14ac:dyDescent="0.25">
      <c r="B96" s="435"/>
      <c r="C96" s="291" t="s">
        <v>123</v>
      </c>
      <c r="D96" s="336"/>
      <c r="E96" s="337"/>
      <c r="F96" s="337"/>
      <c r="G96" s="337"/>
      <c r="H96" s="338"/>
      <c r="I96" s="336"/>
      <c r="J96" s="337"/>
      <c r="K96" s="337"/>
      <c r="L96" s="337"/>
      <c r="M96" s="338"/>
      <c r="N96" s="336"/>
      <c r="O96" s="337"/>
      <c r="P96" s="337"/>
      <c r="Q96" s="337"/>
      <c r="R96" s="338"/>
      <c r="S96" s="336"/>
      <c r="T96" s="337"/>
      <c r="U96" s="337"/>
      <c r="V96" s="337"/>
      <c r="W96" s="338"/>
      <c r="X96" s="336"/>
      <c r="Y96" s="337"/>
      <c r="Z96" s="337"/>
      <c r="AA96" s="337"/>
      <c r="AB96" s="338"/>
      <c r="AC96" s="336"/>
      <c r="AD96" s="337"/>
      <c r="AE96" s="337"/>
      <c r="AF96" s="337"/>
      <c r="AG96" s="338"/>
      <c r="AH96" s="336"/>
      <c r="AI96" s="337"/>
      <c r="AJ96" s="337"/>
      <c r="AK96" s="337"/>
      <c r="AL96" s="338"/>
      <c r="AM96" s="336"/>
      <c r="AN96" s="337"/>
      <c r="AO96" s="337"/>
      <c r="AP96" s="337"/>
      <c r="AQ96" s="338"/>
      <c r="AR96" s="336"/>
      <c r="AS96" s="337"/>
      <c r="AT96" s="337"/>
      <c r="AU96" s="337"/>
      <c r="AV96" s="338"/>
      <c r="AW96" s="336"/>
      <c r="AX96" s="337"/>
      <c r="AY96" s="337"/>
      <c r="AZ96" s="337"/>
      <c r="BA96" s="338"/>
      <c r="BB96" s="336"/>
      <c r="BC96" s="337"/>
      <c r="BD96" s="337"/>
      <c r="BE96" s="337"/>
      <c r="BF96" s="338"/>
      <c r="BG96" s="336"/>
      <c r="BH96" s="337"/>
      <c r="BI96" s="337"/>
      <c r="BJ96" s="337"/>
      <c r="BK96" s="338"/>
      <c r="BL96" s="336"/>
      <c r="BM96" s="337"/>
      <c r="BN96" s="337"/>
      <c r="BO96" s="337"/>
      <c r="BP96" s="338"/>
      <c r="BQ96" s="336"/>
      <c r="BR96" s="337"/>
      <c r="BS96" s="337"/>
      <c r="BT96" s="337"/>
      <c r="BU96" s="339"/>
      <c r="BW96" s="236" t="str">
        <f>sum_level("o",'Needs 171007_1812'!D96:BU96)</f>
        <v/>
      </c>
      <c r="BX96" s="237" t="str">
        <f>sum_level("j",'Needs 171007_1812'!D96:BU96)</f>
        <v/>
      </c>
      <c r="BY96" s="237" t="str">
        <f>sum_level("m",'Needs 171007_1812'!D96:BU96)</f>
        <v/>
      </c>
      <c r="BZ96" s="237" t="str">
        <f>sum_level("s",'Needs 171007_1812'!D96:BU96)</f>
        <v/>
      </c>
      <c r="CA96" s="238" t="str">
        <f>sum_level("e",'Needs 171007_1812'!D96:BU96)</f>
        <v/>
      </c>
    </row>
    <row r="97" spans="2:79" x14ac:dyDescent="0.25">
      <c r="B97" s="435"/>
      <c r="C97" s="291" t="s">
        <v>268</v>
      </c>
      <c r="D97" s="336"/>
      <c r="E97" s="337"/>
      <c r="F97" s="337"/>
      <c r="G97" s="337"/>
      <c r="H97" s="338"/>
      <c r="I97" s="336"/>
      <c r="J97" s="337"/>
      <c r="K97" s="337"/>
      <c r="L97" s="337"/>
      <c r="M97" s="338"/>
      <c r="N97" s="336"/>
      <c r="O97" s="337"/>
      <c r="P97" s="337"/>
      <c r="Q97" s="337"/>
      <c r="R97" s="338"/>
      <c r="S97" s="336"/>
      <c r="T97" s="337"/>
      <c r="U97" s="337"/>
      <c r="V97" s="337"/>
      <c r="W97" s="338"/>
      <c r="X97" s="336"/>
      <c r="Y97" s="337"/>
      <c r="Z97" s="337"/>
      <c r="AA97" s="337"/>
      <c r="AB97" s="338"/>
      <c r="AC97" s="336"/>
      <c r="AD97" s="337"/>
      <c r="AE97" s="337"/>
      <c r="AF97" s="337"/>
      <c r="AG97" s="338"/>
      <c r="AH97" s="336"/>
      <c r="AI97" s="337"/>
      <c r="AJ97" s="337"/>
      <c r="AK97" s="337"/>
      <c r="AL97" s="338"/>
      <c r="AM97" s="336"/>
      <c r="AN97" s="337"/>
      <c r="AO97" s="337"/>
      <c r="AP97" s="337"/>
      <c r="AQ97" s="338"/>
      <c r="AR97" s="336"/>
      <c r="AS97" s="337"/>
      <c r="AT97" s="337"/>
      <c r="AU97" s="337"/>
      <c r="AV97" s="338"/>
      <c r="AW97" s="336"/>
      <c r="AX97" s="337"/>
      <c r="AY97" s="337"/>
      <c r="AZ97" s="337"/>
      <c r="BA97" s="338"/>
      <c r="BB97" s="336"/>
      <c r="BC97" s="337"/>
      <c r="BD97" s="337"/>
      <c r="BE97" s="337"/>
      <c r="BF97" s="338"/>
      <c r="BG97" s="336"/>
      <c r="BH97" s="337"/>
      <c r="BI97" s="337"/>
      <c r="BJ97" s="337"/>
      <c r="BK97" s="338"/>
      <c r="BL97" s="336"/>
      <c r="BM97" s="337"/>
      <c r="BN97" s="337"/>
      <c r="BO97" s="337"/>
      <c r="BP97" s="338"/>
      <c r="BQ97" s="336"/>
      <c r="BR97" s="337"/>
      <c r="BS97" s="337"/>
      <c r="BT97" s="337"/>
      <c r="BU97" s="339"/>
      <c r="BW97" s="236" t="str">
        <f>sum_level("o",'Needs 171007_1812'!D97:BU97)</f>
        <v/>
      </c>
      <c r="BX97" s="237" t="str">
        <f>sum_level("j",'Needs 171007_1812'!D97:BU97)</f>
        <v/>
      </c>
      <c r="BY97" s="237" t="str">
        <f>sum_level("m",'Needs 171007_1812'!D97:BU97)</f>
        <v/>
      </c>
      <c r="BZ97" s="237" t="str">
        <f>sum_level("s",'Needs 171007_1812'!D97:BU97)</f>
        <v/>
      </c>
      <c r="CA97" s="238" t="str">
        <f>sum_level("e",'Needs 171007_1812'!D97:BU97)</f>
        <v/>
      </c>
    </row>
    <row r="98" spans="2:79" ht="15.75" thickBot="1" x14ac:dyDescent="0.3">
      <c r="B98" s="435"/>
      <c r="C98" s="292" t="s">
        <v>143</v>
      </c>
      <c r="D98" s="340"/>
      <c r="E98" s="341"/>
      <c r="F98" s="341"/>
      <c r="G98" s="341"/>
      <c r="H98" s="342"/>
      <c r="I98" s="340"/>
      <c r="J98" s="341"/>
      <c r="K98" s="341"/>
      <c r="L98" s="341"/>
      <c r="M98" s="342"/>
      <c r="N98" s="340"/>
      <c r="O98" s="341"/>
      <c r="P98" s="341"/>
      <c r="Q98" s="341"/>
      <c r="R98" s="342"/>
      <c r="S98" s="340"/>
      <c r="T98" s="341"/>
      <c r="U98" s="341"/>
      <c r="V98" s="341"/>
      <c r="W98" s="342"/>
      <c r="X98" s="340"/>
      <c r="Y98" s="341"/>
      <c r="Z98" s="341"/>
      <c r="AA98" s="341"/>
      <c r="AB98" s="342"/>
      <c r="AC98" s="340"/>
      <c r="AD98" s="341"/>
      <c r="AE98" s="341"/>
      <c r="AF98" s="341"/>
      <c r="AG98" s="342"/>
      <c r="AH98" s="340"/>
      <c r="AI98" s="341"/>
      <c r="AJ98" s="341"/>
      <c r="AK98" s="341"/>
      <c r="AL98" s="342"/>
      <c r="AM98" s="340"/>
      <c r="AN98" s="341"/>
      <c r="AO98" s="341"/>
      <c r="AP98" s="341"/>
      <c r="AQ98" s="342"/>
      <c r="AR98" s="340"/>
      <c r="AS98" s="341"/>
      <c r="AT98" s="341"/>
      <c r="AU98" s="341"/>
      <c r="AV98" s="342"/>
      <c r="AW98" s="340"/>
      <c r="AX98" s="341"/>
      <c r="AY98" s="341"/>
      <c r="AZ98" s="341"/>
      <c r="BA98" s="342"/>
      <c r="BB98" s="340"/>
      <c r="BC98" s="341"/>
      <c r="BD98" s="341"/>
      <c r="BE98" s="341"/>
      <c r="BF98" s="342"/>
      <c r="BG98" s="340"/>
      <c r="BH98" s="341"/>
      <c r="BI98" s="341"/>
      <c r="BJ98" s="341"/>
      <c r="BK98" s="342"/>
      <c r="BL98" s="340"/>
      <c r="BM98" s="341"/>
      <c r="BN98" s="341"/>
      <c r="BO98" s="341"/>
      <c r="BP98" s="342"/>
      <c r="BQ98" s="340"/>
      <c r="BR98" s="341"/>
      <c r="BS98" s="341"/>
      <c r="BT98" s="341"/>
      <c r="BU98" s="343"/>
      <c r="BW98" s="239" t="str">
        <f>sum_level("o",'Needs 171007_1812'!D98:BU98)</f>
        <v/>
      </c>
      <c r="BX98" s="240" t="str">
        <f>sum_level("j",'Needs 171007_1812'!D98:BU98)</f>
        <v/>
      </c>
      <c r="BY98" s="240" t="str">
        <f>sum_level("m",'Needs 171007_1812'!D98:BU98)</f>
        <v/>
      </c>
      <c r="BZ98" s="240" t="str">
        <f>sum_level("s",'Needs 171007_1812'!D98:BU98)</f>
        <v/>
      </c>
      <c r="CA98" s="241" t="str">
        <f>sum_level("e",'Needs 171007_1812'!D98:BU98)</f>
        <v/>
      </c>
    </row>
    <row r="99" spans="2:79" ht="12.75" customHeight="1" thickTop="1" thickBot="1" x14ac:dyDescent="0.3">
      <c r="B99" s="437"/>
      <c r="C99" s="248"/>
      <c r="D99" s="344"/>
      <c r="E99" s="344"/>
      <c r="F99" s="344"/>
      <c r="G99" s="344"/>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c r="BH99" s="344"/>
      <c r="BI99" s="344"/>
      <c r="BJ99" s="344"/>
      <c r="BK99" s="344"/>
      <c r="BL99" s="344"/>
      <c r="BM99" s="344"/>
      <c r="BN99" s="344"/>
      <c r="BO99" s="344"/>
      <c r="BP99" s="344"/>
      <c r="BQ99" s="344"/>
      <c r="BR99" s="344"/>
      <c r="BS99" s="344"/>
      <c r="BT99" s="344"/>
      <c r="BU99" s="344"/>
      <c r="BW99" s="249"/>
      <c r="BX99" s="249"/>
      <c r="BY99" s="249"/>
      <c r="BZ99" s="249"/>
      <c r="CA99" s="249"/>
    </row>
    <row r="100" spans="2:79" ht="16.5" thickTop="1" thickBot="1" x14ac:dyDescent="0.3"/>
    <row r="101" spans="2:79" ht="16.5" thickTop="1" thickBot="1" x14ac:dyDescent="0.3">
      <c r="C101" s="297" t="s">
        <v>222</v>
      </c>
      <c r="D101" s="232">
        <f t="shared" ref="D101:AI101" si="0">SUM(D3:D99)</f>
        <v>0</v>
      </c>
      <c r="E101" s="246">
        <f t="shared" si="0"/>
        <v>0</v>
      </c>
      <c r="F101" s="246">
        <f t="shared" si="0"/>
        <v>0</v>
      </c>
      <c r="G101" s="246">
        <f t="shared" si="0"/>
        <v>0</v>
      </c>
      <c r="H101" s="244">
        <f t="shared" si="0"/>
        <v>0</v>
      </c>
      <c r="I101" s="245">
        <f t="shared" si="0"/>
        <v>0</v>
      </c>
      <c r="J101" s="246">
        <f t="shared" si="0"/>
        <v>0</v>
      </c>
      <c r="K101" s="246">
        <f t="shared" si="0"/>
        <v>0</v>
      </c>
      <c r="L101" s="246">
        <f t="shared" si="0"/>
        <v>0</v>
      </c>
      <c r="M101" s="244">
        <f t="shared" si="0"/>
        <v>0</v>
      </c>
      <c r="N101" s="245">
        <f t="shared" si="0"/>
        <v>0</v>
      </c>
      <c r="O101" s="246">
        <f t="shared" si="0"/>
        <v>0</v>
      </c>
      <c r="P101" s="246">
        <f t="shared" si="0"/>
        <v>0</v>
      </c>
      <c r="Q101" s="246">
        <f t="shared" si="0"/>
        <v>0</v>
      </c>
      <c r="R101" s="244">
        <f t="shared" si="0"/>
        <v>0</v>
      </c>
      <c r="S101" s="245">
        <f t="shared" si="0"/>
        <v>0</v>
      </c>
      <c r="T101" s="246">
        <f t="shared" si="0"/>
        <v>0</v>
      </c>
      <c r="U101" s="246">
        <f t="shared" si="0"/>
        <v>0</v>
      </c>
      <c r="V101" s="246">
        <f t="shared" si="0"/>
        <v>0</v>
      </c>
      <c r="W101" s="244">
        <f t="shared" si="0"/>
        <v>0</v>
      </c>
      <c r="X101" s="245">
        <f t="shared" si="0"/>
        <v>0</v>
      </c>
      <c r="Y101" s="246">
        <f t="shared" si="0"/>
        <v>0</v>
      </c>
      <c r="Z101" s="246">
        <f t="shared" si="0"/>
        <v>0</v>
      </c>
      <c r="AA101" s="246">
        <f t="shared" si="0"/>
        <v>0</v>
      </c>
      <c r="AB101" s="244">
        <f t="shared" si="0"/>
        <v>0</v>
      </c>
      <c r="AC101" s="245">
        <f t="shared" si="0"/>
        <v>0</v>
      </c>
      <c r="AD101" s="246">
        <f t="shared" si="0"/>
        <v>0</v>
      </c>
      <c r="AE101" s="246">
        <f t="shared" si="0"/>
        <v>0</v>
      </c>
      <c r="AF101" s="246">
        <f t="shared" si="0"/>
        <v>0</v>
      </c>
      <c r="AG101" s="244">
        <f t="shared" si="0"/>
        <v>0</v>
      </c>
      <c r="AH101" s="245">
        <f t="shared" si="0"/>
        <v>1</v>
      </c>
      <c r="AI101" s="246">
        <f t="shared" si="0"/>
        <v>2</v>
      </c>
      <c r="AJ101" s="246">
        <f t="shared" ref="AJ101:BO101" si="1">SUM(AJ3:AJ99)</f>
        <v>3</v>
      </c>
      <c r="AK101" s="246">
        <f t="shared" si="1"/>
        <v>4</v>
      </c>
      <c r="AL101" s="244">
        <f t="shared" si="1"/>
        <v>5</v>
      </c>
      <c r="AM101" s="245">
        <f t="shared" si="1"/>
        <v>6</v>
      </c>
      <c r="AN101" s="246">
        <f t="shared" si="1"/>
        <v>7</v>
      </c>
      <c r="AO101" s="246">
        <f t="shared" si="1"/>
        <v>8</v>
      </c>
      <c r="AP101" s="246">
        <f t="shared" si="1"/>
        <v>9</v>
      </c>
      <c r="AQ101" s="244">
        <f t="shared" si="1"/>
        <v>10</v>
      </c>
      <c r="AR101" s="245">
        <f t="shared" si="1"/>
        <v>11</v>
      </c>
      <c r="AS101" s="246">
        <f t="shared" si="1"/>
        <v>12</v>
      </c>
      <c r="AT101" s="246">
        <f t="shared" si="1"/>
        <v>13</v>
      </c>
      <c r="AU101" s="246">
        <f t="shared" si="1"/>
        <v>14</v>
      </c>
      <c r="AV101" s="244">
        <f t="shared" si="1"/>
        <v>15</v>
      </c>
      <c r="AW101" s="245">
        <f t="shared" si="1"/>
        <v>16</v>
      </c>
      <c r="AX101" s="246">
        <f t="shared" si="1"/>
        <v>17</v>
      </c>
      <c r="AY101" s="246">
        <f t="shared" si="1"/>
        <v>18</v>
      </c>
      <c r="AZ101" s="246">
        <f t="shared" si="1"/>
        <v>19</v>
      </c>
      <c r="BA101" s="244">
        <f t="shared" si="1"/>
        <v>20</v>
      </c>
      <c r="BB101" s="245">
        <f t="shared" si="1"/>
        <v>21</v>
      </c>
      <c r="BC101" s="246">
        <f t="shared" si="1"/>
        <v>22</v>
      </c>
      <c r="BD101" s="246">
        <f t="shared" si="1"/>
        <v>23</v>
      </c>
      <c r="BE101" s="246">
        <f t="shared" si="1"/>
        <v>24</v>
      </c>
      <c r="BF101" s="244">
        <f t="shared" si="1"/>
        <v>25</v>
      </c>
      <c r="BG101" s="245">
        <f t="shared" si="1"/>
        <v>26</v>
      </c>
      <c r="BH101" s="246">
        <f t="shared" si="1"/>
        <v>27</v>
      </c>
      <c r="BI101" s="246">
        <f t="shared" si="1"/>
        <v>28</v>
      </c>
      <c r="BJ101" s="246">
        <f t="shared" si="1"/>
        <v>29</v>
      </c>
      <c r="BK101" s="244">
        <f t="shared" si="1"/>
        <v>30</v>
      </c>
      <c r="BL101" s="245">
        <f t="shared" si="1"/>
        <v>31</v>
      </c>
      <c r="BM101" s="246">
        <f t="shared" si="1"/>
        <v>32</v>
      </c>
      <c r="BN101" s="246">
        <f t="shared" si="1"/>
        <v>33</v>
      </c>
      <c r="BO101" s="246">
        <f t="shared" si="1"/>
        <v>34</v>
      </c>
      <c r="BP101" s="244">
        <f t="shared" ref="BP101:BU101" si="2">SUM(BP3:BP99)</f>
        <v>35</v>
      </c>
      <c r="BQ101" s="245">
        <f t="shared" si="2"/>
        <v>0</v>
      </c>
      <c r="BR101" s="246">
        <f t="shared" si="2"/>
        <v>0</v>
      </c>
      <c r="BS101" s="246">
        <f t="shared" si="2"/>
        <v>0</v>
      </c>
      <c r="BT101" s="246">
        <f t="shared" si="2"/>
        <v>0</v>
      </c>
      <c r="BU101" s="247">
        <f t="shared" si="2"/>
        <v>0</v>
      </c>
    </row>
    <row r="102" spans="2:79" ht="15.75" thickTop="1" x14ac:dyDescent="0.25"/>
  </sheetData>
  <mergeCells count="24">
    <mergeCell ref="X1:AB1"/>
    <mergeCell ref="S1:W1"/>
    <mergeCell ref="B3:B16"/>
    <mergeCell ref="B17:B26"/>
    <mergeCell ref="B27:B37"/>
    <mergeCell ref="B38:B50"/>
    <mergeCell ref="A1:C1"/>
    <mergeCell ref="B79:B94"/>
    <mergeCell ref="B95:B99"/>
    <mergeCell ref="D1:H1"/>
    <mergeCell ref="I1:M1"/>
    <mergeCell ref="N1:R1"/>
    <mergeCell ref="B51:B59"/>
    <mergeCell ref="B60:B78"/>
    <mergeCell ref="BL1:BP1"/>
    <mergeCell ref="BQ1:BU1"/>
    <mergeCell ref="BW1:CA1"/>
    <mergeCell ref="AC1:AG1"/>
    <mergeCell ref="AH1:AL1"/>
    <mergeCell ref="AM1:AQ1"/>
    <mergeCell ref="BB1:BF1"/>
    <mergeCell ref="BG1:BK1"/>
    <mergeCell ref="AR1:AV1"/>
    <mergeCell ref="AW1:BA1"/>
  </mergeCells>
  <conditionalFormatting sqref="D3:H15">
    <cfRule type="expression" dxfId="2391" priority="1" stopIfTrue="1">
      <formula>LEN(TRIM(D3))=0</formula>
    </cfRule>
  </conditionalFormatting>
  <conditionalFormatting sqref="D17:H25">
    <cfRule type="expression" dxfId="2390" priority="2" stopIfTrue="1">
      <formula>LEN(TRIM(D17))=0</formula>
    </cfRule>
  </conditionalFormatting>
  <conditionalFormatting sqref="D27:H36">
    <cfRule type="expression" dxfId="2389" priority="3" stopIfTrue="1">
      <formula>LEN(TRIM(D27))=0</formula>
    </cfRule>
  </conditionalFormatting>
  <conditionalFormatting sqref="D38:H49">
    <cfRule type="expression" dxfId="2388" priority="4" stopIfTrue="1">
      <formula>LEN(TRIM(D38))=0</formula>
    </cfRule>
  </conditionalFormatting>
  <conditionalFormatting sqref="D51:H58">
    <cfRule type="expression" dxfId="2387" priority="5" stopIfTrue="1">
      <formula>LEN(TRIM(D51))=0</formula>
    </cfRule>
  </conditionalFormatting>
  <conditionalFormatting sqref="D60:H77">
    <cfRule type="expression" dxfId="2386" priority="6" stopIfTrue="1">
      <formula>LEN(TRIM(D60))=0</formula>
    </cfRule>
  </conditionalFormatting>
  <conditionalFormatting sqref="D79:H93">
    <cfRule type="expression" dxfId="2385" priority="7" stopIfTrue="1">
      <formula>LEN(TRIM(D79))=0</formula>
    </cfRule>
  </conditionalFormatting>
  <conditionalFormatting sqref="D95:H98">
    <cfRule type="expression" dxfId="2384" priority="8" stopIfTrue="1">
      <formula>LEN(TRIM(D95))=0</formula>
    </cfRule>
  </conditionalFormatting>
  <conditionalFormatting sqref="D101:H101">
    <cfRule type="expression" dxfId="2383" priority="9" stopIfTrue="1">
      <formula>LEN(TRIM(D101))=0</formula>
    </cfRule>
  </conditionalFormatting>
  <conditionalFormatting sqref="I3:M15">
    <cfRule type="expression" dxfId="2382" priority="10" stopIfTrue="1">
      <formula>LEN(TRIM(I3))=0</formula>
    </cfRule>
  </conditionalFormatting>
  <conditionalFormatting sqref="I17:M25">
    <cfRule type="expression" dxfId="2381" priority="11" stopIfTrue="1">
      <formula>LEN(TRIM(I17))=0</formula>
    </cfRule>
  </conditionalFormatting>
  <conditionalFormatting sqref="I27:M36">
    <cfRule type="expression" dxfId="2380" priority="12" stopIfTrue="1">
      <formula>LEN(TRIM(I27))=0</formula>
    </cfRule>
  </conditionalFormatting>
  <conditionalFormatting sqref="I38:M49">
    <cfRule type="expression" dxfId="2379" priority="13" stopIfTrue="1">
      <formula>LEN(TRIM(I38))=0</formula>
    </cfRule>
  </conditionalFormatting>
  <conditionalFormatting sqref="I51:M58">
    <cfRule type="expression" dxfId="2378" priority="14" stopIfTrue="1">
      <formula>LEN(TRIM(I51))=0</formula>
    </cfRule>
  </conditionalFormatting>
  <conditionalFormatting sqref="I60:M77">
    <cfRule type="expression" dxfId="2377" priority="15" stopIfTrue="1">
      <formula>LEN(TRIM(I60))=0</formula>
    </cfRule>
  </conditionalFormatting>
  <conditionalFormatting sqref="I79:M93">
    <cfRule type="expression" dxfId="2376" priority="16" stopIfTrue="1">
      <formula>LEN(TRIM(I79))=0</formula>
    </cfRule>
  </conditionalFormatting>
  <conditionalFormatting sqref="I95:M98">
    <cfRule type="expression" dxfId="2375" priority="17" stopIfTrue="1">
      <formula>LEN(TRIM(I95))=0</formula>
    </cfRule>
  </conditionalFormatting>
  <conditionalFormatting sqref="I101:M101">
    <cfRule type="expression" dxfId="2374" priority="18" stopIfTrue="1">
      <formula>LEN(TRIM(I101))=0</formula>
    </cfRule>
  </conditionalFormatting>
  <conditionalFormatting sqref="N3:R15">
    <cfRule type="expression" dxfId="2373" priority="19" stopIfTrue="1">
      <formula>LEN(TRIM(N3))=0</formula>
    </cfRule>
  </conditionalFormatting>
  <conditionalFormatting sqref="N17:R25">
    <cfRule type="expression" dxfId="2372" priority="20" stopIfTrue="1">
      <formula>LEN(TRIM(N17))=0</formula>
    </cfRule>
  </conditionalFormatting>
  <conditionalFormatting sqref="N27:R36">
    <cfRule type="expression" dxfId="2371" priority="21" stopIfTrue="1">
      <formula>LEN(TRIM(N27))=0</formula>
    </cfRule>
  </conditionalFormatting>
  <conditionalFormatting sqref="N38:R49">
    <cfRule type="expression" dxfId="2370" priority="22" stopIfTrue="1">
      <formula>LEN(TRIM(N38))=0</formula>
    </cfRule>
  </conditionalFormatting>
  <conditionalFormatting sqref="N51:R58">
    <cfRule type="expression" dxfId="2369" priority="23" stopIfTrue="1">
      <formula>LEN(TRIM(N51))=0</formula>
    </cfRule>
  </conditionalFormatting>
  <conditionalFormatting sqref="N60:R77">
    <cfRule type="expression" dxfId="2368" priority="24" stopIfTrue="1">
      <formula>LEN(TRIM(N60))=0</formula>
    </cfRule>
  </conditionalFormatting>
  <conditionalFormatting sqref="N79:R93">
    <cfRule type="expression" dxfId="2367" priority="25" stopIfTrue="1">
      <formula>LEN(TRIM(N79))=0</formula>
    </cfRule>
  </conditionalFormatting>
  <conditionalFormatting sqref="N95:R98">
    <cfRule type="expression" dxfId="2366" priority="26" stopIfTrue="1">
      <formula>LEN(TRIM(N95))=0</formula>
    </cfRule>
  </conditionalFormatting>
  <conditionalFormatting sqref="N101:R101">
    <cfRule type="expression" dxfId="2365" priority="27" stopIfTrue="1">
      <formula>LEN(TRIM(N101))=0</formula>
    </cfRule>
  </conditionalFormatting>
  <conditionalFormatting sqref="S3:W15">
    <cfRule type="expression" dxfId="2364" priority="28" stopIfTrue="1">
      <formula>LEN(TRIM(S3))=0</formula>
    </cfRule>
  </conditionalFormatting>
  <conditionalFormatting sqref="S17:W25">
    <cfRule type="expression" dxfId="2363" priority="29" stopIfTrue="1">
      <formula>LEN(TRIM(S17))=0</formula>
    </cfRule>
  </conditionalFormatting>
  <conditionalFormatting sqref="S27:W36">
    <cfRule type="expression" dxfId="2362" priority="30" stopIfTrue="1">
      <formula>LEN(TRIM(S27))=0</formula>
    </cfRule>
  </conditionalFormatting>
  <conditionalFormatting sqref="S38:W49">
    <cfRule type="expression" dxfId="2361" priority="31" stopIfTrue="1">
      <formula>LEN(TRIM(S38))=0</formula>
    </cfRule>
  </conditionalFormatting>
  <conditionalFormatting sqref="S51:W58">
    <cfRule type="expression" dxfId="2360" priority="32" stopIfTrue="1">
      <formula>LEN(TRIM(S51))=0</formula>
    </cfRule>
  </conditionalFormatting>
  <conditionalFormatting sqref="S60:W77">
    <cfRule type="expression" dxfId="2359" priority="33" stopIfTrue="1">
      <formula>LEN(TRIM(S60))=0</formula>
    </cfRule>
  </conditionalFormatting>
  <conditionalFormatting sqref="S79:W93">
    <cfRule type="expression" dxfId="2358" priority="34" stopIfTrue="1">
      <formula>LEN(TRIM(S79))=0</formula>
    </cfRule>
  </conditionalFormatting>
  <conditionalFormatting sqref="S95:W98">
    <cfRule type="expression" dxfId="2357" priority="35" stopIfTrue="1">
      <formula>LEN(TRIM(S95))=0</formula>
    </cfRule>
  </conditionalFormatting>
  <conditionalFormatting sqref="S101:W101">
    <cfRule type="expression" dxfId="2356" priority="36" stopIfTrue="1">
      <formula>LEN(TRIM(S101))=0</formula>
    </cfRule>
  </conditionalFormatting>
  <conditionalFormatting sqref="X3:AB15">
    <cfRule type="expression" dxfId="2355" priority="37" stopIfTrue="1">
      <formula>LEN(TRIM(X3))=0</formula>
    </cfRule>
  </conditionalFormatting>
  <conditionalFormatting sqref="X17:AB25">
    <cfRule type="expression" dxfId="2354" priority="38" stopIfTrue="1">
      <formula>LEN(TRIM(X17))=0</formula>
    </cfRule>
  </conditionalFormatting>
  <conditionalFormatting sqref="X27:AB36">
    <cfRule type="expression" dxfId="2353" priority="39" stopIfTrue="1">
      <formula>LEN(TRIM(X27))=0</formula>
    </cfRule>
  </conditionalFormatting>
  <conditionalFormatting sqref="X38:AB49">
    <cfRule type="expression" dxfId="2352" priority="40" stopIfTrue="1">
      <formula>LEN(TRIM(X38))=0</formula>
    </cfRule>
  </conditionalFormatting>
  <conditionalFormatting sqref="X51:AB58">
    <cfRule type="expression" dxfId="2351" priority="41" stopIfTrue="1">
      <formula>LEN(TRIM(X51))=0</formula>
    </cfRule>
  </conditionalFormatting>
  <conditionalFormatting sqref="X60:AB77">
    <cfRule type="expression" dxfId="2350" priority="42" stopIfTrue="1">
      <formula>LEN(TRIM(X60))=0</formula>
    </cfRule>
  </conditionalFormatting>
  <conditionalFormatting sqref="X79:AB93">
    <cfRule type="expression" dxfId="2349" priority="43" stopIfTrue="1">
      <formula>LEN(TRIM(X79))=0</formula>
    </cfRule>
  </conditionalFormatting>
  <conditionalFormatting sqref="X95:AB98">
    <cfRule type="expression" dxfId="2348" priority="44" stopIfTrue="1">
      <formula>LEN(TRIM(X95))=0</formula>
    </cfRule>
  </conditionalFormatting>
  <conditionalFormatting sqref="X101:AB101">
    <cfRule type="expression" dxfId="2347" priority="45" stopIfTrue="1">
      <formula>LEN(TRIM(X101))=0</formula>
    </cfRule>
  </conditionalFormatting>
  <conditionalFormatting sqref="AC3:AG15">
    <cfRule type="expression" dxfId="2346" priority="46" stopIfTrue="1">
      <formula>LEN(TRIM(AC3))=0</formula>
    </cfRule>
  </conditionalFormatting>
  <conditionalFormatting sqref="AC17:AG25">
    <cfRule type="expression" dxfId="2345" priority="47" stopIfTrue="1">
      <formula>LEN(TRIM(AC17))=0</formula>
    </cfRule>
  </conditionalFormatting>
  <conditionalFormatting sqref="AC27:AG36">
    <cfRule type="expression" dxfId="2344" priority="48" stopIfTrue="1">
      <formula>LEN(TRIM(AC27))=0</formula>
    </cfRule>
  </conditionalFormatting>
  <conditionalFormatting sqref="AC38:AG49">
    <cfRule type="expression" dxfId="2343" priority="49" stopIfTrue="1">
      <formula>LEN(TRIM(AC38))=0</formula>
    </cfRule>
  </conditionalFormatting>
  <conditionalFormatting sqref="AC51:AG58">
    <cfRule type="expression" dxfId="2342" priority="50" stopIfTrue="1">
      <formula>LEN(TRIM(AC51))=0</formula>
    </cfRule>
  </conditionalFormatting>
  <conditionalFormatting sqref="AC60:AG77">
    <cfRule type="expression" dxfId="2341" priority="51" stopIfTrue="1">
      <formula>LEN(TRIM(AC60))=0</formula>
    </cfRule>
  </conditionalFormatting>
  <conditionalFormatting sqref="AC79:AG93">
    <cfRule type="expression" dxfId="2340" priority="52" stopIfTrue="1">
      <formula>LEN(TRIM(AC79))=0</formula>
    </cfRule>
  </conditionalFormatting>
  <conditionalFormatting sqref="AC95:AG98">
    <cfRule type="expression" dxfId="2339" priority="53" stopIfTrue="1">
      <formula>LEN(TRIM(AC95))=0</formula>
    </cfRule>
  </conditionalFormatting>
  <conditionalFormatting sqref="AC101:AG101">
    <cfRule type="expression" dxfId="2338" priority="54" stopIfTrue="1">
      <formula>LEN(TRIM(AC101))=0</formula>
    </cfRule>
  </conditionalFormatting>
  <conditionalFormatting sqref="AH3:AL15">
    <cfRule type="expression" dxfId="2337" priority="55" stopIfTrue="1">
      <formula>LEN(TRIM(AH3))=0</formula>
    </cfRule>
  </conditionalFormatting>
  <conditionalFormatting sqref="AH17:AL25">
    <cfRule type="expression" dxfId="2336" priority="56" stopIfTrue="1">
      <formula>LEN(TRIM(AH17))=0</formula>
    </cfRule>
  </conditionalFormatting>
  <conditionalFormatting sqref="AH27:AL36">
    <cfRule type="expression" dxfId="2335" priority="57" stopIfTrue="1">
      <formula>LEN(TRIM(AH27))=0</formula>
    </cfRule>
  </conditionalFormatting>
  <conditionalFormatting sqref="AH38:AL49">
    <cfRule type="expression" dxfId="2334" priority="58" stopIfTrue="1">
      <formula>LEN(TRIM(AH38))=0</formula>
    </cfRule>
  </conditionalFormatting>
  <conditionalFormatting sqref="AH51:AL58">
    <cfRule type="expression" dxfId="2333" priority="59" stopIfTrue="1">
      <formula>LEN(TRIM(AH51))=0</formula>
    </cfRule>
  </conditionalFormatting>
  <conditionalFormatting sqref="AH60:AL77">
    <cfRule type="expression" dxfId="2332" priority="60" stopIfTrue="1">
      <formula>LEN(TRIM(AH60))=0</formula>
    </cfRule>
  </conditionalFormatting>
  <conditionalFormatting sqref="AH79:AL93">
    <cfRule type="expression" dxfId="2331" priority="61" stopIfTrue="1">
      <formula>LEN(TRIM(AH79))=0</formula>
    </cfRule>
  </conditionalFormatting>
  <conditionalFormatting sqref="AH95:AL98">
    <cfRule type="expression" dxfId="2330" priority="62" stopIfTrue="1">
      <formula>LEN(TRIM(AH95))=0</formula>
    </cfRule>
  </conditionalFormatting>
  <conditionalFormatting sqref="AH101:AL101">
    <cfRule type="expression" dxfId="2329" priority="63" stopIfTrue="1">
      <formula>LEN(TRIM(AH101))=0</formula>
    </cfRule>
  </conditionalFormatting>
  <conditionalFormatting sqref="AM3:AQ15">
    <cfRule type="expression" dxfId="2328" priority="64" stopIfTrue="1">
      <formula>LEN(TRIM(AM3))=0</formula>
    </cfRule>
  </conditionalFormatting>
  <conditionalFormatting sqref="AM17:AQ25">
    <cfRule type="expression" dxfId="2327" priority="65" stopIfTrue="1">
      <formula>LEN(TRIM(AM17))=0</formula>
    </cfRule>
  </conditionalFormatting>
  <conditionalFormatting sqref="AM27:AQ36">
    <cfRule type="expression" dxfId="2326" priority="66" stopIfTrue="1">
      <formula>LEN(TRIM(AM27))=0</formula>
    </cfRule>
  </conditionalFormatting>
  <conditionalFormatting sqref="AM38:AQ49">
    <cfRule type="expression" dxfId="2325" priority="67" stopIfTrue="1">
      <formula>LEN(TRIM(AM38))=0</formula>
    </cfRule>
  </conditionalFormatting>
  <conditionalFormatting sqref="AM51:AQ58">
    <cfRule type="expression" dxfId="2324" priority="68" stopIfTrue="1">
      <formula>LEN(TRIM(AM51))=0</formula>
    </cfRule>
  </conditionalFormatting>
  <conditionalFormatting sqref="AM60:AQ77">
    <cfRule type="expression" dxfId="2323" priority="69" stopIfTrue="1">
      <formula>LEN(TRIM(AM60))=0</formula>
    </cfRule>
  </conditionalFormatting>
  <conditionalFormatting sqref="AM79:AQ93">
    <cfRule type="expression" dxfId="2322" priority="70" stopIfTrue="1">
      <formula>LEN(TRIM(AM79))=0</formula>
    </cfRule>
  </conditionalFormatting>
  <conditionalFormatting sqref="AM95:AQ98">
    <cfRule type="expression" dxfId="2321" priority="71" stopIfTrue="1">
      <formula>LEN(TRIM(AM95))=0</formula>
    </cfRule>
  </conditionalFormatting>
  <conditionalFormatting sqref="AM101:AQ101">
    <cfRule type="expression" dxfId="2320" priority="72" stopIfTrue="1">
      <formula>LEN(TRIM(AM101))=0</formula>
    </cfRule>
  </conditionalFormatting>
  <conditionalFormatting sqref="AR3:AV15">
    <cfRule type="expression" dxfId="2319" priority="73" stopIfTrue="1">
      <formula>LEN(TRIM(AR3))=0</formula>
    </cfRule>
  </conditionalFormatting>
  <conditionalFormatting sqref="AR17:AV25">
    <cfRule type="expression" dxfId="2318" priority="74" stopIfTrue="1">
      <formula>LEN(TRIM(AR17))=0</formula>
    </cfRule>
  </conditionalFormatting>
  <conditionalFormatting sqref="AR27:AV36">
    <cfRule type="expression" dxfId="2317" priority="75" stopIfTrue="1">
      <formula>LEN(TRIM(AR27))=0</formula>
    </cfRule>
  </conditionalFormatting>
  <conditionalFormatting sqref="AR38:AV49">
    <cfRule type="expression" dxfId="2316" priority="76" stopIfTrue="1">
      <formula>LEN(TRIM(AR38))=0</formula>
    </cfRule>
  </conditionalFormatting>
  <conditionalFormatting sqref="AR51:AV58">
    <cfRule type="expression" dxfId="2315" priority="77" stopIfTrue="1">
      <formula>LEN(TRIM(AR51))=0</formula>
    </cfRule>
  </conditionalFormatting>
  <conditionalFormatting sqref="AR60:AV77">
    <cfRule type="expression" dxfId="2314" priority="78" stopIfTrue="1">
      <formula>LEN(TRIM(AR60))=0</formula>
    </cfRule>
  </conditionalFormatting>
  <conditionalFormatting sqref="AR79:AV93">
    <cfRule type="expression" dxfId="2313" priority="79" stopIfTrue="1">
      <formula>LEN(TRIM(AR79))=0</formula>
    </cfRule>
  </conditionalFormatting>
  <conditionalFormatting sqref="AR95:AV98">
    <cfRule type="expression" dxfId="2312" priority="80" stopIfTrue="1">
      <formula>LEN(TRIM(AR95))=0</formula>
    </cfRule>
  </conditionalFormatting>
  <conditionalFormatting sqref="AR101:AV101">
    <cfRule type="expression" dxfId="2311" priority="81" stopIfTrue="1">
      <formula>LEN(TRIM(AR101))=0</formula>
    </cfRule>
  </conditionalFormatting>
  <conditionalFormatting sqref="AW3:BA15">
    <cfRule type="expression" dxfId="2310" priority="82" stopIfTrue="1">
      <formula>LEN(TRIM(AW3))=0</formula>
    </cfRule>
  </conditionalFormatting>
  <conditionalFormatting sqref="AW17:BA25">
    <cfRule type="expression" dxfId="2309" priority="83" stopIfTrue="1">
      <formula>LEN(TRIM(AW17))=0</formula>
    </cfRule>
  </conditionalFormatting>
  <conditionalFormatting sqref="AW27:BA36">
    <cfRule type="expression" dxfId="2308" priority="84" stopIfTrue="1">
      <formula>LEN(TRIM(AW27))=0</formula>
    </cfRule>
  </conditionalFormatting>
  <conditionalFormatting sqref="AW38:BA49">
    <cfRule type="expression" dxfId="2307" priority="85" stopIfTrue="1">
      <formula>LEN(TRIM(AW38))=0</formula>
    </cfRule>
  </conditionalFormatting>
  <conditionalFormatting sqref="AW51:BA58">
    <cfRule type="expression" dxfId="2306" priority="86" stopIfTrue="1">
      <formula>LEN(TRIM(AW51))=0</formula>
    </cfRule>
  </conditionalFormatting>
  <conditionalFormatting sqref="AW60:BA77">
    <cfRule type="expression" dxfId="2305" priority="87" stopIfTrue="1">
      <formula>LEN(TRIM(AW60))=0</formula>
    </cfRule>
  </conditionalFormatting>
  <conditionalFormatting sqref="AW79:BA93">
    <cfRule type="expression" dxfId="2304" priority="88" stopIfTrue="1">
      <formula>LEN(TRIM(AW79))=0</formula>
    </cfRule>
  </conditionalFormatting>
  <conditionalFormatting sqref="AW95:BA98">
    <cfRule type="expression" dxfId="2303" priority="89" stopIfTrue="1">
      <formula>LEN(TRIM(AW95))=0</formula>
    </cfRule>
  </conditionalFormatting>
  <conditionalFormatting sqref="AW101:BA101">
    <cfRule type="expression" dxfId="2302" priority="90" stopIfTrue="1">
      <formula>LEN(TRIM(AW101))=0</formula>
    </cfRule>
  </conditionalFormatting>
  <conditionalFormatting sqref="BB3:BF15">
    <cfRule type="expression" dxfId="2301" priority="91" stopIfTrue="1">
      <formula>LEN(TRIM(BB3))=0</formula>
    </cfRule>
  </conditionalFormatting>
  <conditionalFormatting sqref="BB17:BF25">
    <cfRule type="expression" dxfId="2300" priority="92" stopIfTrue="1">
      <formula>LEN(TRIM(BB17))=0</formula>
    </cfRule>
  </conditionalFormatting>
  <conditionalFormatting sqref="BB27:BF36">
    <cfRule type="expression" dxfId="2299" priority="93" stopIfTrue="1">
      <formula>LEN(TRIM(BB27))=0</formula>
    </cfRule>
  </conditionalFormatting>
  <conditionalFormatting sqref="BB38:BF49">
    <cfRule type="expression" dxfId="2298" priority="94" stopIfTrue="1">
      <formula>LEN(TRIM(BB38))=0</formula>
    </cfRule>
  </conditionalFormatting>
  <conditionalFormatting sqref="BB51:BF58">
    <cfRule type="expression" dxfId="2297" priority="95" stopIfTrue="1">
      <formula>LEN(TRIM(BB51))=0</formula>
    </cfRule>
  </conditionalFormatting>
  <conditionalFormatting sqref="BB60:BF77">
    <cfRule type="expression" dxfId="2296" priority="96" stopIfTrue="1">
      <formula>LEN(TRIM(BB60))=0</formula>
    </cfRule>
  </conditionalFormatting>
  <conditionalFormatting sqref="BB79:BF93">
    <cfRule type="expression" dxfId="2295" priority="97" stopIfTrue="1">
      <formula>LEN(TRIM(BB79))=0</formula>
    </cfRule>
  </conditionalFormatting>
  <conditionalFormatting sqref="BB95:BF98">
    <cfRule type="expression" dxfId="2294" priority="98" stopIfTrue="1">
      <formula>LEN(TRIM(BB95))=0</formula>
    </cfRule>
  </conditionalFormatting>
  <conditionalFormatting sqref="BB101:BF101">
    <cfRule type="expression" dxfId="2293" priority="99" stopIfTrue="1">
      <formula>LEN(TRIM(BB101))=0</formula>
    </cfRule>
  </conditionalFormatting>
  <conditionalFormatting sqref="BG3:BK15">
    <cfRule type="expression" dxfId="2292" priority="100" stopIfTrue="1">
      <formula>LEN(TRIM(BG3))=0</formula>
    </cfRule>
  </conditionalFormatting>
  <conditionalFormatting sqref="BG17:BK25">
    <cfRule type="expression" dxfId="2291" priority="101" stopIfTrue="1">
      <formula>LEN(TRIM(BG17))=0</formula>
    </cfRule>
  </conditionalFormatting>
  <conditionalFormatting sqref="BG27:BK36">
    <cfRule type="expression" dxfId="2290" priority="102" stopIfTrue="1">
      <formula>LEN(TRIM(BG27))=0</formula>
    </cfRule>
  </conditionalFormatting>
  <conditionalFormatting sqref="BG38:BK49">
    <cfRule type="expression" dxfId="2289" priority="103" stopIfTrue="1">
      <formula>LEN(TRIM(BG38))=0</formula>
    </cfRule>
  </conditionalFormatting>
  <conditionalFormatting sqref="BG51:BK58">
    <cfRule type="expression" dxfId="2288" priority="104" stopIfTrue="1">
      <formula>LEN(TRIM(BG51))=0</formula>
    </cfRule>
  </conditionalFormatting>
  <conditionalFormatting sqref="BG60:BK77">
    <cfRule type="expression" dxfId="2287" priority="105" stopIfTrue="1">
      <formula>LEN(TRIM(BG60))=0</formula>
    </cfRule>
  </conditionalFormatting>
  <conditionalFormatting sqref="BG79:BK93">
    <cfRule type="expression" dxfId="2286" priority="106" stopIfTrue="1">
      <formula>LEN(TRIM(BG79))=0</formula>
    </cfRule>
  </conditionalFormatting>
  <conditionalFormatting sqref="BG95:BK98">
    <cfRule type="expression" dxfId="2285" priority="107" stopIfTrue="1">
      <formula>LEN(TRIM(BG95))=0</formula>
    </cfRule>
  </conditionalFormatting>
  <conditionalFormatting sqref="BG101:BK101">
    <cfRule type="expression" dxfId="2284" priority="108" stopIfTrue="1">
      <formula>LEN(TRIM(BG101))=0</formula>
    </cfRule>
  </conditionalFormatting>
  <conditionalFormatting sqref="BL3:BP15">
    <cfRule type="expression" dxfId="2283" priority="109" stopIfTrue="1">
      <formula>LEN(TRIM(BL3))=0</formula>
    </cfRule>
  </conditionalFormatting>
  <conditionalFormatting sqref="BL17:BP25">
    <cfRule type="expression" dxfId="2282" priority="110" stopIfTrue="1">
      <formula>LEN(TRIM(BL17))=0</formula>
    </cfRule>
  </conditionalFormatting>
  <conditionalFormatting sqref="BL27:BP36">
    <cfRule type="expression" dxfId="2281" priority="111" stopIfTrue="1">
      <formula>LEN(TRIM(BL27))=0</formula>
    </cfRule>
  </conditionalFormatting>
  <conditionalFormatting sqref="BL38:BP49">
    <cfRule type="expression" dxfId="2280" priority="112" stopIfTrue="1">
      <formula>LEN(TRIM(BL38))=0</formula>
    </cfRule>
  </conditionalFormatting>
  <conditionalFormatting sqref="BL51:BP58">
    <cfRule type="expression" dxfId="2279" priority="113" stopIfTrue="1">
      <formula>LEN(TRIM(BL51))=0</formula>
    </cfRule>
  </conditionalFormatting>
  <conditionalFormatting sqref="BL60:BP77">
    <cfRule type="expression" dxfId="2278" priority="114" stopIfTrue="1">
      <formula>LEN(TRIM(BL60))=0</formula>
    </cfRule>
  </conditionalFormatting>
  <conditionalFormatting sqref="BL79:BP93">
    <cfRule type="expression" dxfId="2277" priority="115" stopIfTrue="1">
      <formula>LEN(TRIM(BL79))=0</formula>
    </cfRule>
  </conditionalFormatting>
  <conditionalFormatting sqref="BL95:BP98">
    <cfRule type="expression" dxfId="2276" priority="116" stopIfTrue="1">
      <formula>LEN(TRIM(BL95))=0</formula>
    </cfRule>
  </conditionalFormatting>
  <conditionalFormatting sqref="BL101:BP101">
    <cfRule type="expression" dxfId="2275" priority="117" stopIfTrue="1">
      <formula>LEN(TRIM(BL101))=0</formula>
    </cfRule>
  </conditionalFormatting>
  <conditionalFormatting sqref="BQ3:BU15">
    <cfRule type="expression" dxfId="2274" priority="118" stopIfTrue="1">
      <formula>LEN(TRIM(BQ3))=0</formula>
    </cfRule>
  </conditionalFormatting>
  <conditionalFormatting sqref="BQ17:BU25">
    <cfRule type="expression" dxfId="2273" priority="119" stopIfTrue="1">
      <formula>LEN(TRIM(BQ17))=0</formula>
    </cfRule>
  </conditionalFormatting>
  <conditionalFormatting sqref="BQ27:BU36">
    <cfRule type="expression" dxfId="2272" priority="120" stopIfTrue="1">
      <formula>LEN(TRIM(BQ27))=0</formula>
    </cfRule>
  </conditionalFormatting>
  <conditionalFormatting sqref="BQ38:BU49">
    <cfRule type="expression" dxfId="2271" priority="121" stopIfTrue="1">
      <formula>LEN(TRIM(BQ38))=0</formula>
    </cfRule>
  </conditionalFormatting>
  <conditionalFormatting sqref="BQ51:BU58">
    <cfRule type="expression" dxfId="2270" priority="122" stopIfTrue="1">
      <formula>LEN(TRIM(BQ51))=0</formula>
    </cfRule>
  </conditionalFormatting>
  <conditionalFormatting sqref="BQ60:BU77">
    <cfRule type="expression" dxfId="2269" priority="123" stopIfTrue="1">
      <formula>LEN(TRIM(BQ60))=0</formula>
    </cfRule>
  </conditionalFormatting>
  <conditionalFormatting sqref="BQ79:BU93">
    <cfRule type="expression" dxfId="2268" priority="124" stopIfTrue="1">
      <formula>LEN(TRIM(BQ79))=0</formula>
    </cfRule>
  </conditionalFormatting>
  <conditionalFormatting sqref="BQ95:BU98">
    <cfRule type="expression" dxfId="2267" priority="125" stopIfTrue="1">
      <formula>LEN(TRIM(BQ95))=0</formula>
    </cfRule>
  </conditionalFormatting>
  <conditionalFormatting sqref="BQ101:BU101">
    <cfRule type="expression" dxfId="2266" priority="126" stopIfTrue="1">
      <formula>LEN(TRIM(BQ101))=0</formula>
    </cfRule>
  </conditionalFormatting>
  <conditionalFormatting sqref="BW3:CA15">
    <cfRule type="expression" dxfId="2265" priority="127" stopIfTrue="1">
      <formula>LEN(TRIM(BW3))=0</formula>
    </cfRule>
  </conditionalFormatting>
  <conditionalFormatting sqref="BW17:CA25">
    <cfRule type="expression" dxfId="2264" priority="128" stopIfTrue="1">
      <formula>LEN(TRIM(BW17))=0</formula>
    </cfRule>
  </conditionalFormatting>
  <conditionalFormatting sqref="BW27:CA36">
    <cfRule type="expression" dxfId="2263" priority="129" stopIfTrue="1">
      <formula>LEN(TRIM(BW27))=0</formula>
    </cfRule>
  </conditionalFormatting>
  <conditionalFormatting sqref="BW38:CA49">
    <cfRule type="expression" dxfId="2262" priority="130" stopIfTrue="1">
      <formula>LEN(TRIM(BW38))=0</formula>
    </cfRule>
  </conditionalFormatting>
  <conditionalFormatting sqref="BW51:CA58">
    <cfRule type="expression" dxfId="2261" priority="131" stopIfTrue="1">
      <formula>LEN(TRIM(BW51))=0</formula>
    </cfRule>
  </conditionalFormatting>
  <conditionalFormatting sqref="BW60:CA77">
    <cfRule type="expression" dxfId="2260" priority="132" stopIfTrue="1">
      <formula>LEN(TRIM(BW60))=0</formula>
    </cfRule>
  </conditionalFormatting>
  <conditionalFormatting sqref="BW79:CA93">
    <cfRule type="expression" dxfId="2259" priority="133" stopIfTrue="1">
      <formula>LEN(TRIM(BW79))=0</formula>
    </cfRule>
  </conditionalFormatting>
  <conditionalFormatting sqref="BW95:CA98">
    <cfRule type="expression" dxfId="2258" priority="134" stopIfTrue="1">
      <formula>LEN(TRIM(BW95))=0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A110"/>
  <sheetViews>
    <sheetView showGridLines="0" zoomScale="70" zoomScaleNormal="70" workbookViewId="0">
      <pane xSplit="3" ySplit="3" topLeftCell="D4" activePane="bottomRight" state="frozenSplit"/>
      <selection pane="topRight" activeCell="D1" sqref="D1"/>
      <selection pane="bottomLeft" activeCell="A4" sqref="A4"/>
      <selection pane="bottomRight" activeCell="H9" sqref="H9"/>
    </sheetView>
  </sheetViews>
  <sheetFormatPr defaultRowHeight="15" x14ac:dyDescent="0.25"/>
  <cols>
    <col min="1" max="1" width="11.7109375" customWidth="1"/>
    <col min="2" max="2" width="6.5703125" customWidth="1"/>
    <col min="3" max="3" width="31.7109375" customWidth="1"/>
    <col min="4" max="87" width="3.85546875" customWidth="1"/>
    <col min="88" max="88" width="2.5703125" customWidth="1"/>
    <col min="89" max="93" width="3.85546875" customWidth="1"/>
    <col min="94" max="94" width="2.5703125" customWidth="1"/>
    <col min="95" max="99" width="3.85546875" customWidth="1"/>
    <col min="100" max="100" width="2.5703125" customWidth="1"/>
    <col min="101" max="105" width="3.85546875" customWidth="1"/>
  </cols>
  <sheetData>
    <row r="1" spans="1:105" ht="37.5" customHeight="1" thickTop="1" thickBot="1" x14ac:dyDescent="0.3">
      <c r="A1" s="424" t="s">
        <v>0</v>
      </c>
      <c r="B1" s="424"/>
      <c r="C1" s="425"/>
      <c r="D1" s="431" t="s">
        <v>230</v>
      </c>
      <c r="E1" s="432"/>
      <c r="F1" s="432"/>
      <c r="G1" s="432"/>
      <c r="H1" s="432"/>
      <c r="I1" s="432"/>
      <c r="J1" s="432"/>
      <c r="K1" s="432"/>
      <c r="L1" s="431" t="s">
        <v>231</v>
      </c>
      <c r="M1" s="432"/>
      <c r="N1" s="432"/>
      <c r="O1" s="432"/>
      <c r="P1" s="431" t="s">
        <v>232</v>
      </c>
      <c r="Q1" s="432"/>
      <c r="R1" s="432"/>
      <c r="S1" s="432"/>
      <c r="T1" s="432"/>
      <c r="U1" s="432"/>
      <c r="V1" s="432"/>
      <c r="W1" s="432"/>
      <c r="X1" s="432"/>
      <c r="Y1" s="432"/>
      <c r="Z1" s="432"/>
      <c r="AA1" s="432"/>
      <c r="AB1" s="432"/>
      <c r="AC1" s="432"/>
      <c r="AD1" s="432"/>
      <c r="AE1" s="432"/>
      <c r="AF1" s="432"/>
      <c r="AG1" s="432"/>
      <c r="AH1" s="432"/>
      <c r="AI1" s="432"/>
      <c r="AJ1" s="431" t="s">
        <v>233</v>
      </c>
      <c r="AK1" s="432"/>
      <c r="AL1" s="432"/>
      <c r="AM1" s="431" t="s">
        <v>234</v>
      </c>
      <c r="AN1" s="432"/>
      <c r="AO1" s="432"/>
      <c r="AP1" s="431" t="s">
        <v>235</v>
      </c>
      <c r="AQ1" s="432"/>
      <c r="AR1" s="432"/>
      <c r="AS1" s="432"/>
      <c r="AT1" s="432"/>
      <c r="AU1" s="431" t="s">
        <v>1</v>
      </c>
      <c r="AV1" s="432"/>
      <c r="AW1" s="432"/>
      <c r="AX1" s="432"/>
      <c r="AY1" s="432"/>
      <c r="AZ1" s="432"/>
      <c r="BA1" s="432"/>
      <c r="BB1" s="432"/>
      <c r="BC1" s="431" t="s">
        <v>131</v>
      </c>
      <c r="BD1" s="432"/>
      <c r="BE1" s="432"/>
      <c r="BF1" s="432"/>
      <c r="BG1" s="432"/>
      <c r="BH1" s="431" t="s">
        <v>3</v>
      </c>
      <c r="BI1" s="432"/>
      <c r="BJ1" s="432"/>
      <c r="BK1" s="431" t="s">
        <v>4</v>
      </c>
      <c r="BL1" s="432"/>
      <c r="BM1" s="432"/>
      <c r="BN1" s="432"/>
      <c r="BO1" s="431" t="s">
        <v>5</v>
      </c>
      <c r="BP1" s="432"/>
      <c r="BQ1" s="432"/>
      <c r="BR1" s="432"/>
      <c r="BS1" s="432"/>
      <c r="BT1" s="432"/>
      <c r="BU1" s="432"/>
      <c r="BV1" s="432"/>
      <c r="BW1" s="431" t="s">
        <v>6</v>
      </c>
      <c r="BX1" s="432"/>
      <c r="BY1" s="432"/>
      <c r="BZ1" s="432"/>
      <c r="CA1" s="432"/>
      <c r="CB1" s="432"/>
      <c r="CC1" s="431" t="s">
        <v>135</v>
      </c>
      <c r="CD1" s="432"/>
      <c r="CE1" s="432"/>
      <c r="CF1" s="431" t="s">
        <v>236</v>
      </c>
      <c r="CG1" s="432"/>
      <c r="CH1" s="432"/>
      <c r="CI1" s="433"/>
      <c r="CK1" s="431" t="s">
        <v>304</v>
      </c>
      <c r="CL1" s="432"/>
      <c r="CM1" s="432"/>
      <c r="CN1" s="432"/>
      <c r="CO1" s="433"/>
      <c r="CQ1" s="431" t="s">
        <v>223</v>
      </c>
      <c r="CR1" s="432"/>
      <c r="CS1" s="432"/>
      <c r="CT1" s="432"/>
      <c r="CU1" s="433"/>
      <c r="CW1" s="431" t="s">
        <v>305</v>
      </c>
      <c r="CX1" s="432"/>
      <c r="CY1" s="432"/>
      <c r="CZ1" s="432"/>
      <c r="DA1" s="433"/>
    </row>
    <row r="2" spans="1:105" ht="128.1" customHeight="1" thickTop="1" thickBot="1" x14ac:dyDescent="0.3">
      <c r="A2" s="4" t="s">
        <v>9</v>
      </c>
      <c r="B2" s="5"/>
      <c r="C2" s="231" t="s">
        <v>216</v>
      </c>
      <c r="D2" s="287" t="s">
        <v>14</v>
      </c>
      <c r="E2" s="288" t="s">
        <v>242</v>
      </c>
      <c r="F2" s="288" t="s">
        <v>238</v>
      </c>
      <c r="G2" s="288" t="s">
        <v>11</v>
      </c>
      <c r="H2" s="288" t="s">
        <v>10</v>
      </c>
      <c r="I2" s="288" t="s">
        <v>125</v>
      </c>
      <c r="J2" s="288" t="s">
        <v>12</v>
      </c>
      <c r="K2" s="293" t="s">
        <v>241</v>
      </c>
      <c r="L2" s="287" t="s">
        <v>13</v>
      </c>
      <c r="M2" s="288" t="s">
        <v>38</v>
      </c>
      <c r="N2" s="288" t="s">
        <v>243</v>
      </c>
      <c r="O2" s="293" t="s">
        <v>244</v>
      </c>
      <c r="P2" s="287" t="s">
        <v>35</v>
      </c>
      <c r="Q2" s="288" t="s">
        <v>18</v>
      </c>
      <c r="R2" s="288" t="s">
        <v>239</v>
      </c>
      <c r="S2" s="288" t="s">
        <v>28</v>
      </c>
      <c r="T2" s="288" t="s">
        <v>245</v>
      </c>
      <c r="U2" s="288" t="s">
        <v>246</v>
      </c>
      <c r="V2" s="288" t="s">
        <v>284</v>
      </c>
      <c r="W2" s="288" t="s">
        <v>248</v>
      </c>
      <c r="X2" s="288" t="s">
        <v>247</v>
      </c>
      <c r="Y2" s="288" t="s">
        <v>249</v>
      </c>
      <c r="Z2" s="288" t="s">
        <v>250</v>
      </c>
      <c r="AA2" s="288" t="s">
        <v>251</v>
      </c>
      <c r="AB2" s="288" t="s">
        <v>31</v>
      </c>
      <c r="AC2" s="288" t="s">
        <v>34</v>
      </c>
      <c r="AD2" s="288" t="s">
        <v>252</v>
      </c>
      <c r="AE2" s="288" t="s">
        <v>36</v>
      </c>
      <c r="AF2" s="288" t="s">
        <v>16</v>
      </c>
      <c r="AG2" s="288" t="s">
        <v>253</v>
      </c>
      <c r="AH2" s="288" t="s">
        <v>37</v>
      </c>
      <c r="AI2" s="293" t="s">
        <v>124</v>
      </c>
      <c r="AJ2" s="287" t="s">
        <v>254</v>
      </c>
      <c r="AK2" s="288" t="s">
        <v>255</v>
      </c>
      <c r="AL2" s="293" t="s">
        <v>256</v>
      </c>
      <c r="AM2" s="287" t="s">
        <v>257</v>
      </c>
      <c r="AN2" s="288" t="s">
        <v>22</v>
      </c>
      <c r="AO2" s="293" t="s">
        <v>258</v>
      </c>
      <c r="AP2" s="287" t="s">
        <v>262</v>
      </c>
      <c r="AQ2" s="288" t="s">
        <v>260</v>
      </c>
      <c r="AR2" s="288" t="s">
        <v>19</v>
      </c>
      <c r="AS2" s="288" t="s">
        <v>261</v>
      </c>
      <c r="AT2" s="293" t="s">
        <v>259</v>
      </c>
      <c r="AU2" s="287" t="s">
        <v>10</v>
      </c>
      <c r="AV2" s="288" t="s">
        <v>11</v>
      </c>
      <c r="AW2" s="288" t="s">
        <v>12</v>
      </c>
      <c r="AX2" s="288" t="s">
        <v>13</v>
      </c>
      <c r="AY2" s="288" t="s">
        <v>14</v>
      </c>
      <c r="AZ2" s="288" t="s">
        <v>125</v>
      </c>
      <c r="BA2" s="288" t="s">
        <v>121</v>
      </c>
      <c r="BB2" s="293" t="s">
        <v>15</v>
      </c>
      <c r="BC2" s="287" t="s">
        <v>16</v>
      </c>
      <c r="BD2" s="288" t="s">
        <v>17</v>
      </c>
      <c r="BE2" s="288" t="s">
        <v>18</v>
      </c>
      <c r="BF2" s="288" t="s">
        <v>19</v>
      </c>
      <c r="BG2" s="293" t="s">
        <v>20</v>
      </c>
      <c r="BH2" s="287" t="s">
        <v>21</v>
      </c>
      <c r="BI2" s="288" t="s">
        <v>22</v>
      </c>
      <c r="BJ2" s="293" t="s">
        <v>20</v>
      </c>
      <c r="BK2" s="287" t="s">
        <v>28</v>
      </c>
      <c r="BL2" s="288" t="s">
        <v>24</v>
      </c>
      <c r="BM2" s="288" t="s">
        <v>27</v>
      </c>
      <c r="BN2" s="293" t="s">
        <v>124</v>
      </c>
      <c r="BO2" s="287" t="s">
        <v>33</v>
      </c>
      <c r="BP2" s="288" t="s">
        <v>29</v>
      </c>
      <c r="BQ2" s="288" t="s">
        <v>30</v>
      </c>
      <c r="BR2" s="288" t="s">
        <v>181</v>
      </c>
      <c r="BS2" s="288" t="s">
        <v>26</v>
      </c>
      <c r="BT2" s="288" t="s">
        <v>31</v>
      </c>
      <c r="BU2" s="288" t="s">
        <v>32</v>
      </c>
      <c r="BV2" s="293" t="s">
        <v>23</v>
      </c>
      <c r="BW2" s="287" t="s">
        <v>34</v>
      </c>
      <c r="BX2" s="288" t="s">
        <v>25</v>
      </c>
      <c r="BY2" s="288" t="s">
        <v>35</v>
      </c>
      <c r="BZ2" s="288" t="s">
        <v>38</v>
      </c>
      <c r="CA2" s="288" t="s">
        <v>36</v>
      </c>
      <c r="CB2" s="293" t="s">
        <v>37</v>
      </c>
      <c r="CC2" s="287" t="s">
        <v>133</v>
      </c>
      <c r="CD2" s="288" t="s">
        <v>39</v>
      </c>
      <c r="CE2" s="293" t="s">
        <v>40</v>
      </c>
      <c r="CF2" s="287" t="s">
        <v>263</v>
      </c>
      <c r="CG2" s="288" t="s">
        <v>240</v>
      </c>
      <c r="CH2" s="288" t="s">
        <v>265</v>
      </c>
      <c r="CI2" s="289" t="s">
        <v>264</v>
      </c>
      <c r="CK2" s="304" t="s">
        <v>217</v>
      </c>
      <c r="CL2" s="305" t="s">
        <v>218</v>
      </c>
      <c r="CM2" s="306" t="s">
        <v>219</v>
      </c>
      <c r="CN2" s="307" t="s">
        <v>220</v>
      </c>
      <c r="CO2" s="308" t="s">
        <v>221</v>
      </c>
      <c r="CQ2" s="304" t="s">
        <v>217</v>
      </c>
      <c r="CR2" s="305" t="s">
        <v>218</v>
      </c>
      <c r="CS2" s="306" t="s">
        <v>219</v>
      </c>
      <c r="CT2" s="307" t="s">
        <v>220</v>
      </c>
      <c r="CU2" s="308" t="s">
        <v>221</v>
      </c>
      <c r="CW2" s="304" t="s">
        <v>217</v>
      </c>
      <c r="CX2" s="305" t="s">
        <v>218</v>
      </c>
      <c r="CY2" s="306" t="s">
        <v>219</v>
      </c>
      <c r="CZ2" s="307" t="s">
        <v>220</v>
      </c>
      <c r="DA2" s="308" t="s">
        <v>221</v>
      </c>
    </row>
    <row r="3" spans="1:105" ht="12.75" customHeight="1" thickTop="1" thickBot="1" x14ac:dyDescent="0.3">
      <c r="A3" s="5"/>
      <c r="B3" s="3"/>
      <c r="C3" s="100" t="s">
        <v>126</v>
      </c>
      <c r="D3" s="309" t="s">
        <v>237</v>
      </c>
      <c r="E3" s="309" t="s">
        <v>237</v>
      </c>
      <c r="F3" s="309" t="s">
        <v>237</v>
      </c>
      <c r="G3" s="309" t="s">
        <v>237</v>
      </c>
      <c r="H3" s="309" t="s">
        <v>237</v>
      </c>
      <c r="I3" s="309" t="s">
        <v>139</v>
      </c>
      <c r="J3" s="309" t="s">
        <v>237</v>
      </c>
      <c r="K3" s="309" t="s">
        <v>139</v>
      </c>
      <c r="L3" s="309" t="s">
        <v>237</v>
      </c>
      <c r="M3" s="309" t="s">
        <v>237</v>
      </c>
      <c r="N3" s="309" t="s">
        <v>237</v>
      </c>
      <c r="O3" s="309" t="s">
        <v>237</v>
      </c>
      <c r="P3" s="309" t="s">
        <v>237</v>
      </c>
      <c r="Q3" s="309" t="s">
        <v>237</v>
      </c>
      <c r="R3" s="309" t="s">
        <v>237</v>
      </c>
      <c r="S3" s="309" t="s">
        <v>237</v>
      </c>
      <c r="T3" s="309" t="s">
        <v>237</v>
      </c>
      <c r="U3" s="309" t="s">
        <v>139</v>
      </c>
      <c r="V3" s="309" t="s">
        <v>139</v>
      </c>
      <c r="W3" s="309" t="s">
        <v>139</v>
      </c>
      <c r="X3" s="309" t="s">
        <v>139</v>
      </c>
      <c r="Y3" s="309" t="s">
        <v>237</v>
      </c>
      <c r="Z3" s="309" t="s">
        <v>237</v>
      </c>
      <c r="AA3" s="309" t="s">
        <v>139</v>
      </c>
      <c r="AB3" s="309" t="s">
        <v>139</v>
      </c>
      <c r="AC3" s="309" t="s">
        <v>237</v>
      </c>
      <c r="AD3" s="309" t="s">
        <v>139</v>
      </c>
      <c r="AE3" s="309" t="s">
        <v>237</v>
      </c>
      <c r="AF3" s="309" t="s">
        <v>237</v>
      </c>
      <c r="AG3" s="309" t="s">
        <v>237</v>
      </c>
      <c r="AH3" s="309" t="s">
        <v>237</v>
      </c>
      <c r="AI3" s="309" t="s">
        <v>139</v>
      </c>
      <c r="AJ3" s="309" t="s">
        <v>237</v>
      </c>
      <c r="AK3" s="309" t="s">
        <v>139</v>
      </c>
      <c r="AL3" s="309" t="s">
        <v>139</v>
      </c>
      <c r="AM3" s="309" t="s">
        <v>237</v>
      </c>
      <c r="AN3" s="309" t="s">
        <v>237</v>
      </c>
      <c r="AO3" s="309" t="s">
        <v>139</v>
      </c>
      <c r="AP3" s="309" t="s">
        <v>139</v>
      </c>
      <c r="AQ3" s="309" t="s">
        <v>237</v>
      </c>
      <c r="AR3" s="309" t="s">
        <v>237</v>
      </c>
      <c r="AS3" s="309" t="s">
        <v>237</v>
      </c>
      <c r="AT3" s="309" t="s">
        <v>237</v>
      </c>
      <c r="AU3" s="309" t="s">
        <v>46</v>
      </c>
      <c r="AV3" s="309" t="s">
        <v>46</v>
      </c>
      <c r="AW3" s="309" t="s">
        <v>46</v>
      </c>
      <c r="AX3" s="309" t="s">
        <v>46</v>
      </c>
      <c r="AY3" s="309" t="s">
        <v>46</v>
      </c>
      <c r="AZ3" s="309" t="s">
        <v>47</v>
      </c>
      <c r="BA3" s="309" t="s">
        <v>47</v>
      </c>
      <c r="BB3" s="309" t="s">
        <v>47</v>
      </c>
      <c r="BC3" s="309" t="s">
        <v>46</v>
      </c>
      <c r="BD3" s="309" t="s">
        <v>46</v>
      </c>
      <c r="BE3" s="309" t="s">
        <v>46</v>
      </c>
      <c r="BF3" s="309" t="s">
        <v>46</v>
      </c>
      <c r="BG3" s="309" t="s">
        <v>46</v>
      </c>
      <c r="BH3" s="309" t="s">
        <v>46</v>
      </c>
      <c r="BI3" s="309" t="s">
        <v>46</v>
      </c>
      <c r="BJ3" s="309" t="s">
        <v>46</v>
      </c>
      <c r="BK3" s="309" t="s">
        <v>46</v>
      </c>
      <c r="BL3" s="309" t="s">
        <v>47</v>
      </c>
      <c r="BM3" s="309" t="s">
        <v>47</v>
      </c>
      <c r="BN3" s="309" t="s">
        <v>47</v>
      </c>
      <c r="BO3" s="309" t="s">
        <v>46</v>
      </c>
      <c r="BP3" s="309" t="s">
        <v>46</v>
      </c>
      <c r="BQ3" s="309" t="s">
        <v>46</v>
      </c>
      <c r="BR3" s="309" t="s">
        <v>47</v>
      </c>
      <c r="BS3" s="309" t="s">
        <v>47</v>
      </c>
      <c r="BT3" s="309" t="s">
        <v>47</v>
      </c>
      <c r="BU3" s="309" t="s">
        <v>47</v>
      </c>
      <c r="BV3" s="309" t="s">
        <v>47</v>
      </c>
      <c r="BW3" s="309" t="s">
        <v>46</v>
      </c>
      <c r="BX3" s="309" t="s">
        <v>46</v>
      </c>
      <c r="BY3" s="309" t="s">
        <v>46</v>
      </c>
      <c r="BZ3" s="309" t="s">
        <v>46</v>
      </c>
      <c r="CA3" s="309" t="s">
        <v>46</v>
      </c>
      <c r="CB3" s="309" t="s">
        <v>46</v>
      </c>
      <c r="CC3" s="309" t="s">
        <v>46</v>
      </c>
      <c r="CD3" s="309" t="s">
        <v>46</v>
      </c>
      <c r="CE3" s="309" t="s">
        <v>46</v>
      </c>
      <c r="CF3" s="309" t="s">
        <v>139</v>
      </c>
      <c r="CG3" s="309" t="s">
        <v>237</v>
      </c>
      <c r="CH3" s="309" t="s">
        <v>237</v>
      </c>
      <c r="CI3" s="309" t="s">
        <v>237</v>
      </c>
      <c r="CK3" s="303"/>
      <c r="CL3" s="303"/>
      <c r="CM3" s="303"/>
      <c r="CN3" s="303"/>
      <c r="CO3" s="303"/>
      <c r="CQ3" s="303"/>
      <c r="CR3" s="303"/>
      <c r="CS3" s="303"/>
      <c r="CT3" s="303"/>
      <c r="CU3" s="303"/>
      <c r="CW3" s="303"/>
      <c r="CX3" s="303"/>
      <c r="CY3" s="303"/>
      <c r="CZ3" s="303"/>
      <c r="DA3" s="303"/>
    </row>
    <row r="4" spans="1:105" ht="15.75" thickTop="1" x14ac:dyDescent="0.25">
      <c r="B4" s="434" t="s">
        <v>48</v>
      </c>
      <c r="C4" s="290" t="s">
        <v>49</v>
      </c>
      <c r="D4" s="310"/>
      <c r="E4" s="311"/>
      <c r="F4" s="311"/>
      <c r="G4" s="311"/>
      <c r="H4" s="311"/>
      <c r="I4" s="311"/>
      <c r="J4" s="311"/>
      <c r="K4" s="312"/>
      <c r="L4" s="310"/>
      <c r="M4" s="311"/>
      <c r="N4" s="311"/>
      <c r="O4" s="312"/>
      <c r="P4" s="310"/>
      <c r="Q4" s="311"/>
      <c r="R4" s="311"/>
      <c r="S4" s="311"/>
      <c r="T4" s="311"/>
      <c r="U4" s="311"/>
      <c r="V4" s="311"/>
      <c r="W4" s="311"/>
      <c r="X4" s="311"/>
      <c r="Y4" s="311"/>
      <c r="Z4" s="311"/>
      <c r="AA4" s="311"/>
      <c r="AB4" s="311"/>
      <c r="AC4" s="311"/>
      <c r="AD4" s="311"/>
      <c r="AE4" s="311"/>
      <c r="AF4" s="311"/>
      <c r="AG4" s="311"/>
      <c r="AH4" s="311"/>
      <c r="AI4" s="312"/>
      <c r="AJ4" s="310"/>
      <c r="AK4" s="311"/>
      <c r="AL4" s="312"/>
      <c r="AM4" s="310"/>
      <c r="AN4" s="311"/>
      <c r="AO4" s="312"/>
      <c r="AP4" s="310"/>
      <c r="AQ4" s="311"/>
      <c r="AR4" s="311"/>
      <c r="AS4" s="311"/>
      <c r="AT4" s="312"/>
      <c r="AU4" s="310" t="s">
        <v>148</v>
      </c>
      <c r="AV4" s="311" t="s">
        <v>148</v>
      </c>
      <c r="AW4" s="311" t="s">
        <v>150</v>
      </c>
      <c r="AX4" s="311" t="s">
        <v>147</v>
      </c>
      <c r="AY4" s="311" t="s">
        <v>147</v>
      </c>
      <c r="AZ4" s="311"/>
      <c r="BA4" s="311"/>
      <c r="BB4" s="312"/>
      <c r="BC4" s="310" t="s">
        <v>147</v>
      </c>
      <c r="BD4" s="311" t="s">
        <v>147</v>
      </c>
      <c r="BE4" s="311"/>
      <c r="BF4" s="311"/>
      <c r="BG4" s="312"/>
      <c r="BH4" s="310"/>
      <c r="BI4" s="311" t="s">
        <v>147</v>
      </c>
      <c r="BJ4" s="312"/>
      <c r="BK4" s="310"/>
      <c r="BL4" s="311" t="s">
        <v>147</v>
      </c>
      <c r="BM4" s="311"/>
      <c r="BN4" s="312" t="s">
        <v>147</v>
      </c>
      <c r="BO4" s="310" t="s">
        <v>150</v>
      </c>
      <c r="BP4" s="311" t="s">
        <v>148</v>
      </c>
      <c r="BQ4" s="311" t="s">
        <v>147</v>
      </c>
      <c r="BR4" s="311"/>
      <c r="BS4" s="311" t="s">
        <v>147</v>
      </c>
      <c r="BT4" s="311" t="s">
        <v>150</v>
      </c>
      <c r="BU4" s="311" t="s">
        <v>150</v>
      </c>
      <c r="BV4" s="312"/>
      <c r="BW4" s="310" t="s">
        <v>148</v>
      </c>
      <c r="BX4" s="311"/>
      <c r="BY4" s="311"/>
      <c r="BZ4" s="311" t="s">
        <v>147</v>
      </c>
      <c r="CA4" s="311"/>
      <c r="CB4" s="312"/>
      <c r="CC4" s="310"/>
      <c r="CD4" s="311"/>
      <c r="CE4" s="312"/>
      <c r="CF4" s="310"/>
      <c r="CG4" s="311"/>
      <c r="CH4" s="311"/>
      <c r="CI4" s="313"/>
      <c r="CK4" s="233" t="str">
        <f t="shared" ref="CK4:CK16" si="0">IF(COUNTIF(D4:CI4,"o")&gt;0,COUNTIF(D4:CI4,"o"),"")</f>
        <v/>
      </c>
      <c r="CL4" s="234">
        <f t="shared" ref="CL4:CL16" si="1">IF(COUNTIF(D4:CI4,"j")&gt;0,COUNTIF(D4:CI4,"j"),"")</f>
        <v>10</v>
      </c>
      <c r="CM4" s="234">
        <f t="shared" ref="CM4:CM16" si="2">IF(COUNTIF(D4:CI4,"m")&gt;0,COUNTIF(D4:CI4,"m"),"")</f>
        <v>4</v>
      </c>
      <c r="CN4" s="234">
        <f t="shared" ref="CN4:CN16" si="3">IF(COUNTIF(D4:CI4,"s")&gt;0,COUNTIF(D4:CI4,"s"),"")</f>
        <v>4</v>
      </c>
      <c r="CO4" s="235" t="str">
        <f t="shared" ref="CO4:CO16" si="4">IF(COUNTIF(D4:CI4,"e")&gt;0,COUNTIF(D4:CI4,"e"),"")</f>
        <v/>
      </c>
      <c r="CQ4" s="233" t="str">
        <f>desired_skills(C4,"Systemen/Oracle","o")</f>
        <v>1</v>
      </c>
      <c r="CR4" s="234" t="str">
        <f>desired_skills(C4,"Systemen/Oracle","j")</f>
        <v/>
      </c>
      <c r="CS4" s="234" t="str">
        <f>desired_skills(C4,"Systemen/Oracle","m")</f>
        <v/>
      </c>
      <c r="CT4" s="234" t="str">
        <f>desired_skills(C4,"Systemen/Oracle","s")</f>
        <v/>
      </c>
      <c r="CU4" s="235" t="str">
        <f>desired_skills(C4,"Systemen/Oracle","e")</f>
        <v/>
      </c>
      <c r="CW4" s="233" t="str">
        <f>calc_gap('Matrix 171007_1810'!$CK$4,'Matrix 171007_1810'!$CQ$4)</f>
        <v/>
      </c>
      <c r="CX4" s="234" t="str">
        <f>calc_gap('Matrix 171007_1810'!$CL$4,'Matrix 171007_1810'!$CR$4)</f>
        <v/>
      </c>
      <c r="CY4" s="234" t="str">
        <f>calc_gap('Matrix 171007_1810'!$CM$4,'Matrix 171007_1810'!$CS$4)</f>
        <v/>
      </c>
      <c r="CZ4" s="234" t="str">
        <f>calc_gap('Matrix 171007_1810'!$CN$4,'Matrix 171007_1810'!$CT$4)</f>
        <v/>
      </c>
      <c r="DA4" s="235" t="str">
        <f>calc_gap('Matrix 171007_1810'!$CO$4,'Matrix 171007_1810'!$CU$4)</f>
        <v/>
      </c>
    </row>
    <row r="5" spans="1:105" x14ac:dyDescent="0.25">
      <c r="B5" s="435"/>
      <c r="C5" s="291" t="s">
        <v>54</v>
      </c>
      <c r="D5" s="314"/>
      <c r="E5" s="315"/>
      <c r="F5" s="315"/>
      <c r="G5" s="315"/>
      <c r="H5" s="315"/>
      <c r="I5" s="315"/>
      <c r="J5" s="315"/>
      <c r="K5" s="316"/>
      <c r="L5" s="314"/>
      <c r="M5" s="315"/>
      <c r="N5" s="315"/>
      <c r="O5" s="316"/>
      <c r="P5" s="314"/>
      <c r="Q5" s="315"/>
      <c r="R5" s="315"/>
      <c r="S5" s="315"/>
      <c r="T5" s="315"/>
      <c r="U5" s="315"/>
      <c r="V5" s="315"/>
      <c r="W5" s="315"/>
      <c r="X5" s="315"/>
      <c r="Y5" s="315"/>
      <c r="Z5" s="315"/>
      <c r="AA5" s="315"/>
      <c r="AB5" s="315"/>
      <c r="AC5" s="315"/>
      <c r="AD5" s="315"/>
      <c r="AE5" s="315"/>
      <c r="AF5" s="315"/>
      <c r="AG5" s="315"/>
      <c r="AH5" s="315"/>
      <c r="AI5" s="316"/>
      <c r="AJ5" s="314"/>
      <c r="AK5" s="315"/>
      <c r="AL5" s="316"/>
      <c r="AM5" s="314"/>
      <c r="AN5" s="315"/>
      <c r="AO5" s="316"/>
      <c r="AP5" s="314"/>
      <c r="AQ5" s="315"/>
      <c r="AR5" s="315"/>
      <c r="AS5" s="315"/>
      <c r="AT5" s="316"/>
      <c r="AU5" s="314" t="s">
        <v>148</v>
      </c>
      <c r="AV5" s="315" t="s">
        <v>150</v>
      </c>
      <c r="AW5" s="315" t="s">
        <v>150</v>
      </c>
      <c r="AX5" s="315" t="s">
        <v>148</v>
      </c>
      <c r="AY5" s="315" t="s">
        <v>148</v>
      </c>
      <c r="AZ5" s="315"/>
      <c r="BA5" s="315"/>
      <c r="BB5" s="316" t="s">
        <v>147</v>
      </c>
      <c r="BC5" s="314" t="s">
        <v>147</v>
      </c>
      <c r="BD5" s="315" t="s">
        <v>147</v>
      </c>
      <c r="BE5" s="315"/>
      <c r="BF5" s="315"/>
      <c r="BG5" s="316"/>
      <c r="BH5" s="314"/>
      <c r="BI5" s="315"/>
      <c r="BJ5" s="316"/>
      <c r="BK5" s="314" t="s">
        <v>148</v>
      </c>
      <c r="BL5" s="315" t="s">
        <v>147</v>
      </c>
      <c r="BM5" s="315"/>
      <c r="BN5" s="316" t="s">
        <v>147</v>
      </c>
      <c r="BO5" s="314" t="s">
        <v>150</v>
      </c>
      <c r="BP5" s="315" t="s">
        <v>150</v>
      </c>
      <c r="BQ5" s="315" t="s">
        <v>148</v>
      </c>
      <c r="BR5" s="315"/>
      <c r="BS5" s="315" t="s">
        <v>147</v>
      </c>
      <c r="BT5" s="315" t="s">
        <v>150</v>
      </c>
      <c r="BU5" s="315" t="s">
        <v>150</v>
      </c>
      <c r="BV5" s="316"/>
      <c r="BW5" s="314" t="s">
        <v>150</v>
      </c>
      <c r="BX5" s="315" t="s">
        <v>148</v>
      </c>
      <c r="BY5" s="315" t="s">
        <v>150</v>
      </c>
      <c r="BZ5" s="315" t="s">
        <v>150</v>
      </c>
      <c r="CA5" s="315" t="s">
        <v>150</v>
      </c>
      <c r="CB5" s="316" t="s">
        <v>150</v>
      </c>
      <c r="CC5" s="314" t="s">
        <v>148</v>
      </c>
      <c r="CD5" s="315"/>
      <c r="CE5" s="316"/>
      <c r="CF5" s="314"/>
      <c r="CG5" s="315"/>
      <c r="CH5" s="315"/>
      <c r="CI5" s="317"/>
      <c r="CK5" s="236" t="str">
        <f t="shared" si="0"/>
        <v/>
      </c>
      <c r="CL5" s="237">
        <f t="shared" si="1"/>
        <v>6</v>
      </c>
      <c r="CM5" s="237">
        <f t="shared" si="2"/>
        <v>7</v>
      </c>
      <c r="CN5" s="237">
        <f t="shared" si="3"/>
        <v>11</v>
      </c>
      <c r="CO5" s="238" t="str">
        <f t="shared" si="4"/>
        <v/>
      </c>
      <c r="CQ5" s="236" t="str">
        <f>desired_skills(C5,"Systemen/OBIP","o")</f>
        <v/>
      </c>
      <c r="CR5" s="237" t="str">
        <f>desired_skills(C5,"Systemen/OBIP","j")</f>
        <v>2</v>
      </c>
      <c r="CS5" s="237" t="str">
        <f>desired_skills(C5,"Systemen/OBIP","m")</f>
        <v/>
      </c>
      <c r="CT5" s="237" t="str">
        <f>desired_skills(C5,"Systemen/OBIP","s")</f>
        <v/>
      </c>
      <c r="CU5" s="238" t="str">
        <f>desired_skills(C5,"Systemen/OBIP","e")</f>
        <v/>
      </c>
      <c r="CW5" s="236" t="str">
        <f>calc_gap('Matrix 171007_1810'!$CK$5,'Matrix 171007_1810'!$CQ$5)</f>
        <v/>
      </c>
      <c r="CX5" s="237" t="str">
        <f>calc_gap('Matrix 171007_1810'!$CL$5,'Matrix 171007_1810'!$CR$5)</f>
        <v>-4</v>
      </c>
      <c r="CY5" s="237" t="str">
        <f>calc_gap('Matrix 171007_1810'!$CM$5,'Matrix 171007_1810'!$CS$5)</f>
        <v/>
      </c>
      <c r="CZ5" s="237" t="str">
        <f>calc_gap('Matrix 171007_1810'!$CN$5,'Matrix 171007_1810'!$CT$5)</f>
        <v/>
      </c>
      <c r="DA5" s="238" t="str">
        <f>calc_gap('Matrix 171007_1810'!$CO$5,'Matrix 171007_1810'!$CU$5)</f>
        <v/>
      </c>
    </row>
    <row r="6" spans="1:105" x14ac:dyDescent="0.25">
      <c r="B6" s="435"/>
      <c r="C6" s="291" t="s">
        <v>51</v>
      </c>
      <c r="D6" s="314"/>
      <c r="E6" s="315"/>
      <c r="F6" s="315"/>
      <c r="G6" s="315"/>
      <c r="H6" s="315"/>
      <c r="I6" s="315"/>
      <c r="J6" s="315"/>
      <c r="K6" s="316"/>
      <c r="L6" s="314"/>
      <c r="M6" s="315"/>
      <c r="N6" s="315"/>
      <c r="O6" s="316"/>
      <c r="P6" s="314"/>
      <c r="Q6" s="315"/>
      <c r="R6" s="315"/>
      <c r="S6" s="315"/>
      <c r="T6" s="315"/>
      <c r="U6" s="315"/>
      <c r="V6" s="315"/>
      <c r="W6" s="315"/>
      <c r="X6" s="315"/>
      <c r="Y6" s="315"/>
      <c r="Z6" s="315"/>
      <c r="AA6" s="315"/>
      <c r="AB6" s="315"/>
      <c r="AC6" s="315"/>
      <c r="AD6" s="315"/>
      <c r="AE6" s="315"/>
      <c r="AF6" s="315"/>
      <c r="AG6" s="315"/>
      <c r="AH6" s="315"/>
      <c r="AI6" s="316"/>
      <c r="AJ6" s="314"/>
      <c r="AK6" s="315"/>
      <c r="AL6" s="316"/>
      <c r="AM6" s="314"/>
      <c r="AN6" s="315"/>
      <c r="AO6" s="316"/>
      <c r="AP6" s="314"/>
      <c r="AQ6" s="315"/>
      <c r="AR6" s="315"/>
      <c r="AS6" s="315"/>
      <c r="AT6" s="316"/>
      <c r="AU6" s="314" t="s">
        <v>148</v>
      </c>
      <c r="AV6" s="315" t="s">
        <v>148</v>
      </c>
      <c r="AW6" s="315" t="s">
        <v>149</v>
      </c>
      <c r="AX6" s="315" t="s">
        <v>148</v>
      </c>
      <c r="AY6" s="315" t="s">
        <v>147</v>
      </c>
      <c r="AZ6" s="315"/>
      <c r="BA6" s="315"/>
      <c r="BB6" s="316" t="s">
        <v>147</v>
      </c>
      <c r="BC6" s="314" t="s">
        <v>149</v>
      </c>
      <c r="BD6" s="315" t="s">
        <v>148</v>
      </c>
      <c r="BE6" s="315"/>
      <c r="BF6" s="315"/>
      <c r="BG6" s="316"/>
      <c r="BH6" s="314"/>
      <c r="BI6" s="315"/>
      <c r="BJ6" s="316"/>
      <c r="BK6" s="314" t="s">
        <v>47</v>
      </c>
      <c r="BL6" s="315" t="s">
        <v>148</v>
      </c>
      <c r="BM6" s="315"/>
      <c r="BN6" s="316" t="s">
        <v>148</v>
      </c>
      <c r="BO6" s="314" t="s">
        <v>150</v>
      </c>
      <c r="BP6" s="315" t="s">
        <v>47</v>
      </c>
      <c r="BQ6" s="315" t="s">
        <v>148</v>
      </c>
      <c r="BR6" s="315"/>
      <c r="BS6" s="315" t="s">
        <v>147</v>
      </c>
      <c r="BT6" s="315" t="s">
        <v>148</v>
      </c>
      <c r="BU6" s="315" t="s">
        <v>150</v>
      </c>
      <c r="BV6" s="316"/>
      <c r="BW6" s="314" t="s">
        <v>47</v>
      </c>
      <c r="BX6" s="315" t="s">
        <v>148</v>
      </c>
      <c r="BY6" s="315" t="s">
        <v>150</v>
      </c>
      <c r="BZ6" s="315" t="s">
        <v>47</v>
      </c>
      <c r="CA6" s="315" t="s">
        <v>150</v>
      </c>
      <c r="CB6" s="316" t="s">
        <v>150</v>
      </c>
      <c r="CC6" s="314" t="s">
        <v>150</v>
      </c>
      <c r="CD6" s="315" t="s">
        <v>148</v>
      </c>
      <c r="CE6" s="316"/>
      <c r="CF6" s="314"/>
      <c r="CG6" s="315"/>
      <c r="CH6" s="315"/>
      <c r="CI6" s="317"/>
      <c r="CK6" s="236">
        <f t="shared" si="0"/>
        <v>2</v>
      </c>
      <c r="CL6" s="237">
        <f t="shared" si="1"/>
        <v>3</v>
      </c>
      <c r="CM6" s="237">
        <f t="shared" si="2"/>
        <v>10</v>
      </c>
      <c r="CN6" s="237">
        <f t="shared" si="3"/>
        <v>6</v>
      </c>
      <c r="CO6" s="238">
        <f t="shared" si="4"/>
        <v>4</v>
      </c>
      <c r="CQ6" s="236" t="str">
        <f>desired_skills(C6,"Systemen/Raboshop","o")</f>
        <v/>
      </c>
      <c r="CR6" s="237" t="str">
        <f>desired_skills(C6,"Systemen/Raboshop","j")</f>
        <v/>
      </c>
      <c r="CS6" s="237" t="str">
        <f>desired_skills(C6,"Systemen/Raboshop","m")</f>
        <v>3</v>
      </c>
      <c r="CT6" s="237" t="str">
        <f>desired_skills(C6,"Systemen/Raboshop","s")</f>
        <v/>
      </c>
      <c r="CU6" s="238" t="str">
        <f>desired_skills(C6,"Systemen/Raboshop","e")</f>
        <v/>
      </c>
      <c r="CW6" s="236" t="str">
        <f>calc_gap('Matrix 171007_1810'!$CK$6,'Matrix 171007_1810'!$CQ$6)</f>
        <v/>
      </c>
      <c r="CX6" s="237" t="str">
        <f>calc_gap('Matrix 171007_1810'!$CL$6,'Matrix 171007_1810'!$CR$6)</f>
        <v/>
      </c>
      <c r="CY6" s="237" t="str">
        <f>calc_gap('Matrix 171007_1810'!$CM$6,'Matrix 171007_1810'!$CS$6)</f>
        <v>-7</v>
      </c>
      <c r="CZ6" s="237" t="str">
        <f>calc_gap('Matrix 171007_1810'!$CN$6,'Matrix 171007_1810'!$CT$6)</f>
        <v/>
      </c>
      <c r="DA6" s="238" t="str">
        <f>calc_gap('Matrix 171007_1810'!$CO$6,'Matrix 171007_1810'!$CU$6)</f>
        <v/>
      </c>
    </row>
    <row r="7" spans="1:105" x14ac:dyDescent="0.25">
      <c r="B7" s="435"/>
      <c r="C7" s="291" t="s">
        <v>52</v>
      </c>
      <c r="D7" s="314"/>
      <c r="E7" s="315"/>
      <c r="F7" s="315"/>
      <c r="G7" s="315"/>
      <c r="H7" s="315"/>
      <c r="I7" s="315"/>
      <c r="J7" s="315"/>
      <c r="K7" s="316"/>
      <c r="L7" s="314"/>
      <c r="M7" s="315"/>
      <c r="N7" s="315"/>
      <c r="O7" s="316"/>
      <c r="P7" s="314"/>
      <c r="Q7" s="315"/>
      <c r="R7" s="315"/>
      <c r="S7" s="315"/>
      <c r="T7" s="315"/>
      <c r="U7" s="315"/>
      <c r="V7" s="315"/>
      <c r="W7" s="315"/>
      <c r="X7" s="315"/>
      <c r="Y7" s="315"/>
      <c r="Z7" s="315"/>
      <c r="AA7" s="315"/>
      <c r="AB7" s="315"/>
      <c r="AC7" s="315"/>
      <c r="AD7" s="315"/>
      <c r="AE7" s="315"/>
      <c r="AF7" s="315"/>
      <c r="AG7" s="315"/>
      <c r="AH7" s="315"/>
      <c r="AI7" s="316"/>
      <c r="AJ7" s="314"/>
      <c r="AK7" s="315"/>
      <c r="AL7" s="316"/>
      <c r="AM7" s="314"/>
      <c r="AN7" s="315"/>
      <c r="AO7" s="316"/>
      <c r="AP7" s="314"/>
      <c r="AQ7" s="315"/>
      <c r="AR7" s="315"/>
      <c r="AS7" s="315"/>
      <c r="AT7" s="316"/>
      <c r="AU7" s="314" t="s">
        <v>148</v>
      </c>
      <c r="AV7" s="315" t="s">
        <v>148</v>
      </c>
      <c r="AW7" s="315" t="s">
        <v>149</v>
      </c>
      <c r="AX7" s="315" t="s">
        <v>147</v>
      </c>
      <c r="AY7" s="315" t="s">
        <v>147</v>
      </c>
      <c r="AZ7" s="315"/>
      <c r="BA7" s="315"/>
      <c r="BB7" s="316"/>
      <c r="BC7" s="314" t="s">
        <v>149</v>
      </c>
      <c r="BD7" s="315" t="s">
        <v>150</v>
      </c>
      <c r="BE7" s="315"/>
      <c r="BF7" s="315"/>
      <c r="BG7" s="316"/>
      <c r="BH7" s="314"/>
      <c r="BI7" s="315"/>
      <c r="BJ7" s="316"/>
      <c r="BK7" s="314" t="s">
        <v>150</v>
      </c>
      <c r="BL7" s="315" t="s">
        <v>148</v>
      </c>
      <c r="BM7" s="315"/>
      <c r="BN7" s="316" t="s">
        <v>147</v>
      </c>
      <c r="BO7" s="314" t="s">
        <v>150</v>
      </c>
      <c r="BP7" s="315" t="s">
        <v>47</v>
      </c>
      <c r="BQ7" s="315" t="s">
        <v>148</v>
      </c>
      <c r="BR7" s="315"/>
      <c r="BS7" s="315" t="s">
        <v>147</v>
      </c>
      <c r="BT7" s="315" t="s">
        <v>148</v>
      </c>
      <c r="BU7" s="315" t="s">
        <v>150</v>
      </c>
      <c r="BV7" s="316"/>
      <c r="BW7" s="314" t="s">
        <v>47</v>
      </c>
      <c r="BX7" s="315" t="s">
        <v>147</v>
      </c>
      <c r="BY7" s="315" t="s">
        <v>147</v>
      </c>
      <c r="BZ7" s="315" t="s">
        <v>47</v>
      </c>
      <c r="CA7" s="315" t="s">
        <v>147</v>
      </c>
      <c r="CB7" s="316" t="s">
        <v>147</v>
      </c>
      <c r="CC7" s="314" t="s">
        <v>147</v>
      </c>
      <c r="CD7" s="315"/>
      <c r="CE7" s="316"/>
      <c r="CF7" s="314"/>
      <c r="CG7" s="315"/>
      <c r="CH7" s="315"/>
      <c r="CI7" s="317"/>
      <c r="CK7" s="236">
        <f t="shared" si="0"/>
        <v>2</v>
      </c>
      <c r="CL7" s="237">
        <f t="shared" si="1"/>
        <v>9</v>
      </c>
      <c r="CM7" s="237">
        <f t="shared" si="2"/>
        <v>5</v>
      </c>
      <c r="CN7" s="237">
        <f t="shared" si="3"/>
        <v>4</v>
      </c>
      <c r="CO7" s="238">
        <f t="shared" si="4"/>
        <v>3</v>
      </c>
      <c r="CQ7" s="236" t="str">
        <f>desired_skills(C7,"Systemen/HP Servicemanager","o")</f>
        <v/>
      </c>
      <c r="CR7" s="237" t="str">
        <f>desired_skills(C7,"Systemen/HP Servicemanager","j")</f>
        <v/>
      </c>
      <c r="CS7" s="237" t="str">
        <f>desired_skills(C7,"Systemen/HP Servicemanager","m")</f>
        <v/>
      </c>
      <c r="CT7" s="237" t="str">
        <f>desired_skills(C7,"Systemen/HP Servicemanager","s")</f>
        <v>4</v>
      </c>
      <c r="CU7" s="238" t="str">
        <f>desired_skills(C7,"Systemen/HP Servicemanager","e")</f>
        <v/>
      </c>
      <c r="CW7" s="236" t="str">
        <f>calc_gap('Matrix 171007_1810'!$CK$7,'Matrix 171007_1810'!$CQ$7)</f>
        <v/>
      </c>
      <c r="CX7" s="237" t="str">
        <f>calc_gap('Matrix 171007_1810'!$CL$7,'Matrix 171007_1810'!$CR$7)</f>
        <v/>
      </c>
      <c r="CY7" s="237" t="str">
        <f>calc_gap('Matrix 171007_1810'!$CM$7,'Matrix 171007_1810'!$CS$7)</f>
        <v/>
      </c>
      <c r="CZ7" s="237" t="str">
        <f>calc_gap('Matrix 171007_1810'!$CN$7,'Matrix 171007_1810'!$CT$7)</f>
        <v>0</v>
      </c>
      <c r="DA7" s="238" t="str">
        <f>calc_gap('Matrix 171007_1810'!$CO$7,'Matrix 171007_1810'!$CU$7)</f>
        <v/>
      </c>
    </row>
    <row r="8" spans="1:105" x14ac:dyDescent="0.25">
      <c r="B8" s="435"/>
      <c r="C8" s="291" t="s">
        <v>53</v>
      </c>
      <c r="D8" s="314"/>
      <c r="E8" s="315"/>
      <c r="F8" s="315"/>
      <c r="G8" s="315"/>
      <c r="H8" s="315"/>
      <c r="I8" s="315"/>
      <c r="J8" s="315"/>
      <c r="K8" s="316"/>
      <c r="L8" s="314"/>
      <c r="M8" s="315"/>
      <c r="N8" s="315"/>
      <c r="O8" s="316"/>
      <c r="P8" s="314"/>
      <c r="Q8" s="315"/>
      <c r="R8" s="315"/>
      <c r="S8" s="315"/>
      <c r="T8" s="315"/>
      <c r="U8" s="315"/>
      <c r="V8" s="315"/>
      <c r="W8" s="315"/>
      <c r="X8" s="315"/>
      <c r="Y8" s="315"/>
      <c r="Z8" s="315"/>
      <c r="AA8" s="315"/>
      <c r="AB8" s="315"/>
      <c r="AC8" s="315"/>
      <c r="AD8" s="315"/>
      <c r="AE8" s="315"/>
      <c r="AF8" s="315"/>
      <c r="AG8" s="315"/>
      <c r="AH8" s="315"/>
      <c r="AI8" s="316"/>
      <c r="AJ8" s="314"/>
      <c r="AK8" s="315"/>
      <c r="AL8" s="316"/>
      <c r="AM8" s="314"/>
      <c r="AN8" s="315"/>
      <c r="AO8" s="316"/>
      <c r="AP8" s="314"/>
      <c r="AQ8" s="315"/>
      <c r="AR8" s="315"/>
      <c r="AS8" s="315"/>
      <c r="AT8" s="316"/>
      <c r="AU8" s="314" t="s">
        <v>148</v>
      </c>
      <c r="AV8" s="315" t="s">
        <v>147</v>
      </c>
      <c r="AW8" s="315" t="s">
        <v>149</v>
      </c>
      <c r="AX8" s="315" t="s">
        <v>147</v>
      </c>
      <c r="AY8" s="315" t="s">
        <v>147</v>
      </c>
      <c r="AZ8" s="315"/>
      <c r="BA8" s="315"/>
      <c r="BB8" s="316" t="s">
        <v>147</v>
      </c>
      <c r="BC8" s="314" t="s">
        <v>149</v>
      </c>
      <c r="BD8" s="315"/>
      <c r="BE8" s="315"/>
      <c r="BF8" s="315"/>
      <c r="BG8" s="316"/>
      <c r="BH8" s="314"/>
      <c r="BI8" s="315"/>
      <c r="BJ8" s="316"/>
      <c r="BK8" s="314" t="s">
        <v>147</v>
      </c>
      <c r="BL8" s="315" t="s">
        <v>147</v>
      </c>
      <c r="BM8" s="315"/>
      <c r="BN8" s="316" t="s">
        <v>147</v>
      </c>
      <c r="BO8" s="314"/>
      <c r="BP8" s="315"/>
      <c r="BQ8" s="315"/>
      <c r="BR8" s="315"/>
      <c r="BS8" s="315"/>
      <c r="BT8" s="315"/>
      <c r="BU8" s="315" t="s">
        <v>150</v>
      </c>
      <c r="BV8" s="316"/>
      <c r="BW8" s="314" t="s">
        <v>149</v>
      </c>
      <c r="BX8" s="315"/>
      <c r="BY8" s="315"/>
      <c r="BZ8" s="315" t="s">
        <v>150</v>
      </c>
      <c r="CA8" s="315"/>
      <c r="CB8" s="316"/>
      <c r="CC8" s="314" t="s">
        <v>147</v>
      </c>
      <c r="CD8" s="315"/>
      <c r="CE8" s="316"/>
      <c r="CF8" s="314"/>
      <c r="CG8" s="315"/>
      <c r="CH8" s="315"/>
      <c r="CI8" s="317"/>
      <c r="CK8" s="236">
        <f t="shared" si="0"/>
        <v>3</v>
      </c>
      <c r="CL8" s="237">
        <f t="shared" si="1"/>
        <v>8</v>
      </c>
      <c r="CM8" s="237">
        <f t="shared" si="2"/>
        <v>1</v>
      </c>
      <c r="CN8" s="237">
        <f t="shared" si="3"/>
        <v>2</v>
      </c>
      <c r="CO8" s="238" t="str">
        <f t="shared" si="4"/>
        <v/>
      </c>
      <c r="CQ8" s="236" t="str">
        <f>desired_skills(C8,"Systemen/IT Shop","o")</f>
        <v/>
      </c>
      <c r="CR8" s="237" t="str">
        <f>desired_skills(C8,"Systemen/IT Shop","j")</f>
        <v/>
      </c>
      <c r="CS8" s="237" t="str">
        <f>desired_skills(C8,"Systemen/IT Shop","m")</f>
        <v/>
      </c>
      <c r="CT8" s="237" t="str">
        <f>desired_skills(C8,"Systemen/IT Shop","s")</f>
        <v/>
      </c>
      <c r="CU8" s="238" t="str">
        <f>desired_skills(C8,"Systemen/IT Shop","e")</f>
        <v>5</v>
      </c>
      <c r="CW8" s="236" t="str">
        <f>calc_gap('Matrix 171007_1810'!$CK$8,'Matrix 171007_1810'!$CQ$8)</f>
        <v/>
      </c>
      <c r="CX8" s="237" t="str">
        <f>calc_gap('Matrix 171007_1810'!$CL$8,'Matrix 171007_1810'!$CR$8)</f>
        <v/>
      </c>
      <c r="CY8" s="237" t="str">
        <f>calc_gap('Matrix 171007_1810'!$CM$8,'Matrix 171007_1810'!$CS$8)</f>
        <v/>
      </c>
      <c r="CZ8" s="237" t="str">
        <f>calc_gap('Matrix 171007_1810'!$CN$8,'Matrix 171007_1810'!$CT$8)</f>
        <v/>
      </c>
      <c r="DA8" s="238" t="str">
        <f>calc_gap('Matrix 171007_1810'!$CO$8,'Matrix 171007_1810'!$CU$8)</f>
        <v/>
      </c>
    </row>
    <row r="9" spans="1:105" x14ac:dyDescent="0.25">
      <c r="B9" s="435"/>
      <c r="C9" s="291" t="s">
        <v>50</v>
      </c>
      <c r="D9" s="314"/>
      <c r="E9" s="315"/>
      <c r="F9" s="315"/>
      <c r="G9" s="315"/>
      <c r="H9" s="315"/>
      <c r="I9" s="315"/>
      <c r="J9" s="315"/>
      <c r="K9" s="316"/>
      <c r="L9" s="314"/>
      <c r="M9" s="315"/>
      <c r="N9" s="315"/>
      <c r="O9" s="316"/>
      <c r="P9" s="314"/>
      <c r="Q9" s="315"/>
      <c r="R9" s="315"/>
      <c r="S9" s="315"/>
      <c r="T9" s="315"/>
      <c r="U9" s="315"/>
      <c r="V9" s="315"/>
      <c r="W9" s="315"/>
      <c r="X9" s="315"/>
      <c r="Y9" s="315"/>
      <c r="Z9" s="315"/>
      <c r="AA9" s="315"/>
      <c r="AB9" s="315"/>
      <c r="AC9" s="315"/>
      <c r="AD9" s="315"/>
      <c r="AE9" s="315"/>
      <c r="AF9" s="315"/>
      <c r="AG9" s="315"/>
      <c r="AH9" s="315"/>
      <c r="AI9" s="316"/>
      <c r="AJ9" s="314"/>
      <c r="AK9" s="315"/>
      <c r="AL9" s="316"/>
      <c r="AM9" s="314"/>
      <c r="AN9" s="315"/>
      <c r="AO9" s="316"/>
      <c r="AP9" s="314"/>
      <c r="AQ9" s="315"/>
      <c r="AR9" s="315"/>
      <c r="AS9" s="315"/>
      <c r="AT9" s="316"/>
      <c r="AU9" s="314"/>
      <c r="AV9" s="315" t="s">
        <v>47</v>
      </c>
      <c r="AW9" s="315" t="s">
        <v>150</v>
      </c>
      <c r="AX9" s="315" t="s">
        <v>148</v>
      </c>
      <c r="AY9" s="315" t="s">
        <v>148</v>
      </c>
      <c r="AZ9" s="315"/>
      <c r="BA9" s="315"/>
      <c r="BB9" s="316" t="s">
        <v>147</v>
      </c>
      <c r="BC9" s="314" t="s">
        <v>150</v>
      </c>
      <c r="BD9" s="315" t="s">
        <v>149</v>
      </c>
      <c r="BE9" s="315"/>
      <c r="BF9" s="315"/>
      <c r="BG9" s="316"/>
      <c r="BH9" s="314"/>
      <c r="BI9" s="315"/>
      <c r="BJ9" s="316"/>
      <c r="BK9" s="314"/>
      <c r="BL9" s="315"/>
      <c r="BM9" s="315"/>
      <c r="BN9" s="316"/>
      <c r="BO9" s="314" t="s">
        <v>147</v>
      </c>
      <c r="BP9" s="315" t="s">
        <v>147</v>
      </c>
      <c r="BQ9" s="315" t="s">
        <v>147</v>
      </c>
      <c r="BR9" s="315"/>
      <c r="BS9" s="315"/>
      <c r="BT9" s="315"/>
      <c r="BU9" s="315" t="s">
        <v>150</v>
      </c>
      <c r="BV9" s="316"/>
      <c r="BW9" s="314" t="s">
        <v>147</v>
      </c>
      <c r="BX9" s="315" t="s">
        <v>150</v>
      </c>
      <c r="BY9" s="315" t="s">
        <v>47</v>
      </c>
      <c r="BZ9" s="315"/>
      <c r="CA9" s="315" t="s">
        <v>47</v>
      </c>
      <c r="CB9" s="316" t="s">
        <v>47</v>
      </c>
      <c r="CC9" s="314"/>
      <c r="CD9" s="315"/>
      <c r="CE9" s="316"/>
      <c r="CF9" s="314"/>
      <c r="CG9" s="315"/>
      <c r="CH9" s="315"/>
      <c r="CI9" s="317"/>
      <c r="CK9" s="236">
        <f t="shared" si="0"/>
        <v>1</v>
      </c>
      <c r="CL9" s="237">
        <f t="shared" si="1"/>
        <v>5</v>
      </c>
      <c r="CM9" s="237">
        <f t="shared" si="2"/>
        <v>2</v>
      </c>
      <c r="CN9" s="237">
        <f t="shared" si="3"/>
        <v>4</v>
      </c>
      <c r="CO9" s="238">
        <f t="shared" si="4"/>
        <v>4</v>
      </c>
      <c r="CQ9" s="236" t="str">
        <f>desired_skills(C9,"Systemen/Bert+","o")</f>
        <v/>
      </c>
      <c r="CR9" s="237" t="str">
        <f>desired_skills(C9,"Systemen/Bert+","j")</f>
        <v/>
      </c>
      <c r="CS9" s="237" t="str">
        <f>desired_skills(C9,"Systemen/Bert+","m")</f>
        <v/>
      </c>
      <c r="CT9" s="237" t="str">
        <f>desired_skills(C9,"Systemen/Bert+","s")</f>
        <v/>
      </c>
      <c r="CU9" s="238" t="str">
        <f>desired_skills(C9,"Systemen/Bert+","e")</f>
        <v/>
      </c>
      <c r="CW9" s="236" t="str">
        <f>calc_gap('Matrix 171007_1810'!$CK$9,'Matrix 171007_1810'!$CQ$9)</f>
        <v/>
      </c>
      <c r="CX9" s="237" t="str">
        <f>calc_gap('Matrix 171007_1810'!$CL$9,'Matrix 171007_1810'!$CR$9)</f>
        <v/>
      </c>
      <c r="CY9" s="237" t="str">
        <f>calc_gap('Matrix 171007_1810'!$CM$9,'Matrix 171007_1810'!$CS$9)</f>
        <v/>
      </c>
      <c r="CZ9" s="237" t="str">
        <f>calc_gap('Matrix 171007_1810'!$CN$9,'Matrix 171007_1810'!$CT$9)</f>
        <v/>
      </c>
      <c r="DA9" s="238" t="str">
        <f>calc_gap('Matrix 171007_1810'!$CO$9,'Matrix 171007_1810'!$CU$9)</f>
        <v/>
      </c>
    </row>
    <row r="10" spans="1:105" x14ac:dyDescent="0.25">
      <c r="B10" s="435"/>
      <c r="C10" s="291" t="s">
        <v>55</v>
      </c>
      <c r="D10" s="314"/>
      <c r="E10" s="315"/>
      <c r="F10" s="315"/>
      <c r="G10" s="315"/>
      <c r="H10" s="315"/>
      <c r="I10" s="315"/>
      <c r="J10" s="315"/>
      <c r="K10" s="316"/>
      <c r="L10" s="314"/>
      <c r="M10" s="315"/>
      <c r="N10" s="315"/>
      <c r="O10" s="316"/>
      <c r="P10" s="314"/>
      <c r="Q10" s="315"/>
      <c r="R10" s="315"/>
      <c r="S10" s="315"/>
      <c r="T10" s="315"/>
      <c r="U10" s="315"/>
      <c r="V10" s="315"/>
      <c r="W10" s="315"/>
      <c r="X10" s="315"/>
      <c r="Y10" s="315"/>
      <c r="Z10" s="315"/>
      <c r="AA10" s="315"/>
      <c r="AB10" s="315"/>
      <c r="AC10" s="315"/>
      <c r="AD10" s="315"/>
      <c r="AE10" s="315"/>
      <c r="AF10" s="315"/>
      <c r="AG10" s="315"/>
      <c r="AH10" s="315"/>
      <c r="AI10" s="316"/>
      <c r="AJ10" s="314"/>
      <c r="AK10" s="315"/>
      <c r="AL10" s="316"/>
      <c r="AM10" s="314"/>
      <c r="AN10" s="315"/>
      <c r="AO10" s="316"/>
      <c r="AP10" s="314"/>
      <c r="AQ10" s="315"/>
      <c r="AR10" s="315"/>
      <c r="AS10" s="315"/>
      <c r="AT10" s="316"/>
      <c r="AU10" s="314" t="s">
        <v>148</v>
      </c>
      <c r="AV10" s="315" t="s">
        <v>47</v>
      </c>
      <c r="AW10" s="315" t="s">
        <v>150</v>
      </c>
      <c r="AX10" s="315" t="s">
        <v>148</v>
      </c>
      <c r="AY10" s="315" t="s">
        <v>148</v>
      </c>
      <c r="AZ10" s="315"/>
      <c r="BA10" s="315"/>
      <c r="BB10" s="316"/>
      <c r="BC10" s="314" t="s">
        <v>149</v>
      </c>
      <c r="BD10" s="315" t="s">
        <v>148</v>
      </c>
      <c r="BE10" s="315"/>
      <c r="BF10" s="315"/>
      <c r="BG10" s="316"/>
      <c r="BH10" s="314"/>
      <c r="BI10" s="315"/>
      <c r="BJ10" s="316"/>
      <c r="BK10" s="314" t="s">
        <v>148</v>
      </c>
      <c r="BL10" s="315"/>
      <c r="BM10" s="315"/>
      <c r="BN10" s="316"/>
      <c r="BO10" s="314" t="s">
        <v>150</v>
      </c>
      <c r="BP10" s="315" t="s">
        <v>150</v>
      </c>
      <c r="BQ10" s="315" t="s">
        <v>150</v>
      </c>
      <c r="BR10" s="315"/>
      <c r="BS10" s="315" t="s">
        <v>147</v>
      </c>
      <c r="BT10" s="315" t="s">
        <v>150</v>
      </c>
      <c r="BU10" s="315" t="s">
        <v>150</v>
      </c>
      <c r="BV10" s="316"/>
      <c r="BW10" s="314" t="s">
        <v>150</v>
      </c>
      <c r="BX10" s="315" t="s">
        <v>148</v>
      </c>
      <c r="BY10" s="315" t="s">
        <v>47</v>
      </c>
      <c r="BZ10" s="315" t="s">
        <v>150</v>
      </c>
      <c r="CA10" s="315" t="s">
        <v>47</v>
      </c>
      <c r="CB10" s="316" t="s">
        <v>47</v>
      </c>
      <c r="CC10" s="314"/>
      <c r="CD10" s="315"/>
      <c r="CE10" s="316"/>
      <c r="CF10" s="314"/>
      <c r="CG10" s="315"/>
      <c r="CH10" s="315"/>
      <c r="CI10" s="317"/>
      <c r="CK10" s="236">
        <f t="shared" si="0"/>
        <v>1</v>
      </c>
      <c r="CL10" s="237">
        <f t="shared" si="1"/>
        <v>1</v>
      </c>
      <c r="CM10" s="237">
        <f t="shared" si="2"/>
        <v>6</v>
      </c>
      <c r="CN10" s="237">
        <f t="shared" si="3"/>
        <v>8</v>
      </c>
      <c r="CO10" s="238">
        <f t="shared" si="4"/>
        <v>4</v>
      </c>
      <c r="CQ10" s="236" t="str">
        <f>desired_skills(C10,"Systemen/Rapportageserver","o")</f>
        <v>6</v>
      </c>
      <c r="CR10" s="237" t="str">
        <f>desired_skills(C10,"Systemen/Rapportageserver","j")</f>
        <v/>
      </c>
      <c r="CS10" s="237" t="str">
        <f>desired_skills(C10,"Systemen/Rapportageserver","m")</f>
        <v/>
      </c>
      <c r="CT10" s="237" t="str">
        <f>desired_skills(C10,"Systemen/Rapportageserver","s")</f>
        <v/>
      </c>
      <c r="CU10" s="238" t="str">
        <f>desired_skills(C10,"Systemen/Rapportageserver","e")</f>
        <v/>
      </c>
      <c r="CW10" s="236" t="str">
        <f>calc_gap('Matrix 171007_1810'!$CK$10,'Matrix 171007_1810'!$CQ$10)</f>
        <v>5</v>
      </c>
      <c r="CX10" s="237" t="str">
        <f>calc_gap('Matrix 171007_1810'!$CL$10,'Matrix 171007_1810'!$CR$10)</f>
        <v/>
      </c>
      <c r="CY10" s="237" t="str">
        <f>calc_gap('Matrix 171007_1810'!$CM$10,'Matrix 171007_1810'!$CS$10)</f>
        <v/>
      </c>
      <c r="CZ10" s="237" t="str">
        <f>calc_gap('Matrix 171007_1810'!$CN$10,'Matrix 171007_1810'!$CT$10)</f>
        <v/>
      </c>
      <c r="DA10" s="238" t="str">
        <f>calc_gap('Matrix 171007_1810'!$CO$10,'Matrix 171007_1810'!$CU$10)</f>
        <v/>
      </c>
    </row>
    <row r="11" spans="1:105" x14ac:dyDescent="0.25">
      <c r="B11" s="435"/>
      <c r="C11" s="291" t="s">
        <v>56</v>
      </c>
      <c r="D11" s="314"/>
      <c r="E11" s="315"/>
      <c r="F11" s="315"/>
      <c r="G11" s="315"/>
      <c r="H11" s="315"/>
      <c r="I11" s="315"/>
      <c r="J11" s="315"/>
      <c r="K11" s="316"/>
      <c r="L11" s="314"/>
      <c r="M11" s="315"/>
      <c r="N11" s="315"/>
      <c r="O11" s="316"/>
      <c r="P11" s="314"/>
      <c r="Q11" s="315"/>
      <c r="R11" s="315"/>
      <c r="S11" s="315"/>
      <c r="T11" s="315"/>
      <c r="U11" s="315"/>
      <c r="V11" s="315"/>
      <c r="W11" s="315"/>
      <c r="X11" s="315"/>
      <c r="Y11" s="315"/>
      <c r="Z11" s="315"/>
      <c r="AA11" s="315"/>
      <c r="AB11" s="315"/>
      <c r="AC11" s="315"/>
      <c r="AD11" s="315"/>
      <c r="AE11" s="315"/>
      <c r="AF11" s="315"/>
      <c r="AG11" s="315"/>
      <c r="AH11" s="315"/>
      <c r="AI11" s="316"/>
      <c r="AJ11" s="314"/>
      <c r="AK11" s="315"/>
      <c r="AL11" s="316"/>
      <c r="AM11" s="314"/>
      <c r="AN11" s="315"/>
      <c r="AO11" s="316"/>
      <c r="AP11" s="314"/>
      <c r="AQ11" s="315"/>
      <c r="AR11" s="315"/>
      <c r="AS11" s="315"/>
      <c r="AT11" s="316"/>
      <c r="AU11" s="314"/>
      <c r="AV11" s="315" t="s">
        <v>147</v>
      </c>
      <c r="AW11" s="315" t="s">
        <v>147</v>
      </c>
      <c r="AX11" s="315" t="s">
        <v>147</v>
      </c>
      <c r="AY11" s="315" t="s">
        <v>147</v>
      </c>
      <c r="AZ11" s="315"/>
      <c r="BA11" s="315"/>
      <c r="BB11" s="316"/>
      <c r="BC11" s="314" t="s">
        <v>149</v>
      </c>
      <c r="BD11" s="315" t="s">
        <v>149</v>
      </c>
      <c r="BE11" s="315"/>
      <c r="BF11" s="315"/>
      <c r="BG11" s="316"/>
      <c r="BH11" s="314"/>
      <c r="BI11" s="315"/>
      <c r="BJ11" s="316"/>
      <c r="BK11" s="314"/>
      <c r="BL11" s="315"/>
      <c r="BM11" s="315"/>
      <c r="BN11" s="316"/>
      <c r="BO11" s="314"/>
      <c r="BP11" s="315"/>
      <c r="BQ11" s="315"/>
      <c r="BR11" s="315"/>
      <c r="BS11" s="315" t="s">
        <v>149</v>
      </c>
      <c r="BT11" s="315" t="s">
        <v>149</v>
      </c>
      <c r="BU11" s="315" t="s">
        <v>147</v>
      </c>
      <c r="BV11" s="316"/>
      <c r="BW11" s="314" t="s">
        <v>149</v>
      </c>
      <c r="BX11" s="315"/>
      <c r="BY11" s="315"/>
      <c r="BZ11" s="315" t="s">
        <v>149</v>
      </c>
      <c r="CA11" s="315"/>
      <c r="CB11" s="316"/>
      <c r="CC11" s="314"/>
      <c r="CD11" s="315" t="s">
        <v>147</v>
      </c>
      <c r="CE11" s="316"/>
      <c r="CF11" s="314"/>
      <c r="CG11" s="315"/>
      <c r="CH11" s="315"/>
      <c r="CI11" s="317"/>
      <c r="CK11" s="236">
        <f t="shared" si="0"/>
        <v>6</v>
      </c>
      <c r="CL11" s="237">
        <f t="shared" si="1"/>
        <v>6</v>
      </c>
      <c r="CM11" s="237" t="str">
        <f t="shared" si="2"/>
        <v/>
      </c>
      <c r="CN11" s="237" t="str">
        <f t="shared" si="3"/>
        <v/>
      </c>
      <c r="CO11" s="238" t="str">
        <f t="shared" si="4"/>
        <v/>
      </c>
      <c r="CQ11" s="236" t="str">
        <f>desired_skills(C11,"Systemen/Splunk","o")</f>
        <v/>
      </c>
      <c r="CR11" s="237" t="str">
        <f>desired_skills(C11,"Systemen/Splunk","j")</f>
        <v>7</v>
      </c>
      <c r="CS11" s="237" t="str">
        <f>desired_skills(C11,"Systemen/Splunk","m")</f>
        <v/>
      </c>
      <c r="CT11" s="237" t="str">
        <f>desired_skills(C11,"Systemen/Splunk","s")</f>
        <v/>
      </c>
      <c r="CU11" s="238" t="str">
        <f>desired_skills(C11,"Systemen/Splunk","e")</f>
        <v/>
      </c>
      <c r="CW11" s="236" t="str">
        <f>calc_gap('Matrix 171007_1810'!$CK$11,'Matrix 171007_1810'!$CQ$11)</f>
        <v/>
      </c>
      <c r="CX11" s="237" t="str">
        <f>calc_gap('Matrix 171007_1810'!$CL$11,'Matrix 171007_1810'!$CR$11)</f>
        <v>1</v>
      </c>
      <c r="CY11" s="237" t="str">
        <f>calc_gap('Matrix 171007_1810'!$CM$11,'Matrix 171007_1810'!$CS$11)</f>
        <v/>
      </c>
      <c r="CZ11" s="237" t="str">
        <f>calc_gap('Matrix 171007_1810'!$CN$11,'Matrix 171007_1810'!$CT$11)</f>
        <v/>
      </c>
      <c r="DA11" s="238" t="str">
        <f>calc_gap('Matrix 171007_1810'!$CO$11,'Matrix 171007_1810'!$CU$11)</f>
        <v/>
      </c>
    </row>
    <row r="12" spans="1:105" x14ac:dyDescent="0.25">
      <c r="B12" s="435"/>
      <c r="C12" s="291" t="s">
        <v>57</v>
      </c>
      <c r="D12" s="314"/>
      <c r="E12" s="315"/>
      <c r="F12" s="315"/>
      <c r="G12" s="315"/>
      <c r="H12" s="315"/>
      <c r="I12" s="315"/>
      <c r="J12" s="315"/>
      <c r="K12" s="316"/>
      <c r="L12" s="314"/>
      <c r="M12" s="315"/>
      <c r="N12" s="315"/>
      <c r="O12" s="316"/>
      <c r="P12" s="314"/>
      <c r="Q12" s="315"/>
      <c r="R12" s="315"/>
      <c r="S12" s="315"/>
      <c r="T12" s="315"/>
      <c r="U12" s="315"/>
      <c r="V12" s="315"/>
      <c r="W12" s="315"/>
      <c r="X12" s="315"/>
      <c r="Y12" s="315"/>
      <c r="Z12" s="315"/>
      <c r="AA12" s="315"/>
      <c r="AB12" s="315"/>
      <c r="AC12" s="315"/>
      <c r="AD12" s="315"/>
      <c r="AE12" s="315"/>
      <c r="AF12" s="315"/>
      <c r="AG12" s="315"/>
      <c r="AH12" s="315"/>
      <c r="AI12" s="316"/>
      <c r="AJ12" s="314"/>
      <c r="AK12" s="315"/>
      <c r="AL12" s="316"/>
      <c r="AM12" s="314"/>
      <c r="AN12" s="315"/>
      <c r="AO12" s="316"/>
      <c r="AP12" s="314"/>
      <c r="AQ12" s="315"/>
      <c r="AR12" s="315"/>
      <c r="AS12" s="315"/>
      <c r="AT12" s="316"/>
      <c r="AU12" s="314" t="s">
        <v>148</v>
      </c>
      <c r="AV12" s="315" t="s">
        <v>149</v>
      </c>
      <c r="AW12" s="315" t="s">
        <v>149</v>
      </c>
      <c r="AX12" s="315" t="s">
        <v>147</v>
      </c>
      <c r="AY12" s="315" t="s">
        <v>147</v>
      </c>
      <c r="AZ12" s="315"/>
      <c r="BA12" s="315"/>
      <c r="BB12" s="316" t="s">
        <v>147</v>
      </c>
      <c r="BC12" s="314" t="s">
        <v>149</v>
      </c>
      <c r="BD12" s="315" t="s">
        <v>149</v>
      </c>
      <c r="BE12" s="315"/>
      <c r="BF12" s="315"/>
      <c r="BG12" s="316"/>
      <c r="BH12" s="314"/>
      <c r="BI12" s="315"/>
      <c r="BJ12" s="316"/>
      <c r="BK12" s="314"/>
      <c r="BL12" s="315"/>
      <c r="BM12" s="315"/>
      <c r="BN12" s="316"/>
      <c r="BO12" s="314"/>
      <c r="BP12" s="315"/>
      <c r="BQ12" s="315"/>
      <c r="BR12" s="315"/>
      <c r="BS12" s="315"/>
      <c r="BT12" s="315"/>
      <c r="BU12" s="315" t="s">
        <v>147</v>
      </c>
      <c r="BV12" s="316"/>
      <c r="BW12" s="314" t="s">
        <v>149</v>
      </c>
      <c r="BX12" s="315"/>
      <c r="BY12" s="315"/>
      <c r="BZ12" s="315"/>
      <c r="CA12" s="315"/>
      <c r="CB12" s="316"/>
      <c r="CC12" s="314"/>
      <c r="CD12" s="315"/>
      <c r="CE12" s="316"/>
      <c r="CF12" s="314"/>
      <c r="CG12" s="315"/>
      <c r="CH12" s="315"/>
      <c r="CI12" s="317"/>
      <c r="CK12" s="236">
        <f t="shared" si="0"/>
        <v>5</v>
      </c>
      <c r="CL12" s="237">
        <f t="shared" si="1"/>
        <v>4</v>
      </c>
      <c r="CM12" s="237">
        <f t="shared" si="2"/>
        <v>1</v>
      </c>
      <c r="CN12" s="237" t="str">
        <f t="shared" si="3"/>
        <v/>
      </c>
      <c r="CO12" s="238" t="str">
        <f t="shared" si="4"/>
        <v/>
      </c>
      <c r="CQ12" s="236" t="str">
        <f>desired_skills(C12,"Systemen/Dell One Identity","o")</f>
        <v/>
      </c>
      <c r="CR12" s="237" t="str">
        <f>desired_skills(C12,"Systemen/Dell One Identity","j")</f>
        <v/>
      </c>
      <c r="CS12" s="237" t="str">
        <f>desired_skills(C12,"Systemen/Dell One Identity","m")</f>
        <v>8</v>
      </c>
      <c r="CT12" s="237" t="str">
        <f>desired_skills(C12,"Systemen/Dell One Identity","s")</f>
        <v/>
      </c>
      <c r="CU12" s="238" t="str">
        <f>desired_skills(C12,"Systemen/Dell One Identity","e")</f>
        <v/>
      </c>
      <c r="CW12" s="236" t="str">
        <f>calc_gap('Matrix 171007_1810'!$CK$12,'Matrix 171007_1810'!$CQ$12)</f>
        <v/>
      </c>
      <c r="CX12" s="237" t="str">
        <f>calc_gap('Matrix 171007_1810'!$CL$12,'Matrix 171007_1810'!$CR$12)</f>
        <v/>
      </c>
      <c r="CY12" s="237" t="str">
        <f>calc_gap('Matrix 171007_1810'!$CM$12,'Matrix 171007_1810'!$CS$12)</f>
        <v>7</v>
      </c>
      <c r="CZ12" s="237" t="str">
        <f>calc_gap('Matrix 171007_1810'!$CN$12,'Matrix 171007_1810'!$CT$12)</f>
        <v/>
      </c>
      <c r="DA12" s="238" t="str">
        <f>calc_gap('Matrix 171007_1810'!$CO$12,'Matrix 171007_1810'!$CU$12)</f>
        <v/>
      </c>
    </row>
    <row r="13" spans="1:105" x14ac:dyDescent="0.25">
      <c r="B13" s="435"/>
      <c r="C13" s="291" t="s">
        <v>58</v>
      </c>
      <c r="D13" s="314"/>
      <c r="E13" s="315"/>
      <c r="F13" s="315"/>
      <c r="G13" s="315"/>
      <c r="H13" s="315"/>
      <c r="I13" s="315"/>
      <c r="J13" s="315"/>
      <c r="K13" s="316"/>
      <c r="L13" s="314"/>
      <c r="M13" s="315"/>
      <c r="N13" s="315"/>
      <c r="O13" s="316"/>
      <c r="P13" s="314"/>
      <c r="Q13" s="315"/>
      <c r="R13" s="315"/>
      <c r="S13" s="315"/>
      <c r="T13" s="315"/>
      <c r="U13" s="315"/>
      <c r="V13" s="315"/>
      <c r="W13" s="315"/>
      <c r="X13" s="315"/>
      <c r="Y13" s="315"/>
      <c r="Z13" s="315"/>
      <c r="AA13" s="315"/>
      <c r="AB13" s="315"/>
      <c r="AC13" s="315"/>
      <c r="AD13" s="315"/>
      <c r="AE13" s="315"/>
      <c r="AF13" s="315"/>
      <c r="AG13" s="315"/>
      <c r="AH13" s="315"/>
      <c r="AI13" s="316"/>
      <c r="AJ13" s="314"/>
      <c r="AK13" s="315"/>
      <c r="AL13" s="316"/>
      <c r="AM13" s="314"/>
      <c r="AN13" s="315"/>
      <c r="AO13" s="316"/>
      <c r="AP13" s="314"/>
      <c r="AQ13" s="315"/>
      <c r="AR13" s="315"/>
      <c r="AS13" s="315"/>
      <c r="AT13" s="316"/>
      <c r="AU13" s="314" t="s">
        <v>150</v>
      </c>
      <c r="AV13" s="315" t="s">
        <v>148</v>
      </c>
      <c r="AW13" s="315" t="s">
        <v>147</v>
      </c>
      <c r="AX13" s="315" t="s">
        <v>150</v>
      </c>
      <c r="AY13" s="315" t="s">
        <v>147</v>
      </c>
      <c r="AZ13" s="315"/>
      <c r="BA13" s="315"/>
      <c r="BB13" s="316" t="s">
        <v>147</v>
      </c>
      <c r="BC13" s="314" t="s">
        <v>150</v>
      </c>
      <c r="BD13" s="315" t="s">
        <v>147</v>
      </c>
      <c r="BE13" s="315"/>
      <c r="BF13" s="315"/>
      <c r="BG13" s="316"/>
      <c r="BH13" s="314"/>
      <c r="BI13" s="315"/>
      <c r="BJ13" s="316"/>
      <c r="BK13" s="314"/>
      <c r="BL13" s="315"/>
      <c r="BM13" s="315"/>
      <c r="BN13" s="316"/>
      <c r="BO13" s="314"/>
      <c r="BP13" s="315"/>
      <c r="BQ13" s="315" t="s">
        <v>147</v>
      </c>
      <c r="BR13" s="315"/>
      <c r="BS13" s="315"/>
      <c r="BT13" s="315"/>
      <c r="BU13" s="315" t="s">
        <v>148</v>
      </c>
      <c r="BV13" s="316"/>
      <c r="BW13" s="314"/>
      <c r="BX13" s="315"/>
      <c r="BY13" s="315" t="s">
        <v>150</v>
      </c>
      <c r="BZ13" s="315"/>
      <c r="CA13" s="315" t="s">
        <v>150</v>
      </c>
      <c r="CB13" s="316" t="s">
        <v>150</v>
      </c>
      <c r="CC13" s="314"/>
      <c r="CD13" s="315"/>
      <c r="CE13" s="316"/>
      <c r="CF13" s="314"/>
      <c r="CG13" s="315"/>
      <c r="CH13" s="315"/>
      <c r="CI13" s="317"/>
      <c r="CK13" s="236" t="str">
        <f t="shared" si="0"/>
        <v/>
      </c>
      <c r="CL13" s="237">
        <f t="shared" si="1"/>
        <v>5</v>
      </c>
      <c r="CM13" s="237">
        <f t="shared" si="2"/>
        <v>2</v>
      </c>
      <c r="CN13" s="237">
        <f t="shared" si="3"/>
        <v>6</v>
      </c>
      <c r="CO13" s="238" t="str">
        <f t="shared" si="4"/>
        <v/>
      </c>
      <c r="CQ13" s="236" t="str">
        <f>desired_skills(C13,"Systemen/RSA","o")</f>
        <v/>
      </c>
      <c r="CR13" s="237" t="str">
        <f>desired_skills(C13,"Systemen/RSA","j")</f>
        <v/>
      </c>
      <c r="CS13" s="237" t="str">
        <f>desired_skills(C13,"Systemen/RSA","m")</f>
        <v/>
      </c>
      <c r="CT13" s="237" t="str">
        <f>desired_skills(C13,"Systemen/RSA","s")</f>
        <v>9</v>
      </c>
      <c r="CU13" s="238" t="str">
        <f>desired_skills(C13,"Systemen/RSA","e")</f>
        <v/>
      </c>
      <c r="CW13" s="236" t="str">
        <f>calc_gap('Matrix 171007_1810'!$CK$13,'Matrix 171007_1810'!$CQ$13)</f>
        <v/>
      </c>
      <c r="CX13" s="237" t="str">
        <f>calc_gap('Matrix 171007_1810'!$CL$13,'Matrix 171007_1810'!$CR$13)</f>
        <v/>
      </c>
      <c r="CY13" s="237" t="str">
        <f>calc_gap('Matrix 171007_1810'!$CM$13,'Matrix 171007_1810'!$CS$13)</f>
        <v/>
      </c>
      <c r="CZ13" s="237" t="str">
        <f>calc_gap('Matrix 171007_1810'!$CN$13,'Matrix 171007_1810'!$CT$13)</f>
        <v>3</v>
      </c>
      <c r="DA13" s="238" t="str">
        <f>calc_gap('Matrix 171007_1810'!$CO$13,'Matrix 171007_1810'!$CU$13)</f>
        <v/>
      </c>
    </row>
    <row r="14" spans="1:105" x14ac:dyDescent="0.25">
      <c r="B14" s="435"/>
      <c r="C14" s="291" t="s">
        <v>59</v>
      </c>
      <c r="D14" s="314"/>
      <c r="E14" s="315"/>
      <c r="F14" s="315"/>
      <c r="G14" s="315"/>
      <c r="H14" s="315"/>
      <c r="I14" s="315"/>
      <c r="J14" s="315"/>
      <c r="K14" s="316"/>
      <c r="L14" s="314"/>
      <c r="M14" s="315"/>
      <c r="N14" s="315"/>
      <c r="O14" s="316"/>
      <c r="P14" s="314"/>
      <c r="Q14" s="315"/>
      <c r="R14" s="315"/>
      <c r="S14" s="315"/>
      <c r="T14" s="315"/>
      <c r="U14" s="315"/>
      <c r="V14" s="315"/>
      <c r="W14" s="315"/>
      <c r="X14" s="315"/>
      <c r="Y14" s="315"/>
      <c r="Z14" s="315"/>
      <c r="AA14" s="315"/>
      <c r="AB14" s="315"/>
      <c r="AC14" s="315"/>
      <c r="AD14" s="315"/>
      <c r="AE14" s="315"/>
      <c r="AF14" s="315"/>
      <c r="AG14" s="315"/>
      <c r="AH14" s="315"/>
      <c r="AI14" s="316"/>
      <c r="AJ14" s="314"/>
      <c r="AK14" s="315"/>
      <c r="AL14" s="316"/>
      <c r="AM14" s="314"/>
      <c r="AN14" s="315"/>
      <c r="AO14" s="316"/>
      <c r="AP14" s="314"/>
      <c r="AQ14" s="315"/>
      <c r="AR14" s="315"/>
      <c r="AS14" s="315"/>
      <c r="AT14" s="316"/>
      <c r="AU14" s="314" t="s">
        <v>150</v>
      </c>
      <c r="AV14" s="315" t="s">
        <v>150</v>
      </c>
      <c r="AW14" s="315" t="s">
        <v>149</v>
      </c>
      <c r="AX14" s="315" t="s">
        <v>148</v>
      </c>
      <c r="AY14" s="315" t="s">
        <v>147</v>
      </c>
      <c r="AZ14" s="315"/>
      <c r="BA14" s="315"/>
      <c r="BB14" s="316"/>
      <c r="BC14" s="314" t="s">
        <v>148</v>
      </c>
      <c r="BD14" s="315" t="s">
        <v>148</v>
      </c>
      <c r="BE14" s="315"/>
      <c r="BF14" s="315"/>
      <c r="BG14" s="316"/>
      <c r="BH14" s="314"/>
      <c r="BI14" s="315"/>
      <c r="BJ14" s="316"/>
      <c r="BK14" s="314"/>
      <c r="BL14" s="315"/>
      <c r="BM14" s="315"/>
      <c r="BN14" s="316"/>
      <c r="BO14" s="314" t="s">
        <v>150</v>
      </c>
      <c r="BP14" s="315" t="s">
        <v>150</v>
      </c>
      <c r="BQ14" s="315" t="s">
        <v>150</v>
      </c>
      <c r="BR14" s="315"/>
      <c r="BS14" s="315" t="s">
        <v>148</v>
      </c>
      <c r="BT14" s="315" t="s">
        <v>47</v>
      </c>
      <c r="BU14" s="315" t="s">
        <v>148</v>
      </c>
      <c r="BV14" s="316"/>
      <c r="BW14" s="314" t="s">
        <v>150</v>
      </c>
      <c r="BX14" s="315"/>
      <c r="BY14" s="315" t="s">
        <v>150</v>
      </c>
      <c r="BZ14" s="315" t="s">
        <v>150</v>
      </c>
      <c r="CA14" s="315" t="s">
        <v>150</v>
      </c>
      <c r="CB14" s="316" t="s">
        <v>150</v>
      </c>
      <c r="CC14" s="314"/>
      <c r="CD14" s="315"/>
      <c r="CE14" s="316"/>
      <c r="CF14" s="314"/>
      <c r="CG14" s="315"/>
      <c r="CH14" s="315"/>
      <c r="CI14" s="317"/>
      <c r="CK14" s="236">
        <f t="shared" si="0"/>
        <v>1</v>
      </c>
      <c r="CL14" s="237">
        <f t="shared" si="1"/>
        <v>1</v>
      </c>
      <c r="CM14" s="237">
        <f t="shared" si="2"/>
        <v>5</v>
      </c>
      <c r="CN14" s="237">
        <f t="shared" si="3"/>
        <v>10</v>
      </c>
      <c r="CO14" s="238">
        <f t="shared" si="4"/>
        <v>1</v>
      </c>
      <c r="CQ14" s="236" t="str">
        <f>desired_skills(C14,"Systemen/RWA","o")</f>
        <v/>
      </c>
      <c r="CR14" s="237" t="str">
        <f>desired_skills(C14,"Systemen/RWA","j")</f>
        <v/>
      </c>
      <c r="CS14" s="237" t="str">
        <f>desired_skills(C14,"Systemen/RWA","m")</f>
        <v/>
      </c>
      <c r="CT14" s="237" t="str">
        <f>desired_skills(C14,"Systemen/RWA","s")</f>
        <v/>
      </c>
      <c r="CU14" s="238" t="str">
        <f>desired_skills(C14,"Systemen/RWA","e")</f>
        <v>10</v>
      </c>
      <c r="CW14" s="236" t="str">
        <f>calc_gap('Matrix 171007_1810'!$CK$14,'Matrix 171007_1810'!$CQ$14)</f>
        <v/>
      </c>
      <c r="CX14" s="237" t="str">
        <f>calc_gap('Matrix 171007_1810'!$CL$14,'Matrix 171007_1810'!$CR$14)</f>
        <v/>
      </c>
      <c r="CY14" s="237" t="str">
        <f>calc_gap('Matrix 171007_1810'!$CM$14,'Matrix 171007_1810'!$CS$14)</f>
        <v/>
      </c>
      <c r="CZ14" s="237" t="str">
        <f>calc_gap('Matrix 171007_1810'!$CN$14,'Matrix 171007_1810'!$CT$14)</f>
        <v/>
      </c>
      <c r="DA14" s="238" t="str">
        <f>calc_gap('Matrix 171007_1810'!$CO$14,'Matrix 171007_1810'!$CU$14)</f>
        <v>9</v>
      </c>
    </row>
    <row r="15" spans="1:105" x14ac:dyDescent="0.25">
      <c r="B15" s="435"/>
      <c r="C15" s="291" t="s">
        <v>60</v>
      </c>
      <c r="D15" s="314"/>
      <c r="E15" s="315"/>
      <c r="F15" s="315"/>
      <c r="G15" s="315"/>
      <c r="H15" s="315"/>
      <c r="I15" s="315"/>
      <c r="J15" s="315"/>
      <c r="K15" s="316"/>
      <c r="L15" s="314"/>
      <c r="M15" s="315"/>
      <c r="N15" s="315"/>
      <c r="O15" s="316"/>
      <c r="P15" s="314"/>
      <c r="Q15" s="315"/>
      <c r="R15" s="315"/>
      <c r="S15" s="315"/>
      <c r="T15" s="315"/>
      <c r="U15" s="315"/>
      <c r="V15" s="315"/>
      <c r="W15" s="315"/>
      <c r="X15" s="315"/>
      <c r="Y15" s="315"/>
      <c r="Z15" s="315"/>
      <c r="AA15" s="315"/>
      <c r="AB15" s="315"/>
      <c r="AC15" s="315"/>
      <c r="AD15" s="315"/>
      <c r="AE15" s="315"/>
      <c r="AF15" s="315"/>
      <c r="AG15" s="315"/>
      <c r="AH15" s="315"/>
      <c r="AI15" s="316"/>
      <c r="AJ15" s="314"/>
      <c r="AK15" s="315"/>
      <c r="AL15" s="316"/>
      <c r="AM15" s="314"/>
      <c r="AN15" s="315"/>
      <c r="AO15" s="316"/>
      <c r="AP15" s="314"/>
      <c r="AQ15" s="315"/>
      <c r="AR15" s="315"/>
      <c r="AS15" s="315"/>
      <c r="AT15" s="316"/>
      <c r="AU15" s="314" t="s">
        <v>150</v>
      </c>
      <c r="AV15" s="315" t="s">
        <v>148</v>
      </c>
      <c r="AW15" s="315" t="s">
        <v>148</v>
      </c>
      <c r="AX15" s="315" t="s">
        <v>148</v>
      </c>
      <c r="AY15" s="315" t="s">
        <v>148</v>
      </c>
      <c r="AZ15" s="315"/>
      <c r="BA15" s="315"/>
      <c r="BB15" s="316" t="s">
        <v>147</v>
      </c>
      <c r="BC15" s="314" t="s">
        <v>150</v>
      </c>
      <c r="BD15" s="315" t="s">
        <v>148</v>
      </c>
      <c r="BE15" s="315"/>
      <c r="BF15" s="315"/>
      <c r="BG15" s="316"/>
      <c r="BH15" s="314"/>
      <c r="BI15" s="315"/>
      <c r="BJ15" s="316"/>
      <c r="BK15" s="314"/>
      <c r="BL15" s="315"/>
      <c r="BM15" s="315"/>
      <c r="BN15" s="316"/>
      <c r="BO15" s="314" t="s">
        <v>148</v>
      </c>
      <c r="BP15" s="315"/>
      <c r="BQ15" s="315" t="s">
        <v>150</v>
      </c>
      <c r="BR15" s="315"/>
      <c r="BS15" s="315" t="s">
        <v>147</v>
      </c>
      <c r="BT15" s="315" t="s">
        <v>150</v>
      </c>
      <c r="BU15" s="315" t="s">
        <v>150</v>
      </c>
      <c r="BV15" s="316"/>
      <c r="BW15" s="314" t="s">
        <v>150</v>
      </c>
      <c r="BX15" s="315"/>
      <c r="BY15" s="315" t="s">
        <v>150</v>
      </c>
      <c r="BZ15" s="315" t="s">
        <v>150</v>
      </c>
      <c r="CA15" s="315" t="s">
        <v>150</v>
      </c>
      <c r="CB15" s="316" t="s">
        <v>150</v>
      </c>
      <c r="CC15" s="314"/>
      <c r="CD15" s="315"/>
      <c r="CE15" s="316"/>
      <c r="CF15" s="314"/>
      <c r="CG15" s="315"/>
      <c r="CH15" s="315"/>
      <c r="CI15" s="317"/>
      <c r="CK15" s="236" t="str">
        <f t="shared" si="0"/>
        <v/>
      </c>
      <c r="CL15" s="237">
        <f t="shared" si="1"/>
        <v>2</v>
      </c>
      <c r="CM15" s="237">
        <f t="shared" si="2"/>
        <v>6</v>
      </c>
      <c r="CN15" s="237">
        <f t="shared" si="3"/>
        <v>10</v>
      </c>
      <c r="CO15" s="238" t="str">
        <f t="shared" si="4"/>
        <v/>
      </c>
      <c r="CQ15" s="236" t="str">
        <f>desired_skills(C15,"Systemen/Integraal IAM landschap","o")</f>
        <v/>
      </c>
      <c r="CR15" s="237" t="str">
        <f>desired_skills(C15,"Systemen/Integraal IAM landschap","j")</f>
        <v/>
      </c>
      <c r="CS15" s="237" t="str">
        <f>desired_skills(C15,"Systemen/Integraal IAM landschap","m")</f>
        <v/>
      </c>
      <c r="CT15" s="237" t="str">
        <f>desired_skills(C15,"Systemen/Integraal IAM landschap","s")</f>
        <v/>
      </c>
      <c r="CU15" s="238" t="str">
        <f>desired_skills(C15,"Systemen/Integraal IAM landschap","e")</f>
        <v/>
      </c>
      <c r="CW15" s="236" t="str">
        <f>calc_gap('Matrix 171007_1810'!$CK$15,'Matrix 171007_1810'!$CQ$15)</f>
        <v/>
      </c>
      <c r="CX15" s="237" t="str">
        <f>calc_gap('Matrix 171007_1810'!$CL$15,'Matrix 171007_1810'!$CR$15)</f>
        <v/>
      </c>
      <c r="CY15" s="237" t="str">
        <f>calc_gap('Matrix 171007_1810'!$CM$15,'Matrix 171007_1810'!$CS$15)</f>
        <v/>
      </c>
      <c r="CZ15" s="237" t="str">
        <f>calc_gap('Matrix 171007_1810'!$CN$15,'Matrix 171007_1810'!$CT$15)</f>
        <v/>
      </c>
      <c r="DA15" s="238" t="str">
        <f>calc_gap('Matrix 171007_1810'!$CO$15,'Matrix 171007_1810'!$CU$15)</f>
        <v/>
      </c>
    </row>
    <row r="16" spans="1:105" ht="15.75" thickBot="1" x14ac:dyDescent="0.3">
      <c r="B16" s="435"/>
      <c r="C16" s="292" t="s">
        <v>61</v>
      </c>
      <c r="D16" s="318"/>
      <c r="E16" s="319"/>
      <c r="F16" s="319"/>
      <c r="G16" s="319"/>
      <c r="H16" s="319"/>
      <c r="I16" s="319"/>
      <c r="J16" s="319"/>
      <c r="K16" s="320"/>
      <c r="L16" s="318"/>
      <c r="M16" s="319"/>
      <c r="N16" s="319"/>
      <c r="O16" s="320"/>
      <c r="P16" s="318"/>
      <c r="Q16" s="319"/>
      <c r="R16" s="319"/>
      <c r="S16" s="319"/>
      <c r="T16" s="319"/>
      <c r="U16" s="319"/>
      <c r="V16" s="319"/>
      <c r="W16" s="319"/>
      <c r="X16" s="319"/>
      <c r="Y16" s="319"/>
      <c r="Z16" s="319"/>
      <c r="AA16" s="319"/>
      <c r="AB16" s="319"/>
      <c r="AC16" s="319"/>
      <c r="AD16" s="319"/>
      <c r="AE16" s="319"/>
      <c r="AF16" s="319"/>
      <c r="AG16" s="319"/>
      <c r="AH16" s="319"/>
      <c r="AI16" s="320"/>
      <c r="AJ16" s="318"/>
      <c r="AK16" s="319"/>
      <c r="AL16" s="320"/>
      <c r="AM16" s="318"/>
      <c r="AN16" s="319"/>
      <c r="AO16" s="320"/>
      <c r="AP16" s="318"/>
      <c r="AQ16" s="319"/>
      <c r="AR16" s="319"/>
      <c r="AS16" s="319"/>
      <c r="AT16" s="320"/>
      <c r="AU16" s="318" t="s">
        <v>147</v>
      </c>
      <c r="AV16" s="319" t="s">
        <v>147</v>
      </c>
      <c r="AW16" s="319" t="s">
        <v>147</v>
      </c>
      <c r="AX16" s="319" t="s">
        <v>147</v>
      </c>
      <c r="AY16" s="319" t="s">
        <v>147</v>
      </c>
      <c r="AZ16" s="319"/>
      <c r="BA16" s="319"/>
      <c r="BB16" s="320"/>
      <c r="BC16" s="318" t="s">
        <v>147</v>
      </c>
      <c r="BD16" s="319" t="s">
        <v>147</v>
      </c>
      <c r="BE16" s="319"/>
      <c r="BF16" s="319"/>
      <c r="BG16" s="320"/>
      <c r="BH16" s="318"/>
      <c r="BI16" s="319"/>
      <c r="BJ16" s="320"/>
      <c r="BK16" s="318" t="s">
        <v>148</v>
      </c>
      <c r="BL16" s="319"/>
      <c r="BM16" s="319"/>
      <c r="BN16" s="320"/>
      <c r="BO16" s="318" t="s">
        <v>148</v>
      </c>
      <c r="BP16" s="319" t="s">
        <v>150</v>
      </c>
      <c r="BQ16" s="319" t="s">
        <v>150</v>
      </c>
      <c r="BR16" s="319"/>
      <c r="BS16" s="319" t="s">
        <v>147</v>
      </c>
      <c r="BT16" s="319" t="s">
        <v>148</v>
      </c>
      <c r="BU16" s="319" t="s">
        <v>148</v>
      </c>
      <c r="BV16" s="320"/>
      <c r="BW16" s="318" t="s">
        <v>150</v>
      </c>
      <c r="BX16" s="319"/>
      <c r="BY16" s="319" t="s">
        <v>147</v>
      </c>
      <c r="BZ16" s="319" t="s">
        <v>150</v>
      </c>
      <c r="CA16" s="319" t="s">
        <v>147</v>
      </c>
      <c r="CB16" s="320" t="s">
        <v>147</v>
      </c>
      <c r="CC16" s="318"/>
      <c r="CD16" s="319"/>
      <c r="CE16" s="320"/>
      <c r="CF16" s="318"/>
      <c r="CG16" s="319"/>
      <c r="CH16" s="319"/>
      <c r="CI16" s="321"/>
      <c r="CK16" s="239" t="str">
        <f t="shared" si="0"/>
        <v/>
      </c>
      <c r="CL16" s="240">
        <f t="shared" si="1"/>
        <v>11</v>
      </c>
      <c r="CM16" s="240">
        <f t="shared" si="2"/>
        <v>4</v>
      </c>
      <c r="CN16" s="240">
        <f t="shared" si="3"/>
        <v>4</v>
      </c>
      <c r="CO16" s="241" t="str">
        <f t="shared" si="4"/>
        <v/>
      </c>
      <c r="CQ16" s="239" t="str">
        <f>desired_skills(C16,"Systemen/Disconnected applicaties","o")</f>
        <v/>
      </c>
      <c r="CR16" s="240" t="str">
        <f>desired_skills(C16,"Systemen/Disconnected applicaties","j")</f>
        <v/>
      </c>
      <c r="CS16" s="240" t="str">
        <f>desired_skills(C16,"Systemen/Disconnected applicaties","m")</f>
        <v/>
      </c>
      <c r="CT16" s="240" t="str">
        <f>desired_skills(C16,"Systemen/Disconnected applicaties","s")</f>
        <v/>
      </c>
      <c r="CU16" s="241" t="str">
        <f>desired_skills(C16,"Systemen/Disconnected applicaties","e")</f>
        <v/>
      </c>
      <c r="CW16" s="239" t="str">
        <f>calc_gap('Matrix 171007_1810'!$CK$16,'Matrix 171007_1810'!$CQ$16)</f>
        <v/>
      </c>
      <c r="CX16" s="240" t="str">
        <f>calc_gap('Matrix 171007_1810'!$CL$16,'Matrix 171007_1810'!$CR$16)</f>
        <v/>
      </c>
      <c r="CY16" s="240" t="str">
        <f>calc_gap('Matrix 171007_1810'!$CM$16,'Matrix 171007_1810'!$CS$16)</f>
        <v/>
      </c>
      <c r="CZ16" s="240" t="str">
        <f>calc_gap('Matrix 171007_1810'!$CN$16,'Matrix 171007_1810'!$CT$16)</f>
        <v/>
      </c>
      <c r="DA16" s="241" t="str">
        <f>calc_gap('Matrix 171007_1810'!$CO$16,'Matrix 171007_1810'!$CU$16)</f>
        <v/>
      </c>
    </row>
    <row r="17" spans="2:105" ht="12.75" customHeight="1" thickTop="1" thickBot="1" x14ac:dyDescent="0.3">
      <c r="B17" s="436"/>
      <c r="C17" s="248"/>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2"/>
      <c r="CH17" s="322"/>
      <c r="CI17" s="322"/>
      <c r="CK17" s="249"/>
      <c r="CL17" s="249"/>
      <c r="CM17" s="249"/>
      <c r="CN17" s="249"/>
      <c r="CO17" s="249"/>
      <c r="CQ17" s="249"/>
      <c r="CR17" s="249"/>
      <c r="CS17" s="249"/>
      <c r="CT17" s="249"/>
      <c r="CU17" s="249"/>
      <c r="CW17" s="249"/>
      <c r="CX17" s="249"/>
      <c r="CY17" s="249"/>
      <c r="CZ17" s="249"/>
      <c r="DA17" s="249"/>
    </row>
    <row r="18" spans="2:105" ht="15.75" thickTop="1" x14ac:dyDescent="0.25">
      <c r="B18" s="434" t="s">
        <v>62</v>
      </c>
      <c r="C18" s="290" t="s">
        <v>63</v>
      </c>
      <c r="D18" s="310"/>
      <c r="E18" s="311"/>
      <c r="F18" s="311"/>
      <c r="G18" s="311"/>
      <c r="H18" s="311"/>
      <c r="I18" s="311"/>
      <c r="J18" s="311"/>
      <c r="K18" s="312"/>
      <c r="L18" s="310"/>
      <c r="M18" s="311"/>
      <c r="N18" s="311"/>
      <c r="O18" s="312"/>
      <c r="P18" s="310"/>
      <c r="Q18" s="311"/>
      <c r="R18" s="311"/>
      <c r="S18" s="311"/>
      <c r="T18" s="311"/>
      <c r="U18" s="311"/>
      <c r="V18" s="311"/>
      <c r="W18" s="311"/>
      <c r="X18" s="311"/>
      <c r="Y18" s="311"/>
      <c r="Z18" s="311"/>
      <c r="AA18" s="311"/>
      <c r="AB18" s="311"/>
      <c r="AC18" s="311"/>
      <c r="AD18" s="311"/>
      <c r="AE18" s="311"/>
      <c r="AF18" s="311"/>
      <c r="AG18" s="311"/>
      <c r="AH18" s="311"/>
      <c r="AI18" s="312"/>
      <c r="AJ18" s="310"/>
      <c r="AK18" s="311"/>
      <c r="AL18" s="312"/>
      <c r="AM18" s="310"/>
      <c r="AN18" s="311"/>
      <c r="AO18" s="312"/>
      <c r="AP18" s="310"/>
      <c r="AQ18" s="311"/>
      <c r="AR18" s="311"/>
      <c r="AS18" s="311"/>
      <c r="AT18" s="312"/>
      <c r="AU18" s="310" t="s">
        <v>148</v>
      </c>
      <c r="AV18" s="311" t="s">
        <v>150</v>
      </c>
      <c r="AW18" s="311" t="s">
        <v>150</v>
      </c>
      <c r="AX18" s="311" t="s">
        <v>47</v>
      </c>
      <c r="AY18" s="311" t="s">
        <v>47</v>
      </c>
      <c r="AZ18" s="311" t="s">
        <v>148</v>
      </c>
      <c r="BA18" s="311" t="s">
        <v>150</v>
      </c>
      <c r="BB18" s="312" t="s">
        <v>150</v>
      </c>
      <c r="BC18" s="310" t="s">
        <v>148</v>
      </c>
      <c r="BD18" s="311" t="s">
        <v>148</v>
      </c>
      <c r="BE18" s="311"/>
      <c r="BF18" s="311" t="s">
        <v>147</v>
      </c>
      <c r="BG18" s="312"/>
      <c r="BH18" s="310"/>
      <c r="BI18" s="311" t="s">
        <v>148</v>
      </c>
      <c r="BJ18" s="312"/>
      <c r="BK18" s="310" t="s">
        <v>147</v>
      </c>
      <c r="BL18" s="311" t="s">
        <v>148</v>
      </c>
      <c r="BM18" s="311"/>
      <c r="BN18" s="312" t="s">
        <v>149</v>
      </c>
      <c r="BO18" s="310" t="s">
        <v>148</v>
      </c>
      <c r="BP18" s="311"/>
      <c r="BQ18" s="311" t="s">
        <v>148</v>
      </c>
      <c r="BR18" s="311"/>
      <c r="BS18" s="311" t="s">
        <v>149</v>
      </c>
      <c r="BT18" s="311" t="s">
        <v>148</v>
      </c>
      <c r="BU18" s="311" t="s">
        <v>148</v>
      </c>
      <c r="BV18" s="312"/>
      <c r="BW18" s="310" t="s">
        <v>148</v>
      </c>
      <c r="BX18" s="311" t="s">
        <v>148</v>
      </c>
      <c r="BY18" s="311" t="s">
        <v>148</v>
      </c>
      <c r="BZ18" s="311" t="s">
        <v>148</v>
      </c>
      <c r="CA18" s="311" t="s">
        <v>47</v>
      </c>
      <c r="CB18" s="312" t="s">
        <v>150</v>
      </c>
      <c r="CC18" s="310"/>
      <c r="CD18" s="311" t="s">
        <v>148</v>
      </c>
      <c r="CE18" s="312"/>
      <c r="CF18" s="310"/>
      <c r="CG18" s="311"/>
      <c r="CH18" s="311"/>
      <c r="CI18" s="313"/>
      <c r="CK18" s="233">
        <f t="shared" ref="CK18:CK26" si="5">IF(COUNTIF(D18:CI18,"o")&gt;0,COUNTIF(D18:CI18,"o"),"")</f>
        <v>2</v>
      </c>
      <c r="CL18" s="234">
        <f t="shared" ref="CL18:CL26" si="6">IF(COUNTIF(D18:CI18,"j")&gt;0,COUNTIF(D18:CI18,"j"),"")</f>
        <v>2</v>
      </c>
      <c r="CM18" s="234">
        <f t="shared" ref="CM18:CM26" si="7">IF(COUNTIF(D18:CI18,"m")&gt;0,COUNTIF(D18:CI18,"m"),"")</f>
        <v>15</v>
      </c>
      <c r="CN18" s="234">
        <f t="shared" ref="CN18:CN26" si="8">IF(COUNTIF(D18:CI18,"s")&gt;0,COUNTIF(D18:CI18,"s"),"")</f>
        <v>5</v>
      </c>
      <c r="CO18" s="235">
        <f t="shared" ref="CO18:CO26" si="9">IF(COUNTIF(D18:CI18,"e")&gt;0,COUNTIF(D18:CI18,"e"),"")</f>
        <v>3</v>
      </c>
      <c r="CQ18" s="233" t="str">
        <f>desired_skills(C18,"Specifieke Risico / IAM-kennis/IAM beleid","o")</f>
        <v>11</v>
      </c>
      <c r="CR18" s="234" t="str">
        <f>desired_skills(C18,"Specifieke Risico / IAM-kennis/IAM beleid","j")</f>
        <v/>
      </c>
      <c r="CS18" s="234" t="str">
        <f>desired_skills(C18,"Specifieke Risico / IAM-kennis/IAM beleid","m")</f>
        <v/>
      </c>
      <c r="CT18" s="234" t="str">
        <f>desired_skills(C18,"Specifieke Risico / IAM-kennis/IAM beleid","s")</f>
        <v/>
      </c>
      <c r="CU18" s="235" t="str">
        <f>desired_skills(C18,"Specifieke Risico / IAM-kennis/IAM beleid","e")</f>
        <v/>
      </c>
      <c r="CW18" s="233" t="str">
        <f>calc_gap('Matrix 171007_1810'!$CK$18,'Matrix 171007_1810'!$CQ$18)</f>
        <v>9</v>
      </c>
      <c r="CX18" s="234" t="str">
        <f>calc_gap('Matrix 171007_1810'!$CL$18,'Matrix 171007_1810'!$CR$18)</f>
        <v/>
      </c>
      <c r="CY18" s="234" t="str">
        <f>calc_gap('Matrix 171007_1810'!$CM$18,'Matrix 171007_1810'!$CS$18)</f>
        <v/>
      </c>
      <c r="CZ18" s="234" t="str">
        <f>calc_gap('Matrix 171007_1810'!$CN$18,'Matrix 171007_1810'!$CT$18)</f>
        <v/>
      </c>
      <c r="DA18" s="235" t="str">
        <f>calc_gap('Matrix 171007_1810'!$CO$18,'Matrix 171007_1810'!$CU$18)</f>
        <v/>
      </c>
    </row>
    <row r="19" spans="2:105" x14ac:dyDescent="0.25">
      <c r="B19" s="435"/>
      <c r="C19" s="291" t="s">
        <v>118</v>
      </c>
      <c r="D19" s="314"/>
      <c r="E19" s="315"/>
      <c r="F19" s="315"/>
      <c r="G19" s="315"/>
      <c r="H19" s="315"/>
      <c r="I19" s="315"/>
      <c r="J19" s="315"/>
      <c r="K19" s="316"/>
      <c r="L19" s="314"/>
      <c r="M19" s="315"/>
      <c r="N19" s="315"/>
      <c r="O19" s="316"/>
      <c r="P19" s="314"/>
      <c r="Q19" s="315"/>
      <c r="R19" s="315"/>
      <c r="S19" s="315"/>
      <c r="T19" s="315"/>
      <c r="U19" s="315"/>
      <c r="V19" s="315"/>
      <c r="W19" s="315"/>
      <c r="X19" s="315"/>
      <c r="Y19" s="315"/>
      <c r="Z19" s="315"/>
      <c r="AA19" s="315"/>
      <c r="AB19" s="315"/>
      <c r="AC19" s="315"/>
      <c r="AD19" s="315"/>
      <c r="AE19" s="315"/>
      <c r="AF19" s="315"/>
      <c r="AG19" s="315"/>
      <c r="AH19" s="315"/>
      <c r="AI19" s="316"/>
      <c r="AJ19" s="314"/>
      <c r="AK19" s="315"/>
      <c r="AL19" s="316"/>
      <c r="AM19" s="314"/>
      <c r="AN19" s="315"/>
      <c r="AO19" s="316"/>
      <c r="AP19" s="314"/>
      <c r="AQ19" s="315"/>
      <c r="AR19" s="315"/>
      <c r="AS19" s="315"/>
      <c r="AT19" s="316"/>
      <c r="AU19" s="314" t="s">
        <v>148</v>
      </c>
      <c r="AV19" s="315" t="s">
        <v>150</v>
      </c>
      <c r="AW19" s="315" t="s">
        <v>150</v>
      </c>
      <c r="AX19" s="315" t="s">
        <v>47</v>
      </c>
      <c r="AY19" s="315" t="s">
        <v>150</v>
      </c>
      <c r="AZ19" s="315" t="s">
        <v>147</v>
      </c>
      <c r="BA19" s="315" t="s">
        <v>150</v>
      </c>
      <c r="BB19" s="316" t="s">
        <v>150</v>
      </c>
      <c r="BC19" s="314" t="s">
        <v>148</v>
      </c>
      <c r="BD19" s="315" t="s">
        <v>148</v>
      </c>
      <c r="BE19" s="315"/>
      <c r="BF19" s="315" t="s">
        <v>148</v>
      </c>
      <c r="BG19" s="316"/>
      <c r="BH19" s="314"/>
      <c r="BI19" s="315" t="s">
        <v>148</v>
      </c>
      <c r="BJ19" s="316"/>
      <c r="BK19" s="314" t="s">
        <v>148</v>
      </c>
      <c r="BL19" s="315" t="s">
        <v>148</v>
      </c>
      <c r="BM19" s="315"/>
      <c r="BN19" s="316" t="s">
        <v>149</v>
      </c>
      <c r="BO19" s="314" t="s">
        <v>148</v>
      </c>
      <c r="BP19" s="315"/>
      <c r="BQ19" s="315" t="s">
        <v>148</v>
      </c>
      <c r="BR19" s="315"/>
      <c r="BS19" s="315" t="s">
        <v>149</v>
      </c>
      <c r="BT19" s="315" t="s">
        <v>148</v>
      </c>
      <c r="BU19" s="315" t="s">
        <v>150</v>
      </c>
      <c r="BV19" s="316"/>
      <c r="BW19" s="314" t="s">
        <v>47</v>
      </c>
      <c r="BX19" s="315" t="s">
        <v>148</v>
      </c>
      <c r="BY19" s="315" t="s">
        <v>150</v>
      </c>
      <c r="BZ19" s="315" t="s">
        <v>47</v>
      </c>
      <c r="CA19" s="315" t="s">
        <v>150</v>
      </c>
      <c r="CB19" s="316" t="s">
        <v>150</v>
      </c>
      <c r="CC19" s="314"/>
      <c r="CD19" s="315" t="s">
        <v>150</v>
      </c>
      <c r="CE19" s="316"/>
      <c r="CF19" s="314"/>
      <c r="CG19" s="315"/>
      <c r="CH19" s="315"/>
      <c r="CI19" s="317"/>
      <c r="CK19" s="236">
        <f t="shared" si="5"/>
        <v>2</v>
      </c>
      <c r="CL19" s="237">
        <f t="shared" si="6"/>
        <v>1</v>
      </c>
      <c r="CM19" s="237">
        <f t="shared" si="7"/>
        <v>11</v>
      </c>
      <c r="CN19" s="237">
        <f t="shared" si="8"/>
        <v>10</v>
      </c>
      <c r="CO19" s="238">
        <f t="shared" si="9"/>
        <v>3</v>
      </c>
      <c r="CQ19" s="236" t="str">
        <f>desired_skills(C19,"Specifieke Risico / IAM-kennis/IAM Processen/procedures","o")</f>
        <v/>
      </c>
      <c r="CR19" s="237" t="str">
        <f>desired_skills(C19,"Specifieke Risico / IAM-kennis/IAM Processen/procedures","j")</f>
        <v>12</v>
      </c>
      <c r="CS19" s="237" t="str">
        <f>desired_skills(C19,"Specifieke Risico / IAM-kennis/IAM Processen/procedures","m")</f>
        <v/>
      </c>
      <c r="CT19" s="237" t="str">
        <f>desired_skills(C19,"Specifieke Risico / IAM-kennis/IAM Processen/procedures","s")</f>
        <v/>
      </c>
      <c r="CU19" s="238" t="str">
        <f>desired_skills(C19,"Specifieke Risico / IAM-kennis/IAM Processen/procedures","e")</f>
        <v/>
      </c>
      <c r="CW19" s="236" t="str">
        <f>calc_gap('Matrix 171007_1810'!$CK$19,'Matrix 171007_1810'!$CQ$19)</f>
        <v/>
      </c>
      <c r="CX19" s="237" t="str">
        <f>calc_gap('Matrix 171007_1810'!$CL$19,'Matrix 171007_1810'!$CR$19)</f>
        <v>11</v>
      </c>
      <c r="CY19" s="237" t="str">
        <f>calc_gap('Matrix 171007_1810'!$CM$19,'Matrix 171007_1810'!$CS$19)</f>
        <v/>
      </c>
      <c r="CZ19" s="237" t="str">
        <f>calc_gap('Matrix 171007_1810'!$CN$19,'Matrix 171007_1810'!$CT$19)</f>
        <v/>
      </c>
      <c r="DA19" s="238" t="str">
        <f>calc_gap('Matrix 171007_1810'!$CO$19,'Matrix 171007_1810'!$CU$19)</f>
        <v/>
      </c>
    </row>
    <row r="20" spans="2:105" x14ac:dyDescent="0.25">
      <c r="B20" s="435"/>
      <c r="C20" s="291" t="s">
        <v>64</v>
      </c>
      <c r="D20" s="314"/>
      <c r="E20" s="315"/>
      <c r="F20" s="315"/>
      <c r="G20" s="315"/>
      <c r="H20" s="315"/>
      <c r="I20" s="315"/>
      <c r="J20" s="315"/>
      <c r="K20" s="316"/>
      <c r="L20" s="314"/>
      <c r="M20" s="315"/>
      <c r="N20" s="315"/>
      <c r="O20" s="316"/>
      <c r="P20" s="314"/>
      <c r="Q20" s="315"/>
      <c r="R20" s="315"/>
      <c r="S20" s="315"/>
      <c r="T20" s="315"/>
      <c r="U20" s="315"/>
      <c r="V20" s="315"/>
      <c r="W20" s="315"/>
      <c r="X20" s="315"/>
      <c r="Y20" s="315"/>
      <c r="Z20" s="315"/>
      <c r="AA20" s="315"/>
      <c r="AB20" s="315"/>
      <c r="AC20" s="315"/>
      <c r="AD20" s="315"/>
      <c r="AE20" s="315"/>
      <c r="AF20" s="315"/>
      <c r="AG20" s="315"/>
      <c r="AH20" s="315"/>
      <c r="AI20" s="316"/>
      <c r="AJ20" s="314"/>
      <c r="AK20" s="315"/>
      <c r="AL20" s="316"/>
      <c r="AM20" s="314"/>
      <c r="AN20" s="315"/>
      <c r="AO20" s="316"/>
      <c r="AP20" s="314"/>
      <c r="AQ20" s="315"/>
      <c r="AR20" s="315"/>
      <c r="AS20" s="315"/>
      <c r="AT20" s="316"/>
      <c r="AU20" s="314" t="s">
        <v>150</v>
      </c>
      <c r="AV20" s="315" t="s">
        <v>150</v>
      </c>
      <c r="AW20" s="315" t="s">
        <v>150</v>
      </c>
      <c r="AX20" s="315" t="s">
        <v>47</v>
      </c>
      <c r="AY20" s="315" t="s">
        <v>47</v>
      </c>
      <c r="AZ20" s="315" t="s">
        <v>149</v>
      </c>
      <c r="BA20" s="315" t="s">
        <v>148</v>
      </c>
      <c r="BB20" s="316" t="s">
        <v>150</v>
      </c>
      <c r="BC20" s="314" t="s">
        <v>147</v>
      </c>
      <c r="BD20" s="315" t="s">
        <v>149</v>
      </c>
      <c r="BE20" s="315"/>
      <c r="BF20" s="315" t="s">
        <v>148</v>
      </c>
      <c r="BG20" s="316"/>
      <c r="BH20" s="314"/>
      <c r="BI20" s="315" t="s">
        <v>148</v>
      </c>
      <c r="BJ20" s="316"/>
      <c r="BK20" s="314" t="s">
        <v>147</v>
      </c>
      <c r="BL20" s="315"/>
      <c r="BM20" s="315"/>
      <c r="BN20" s="316"/>
      <c r="BO20" s="314" t="s">
        <v>147</v>
      </c>
      <c r="BP20" s="315"/>
      <c r="BQ20" s="315" t="s">
        <v>147</v>
      </c>
      <c r="BR20" s="315"/>
      <c r="BS20" s="315"/>
      <c r="BT20" s="315" t="s">
        <v>148</v>
      </c>
      <c r="BU20" s="315" t="s">
        <v>150</v>
      </c>
      <c r="BV20" s="316"/>
      <c r="BW20" s="314" t="s">
        <v>148</v>
      </c>
      <c r="BX20" s="315" t="s">
        <v>148</v>
      </c>
      <c r="BY20" s="315" t="s">
        <v>150</v>
      </c>
      <c r="BZ20" s="315"/>
      <c r="CA20" s="315" t="s">
        <v>150</v>
      </c>
      <c r="CB20" s="316" t="s">
        <v>47</v>
      </c>
      <c r="CC20" s="314"/>
      <c r="CD20" s="315" t="s">
        <v>148</v>
      </c>
      <c r="CE20" s="316"/>
      <c r="CF20" s="314"/>
      <c r="CG20" s="315"/>
      <c r="CH20" s="315"/>
      <c r="CI20" s="317"/>
      <c r="CK20" s="236">
        <f t="shared" si="5"/>
        <v>2</v>
      </c>
      <c r="CL20" s="237">
        <f t="shared" si="6"/>
        <v>4</v>
      </c>
      <c r="CM20" s="237">
        <f t="shared" si="7"/>
        <v>7</v>
      </c>
      <c r="CN20" s="237">
        <f t="shared" si="8"/>
        <v>7</v>
      </c>
      <c r="CO20" s="238">
        <f t="shared" si="9"/>
        <v>3</v>
      </c>
      <c r="CQ20" s="236" t="str">
        <f>desired_skills(C20,"Specifieke Risico / IAM-kennis/Key Control Framework","o")</f>
        <v/>
      </c>
      <c r="CR20" s="237" t="str">
        <f>desired_skills(C20,"Specifieke Risico / IAM-kennis/Key Control Framework","j")</f>
        <v/>
      </c>
      <c r="CS20" s="237" t="str">
        <f>desired_skills(C20,"Specifieke Risico / IAM-kennis/Key Control Framework","m")</f>
        <v>13</v>
      </c>
      <c r="CT20" s="237" t="str">
        <f>desired_skills(C20,"Specifieke Risico / IAM-kennis/Key Control Framework","s")</f>
        <v/>
      </c>
      <c r="CU20" s="238" t="str">
        <f>desired_skills(C20,"Specifieke Risico / IAM-kennis/Key Control Framework","e")</f>
        <v/>
      </c>
      <c r="CW20" s="236" t="str">
        <f>calc_gap('Matrix 171007_1810'!$CK$20,'Matrix 171007_1810'!$CQ$20)</f>
        <v/>
      </c>
      <c r="CX20" s="237" t="str">
        <f>calc_gap('Matrix 171007_1810'!$CL$20,'Matrix 171007_1810'!$CR$20)</f>
        <v/>
      </c>
      <c r="CY20" s="237" t="str">
        <f>calc_gap('Matrix 171007_1810'!$CM$20,'Matrix 171007_1810'!$CS$20)</f>
        <v>6</v>
      </c>
      <c r="CZ20" s="237" t="str">
        <f>calc_gap('Matrix 171007_1810'!$CN$20,'Matrix 171007_1810'!$CT$20)</f>
        <v/>
      </c>
      <c r="DA20" s="238" t="str">
        <f>calc_gap('Matrix 171007_1810'!$CO$20,'Matrix 171007_1810'!$CU$20)</f>
        <v/>
      </c>
    </row>
    <row r="21" spans="2:105" x14ac:dyDescent="0.25">
      <c r="B21" s="435"/>
      <c r="C21" s="291" t="s">
        <v>65</v>
      </c>
      <c r="D21" s="314"/>
      <c r="E21" s="315"/>
      <c r="F21" s="315"/>
      <c r="G21" s="315"/>
      <c r="H21" s="315"/>
      <c r="I21" s="315"/>
      <c r="J21" s="315"/>
      <c r="K21" s="316"/>
      <c r="L21" s="314"/>
      <c r="M21" s="315"/>
      <c r="N21" s="315"/>
      <c r="O21" s="316"/>
      <c r="P21" s="314"/>
      <c r="Q21" s="315"/>
      <c r="R21" s="315"/>
      <c r="S21" s="315"/>
      <c r="T21" s="315"/>
      <c r="U21" s="315"/>
      <c r="V21" s="315"/>
      <c r="W21" s="315"/>
      <c r="X21" s="315"/>
      <c r="Y21" s="315"/>
      <c r="Z21" s="315"/>
      <c r="AA21" s="315"/>
      <c r="AB21" s="315"/>
      <c r="AC21" s="315"/>
      <c r="AD21" s="315"/>
      <c r="AE21" s="315"/>
      <c r="AF21" s="315"/>
      <c r="AG21" s="315"/>
      <c r="AH21" s="315"/>
      <c r="AI21" s="316"/>
      <c r="AJ21" s="314"/>
      <c r="AK21" s="315"/>
      <c r="AL21" s="316"/>
      <c r="AM21" s="314"/>
      <c r="AN21" s="315"/>
      <c r="AO21" s="316"/>
      <c r="AP21" s="314"/>
      <c r="AQ21" s="315"/>
      <c r="AR21" s="315"/>
      <c r="AS21" s="315"/>
      <c r="AT21" s="316"/>
      <c r="AU21" s="314" t="s">
        <v>148</v>
      </c>
      <c r="AV21" s="315" t="s">
        <v>148</v>
      </c>
      <c r="AW21" s="315" t="s">
        <v>148</v>
      </c>
      <c r="AX21" s="315" t="s">
        <v>147</v>
      </c>
      <c r="AY21" s="315" t="s">
        <v>147</v>
      </c>
      <c r="AZ21" s="315"/>
      <c r="BA21" s="315" t="s">
        <v>147</v>
      </c>
      <c r="BB21" s="316" t="s">
        <v>147</v>
      </c>
      <c r="BC21" s="314" t="s">
        <v>147</v>
      </c>
      <c r="BD21" s="315" t="s">
        <v>149</v>
      </c>
      <c r="BE21" s="315"/>
      <c r="BF21" s="315" t="s">
        <v>147</v>
      </c>
      <c r="BG21" s="316"/>
      <c r="BH21" s="314"/>
      <c r="BI21" s="315"/>
      <c r="BJ21" s="316"/>
      <c r="BK21" s="314"/>
      <c r="BL21" s="315" t="s">
        <v>150</v>
      </c>
      <c r="BM21" s="315"/>
      <c r="BN21" s="316" t="s">
        <v>147</v>
      </c>
      <c r="BO21" s="314"/>
      <c r="BP21" s="315"/>
      <c r="BQ21" s="315" t="s">
        <v>148</v>
      </c>
      <c r="BR21" s="315"/>
      <c r="BS21" s="315" t="s">
        <v>147</v>
      </c>
      <c r="BT21" s="315" t="s">
        <v>148</v>
      </c>
      <c r="BU21" s="315" t="s">
        <v>150</v>
      </c>
      <c r="BV21" s="316"/>
      <c r="BW21" s="314" t="s">
        <v>47</v>
      </c>
      <c r="BX21" s="315"/>
      <c r="BY21" s="315" t="s">
        <v>147</v>
      </c>
      <c r="BZ21" s="315"/>
      <c r="CA21" s="315" t="s">
        <v>150</v>
      </c>
      <c r="CB21" s="316" t="s">
        <v>147</v>
      </c>
      <c r="CC21" s="314"/>
      <c r="CD21" s="315" t="s">
        <v>147</v>
      </c>
      <c r="CE21" s="316"/>
      <c r="CF21" s="314"/>
      <c r="CG21" s="315"/>
      <c r="CH21" s="315"/>
      <c r="CI21" s="317"/>
      <c r="CK21" s="236">
        <f t="shared" si="5"/>
        <v>1</v>
      </c>
      <c r="CL21" s="237">
        <f t="shared" si="6"/>
        <v>11</v>
      </c>
      <c r="CM21" s="237">
        <f t="shared" si="7"/>
        <v>5</v>
      </c>
      <c r="CN21" s="237">
        <f t="shared" si="8"/>
        <v>3</v>
      </c>
      <c r="CO21" s="238">
        <f t="shared" si="9"/>
        <v>1</v>
      </c>
      <c r="CQ21" s="236" t="str">
        <f>desired_skills(C21,"Specifieke Risico / IAM-kennis/IT Security","o")</f>
        <v/>
      </c>
      <c r="CR21" s="237" t="str">
        <f>desired_skills(C21,"Specifieke Risico / IAM-kennis/IT Security","j")</f>
        <v/>
      </c>
      <c r="CS21" s="237" t="str">
        <f>desired_skills(C21,"Specifieke Risico / IAM-kennis/IT Security","m")</f>
        <v/>
      </c>
      <c r="CT21" s="237" t="str">
        <f>desired_skills(C21,"Specifieke Risico / IAM-kennis/IT Security","s")</f>
        <v>14</v>
      </c>
      <c r="CU21" s="238" t="str">
        <f>desired_skills(C21,"Specifieke Risico / IAM-kennis/IT Security","e")</f>
        <v/>
      </c>
      <c r="CW21" s="236" t="str">
        <f>calc_gap('Matrix 171007_1810'!$CK$21,'Matrix 171007_1810'!$CQ$21)</f>
        <v/>
      </c>
      <c r="CX21" s="237" t="str">
        <f>calc_gap('Matrix 171007_1810'!$CL$21,'Matrix 171007_1810'!$CR$21)</f>
        <v/>
      </c>
      <c r="CY21" s="237" t="str">
        <f>calc_gap('Matrix 171007_1810'!$CM$21,'Matrix 171007_1810'!$CS$21)</f>
        <v/>
      </c>
      <c r="CZ21" s="237" t="str">
        <f>calc_gap('Matrix 171007_1810'!$CN$21,'Matrix 171007_1810'!$CT$21)</f>
        <v>11</v>
      </c>
      <c r="DA21" s="238" t="str">
        <f>calc_gap('Matrix 171007_1810'!$CO$21,'Matrix 171007_1810'!$CU$21)</f>
        <v/>
      </c>
    </row>
    <row r="22" spans="2:105" x14ac:dyDescent="0.25">
      <c r="B22" s="435"/>
      <c r="C22" s="291" t="s">
        <v>66</v>
      </c>
      <c r="D22" s="314"/>
      <c r="E22" s="315"/>
      <c r="F22" s="315"/>
      <c r="G22" s="315"/>
      <c r="H22" s="315"/>
      <c r="I22" s="315"/>
      <c r="J22" s="315"/>
      <c r="K22" s="316"/>
      <c r="L22" s="314"/>
      <c r="M22" s="315"/>
      <c r="N22" s="315"/>
      <c r="O22" s="316"/>
      <c r="P22" s="314"/>
      <c r="Q22" s="315"/>
      <c r="R22" s="315"/>
      <c r="S22" s="315"/>
      <c r="T22" s="315"/>
      <c r="U22" s="315"/>
      <c r="V22" s="315"/>
      <c r="W22" s="315"/>
      <c r="X22" s="315"/>
      <c r="Y22" s="315"/>
      <c r="Z22" s="315"/>
      <c r="AA22" s="315"/>
      <c r="AB22" s="315"/>
      <c r="AC22" s="315"/>
      <c r="AD22" s="315"/>
      <c r="AE22" s="315"/>
      <c r="AF22" s="315"/>
      <c r="AG22" s="315"/>
      <c r="AH22" s="315"/>
      <c r="AI22" s="316"/>
      <c r="AJ22" s="314"/>
      <c r="AK22" s="315"/>
      <c r="AL22" s="316"/>
      <c r="AM22" s="314"/>
      <c r="AN22" s="315"/>
      <c r="AO22" s="316"/>
      <c r="AP22" s="314"/>
      <c r="AQ22" s="315"/>
      <c r="AR22" s="315"/>
      <c r="AS22" s="315"/>
      <c r="AT22" s="316"/>
      <c r="AU22" s="314" t="s">
        <v>47</v>
      </c>
      <c r="AV22" s="315" t="s">
        <v>150</v>
      </c>
      <c r="AW22" s="315" t="s">
        <v>148</v>
      </c>
      <c r="AX22" s="315" t="s">
        <v>150</v>
      </c>
      <c r="AY22" s="315" t="s">
        <v>147</v>
      </c>
      <c r="AZ22" s="315" t="s">
        <v>147</v>
      </c>
      <c r="BA22" s="315" t="s">
        <v>147</v>
      </c>
      <c r="BB22" s="316" t="s">
        <v>148</v>
      </c>
      <c r="BC22" s="314" t="s">
        <v>148</v>
      </c>
      <c r="BD22" s="315" t="s">
        <v>147</v>
      </c>
      <c r="BE22" s="315"/>
      <c r="BF22" s="315" t="s">
        <v>147</v>
      </c>
      <c r="BG22" s="316"/>
      <c r="BH22" s="314"/>
      <c r="BI22" s="315"/>
      <c r="BJ22" s="316"/>
      <c r="BK22" s="314" t="s">
        <v>147</v>
      </c>
      <c r="BL22" s="315"/>
      <c r="BM22" s="315"/>
      <c r="BN22" s="316" t="s">
        <v>149</v>
      </c>
      <c r="BO22" s="314" t="s">
        <v>147</v>
      </c>
      <c r="BP22" s="315"/>
      <c r="BQ22" s="315" t="s">
        <v>147</v>
      </c>
      <c r="BR22" s="315"/>
      <c r="BS22" s="315"/>
      <c r="BT22" s="315" t="s">
        <v>147</v>
      </c>
      <c r="BU22" s="315" t="s">
        <v>150</v>
      </c>
      <c r="BV22" s="316"/>
      <c r="BW22" s="314" t="s">
        <v>148</v>
      </c>
      <c r="BX22" s="315"/>
      <c r="BY22" s="315" t="s">
        <v>150</v>
      </c>
      <c r="BZ22" s="315" t="s">
        <v>47</v>
      </c>
      <c r="CA22" s="315" t="s">
        <v>150</v>
      </c>
      <c r="CB22" s="316" t="s">
        <v>150</v>
      </c>
      <c r="CC22" s="314"/>
      <c r="CD22" s="315" t="s">
        <v>147</v>
      </c>
      <c r="CE22" s="316"/>
      <c r="CF22" s="314"/>
      <c r="CG22" s="315"/>
      <c r="CH22" s="315"/>
      <c r="CI22" s="317"/>
      <c r="CK22" s="236">
        <f t="shared" si="5"/>
        <v>1</v>
      </c>
      <c r="CL22" s="237">
        <f t="shared" si="6"/>
        <v>10</v>
      </c>
      <c r="CM22" s="237">
        <f t="shared" si="7"/>
        <v>4</v>
      </c>
      <c r="CN22" s="237">
        <f t="shared" si="8"/>
        <v>6</v>
      </c>
      <c r="CO22" s="238">
        <f t="shared" si="9"/>
        <v>2</v>
      </c>
      <c r="CQ22" s="236" t="str">
        <f>desired_skills(C22,"Specifieke Risico / IAM-kennis/Cross domain","o")</f>
        <v/>
      </c>
      <c r="CR22" s="237" t="str">
        <f>desired_skills(C22,"Specifieke Risico / IAM-kennis/Cross domain","j")</f>
        <v/>
      </c>
      <c r="CS22" s="237" t="str">
        <f>desired_skills(C22,"Specifieke Risico / IAM-kennis/Cross domain","m")</f>
        <v/>
      </c>
      <c r="CT22" s="237" t="str">
        <f>desired_skills(C22,"Specifieke Risico / IAM-kennis/Cross domain","s")</f>
        <v/>
      </c>
      <c r="CU22" s="238" t="str">
        <f>desired_skills(C22,"Specifieke Risico / IAM-kennis/Cross domain","e")</f>
        <v>15</v>
      </c>
      <c r="CW22" s="236" t="str">
        <f>calc_gap('Matrix 171007_1810'!$CK$22,'Matrix 171007_1810'!$CQ$22)</f>
        <v/>
      </c>
      <c r="CX22" s="237" t="str">
        <f>calc_gap('Matrix 171007_1810'!$CL$22,'Matrix 171007_1810'!$CR$22)</f>
        <v/>
      </c>
      <c r="CY22" s="237" t="str">
        <f>calc_gap('Matrix 171007_1810'!$CM$22,'Matrix 171007_1810'!$CS$22)</f>
        <v/>
      </c>
      <c r="CZ22" s="237" t="str">
        <f>calc_gap('Matrix 171007_1810'!$CN$22,'Matrix 171007_1810'!$CT$22)</f>
        <v/>
      </c>
      <c r="DA22" s="238" t="str">
        <f>calc_gap('Matrix 171007_1810'!$CO$22,'Matrix 171007_1810'!$CU$22)</f>
        <v>13</v>
      </c>
    </row>
    <row r="23" spans="2:105" x14ac:dyDescent="0.25">
      <c r="B23" s="435"/>
      <c r="C23" s="291" t="s">
        <v>67</v>
      </c>
      <c r="D23" s="314"/>
      <c r="E23" s="315"/>
      <c r="F23" s="315"/>
      <c r="G23" s="315"/>
      <c r="H23" s="315"/>
      <c r="I23" s="315"/>
      <c r="J23" s="315"/>
      <c r="K23" s="316"/>
      <c r="L23" s="314"/>
      <c r="M23" s="315"/>
      <c r="N23" s="315"/>
      <c r="O23" s="316"/>
      <c r="P23" s="314"/>
      <c r="Q23" s="315"/>
      <c r="R23" s="315"/>
      <c r="S23" s="315"/>
      <c r="T23" s="315"/>
      <c r="U23" s="315"/>
      <c r="V23" s="315"/>
      <c r="W23" s="315"/>
      <c r="X23" s="315"/>
      <c r="Y23" s="315"/>
      <c r="Z23" s="315"/>
      <c r="AA23" s="315"/>
      <c r="AB23" s="315"/>
      <c r="AC23" s="315"/>
      <c r="AD23" s="315"/>
      <c r="AE23" s="315"/>
      <c r="AF23" s="315"/>
      <c r="AG23" s="315"/>
      <c r="AH23" s="315"/>
      <c r="AI23" s="316"/>
      <c r="AJ23" s="314"/>
      <c r="AK23" s="315"/>
      <c r="AL23" s="316"/>
      <c r="AM23" s="314"/>
      <c r="AN23" s="315"/>
      <c r="AO23" s="316"/>
      <c r="AP23" s="314"/>
      <c r="AQ23" s="315"/>
      <c r="AR23" s="315"/>
      <c r="AS23" s="315"/>
      <c r="AT23" s="316"/>
      <c r="AU23" s="314" t="s">
        <v>148</v>
      </c>
      <c r="AV23" s="315" t="s">
        <v>148</v>
      </c>
      <c r="AW23" s="315" t="s">
        <v>148</v>
      </c>
      <c r="AX23" s="315" t="s">
        <v>148</v>
      </c>
      <c r="AY23" s="315" t="s">
        <v>150</v>
      </c>
      <c r="AZ23" s="315"/>
      <c r="BA23" s="315"/>
      <c r="BB23" s="316" t="s">
        <v>148</v>
      </c>
      <c r="BC23" s="314" t="s">
        <v>148</v>
      </c>
      <c r="BD23" s="315" t="s">
        <v>147</v>
      </c>
      <c r="BE23" s="315"/>
      <c r="BF23" s="315" t="s">
        <v>147</v>
      </c>
      <c r="BG23" s="316"/>
      <c r="BH23" s="314"/>
      <c r="BI23" s="315"/>
      <c r="BJ23" s="316"/>
      <c r="BK23" s="314"/>
      <c r="BL23" s="315"/>
      <c r="BM23" s="315"/>
      <c r="BN23" s="316"/>
      <c r="BO23" s="314"/>
      <c r="BP23" s="315"/>
      <c r="BQ23" s="315" t="s">
        <v>148</v>
      </c>
      <c r="BR23" s="315"/>
      <c r="BS23" s="315"/>
      <c r="BT23" s="315" t="s">
        <v>147</v>
      </c>
      <c r="BU23" s="315" t="s">
        <v>150</v>
      </c>
      <c r="BV23" s="316"/>
      <c r="BW23" s="314" t="s">
        <v>150</v>
      </c>
      <c r="BX23" s="315"/>
      <c r="BY23" s="315" t="s">
        <v>148</v>
      </c>
      <c r="BZ23" s="315" t="s">
        <v>150</v>
      </c>
      <c r="CA23" s="315" t="s">
        <v>150</v>
      </c>
      <c r="CB23" s="316" t="s">
        <v>148</v>
      </c>
      <c r="CC23" s="314"/>
      <c r="CD23" s="315" t="s">
        <v>147</v>
      </c>
      <c r="CE23" s="316"/>
      <c r="CF23" s="314"/>
      <c r="CG23" s="315"/>
      <c r="CH23" s="315"/>
      <c r="CI23" s="317"/>
      <c r="CK23" s="236" t="str">
        <f t="shared" si="5"/>
        <v/>
      </c>
      <c r="CL23" s="237">
        <f t="shared" si="6"/>
        <v>4</v>
      </c>
      <c r="CM23" s="237">
        <f t="shared" si="7"/>
        <v>9</v>
      </c>
      <c r="CN23" s="237">
        <f t="shared" si="8"/>
        <v>5</v>
      </c>
      <c r="CO23" s="238" t="str">
        <f t="shared" si="9"/>
        <v/>
      </c>
      <c r="CQ23" s="236" t="str">
        <f>desired_skills(C23,"Specifieke Risico / IAM-kennis/FSE's","o")</f>
        <v/>
      </c>
      <c r="CR23" s="237" t="str">
        <f>desired_skills(C23,"Specifieke Risico / IAM-kennis/FSE's","j")</f>
        <v/>
      </c>
      <c r="CS23" s="237" t="str">
        <f>desired_skills(C23,"Specifieke Risico / IAM-kennis/FSE's","m")</f>
        <v/>
      </c>
      <c r="CT23" s="237" t="str">
        <f>desired_skills(C23,"Specifieke Risico / IAM-kennis/FSE's","s")</f>
        <v/>
      </c>
      <c r="CU23" s="238" t="str">
        <f>desired_skills(C23,"Specifieke Risico / IAM-kennis/FSE's","e")</f>
        <v/>
      </c>
      <c r="CW23" s="236" t="str">
        <f>calc_gap('Matrix 171007_1810'!$CK$23,'Matrix 171007_1810'!$CQ$23)</f>
        <v/>
      </c>
      <c r="CX23" s="237" t="str">
        <f>calc_gap('Matrix 171007_1810'!$CL$23,'Matrix 171007_1810'!$CR$23)</f>
        <v/>
      </c>
      <c r="CY23" s="237" t="str">
        <f>calc_gap('Matrix 171007_1810'!$CM$23,'Matrix 171007_1810'!$CS$23)</f>
        <v/>
      </c>
      <c r="CZ23" s="237" t="str">
        <f>calc_gap('Matrix 171007_1810'!$CN$23,'Matrix 171007_1810'!$CT$23)</f>
        <v/>
      </c>
      <c r="DA23" s="238" t="str">
        <f>calc_gap('Matrix 171007_1810'!$CO$23,'Matrix 171007_1810'!$CU$23)</f>
        <v/>
      </c>
    </row>
    <row r="24" spans="2:105" x14ac:dyDescent="0.25">
      <c r="B24" s="435"/>
      <c r="C24" s="291" t="s">
        <v>68</v>
      </c>
      <c r="D24" s="314"/>
      <c r="E24" s="315"/>
      <c r="F24" s="315"/>
      <c r="G24" s="315"/>
      <c r="H24" s="315"/>
      <c r="I24" s="315"/>
      <c r="J24" s="315"/>
      <c r="K24" s="316"/>
      <c r="L24" s="314"/>
      <c r="M24" s="315"/>
      <c r="N24" s="315"/>
      <c r="O24" s="316"/>
      <c r="P24" s="314"/>
      <c r="Q24" s="315"/>
      <c r="R24" s="315"/>
      <c r="S24" s="315"/>
      <c r="T24" s="315"/>
      <c r="U24" s="315"/>
      <c r="V24" s="315"/>
      <c r="W24" s="315"/>
      <c r="X24" s="315"/>
      <c r="Y24" s="315"/>
      <c r="Z24" s="315"/>
      <c r="AA24" s="315"/>
      <c r="AB24" s="315"/>
      <c r="AC24" s="315"/>
      <c r="AD24" s="315"/>
      <c r="AE24" s="315"/>
      <c r="AF24" s="315"/>
      <c r="AG24" s="315"/>
      <c r="AH24" s="315"/>
      <c r="AI24" s="316"/>
      <c r="AJ24" s="314"/>
      <c r="AK24" s="315"/>
      <c r="AL24" s="316"/>
      <c r="AM24" s="314"/>
      <c r="AN24" s="315"/>
      <c r="AO24" s="316"/>
      <c r="AP24" s="314"/>
      <c r="AQ24" s="315"/>
      <c r="AR24" s="315"/>
      <c r="AS24" s="315"/>
      <c r="AT24" s="316"/>
      <c r="AU24" s="314" t="s">
        <v>148</v>
      </c>
      <c r="AV24" s="315" t="s">
        <v>148</v>
      </c>
      <c r="AW24" s="315" t="s">
        <v>150</v>
      </c>
      <c r="AX24" s="315" t="s">
        <v>47</v>
      </c>
      <c r="AY24" s="315" t="s">
        <v>150</v>
      </c>
      <c r="AZ24" s="315"/>
      <c r="BA24" s="315"/>
      <c r="BB24" s="316" t="s">
        <v>150</v>
      </c>
      <c r="BC24" s="314" t="s">
        <v>147</v>
      </c>
      <c r="BD24" s="315"/>
      <c r="BE24" s="315"/>
      <c r="BF24" s="315" t="s">
        <v>147</v>
      </c>
      <c r="BG24" s="316"/>
      <c r="BH24" s="314"/>
      <c r="BI24" s="315"/>
      <c r="BJ24" s="316"/>
      <c r="BK24" s="314" t="s">
        <v>150</v>
      </c>
      <c r="BL24" s="315" t="s">
        <v>147</v>
      </c>
      <c r="BM24" s="315"/>
      <c r="BN24" s="316" t="s">
        <v>149</v>
      </c>
      <c r="BO24" s="314" t="s">
        <v>148</v>
      </c>
      <c r="BP24" s="315" t="s">
        <v>47</v>
      </c>
      <c r="BQ24" s="315" t="s">
        <v>147</v>
      </c>
      <c r="BR24" s="315"/>
      <c r="BS24" s="315" t="s">
        <v>148</v>
      </c>
      <c r="BT24" s="315" t="s">
        <v>147</v>
      </c>
      <c r="BU24" s="315" t="s">
        <v>150</v>
      </c>
      <c r="BV24" s="316"/>
      <c r="BW24" s="314" t="s">
        <v>150</v>
      </c>
      <c r="BX24" s="315"/>
      <c r="BY24" s="315" t="s">
        <v>148</v>
      </c>
      <c r="BZ24" s="315" t="s">
        <v>47</v>
      </c>
      <c r="CA24" s="315" t="s">
        <v>148</v>
      </c>
      <c r="CB24" s="316" t="s">
        <v>148</v>
      </c>
      <c r="CC24" s="314"/>
      <c r="CD24" s="315" t="s">
        <v>148</v>
      </c>
      <c r="CE24" s="316"/>
      <c r="CF24" s="314"/>
      <c r="CG24" s="315"/>
      <c r="CH24" s="315"/>
      <c r="CI24" s="317"/>
      <c r="CK24" s="236">
        <f t="shared" si="5"/>
        <v>1</v>
      </c>
      <c r="CL24" s="237">
        <f t="shared" si="6"/>
        <v>5</v>
      </c>
      <c r="CM24" s="237">
        <f t="shared" si="7"/>
        <v>8</v>
      </c>
      <c r="CN24" s="237">
        <f t="shared" si="8"/>
        <v>6</v>
      </c>
      <c r="CO24" s="238">
        <f t="shared" si="9"/>
        <v>3</v>
      </c>
      <c r="CQ24" s="236" t="str">
        <f>desired_skills(C24,"Specifieke Risico / IAM-kennis/Toerusten","o")</f>
        <v/>
      </c>
      <c r="CR24" s="237" t="str">
        <f>desired_skills(C24,"Specifieke Risico / IAM-kennis/Toerusten","j")</f>
        <v/>
      </c>
      <c r="CS24" s="237" t="str">
        <f>desired_skills(C24,"Specifieke Risico / IAM-kennis/Toerusten","m")</f>
        <v/>
      </c>
      <c r="CT24" s="237" t="str">
        <f>desired_skills(C24,"Specifieke Risico / IAM-kennis/Toerusten","s")</f>
        <v/>
      </c>
      <c r="CU24" s="238" t="str">
        <f>desired_skills(C24,"Specifieke Risico / IAM-kennis/Toerusten","e")</f>
        <v/>
      </c>
      <c r="CW24" s="236" t="str">
        <f>calc_gap('Matrix 171007_1810'!$CK$24,'Matrix 171007_1810'!$CQ$24)</f>
        <v/>
      </c>
      <c r="CX24" s="237" t="str">
        <f>calc_gap('Matrix 171007_1810'!$CL$24,'Matrix 171007_1810'!$CR$24)</f>
        <v/>
      </c>
      <c r="CY24" s="237" t="str">
        <f>calc_gap('Matrix 171007_1810'!$CM$24,'Matrix 171007_1810'!$CS$24)</f>
        <v/>
      </c>
      <c r="CZ24" s="237" t="str">
        <f>calc_gap('Matrix 171007_1810'!$CN$24,'Matrix 171007_1810'!$CT$24)</f>
        <v/>
      </c>
      <c r="DA24" s="238" t="str">
        <f>calc_gap('Matrix 171007_1810'!$CO$24,'Matrix 171007_1810'!$CU$24)</f>
        <v/>
      </c>
    </row>
    <row r="25" spans="2:105" x14ac:dyDescent="0.25">
      <c r="B25" s="435"/>
      <c r="C25" s="291" t="s">
        <v>69</v>
      </c>
      <c r="D25" s="314"/>
      <c r="E25" s="315"/>
      <c r="F25" s="315"/>
      <c r="G25" s="315"/>
      <c r="H25" s="315"/>
      <c r="I25" s="315"/>
      <c r="J25" s="315"/>
      <c r="K25" s="316"/>
      <c r="L25" s="314"/>
      <c r="M25" s="315"/>
      <c r="N25" s="315"/>
      <c r="O25" s="316"/>
      <c r="P25" s="314"/>
      <c r="Q25" s="315"/>
      <c r="R25" s="315"/>
      <c r="S25" s="315"/>
      <c r="T25" s="315"/>
      <c r="U25" s="315"/>
      <c r="V25" s="315"/>
      <c r="W25" s="315"/>
      <c r="X25" s="315"/>
      <c r="Y25" s="315"/>
      <c r="Z25" s="315"/>
      <c r="AA25" s="315"/>
      <c r="AB25" s="315"/>
      <c r="AC25" s="315"/>
      <c r="AD25" s="315"/>
      <c r="AE25" s="315"/>
      <c r="AF25" s="315"/>
      <c r="AG25" s="315"/>
      <c r="AH25" s="315"/>
      <c r="AI25" s="316"/>
      <c r="AJ25" s="314"/>
      <c r="AK25" s="315"/>
      <c r="AL25" s="316"/>
      <c r="AM25" s="314"/>
      <c r="AN25" s="315"/>
      <c r="AO25" s="316"/>
      <c r="AP25" s="314"/>
      <c r="AQ25" s="315"/>
      <c r="AR25" s="315"/>
      <c r="AS25" s="315"/>
      <c r="AT25" s="316"/>
      <c r="AU25" s="314" t="s">
        <v>148</v>
      </c>
      <c r="AV25" s="315" t="s">
        <v>148</v>
      </c>
      <c r="AW25" s="315" t="s">
        <v>148</v>
      </c>
      <c r="AX25" s="315" t="s">
        <v>150</v>
      </c>
      <c r="AY25" s="315" t="s">
        <v>150</v>
      </c>
      <c r="AZ25" s="315"/>
      <c r="BA25" s="315"/>
      <c r="BB25" s="316" t="s">
        <v>148</v>
      </c>
      <c r="BC25" s="314" t="s">
        <v>147</v>
      </c>
      <c r="BD25" s="315"/>
      <c r="BE25" s="315"/>
      <c r="BF25" s="315" t="s">
        <v>147</v>
      </c>
      <c r="BG25" s="316"/>
      <c r="BH25" s="314"/>
      <c r="BI25" s="315"/>
      <c r="BJ25" s="316"/>
      <c r="BK25" s="314" t="s">
        <v>147</v>
      </c>
      <c r="BL25" s="315" t="s">
        <v>147</v>
      </c>
      <c r="BM25" s="315"/>
      <c r="BN25" s="316" t="s">
        <v>147</v>
      </c>
      <c r="BO25" s="314"/>
      <c r="BP25" s="315" t="s">
        <v>150</v>
      </c>
      <c r="BQ25" s="315" t="s">
        <v>147</v>
      </c>
      <c r="BR25" s="315"/>
      <c r="BS25" s="315"/>
      <c r="BT25" s="315" t="s">
        <v>147</v>
      </c>
      <c r="BU25" s="315" t="s">
        <v>150</v>
      </c>
      <c r="BV25" s="316"/>
      <c r="BW25" s="314" t="s">
        <v>148</v>
      </c>
      <c r="BX25" s="315"/>
      <c r="BY25" s="315" t="s">
        <v>147</v>
      </c>
      <c r="BZ25" s="315" t="s">
        <v>150</v>
      </c>
      <c r="CA25" s="315" t="s">
        <v>147</v>
      </c>
      <c r="CB25" s="316" t="s">
        <v>147</v>
      </c>
      <c r="CC25" s="314"/>
      <c r="CD25" s="315" t="s">
        <v>147</v>
      </c>
      <c r="CE25" s="316"/>
      <c r="CF25" s="314"/>
      <c r="CG25" s="315"/>
      <c r="CH25" s="315"/>
      <c r="CI25" s="317"/>
      <c r="CK25" s="236" t="str">
        <f t="shared" si="5"/>
        <v/>
      </c>
      <c r="CL25" s="237">
        <f t="shared" si="6"/>
        <v>11</v>
      </c>
      <c r="CM25" s="237">
        <f t="shared" si="7"/>
        <v>5</v>
      </c>
      <c r="CN25" s="237">
        <f t="shared" si="8"/>
        <v>5</v>
      </c>
      <c r="CO25" s="238" t="str">
        <f t="shared" si="9"/>
        <v/>
      </c>
      <c r="CQ25" s="236" t="str">
        <f>desired_skills(C25,"Specifieke Risico / IAM-kennis/Authenthiseren","o")</f>
        <v/>
      </c>
      <c r="CR25" s="237" t="str">
        <f>desired_skills(C25,"Specifieke Risico / IAM-kennis/Authenthiseren","j")</f>
        <v/>
      </c>
      <c r="CS25" s="237" t="str">
        <f>desired_skills(C25,"Specifieke Risico / IAM-kennis/Authenthiseren","m")</f>
        <v/>
      </c>
      <c r="CT25" s="237" t="str">
        <f>desired_skills(C25,"Specifieke Risico / IAM-kennis/Authenthiseren","s")</f>
        <v/>
      </c>
      <c r="CU25" s="238" t="str">
        <f>desired_skills(C25,"Specifieke Risico / IAM-kennis/Authenthiseren","e")</f>
        <v/>
      </c>
      <c r="CW25" s="236" t="str">
        <f>calc_gap('Matrix 171007_1810'!$CK$25,'Matrix 171007_1810'!$CQ$25)</f>
        <v/>
      </c>
      <c r="CX25" s="237" t="str">
        <f>calc_gap('Matrix 171007_1810'!$CL$25,'Matrix 171007_1810'!$CR$25)</f>
        <v/>
      </c>
      <c r="CY25" s="237" t="str">
        <f>calc_gap('Matrix 171007_1810'!$CM$25,'Matrix 171007_1810'!$CS$25)</f>
        <v/>
      </c>
      <c r="CZ25" s="237" t="str">
        <f>calc_gap('Matrix 171007_1810'!$CN$25,'Matrix 171007_1810'!$CT$25)</f>
        <v/>
      </c>
      <c r="DA25" s="238" t="str">
        <f>calc_gap('Matrix 171007_1810'!$CO$25,'Matrix 171007_1810'!$CU$25)</f>
        <v/>
      </c>
    </row>
    <row r="26" spans="2:105" ht="15.75" thickBot="1" x14ac:dyDescent="0.3">
      <c r="B26" s="435"/>
      <c r="C26" s="292" t="s">
        <v>75</v>
      </c>
      <c r="D26" s="318"/>
      <c r="E26" s="319"/>
      <c r="F26" s="319"/>
      <c r="G26" s="319"/>
      <c r="H26" s="319"/>
      <c r="I26" s="319"/>
      <c r="J26" s="319"/>
      <c r="K26" s="320"/>
      <c r="L26" s="318"/>
      <c r="M26" s="319"/>
      <c r="N26" s="319"/>
      <c r="O26" s="320"/>
      <c r="P26" s="318"/>
      <c r="Q26" s="319"/>
      <c r="R26" s="319"/>
      <c r="S26" s="319"/>
      <c r="T26" s="319"/>
      <c r="U26" s="319"/>
      <c r="V26" s="319"/>
      <c r="W26" s="319"/>
      <c r="X26" s="319"/>
      <c r="Y26" s="319"/>
      <c r="Z26" s="319"/>
      <c r="AA26" s="319"/>
      <c r="AB26" s="319"/>
      <c r="AC26" s="319"/>
      <c r="AD26" s="319"/>
      <c r="AE26" s="319"/>
      <c r="AF26" s="319"/>
      <c r="AG26" s="319"/>
      <c r="AH26" s="319"/>
      <c r="AI26" s="320"/>
      <c r="AJ26" s="318"/>
      <c r="AK26" s="319"/>
      <c r="AL26" s="320"/>
      <c r="AM26" s="318"/>
      <c r="AN26" s="319"/>
      <c r="AO26" s="320"/>
      <c r="AP26" s="318"/>
      <c r="AQ26" s="319"/>
      <c r="AR26" s="319"/>
      <c r="AS26" s="319"/>
      <c r="AT26" s="320"/>
      <c r="AU26" s="318" t="s">
        <v>148</v>
      </c>
      <c r="AV26" s="319" t="s">
        <v>47</v>
      </c>
      <c r="AW26" s="319" t="s">
        <v>150</v>
      </c>
      <c r="AX26" s="319" t="s">
        <v>150</v>
      </c>
      <c r="AY26" s="319" t="s">
        <v>150</v>
      </c>
      <c r="AZ26" s="319"/>
      <c r="BA26" s="319" t="s">
        <v>150</v>
      </c>
      <c r="BB26" s="320" t="s">
        <v>150</v>
      </c>
      <c r="BC26" s="318" t="s">
        <v>147</v>
      </c>
      <c r="BD26" s="319"/>
      <c r="BE26" s="319"/>
      <c r="BF26" s="319" t="s">
        <v>147</v>
      </c>
      <c r="BG26" s="320"/>
      <c r="BH26" s="318"/>
      <c r="BI26" s="319" t="s">
        <v>147</v>
      </c>
      <c r="BJ26" s="320"/>
      <c r="BK26" s="318" t="s">
        <v>148</v>
      </c>
      <c r="BL26" s="319" t="s">
        <v>148</v>
      </c>
      <c r="BM26" s="319"/>
      <c r="BN26" s="320" t="s">
        <v>147</v>
      </c>
      <c r="BO26" s="318" t="s">
        <v>150</v>
      </c>
      <c r="BP26" s="319"/>
      <c r="BQ26" s="319" t="s">
        <v>150</v>
      </c>
      <c r="BR26" s="319"/>
      <c r="BS26" s="319" t="s">
        <v>147</v>
      </c>
      <c r="BT26" s="319" t="s">
        <v>47</v>
      </c>
      <c r="BU26" s="319" t="s">
        <v>47</v>
      </c>
      <c r="BV26" s="320"/>
      <c r="BW26" s="318" t="s">
        <v>47</v>
      </c>
      <c r="BX26" s="319" t="s">
        <v>148</v>
      </c>
      <c r="BY26" s="319" t="s">
        <v>47</v>
      </c>
      <c r="BZ26" s="319" t="s">
        <v>150</v>
      </c>
      <c r="CA26" s="319" t="s">
        <v>47</v>
      </c>
      <c r="CB26" s="320" t="s">
        <v>47</v>
      </c>
      <c r="CC26" s="318"/>
      <c r="CD26" s="319" t="s">
        <v>148</v>
      </c>
      <c r="CE26" s="320"/>
      <c r="CF26" s="318"/>
      <c r="CG26" s="319"/>
      <c r="CH26" s="319"/>
      <c r="CI26" s="321"/>
      <c r="CK26" s="239" t="str">
        <f t="shared" si="5"/>
        <v/>
      </c>
      <c r="CL26" s="240">
        <f t="shared" si="6"/>
        <v>5</v>
      </c>
      <c r="CM26" s="240">
        <f t="shared" si="7"/>
        <v>5</v>
      </c>
      <c r="CN26" s="240">
        <f t="shared" si="8"/>
        <v>8</v>
      </c>
      <c r="CO26" s="241">
        <f t="shared" si="9"/>
        <v>7</v>
      </c>
      <c r="CQ26" s="239" t="str">
        <f>desired_skills(C26,"Specifieke Risico / IAM-kennis/Rolmodellen (RBAC)","o")</f>
        <v/>
      </c>
      <c r="CR26" s="240" t="str">
        <f>desired_skills(C26,"Specifieke Risico / IAM-kennis/Rolmodellen (RBAC)","j")</f>
        <v/>
      </c>
      <c r="CS26" s="240" t="str">
        <f>desired_skills(C26,"Specifieke Risico / IAM-kennis/Rolmodellen (RBAC)","m")</f>
        <v/>
      </c>
      <c r="CT26" s="240" t="str">
        <f>desired_skills(C26,"Specifieke Risico / IAM-kennis/Rolmodellen (RBAC)","s")</f>
        <v/>
      </c>
      <c r="CU26" s="241" t="str">
        <f>desired_skills(C26,"Specifieke Risico / IAM-kennis/Rolmodellen (RBAC)","e")</f>
        <v/>
      </c>
      <c r="CW26" s="239" t="str">
        <f>calc_gap('Matrix 171007_1810'!$CK$26,'Matrix 171007_1810'!$CQ$26)</f>
        <v/>
      </c>
      <c r="CX26" s="240" t="str">
        <f>calc_gap('Matrix 171007_1810'!$CL$26,'Matrix 171007_1810'!$CR$26)</f>
        <v/>
      </c>
      <c r="CY26" s="240" t="str">
        <f>calc_gap('Matrix 171007_1810'!$CM$26,'Matrix 171007_1810'!$CS$26)</f>
        <v/>
      </c>
      <c r="CZ26" s="240" t="str">
        <f>calc_gap('Matrix 171007_1810'!$CN$26,'Matrix 171007_1810'!$CT$26)</f>
        <v/>
      </c>
      <c r="DA26" s="241" t="str">
        <f>calc_gap('Matrix 171007_1810'!$CO$26,'Matrix 171007_1810'!$CU$26)</f>
        <v/>
      </c>
    </row>
    <row r="27" spans="2:105" ht="12.75" customHeight="1" thickTop="1" thickBot="1" x14ac:dyDescent="0.3">
      <c r="B27" s="436"/>
      <c r="C27" s="248"/>
      <c r="D27" s="322"/>
      <c r="E27" s="322"/>
      <c r="F27" s="322"/>
      <c r="G27" s="322"/>
      <c r="H27" s="322"/>
      <c r="I27" s="322"/>
      <c r="J27" s="322"/>
      <c r="K27" s="322"/>
      <c r="L27" s="322"/>
      <c r="M27" s="322"/>
      <c r="N27" s="322"/>
      <c r="O27" s="322"/>
      <c r="P27" s="322"/>
      <c r="Q27" s="322"/>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K27" s="249"/>
      <c r="CL27" s="249"/>
      <c r="CM27" s="249"/>
      <c r="CN27" s="249"/>
      <c r="CO27" s="249"/>
      <c r="CQ27" s="249"/>
      <c r="CR27" s="249"/>
      <c r="CS27" s="249"/>
      <c r="CT27" s="249"/>
      <c r="CU27" s="249"/>
      <c r="CW27" s="249"/>
      <c r="CX27" s="249"/>
      <c r="CY27" s="249"/>
      <c r="CZ27" s="249"/>
      <c r="DA27" s="249"/>
    </row>
    <row r="28" spans="2:105" ht="15.75" thickTop="1" x14ac:dyDescent="0.25">
      <c r="B28" s="434" t="s">
        <v>70</v>
      </c>
      <c r="C28" s="290" t="s">
        <v>71</v>
      </c>
      <c r="D28" s="310"/>
      <c r="E28" s="311"/>
      <c r="F28" s="311"/>
      <c r="G28" s="311"/>
      <c r="H28" s="311"/>
      <c r="I28" s="311"/>
      <c r="J28" s="311"/>
      <c r="K28" s="312"/>
      <c r="L28" s="310"/>
      <c r="M28" s="311"/>
      <c r="N28" s="311"/>
      <c r="O28" s="312"/>
      <c r="P28" s="310"/>
      <c r="Q28" s="311"/>
      <c r="R28" s="311"/>
      <c r="S28" s="311"/>
      <c r="T28" s="311"/>
      <c r="U28" s="311"/>
      <c r="V28" s="311"/>
      <c r="W28" s="311"/>
      <c r="X28" s="311"/>
      <c r="Y28" s="311"/>
      <c r="Z28" s="311"/>
      <c r="AA28" s="311"/>
      <c r="AB28" s="311"/>
      <c r="AC28" s="311"/>
      <c r="AD28" s="311"/>
      <c r="AE28" s="311"/>
      <c r="AF28" s="311"/>
      <c r="AG28" s="311"/>
      <c r="AH28" s="311"/>
      <c r="AI28" s="312"/>
      <c r="AJ28" s="310"/>
      <c r="AK28" s="311"/>
      <c r="AL28" s="312"/>
      <c r="AM28" s="310"/>
      <c r="AN28" s="311"/>
      <c r="AO28" s="312"/>
      <c r="AP28" s="310"/>
      <c r="AQ28" s="311"/>
      <c r="AR28" s="311"/>
      <c r="AS28" s="311"/>
      <c r="AT28" s="312"/>
      <c r="AU28" s="310" t="s">
        <v>148</v>
      </c>
      <c r="AV28" s="311" t="s">
        <v>150</v>
      </c>
      <c r="AW28" s="311" t="s">
        <v>150</v>
      </c>
      <c r="AX28" s="311" t="s">
        <v>150</v>
      </c>
      <c r="AY28" s="311" t="s">
        <v>150</v>
      </c>
      <c r="AZ28" s="311" t="s">
        <v>148</v>
      </c>
      <c r="BA28" s="311" t="s">
        <v>148</v>
      </c>
      <c r="BB28" s="312" t="s">
        <v>47</v>
      </c>
      <c r="BC28" s="310" t="s">
        <v>148</v>
      </c>
      <c r="BD28" s="311" t="s">
        <v>148</v>
      </c>
      <c r="BE28" s="311"/>
      <c r="BF28" s="311" t="s">
        <v>150</v>
      </c>
      <c r="BG28" s="312"/>
      <c r="BH28" s="310"/>
      <c r="BI28" s="311" t="s">
        <v>148</v>
      </c>
      <c r="BJ28" s="312"/>
      <c r="BK28" s="310" t="s">
        <v>147</v>
      </c>
      <c r="BL28" s="311" t="s">
        <v>150</v>
      </c>
      <c r="BM28" s="311"/>
      <c r="BN28" s="312" t="s">
        <v>149</v>
      </c>
      <c r="BO28" s="310" t="s">
        <v>147</v>
      </c>
      <c r="BP28" s="311" t="s">
        <v>150</v>
      </c>
      <c r="BQ28" s="311" t="s">
        <v>147</v>
      </c>
      <c r="BR28" s="311"/>
      <c r="BS28" s="311"/>
      <c r="BT28" s="311" t="s">
        <v>150</v>
      </c>
      <c r="BU28" s="311" t="s">
        <v>148</v>
      </c>
      <c r="BV28" s="312"/>
      <c r="BW28" s="310" t="s">
        <v>148</v>
      </c>
      <c r="BX28" s="311" t="s">
        <v>148</v>
      </c>
      <c r="BY28" s="311" t="s">
        <v>150</v>
      </c>
      <c r="BZ28" s="311" t="s">
        <v>150</v>
      </c>
      <c r="CA28" s="311" t="s">
        <v>150</v>
      </c>
      <c r="CB28" s="312" t="s">
        <v>150</v>
      </c>
      <c r="CC28" s="310" t="s">
        <v>147</v>
      </c>
      <c r="CD28" s="311" t="s">
        <v>148</v>
      </c>
      <c r="CE28" s="312"/>
      <c r="CF28" s="310"/>
      <c r="CG28" s="311"/>
      <c r="CH28" s="311"/>
      <c r="CI28" s="313"/>
      <c r="CK28" s="233">
        <f t="shared" ref="CK28:CK37" si="10">IF(COUNTIF(D28:CI28,"o")&gt;0,COUNTIF(D28:CI28,"o"),"")</f>
        <v>1</v>
      </c>
      <c r="CL28" s="234">
        <f t="shared" ref="CL28:CL37" si="11">IF(COUNTIF(D28:CI28,"j")&gt;0,COUNTIF(D28:CI28,"j"),"")</f>
        <v>4</v>
      </c>
      <c r="CM28" s="234">
        <f t="shared" ref="CM28:CM37" si="12">IF(COUNTIF(D28:CI28,"m")&gt;0,COUNTIF(D28:CI28,"m"),"")</f>
        <v>10</v>
      </c>
      <c r="CN28" s="234">
        <f t="shared" ref="CN28:CN37" si="13">IF(COUNTIF(D28:CI28,"s")&gt;0,COUNTIF(D28:CI28,"s"),"")</f>
        <v>12</v>
      </c>
      <c r="CO28" s="235">
        <f t="shared" ref="CO28:CO37" si="14">IF(COUNTIF(D28:CI28,"e")&gt;0,COUNTIF(D28:CI28,"e"),"")</f>
        <v>1</v>
      </c>
      <c r="CQ28" s="233" t="str">
        <f>desired_skills(C28,"Methodieken/Lean","o")</f>
        <v>16</v>
      </c>
      <c r="CR28" s="234" t="str">
        <f>desired_skills(C28,"Methodieken/Lean","j")</f>
        <v/>
      </c>
      <c r="CS28" s="234" t="str">
        <f>desired_skills(C28,"Methodieken/Lean","m")</f>
        <v/>
      </c>
      <c r="CT28" s="234" t="str">
        <f>desired_skills(C28,"Methodieken/Lean","s")</f>
        <v/>
      </c>
      <c r="CU28" s="235" t="str">
        <f>desired_skills(C28,"Methodieken/Lean","e")</f>
        <v/>
      </c>
      <c r="CW28" s="233" t="str">
        <f>calc_gap('Matrix 171007_1810'!$CK$28,'Matrix 171007_1810'!$CQ$28)</f>
        <v>15</v>
      </c>
      <c r="CX28" s="234" t="str">
        <f>calc_gap('Matrix 171007_1810'!$CL$28,'Matrix 171007_1810'!$CR$28)</f>
        <v/>
      </c>
      <c r="CY28" s="234" t="str">
        <f>calc_gap('Matrix 171007_1810'!$CM$28,'Matrix 171007_1810'!$CS$28)</f>
        <v/>
      </c>
      <c r="CZ28" s="234" t="str">
        <f>calc_gap('Matrix 171007_1810'!$CN$28,'Matrix 171007_1810'!$CT$28)</f>
        <v/>
      </c>
      <c r="DA28" s="235" t="str">
        <f>calc_gap('Matrix 171007_1810'!$CO$28,'Matrix 171007_1810'!$CU$28)</f>
        <v/>
      </c>
    </row>
    <row r="29" spans="2:105" x14ac:dyDescent="0.25">
      <c r="B29" s="435"/>
      <c r="C29" s="291" t="s">
        <v>72</v>
      </c>
      <c r="D29" s="314"/>
      <c r="E29" s="315"/>
      <c r="F29" s="315"/>
      <c r="G29" s="315"/>
      <c r="H29" s="315"/>
      <c r="I29" s="315"/>
      <c r="J29" s="315"/>
      <c r="K29" s="316"/>
      <c r="L29" s="314"/>
      <c r="M29" s="315"/>
      <c r="N29" s="315"/>
      <c r="O29" s="316"/>
      <c r="P29" s="314"/>
      <c r="Q29" s="315"/>
      <c r="R29" s="315"/>
      <c r="S29" s="315"/>
      <c r="T29" s="315"/>
      <c r="U29" s="315"/>
      <c r="V29" s="315"/>
      <c r="W29" s="315"/>
      <c r="X29" s="315"/>
      <c r="Y29" s="315"/>
      <c r="Z29" s="315"/>
      <c r="AA29" s="315"/>
      <c r="AB29" s="315"/>
      <c r="AC29" s="315"/>
      <c r="AD29" s="315"/>
      <c r="AE29" s="315"/>
      <c r="AF29" s="315"/>
      <c r="AG29" s="315"/>
      <c r="AH29" s="315"/>
      <c r="AI29" s="316"/>
      <c r="AJ29" s="314"/>
      <c r="AK29" s="315"/>
      <c r="AL29" s="316"/>
      <c r="AM29" s="314"/>
      <c r="AN29" s="315"/>
      <c r="AO29" s="316"/>
      <c r="AP29" s="314"/>
      <c r="AQ29" s="315"/>
      <c r="AR29" s="315"/>
      <c r="AS29" s="315"/>
      <c r="AT29" s="316"/>
      <c r="AU29" s="314" t="s">
        <v>147</v>
      </c>
      <c r="AV29" s="315" t="s">
        <v>147</v>
      </c>
      <c r="AW29" s="315" t="s">
        <v>149</v>
      </c>
      <c r="AX29" s="315" t="s">
        <v>148</v>
      </c>
      <c r="AY29" s="315" t="s">
        <v>148</v>
      </c>
      <c r="AZ29" s="315"/>
      <c r="BA29" s="315" t="s">
        <v>147</v>
      </c>
      <c r="BB29" s="316" t="s">
        <v>148</v>
      </c>
      <c r="BC29" s="314" t="s">
        <v>150</v>
      </c>
      <c r="BD29" s="315" t="s">
        <v>147</v>
      </c>
      <c r="BE29" s="315"/>
      <c r="BF29" s="315" t="s">
        <v>147</v>
      </c>
      <c r="BG29" s="316"/>
      <c r="BH29" s="314"/>
      <c r="BI29" s="315"/>
      <c r="BJ29" s="316"/>
      <c r="BK29" s="314"/>
      <c r="BL29" s="315" t="s">
        <v>150</v>
      </c>
      <c r="BM29" s="315"/>
      <c r="BN29" s="316"/>
      <c r="BO29" s="314" t="s">
        <v>147</v>
      </c>
      <c r="BP29" s="315" t="s">
        <v>148</v>
      </c>
      <c r="BQ29" s="315"/>
      <c r="BR29" s="315"/>
      <c r="BS29" s="315"/>
      <c r="BT29" s="315"/>
      <c r="BU29" s="315" t="s">
        <v>148</v>
      </c>
      <c r="BV29" s="316"/>
      <c r="BW29" s="314" t="s">
        <v>147</v>
      </c>
      <c r="BX29" s="315"/>
      <c r="BY29" s="315"/>
      <c r="BZ29" s="315" t="s">
        <v>148</v>
      </c>
      <c r="CA29" s="315"/>
      <c r="CB29" s="316"/>
      <c r="CC29" s="314"/>
      <c r="CD29" s="315" t="s">
        <v>147</v>
      </c>
      <c r="CE29" s="316"/>
      <c r="CF29" s="314"/>
      <c r="CG29" s="315"/>
      <c r="CH29" s="315"/>
      <c r="CI29" s="317"/>
      <c r="CK29" s="236">
        <f t="shared" si="10"/>
        <v>1</v>
      </c>
      <c r="CL29" s="237">
        <f t="shared" si="11"/>
        <v>8</v>
      </c>
      <c r="CM29" s="237">
        <f t="shared" si="12"/>
        <v>6</v>
      </c>
      <c r="CN29" s="237">
        <f t="shared" si="13"/>
        <v>2</v>
      </c>
      <c r="CO29" s="238" t="str">
        <f t="shared" si="14"/>
        <v/>
      </c>
      <c r="CQ29" s="236" t="str">
        <f>desired_skills(C29,"Methodieken/DevOps","o")</f>
        <v/>
      </c>
      <c r="CR29" s="237" t="str">
        <f>desired_skills(C29,"Methodieken/DevOps","j")</f>
        <v>17</v>
      </c>
      <c r="CS29" s="237" t="str">
        <f>desired_skills(C29,"Methodieken/DevOps","m")</f>
        <v/>
      </c>
      <c r="CT29" s="237" t="str">
        <f>desired_skills(C29,"Methodieken/DevOps","s")</f>
        <v/>
      </c>
      <c r="CU29" s="238" t="str">
        <f>desired_skills(C29,"Methodieken/DevOps","e")</f>
        <v/>
      </c>
      <c r="CW29" s="236" t="str">
        <f>calc_gap('Matrix 171007_1810'!$CK$29,'Matrix 171007_1810'!$CQ$29)</f>
        <v/>
      </c>
      <c r="CX29" s="237" t="str">
        <f>calc_gap('Matrix 171007_1810'!$CL$29,'Matrix 171007_1810'!$CR$29)</f>
        <v>9</v>
      </c>
      <c r="CY29" s="237" t="str">
        <f>calc_gap('Matrix 171007_1810'!$CM$29,'Matrix 171007_1810'!$CS$29)</f>
        <v/>
      </c>
      <c r="CZ29" s="237" t="str">
        <f>calc_gap('Matrix 171007_1810'!$CN$29,'Matrix 171007_1810'!$CT$29)</f>
        <v/>
      </c>
      <c r="DA29" s="238" t="str">
        <f>calc_gap('Matrix 171007_1810'!$CO$29,'Matrix 171007_1810'!$CU$29)</f>
        <v/>
      </c>
    </row>
    <row r="30" spans="2:105" x14ac:dyDescent="0.25">
      <c r="B30" s="435"/>
      <c r="C30" s="291" t="s">
        <v>73</v>
      </c>
      <c r="D30" s="314"/>
      <c r="E30" s="315"/>
      <c r="F30" s="315"/>
      <c r="G30" s="315"/>
      <c r="H30" s="315"/>
      <c r="I30" s="315"/>
      <c r="J30" s="315"/>
      <c r="K30" s="316"/>
      <c r="L30" s="314"/>
      <c r="M30" s="315"/>
      <c r="N30" s="315"/>
      <c r="O30" s="316"/>
      <c r="P30" s="314"/>
      <c r="Q30" s="315"/>
      <c r="R30" s="315"/>
      <c r="S30" s="315"/>
      <c r="T30" s="315"/>
      <c r="U30" s="315"/>
      <c r="V30" s="315"/>
      <c r="W30" s="315"/>
      <c r="X30" s="315"/>
      <c r="Y30" s="315"/>
      <c r="Z30" s="315"/>
      <c r="AA30" s="315"/>
      <c r="AB30" s="315"/>
      <c r="AC30" s="315"/>
      <c r="AD30" s="315"/>
      <c r="AE30" s="315"/>
      <c r="AF30" s="315"/>
      <c r="AG30" s="315"/>
      <c r="AH30" s="315"/>
      <c r="AI30" s="316"/>
      <c r="AJ30" s="314"/>
      <c r="AK30" s="315"/>
      <c r="AL30" s="316"/>
      <c r="AM30" s="314"/>
      <c r="AN30" s="315"/>
      <c r="AO30" s="316"/>
      <c r="AP30" s="314"/>
      <c r="AQ30" s="315"/>
      <c r="AR30" s="315"/>
      <c r="AS30" s="315"/>
      <c r="AT30" s="316"/>
      <c r="AU30" s="314" t="s">
        <v>148</v>
      </c>
      <c r="AV30" s="315" t="s">
        <v>148</v>
      </c>
      <c r="AW30" s="315" t="s">
        <v>150</v>
      </c>
      <c r="AX30" s="315" t="s">
        <v>150</v>
      </c>
      <c r="AY30" s="315" t="s">
        <v>150</v>
      </c>
      <c r="AZ30" s="315" t="s">
        <v>147</v>
      </c>
      <c r="BA30" s="315" t="s">
        <v>150</v>
      </c>
      <c r="BB30" s="316" t="s">
        <v>148</v>
      </c>
      <c r="BC30" s="314" t="s">
        <v>47</v>
      </c>
      <c r="BD30" s="315" t="s">
        <v>147</v>
      </c>
      <c r="BE30" s="315"/>
      <c r="BF30" s="315" t="s">
        <v>148</v>
      </c>
      <c r="BG30" s="316"/>
      <c r="BH30" s="314"/>
      <c r="BI30" s="315" t="s">
        <v>148</v>
      </c>
      <c r="BJ30" s="316"/>
      <c r="BK30" s="314"/>
      <c r="BL30" s="315" t="s">
        <v>150</v>
      </c>
      <c r="BM30" s="315"/>
      <c r="BN30" s="316" t="s">
        <v>149</v>
      </c>
      <c r="BO30" s="314"/>
      <c r="BP30" s="315"/>
      <c r="BQ30" s="315"/>
      <c r="BR30" s="315"/>
      <c r="BS30" s="315"/>
      <c r="BT30" s="315" t="s">
        <v>147</v>
      </c>
      <c r="BU30" s="315" t="s">
        <v>148</v>
      </c>
      <c r="BV30" s="316"/>
      <c r="BW30" s="314" t="s">
        <v>147</v>
      </c>
      <c r="BX30" s="315"/>
      <c r="BY30" s="315" t="s">
        <v>147</v>
      </c>
      <c r="BZ30" s="315" t="s">
        <v>147</v>
      </c>
      <c r="CA30" s="315" t="s">
        <v>147</v>
      </c>
      <c r="CB30" s="316" t="s">
        <v>147</v>
      </c>
      <c r="CC30" s="314"/>
      <c r="CD30" s="315" t="s">
        <v>147</v>
      </c>
      <c r="CE30" s="316"/>
      <c r="CF30" s="314"/>
      <c r="CG30" s="315"/>
      <c r="CH30" s="315"/>
      <c r="CI30" s="317"/>
      <c r="CK30" s="236">
        <f t="shared" si="10"/>
        <v>1</v>
      </c>
      <c r="CL30" s="237">
        <f t="shared" si="11"/>
        <v>9</v>
      </c>
      <c r="CM30" s="237">
        <f t="shared" si="12"/>
        <v>6</v>
      </c>
      <c r="CN30" s="237">
        <f t="shared" si="13"/>
        <v>5</v>
      </c>
      <c r="CO30" s="238">
        <f t="shared" si="14"/>
        <v>1</v>
      </c>
      <c r="CQ30" s="236" t="str">
        <f>desired_skills(C30,"Methodieken/Agile/scrum","o")</f>
        <v/>
      </c>
      <c r="CR30" s="237" t="str">
        <f>desired_skills(C30,"Methodieken/Agile/scrum","j")</f>
        <v/>
      </c>
      <c r="CS30" s="237" t="str">
        <f>desired_skills(C30,"Methodieken/Agile/scrum","m")</f>
        <v>18</v>
      </c>
      <c r="CT30" s="237" t="str">
        <f>desired_skills(C30,"Methodieken/Agile/scrum","s")</f>
        <v/>
      </c>
      <c r="CU30" s="238" t="str">
        <f>desired_skills(C30,"Methodieken/Agile/scrum","e")</f>
        <v/>
      </c>
      <c r="CW30" s="236" t="str">
        <f>calc_gap('Matrix 171007_1810'!$CK$30,'Matrix 171007_1810'!$CQ$30)</f>
        <v/>
      </c>
      <c r="CX30" s="237" t="str">
        <f>calc_gap('Matrix 171007_1810'!$CL$30,'Matrix 171007_1810'!$CR$30)</f>
        <v/>
      </c>
      <c r="CY30" s="237" t="str">
        <f>calc_gap('Matrix 171007_1810'!$CM$30,'Matrix 171007_1810'!$CS$30)</f>
        <v>12</v>
      </c>
      <c r="CZ30" s="237" t="str">
        <f>calc_gap('Matrix 171007_1810'!$CN$30,'Matrix 171007_1810'!$CT$30)</f>
        <v/>
      </c>
      <c r="DA30" s="238" t="str">
        <f>calc_gap('Matrix 171007_1810'!$CO$30,'Matrix 171007_1810'!$CU$30)</f>
        <v/>
      </c>
    </row>
    <row r="31" spans="2:105" x14ac:dyDescent="0.25">
      <c r="B31" s="435"/>
      <c r="C31" s="291" t="s">
        <v>74</v>
      </c>
      <c r="D31" s="314"/>
      <c r="E31" s="315"/>
      <c r="F31" s="315"/>
      <c r="G31" s="315"/>
      <c r="H31" s="315"/>
      <c r="I31" s="315"/>
      <c r="J31" s="315"/>
      <c r="K31" s="316"/>
      <c r="L31" s="314"/>
      <c r="M31" s="315"/>
      <c r="N31" s="315"/>
      <c r="O31" s="316"/>
      <c r="P31" s="314"/>
      <c r="Q31" s="315"/>
      <c r="R31" s="315"/>
      <c r="S31" s="315"/>
      <c r="T31" s="315"/>
      <c r="U31" s="315"/>
      <c r="V31" s="315"/>
      <c r="W31" s="315"/>
      <c r="X31" s="315"/>
      <c r="Y31" s="315"/>
      <c r="Z31" s="315"/>
      <c r="AA31" s="315"/>
      <c r="AB31" s="315"/>
      <c r="AC31" s="315"/>
      <c r="AD31" s="315"/>
      <c r="AE31" s="315"/>
      <c r="AF31" s="315"/>
      <c r="AG31" s="315"/>
      <c r="AH31" s="315"/>
      <c r="AI31" s="316"/>
      <c r="AJ31" s="314"/>
      <c r="AK31" s="315"/>
      <c r="AL31" s="316"/>
      <c r="AM31" s="314"/>
      <c r="AN31" s="315"/>
      <c r="AO31" s="316"/>
      <c r="AP31" s="314"/>
      <c r="AQ31" s="315"/>
      <c r="AR31" s="315"/>
      <c r="AS31" s="315"/>
      <c r="AT31" s="316"/>
      <c r="AU31" s="314" t="s">
        <v>147</v>
      </c>
      <c r="AV31" s="315" t="s">
        <v>147</v>
      </c>
      <c r="AW31" s="315" t="s">
        <v>147</v>
      </c>
      <c r="AX31" s="315" t="s">
        <v>148</v>
      </c>
      <c r="AY31" s="315" t="s">
        <v>147</v>
      </c>
      <c r="AZ31" s="315"/>
      <c r="BA31" s="315" t="s">
        <v>149</v>
      </c>
      <c r="BB31" s="316" t="s">
        <v>148</v>
      </c>
      <c r="BC31" s="314" t="s">
        <v>147</v>
      </c>
      <c r="BD31" s="315" t="s">
        <v>147</v>
      </c>
      <c r="BE31" s="315"/>
      <c r="BF31" s="315" t="s">
        <v>150</v>
      </c>
      <c r="BG31" s="316"/>
      <c r="BH31" s="314"/>
      <c r="BI31" s="315" t="s">
        <v>148</v>
      </c>
      <c r="BJ31" s="316"/>
      <c r="BK31" s="314"/>
      <c r="BL31" s="315" t="s">
        <v>147</v>
      </c>
      <c r="BM31" s="315"/>
      <c r="BN31" s="316" t="s">
        <v>148</v>
      </c>
      <c r="BO31" s="314"/>
      <c r="BP31" s="315"/>
      <c r="BQ31" s="315"/>
      <c r="BR31" s="315"/>
      <c r="BS31" s="315" t="s">
        <v>147</v>
      </c>
      <c r="BT31" s="315" t="s">
        <v>148</v>
      </c>
      <c r="BU31" s="315" t="s">
        <v>150</v>
      </c>
      <c r="BV31" s="316"/>
      <c r="BW31" s="314"/>
      <c r="BX31" s="315"/>
      <c r="BY31" s="315" t="s">
        <v>148</v>
      </c>
      <c r="BZ31" s="315"/>
      <c r="CA31" s="315" t="s">
        <v>147</v>
      </c>
      <c r="CB31" s="316" t="s">
        <v>147</v>
      </c>
      <c r="CC31" s="314"/>
      <c r="CD31" s="315" t="s">
        <v>147</v>
      </c>
      <c r="CE31" s="316"/>
      <c r="CF31" s="314"/>
      <c r="CG31" s="315"/>
      <c r="CH31" s="315"/>
      <c r="CI31" s="317"/>
      <c r="CK31" s="236">
        <f t="shared" si="10"/>
        <v>1</v>
      </c>
      <c r="CL31" s="237">
        <f t="shared" si="11"/>
        <v>11</v>
      </c>
      <c r="CM31" s="237">
        <f t="shared" si="12"/>
        <v>6</v>
      </c>
      <c r="CN31" s="237">
        <f t="shared" si="13"/>
        <v>2</v>
      </c>
      <c r="CO31" s="238" t="str">
        <f t="shared" si="14"/>
        <v/>
      </c>
      <c r="CQ31" s="236" t="str">
        <f>desired_skills(C31,"Methodieken/BiSL","o")</f>
        <v/>
      </c>
      <c r="CR31" s="237" t="str">
        <f>desired_skills(C31,"Methodieken/BiSL","j")</f>
        <v/>
      </c>
      <c r="CS31" s="237" t="str">
        <f>desired_skills(C31,"Methodieken/BiSL","m")</f>
        <v/>
      </c>
      <c r="CT31" s="237" t="str">
        <f>desired_skills(C31,"Methodieken/BiSL","s")</f>
        <v>19</v>
      </c>
      <c r="CU31" s="238" t="str">
        <f>desired_skills(C31,"Methodieken/BiSL","e")</f>
        <v/>
      </c>
      <c r="CW31" s="236" t="str">
        <f>calc_gap('Matrix 171007_1810'!$CK$31,'Matrix 171007_1810'!$CQ$31)</f>
        <v/>
      </c>
      <c r="CX31" s="237" t="str">
        <f>calc_gap('Matrix 171007_1810'!$CL$31,'Matrix 171007_1810'!$CR$31)</f>
        <v/>
      </c>
      <c r="CY31" s="237" t="str">
        <f>calc_gap('Matrix 171007_1810'!$CM$31,'Matrix 171007_1810'!$CS$31)</f>
        <v/>
      </c>
      <c r="CZ31" s="237" t="str">
        <f>calc_gap('Matrix 171007_1810'!$CN$31,'Matrix 171007_1810'!$CT$31)</f>
        <v>17</v>
      </c>
      <c r="DA31" s="238" t="str">
        <f>calc_gap('Matrix 171007_1810'!$CO$31,'Matrix 171007_1810'!$CU$31)</f>
        <v/>
      </c>
    </row>
    <row r="32" spans="2:105" x14ac:dyDescent="0.25">
      <c r="B32" s="435"/>
      <c r="C32" s="291" t="s">
        <v>76</v>
      </c>
      <c r="D32" s="314"/>
      <c r="E32" s="315"/>
      <c r="F32" s="315"/>
      <c r="G32" s="315"/>
      <c r="H32" s="315"/>
      <c r="I32" s="315"/>
      <c r="J32" s="315"/>
      <c r="K32" s="316"/>
      <c r="L32" s="314"/>
      <c r="M32" s="315"/>
      <c r="N32" s="315"/>
      <c r="O32" s="316"/>
      <c r="P32" s="314"/>
      <c r="Q32" s="315"/>
      <c r="R32" s="315"/>
      <c r="S32" s="315"/>
      <c r="T32" s="315"/>
      <c r="U32" s="315"/>
      <c r="V32" s="315"/>
      <c r="W32" s="315"/>
      <c r="X32" s="315"/>
      <c r="Y32" s="315"/>
      <c r="Z32" s="315"/>
      <c r="AA32" s="315"/>
      <c r="AB32" s="315"/>
      <c r="AC32" s="315"/>
      <c r="AD32" s="315"/>
      <c r="AE32" s="315"/>
      <c r="AF32" s="315"/>
      <c r="AG32" s="315"/>
      <c r="AH32" s="315"/>
      <c r="AI32" s="316"/>
      <c r="AJ32" s="314"/>
      <c r="AK32" s="315"/>
      <c r="AL32" s="316"/>
      <c r="AM32" s="314"/>
      <c r="AN32" s="315"/>
      <c r="AO32" s="316"/>
      <c r="AP32" s="314"/>
      <c r="AQ32" s="315"/>
      <c r="AR32" s="315"/>
      <c r="AS32" s="315"/>
      <c r="AT32" s="316"/>
      <c r="AU32" s="314" t="s">
        <v>150</v>
      </c>
      <c r="AV32" s="315" t="s">
        <v>148</v>
      </c>
      <c r="AW32" s="315" t="s">
        <v>148</v>
      </c>
      <c r="AX32" s="315" t="s">
        <v>150</v>
      </c>
      <c r="AY32" s="315" t="s">
        <v>150</v>
      </c>
      <c r="AZ32" s="315"/>
      <c r="BA32" s="315" t="s">
        <v>150</v>
      </c>
      <c r="BB32" s="316" t="s">
        <v>150</v>
      </c>
      <c r="BC32" s="314" t="s">
        <v>147</v>
      </c>
      <c r="BD32" s="315" t="s">
        <v>149</v>
      </c>
      <c r="BE32" s="315"/>
      <c r="BF32" s="315" t="s">
        <v>147</v>
      </c>
      <c r="BG32" s="316"/>
      <c r="BH32" s="314"/>
      <c r="BI32" s="315"/>
      <c r="BJ32" s="316"/>
      <c r="BK32" s="314"/>
      <c r="BL32" s="315" t="s">
        <v>149</v>
      </c>
      <c r="BM32" s="315"/>
      <c r="BN32" s="316" t="s">
        <v>149</v>
      </c>
      <c r="BO32" s="314"/>
      <c r="BP32" s="315"/>
      <c r="BQ32" s="315"/>
      <c r="BR32" s="315"/>
      <c r="BS32" s="315"/>
      <c r="BT32" s="315"/>
      <c r="BU32" s="315" t="s">
        <v>148</v>
      </c>
      <c r="BV32" s="316"/>
      <c r="BW32" s="314" t="s">
        <v>147</v>
      </c>
      <c r="BX32" s="315"/>
      <c r="BY32" s="315" t="s">
        <v>147</v>
      </c>
      <c r="BZ32" s="315"/>
      <c r="CA32" s="315" t="s">
        <v>147</v>
      </c>
      <c r="CB32" s="316" t="s">
        <v>148</v>
      </c>
      <c r="CC32" s="314"/>
      <c r="CD32" s="315"/>
      <c r="CE32" s="316"/>
      <c r="CF32" s="314"/>
      <c r="CG32" s="315"/>
      <c r="CH32" s="315"/>
      <c r="CI32" s="317"/>
      <c r="CK32" s="236">
        <f t="shared" si="10"/>
        <v>3</v>
      </c>
      <c r="CL32" s="237">
        <f t="shared" si="11"/>
        <v>5</v>
      </c>
      <c r="CM32" s="237">
        <f t="shared" si="12"/>
        <v>4</v>
      </c>
      <c r="CN32" s="237">
        <f t="shared" si="13"/>
        <v>5</v>
      </c>
      <c r="CO32" s="238" t="str">
        <f t="shared" si="14"/>
        <v/>
      </c>
      <c r="CQ32" s="236" t="str">
        <f>desired_skills(C32,"Methodieken/Opstellen (KC)Frameworks","o")</f>
        <v/>
      </c>
      <c r="CR32" s="237" t="str">
        <f>desired_skills(C32,"Methodieken/Opstellen (KC)Frameworks","j")</f>
        <v/>
      </c>
      <c r="CS32" s="237" t="str">
        <f>desired_skills(C32,"Methodieken/Opstellen (KC)Frameworks","m")</f>
        <v/>
      </c>
      <c r="CT32" s="237" t="str">
        <f>desired_skills(C32,"Methodieken/Opstellen (KC)Frameworks","s")</f>
        <v/>
      </c>
      <c r="CU32" s="238" t="str">
        <f>desired_skills(C32,"Methodieken/Opstellen (KC)Frameworks","e")</f>
        <v>20</v>
      </c>
      <c r="CW32" s="236" t="str">
        <f>calc_gap('Matrix 171007_1810'!$CK$32,'Matrix 171007_1810'!$CQ$32)</f>
        <v/>
      </c>
      <c r="CX32" s="237" t="str">
        <f>calc_gap('Matrix 171007_1810'!$CL$32,'Matrix 171007_1810'!$CR$32)</f>
        <v/>
      </c>
      <c r="CY32" s="237" t="str">
        <f>calc_gap('Matrix 171007_1810'!$CM$32,'Matrix 171007_1810'!$CS$32)</f>
        <v/>
      </c>
      <c r="CZ32" s="237" t="str">
        <f>calc_gap('Matrix 171007_1810'!$CN$32,'Matrix 171007_1810'!$CT$32)</f>
        <v/>
      </c>
      <c r="DA32" s="238" t="str">
        <f>calc_gap('Matrix 171007_1810'!$CO$32,'Matrix 171007_1810'!$CU$32)</f>
        <v/>
      </c>
    </row>
    <row r="33" spans="2:105" x14ac:dyDescent="0.25">
      <c r="B33" s="435"/>
      <c r="C33" s="291" t="s">
        <v>77</v>
      </c>
      <c r="D33" s="314"/>
      <c r="E33" s="315"/>
      <c r="F33" s="315"/>
      <c r="G33" s="315"/>
      <c r="H33" s="315"/>
      <c r="I33" s="315"/>
      <c r="J33" s="315"/>
      <c r="K33" s="316"/>
      <c r="L33" s="314"/>
      <c r="M33" s="315"/>
      <c r="N33" s="315"/>
      <c r="O33" s="316"/>
      <c r="P33" s="314"/>
      <c r="Q33" s="315"/>
      <c r="R33" s="315"/>
      <c r="S33" s="315"/>
      <c r="T33" s="315"/>
      <c r="U33" s="315"/>
      <c r="V33" s="315"/>
      <c r="W33" s="315"/>
      <c r="X33" s="315"/>
      <c r="Y33" s="315"/>
      <c r="Z33" s="315"/>
      <c r="AA33" s="315"/>
      <c r="AB33" s="315"/>
      <c r="AC33" s="315"/>
      <c r="AD33" s="315"/>
      <c r="AE33" s="315"/>
      <c r="AF33" s="315"/>
      <c r="AG33" s="315"/>
      <c r="AH33" s="315"/>
      <c r="AI33" s="316"/>
      <c r="AJ33" s="314"/>
      <c r="AK33" s="315"/>
      <c r="AL33" s="316"/>
      <c r="AM33" s="314"/>
      <c r="AN33" s="315"/>
      <c r="AO33" s="316"/>
      <c r="AP33" s="314"/>
      <c r="AQ33" s="315"/>
      <c r="AR33" s="315"/>
      <c r="AS33" s="315"/>
      <c r="AT33" s="316"/>
      <c r="AU33" s="314" t="s">
        <v>148</v>
      </c>
      <c r="AV33" s="315" t="s">
        <v>147</v>
      </c>
      <c r="AW33" s="315" t="s">
        <v>149</v>
      </c>
      <c r="AX33" s="315" t="s">
        <v>148</v>
      </c>
      <c r="AY33" s="315" t="s">
        <v>147</v>
      </c>
      <c r="AZ33" s="315"/>
      <c r="BA33" s="315" t="s">
        <v>149</v>
      </c>
      <c r="BB33" s="316" t="s">
        <v>147</v>
      </c>
      <c r="BC33" s="314" t="s">
        <v>147</v>
      </c>
      <c r="BD33" s="315" t="s">
        <v>150</v>
      </c>
      <c r="BE33" s="315"/>
      <c r="BF33" s="315" t="s">
        <v>150</v>
      </c>
      <c r="BG33" s="316"/>
      <c r="BH33" s="314"/>
      <c r="BI33" s="315" t="s">
        <v>148</v>
      </c>
      <c r="BJ33" s="316"/>
      <c r="BK33" s="314" t="s">
        <v>147</v>
      </c>
      <c r="BL33" s="315" t="s">
        <v>150</v>
      </c>
      <c r="BM33" s="315"/>
      <c r="BN33" s="316" t="s">
        <v>47</v>
      </c>
      <c r="BO33" s="314" t="s">
        <v>148</v>
      </c>
      <c r="BP33" s="315" t="s">
        <v>150</v>
      </c>
      <c r="BQ33" s="315" t="s">
        <v>148</v>
      </c>
      <c r="BR33" s="315"/>
      <c r="BS33" s="315" t="s">
        <v>147</v>
      </c>
      <c r="BT33" s="315" t="s">
        <v>147</v>
      </c>
      <c r="BU33" s="315" t="s">
        <v>150</v>
      </c>
      <c r="BV33" s="316"/>
      <c r="BW33" s="314" t="s">
        <v>148</v>
      </c>
      <c r="BX33" s="315"/>
      <c r="BY33" s="315" t="s">
        <v>150</v>
      </c>
      <c r="BZ33" s="315" t="s">
        <v>150</v>
      </c>
      <c r="CA33" s="315" t="s">
        <v>150</v>
      </c>
      <c r="CB33" s="316" t="s">
        <v>148</v>
      </c>
      <c r="CC33" s="314"/>
      <c r="CD33" s="315"/>
      <c r="CE33" s="316"/>
      <c r="CF33" s="314"/>
      <c r="CG33" s="315"/>
      <c r="CH33" s="315"/>
      <c r="CI33" s="317"/>
      <c r="CK33" s="236">
        <f t="shared" si="10"/>
        <v>2</v>
      </c>
      <c r="CL33" s="237">
        <f t="shared" si="11"/>
        <v>7</v>
      </c>
      <c r="CM33" s="237">
        <f t="shared" si="12"/>
        <v>7</v>
      </c>
      <c r="CN33" s="237">
        <f t="shared" si="13"/>
        <v>8</v>
      </c>
      <c r="CO33" s="238">
        <f t="shared" si="14"/>
        <v>1</v>
      </c>
      <c r="CQ33" s="236" t="str">
        <f>desired_skills(C33,"Methodieken/ITIL","o")</f>
        <v/>
      </c>
      <c r="CR33" s="237" t="str">
        <f>desired_skills(C33,"Methodieken/ITIL","j")</f>
        <v/>
      </c>
      <c r="CS33" s="237" t="str">
        <f>desired_skills(C33,"Methodieken/ITIL","m")</f>
        <v/>
      </c>
      <c r="CT33" s="237" t="str">
        <f>desired_skills(C33,"Methodieken/ITIL","s")</f>
        <v/>
      </c>
      <c r="CU33" s="238" t="str">
        <f>desired_skills(C33,"Methodieken/ITIL","e")</f>
        <v/>
      </c>
      <c r="CW33" s="236" t="str">
        <f>calc_gap('Matrix 171007_1810'!$CK$33,'Matrix 171007_1810'!$CQ$33)</f>
        <v/>
      </c>
      <c r="CX33" s="237" t="str">
        <f>calc_gap('Matrix 171007_1810'!$CL$33,'Matrix 171007_1810'!$CR$33)</f>
        <v/>
      </c>
      <c r="CY33" s="237" t="str">
        <f>calc_gap('Matrix 171007_1810'!$CM$33,'Matrix 171007_1810'!$CS$33)</f>
        <v/>
      </c>
      <c r="CZ33" s="237" t="str">
        <f>calc_gap('Matrix 171007_1810'!$CN$33,'Matrix 171007_1810'!$CT$33)</f>
        <v/>
      </c>
      <c r="DA33" s="238" t="str">
        <f>calc_gap('Matrix 171007_1810'!$CO$33,'Matrix 171007_1810'!$CU$33)</f>
        <v/>
      </c>
    </row>
    <row r="34" spans="2:105" x14ac:dyDescent="0.25">
      <c r="B34" s="435"/>
      <c r="C34" s="291" t="s">
        <v>78</v>
      </c>
      <c r="D34" s="314"/>
      <c r="E34" s="315"/>
      <c r="F34" s="315"/>
      <c r="G34" s="315"/>
      <c r="H34" s="315"/>
      <c r="I34" s="315"/>
      <c r="J34" s="315"/>
      <c r="K34" s="316"/>
      <c r="L34" s="314"/>
      <c r="M34" s="315"/>
      <c r="N34" s="315"/>
      <c r="O34" s="316"/>
      <c r="P34" s="314"/>
      <c r="Q34" s="315"/>
      <c r="R34" s="315"/>
      <c r="S34" s="315"/>
      <c r="T34" s="315"/>
      <c r="U34" s="315"/>
      <c r="V34" s="315"/>
      <c r="W34" s="315"/>
      <c r="X34" s="315"/>
      <c r="Y34" s="315"/>
      <c r="Z34" s="315"/>
      <c r="AA34" s="315"/>
      <c r="AB34" s="315"/>
      <c r="AC34" s="315"/>
      <c r="AD34" s="315"/>
      <c r="AE34" s="315"/>
      <c r="AF34" s="315"/>
      <c r="AG34" s="315"/>
      <c r="AH34" s="315"/>
      <c r="AI34" s="316"/>
      <c r="AJ34" s="314"/>
      <c r="AK34" s="315"/>
      <c r="AL34" s="316"/>
      <c r="AM34" s="314"/>
      <c r="AN34" s="315"/>
      <c r="AO34" s="316"/>
      <c r="AP34" s="314"/>
      <c r="AQ34" s="315"/>
      <c r="AR34" s="315"/>
      <c r="AS34" s="315"/>
      <c r="AT34" s="316"/>
      <c r="AU34" s="314" t="s">
        <v>150</v>
      </c>
      <c r="AV34" s="315" t="s">
        <v>147</v>
      </c>
      <c r="AW34" s="315" t="s">
        <v>148</v>
      </c>
      <c r="AX34" s="315" t="s">
        <v>150</v>
      </c>
      <c r="AY34" s="315" t="s">
        <v>148</v>
      </c>
      <c r="AZ34" s="315" t="s">
        <v>150</v>
      </c>
      <c r="BA34" s="315" t="s">
        <v>47</v>
      </c>
      <c r="BB34" s="316" t="s">
        <v>148</v>
      </c>
      <c r="BC34" s="314" t="s">
        <v>147</v>
      </c>
      <c r="BD34" s="315" t="s">
        <v>149</v>
      </c>
      <c r="BE34" s="315"/>
      <c r="BF34" s="315" t="s">
        <v>150</v>
      </c>
      <c r="BG34" s="316"/>
      <c r="BH34" s="314"/>
      <c r="BI34" s="315" t="s">
        <v>148</v>
      </c>
      <c r="BJ34" s="316"/>
      <c r="BK34" s="314" t="s">
        <v>147</v>
      </c>
      <c r="BL34" s="315" t="s">
        <v>150</v>
      </c>
      <c r="BM34" s="315"/>
      <c r="BN34" s="316" t="s">
        <v>148</v>
      </c>
      <c r="BO34" s="314" t="s">
        <v>148</v>
      </c>
      <c r="BP34" s="315" t="s">
        <v>150</v>
      </c>
      <c r="BQ34" s="315" t="s">
        <v>148</v>
      </c>
      <c r="BR34" s="315"/>
      <c r="BS34" s="315"/>
      <c r="BT34" s="315" t="s">
        <v>148</v>
      </c>
      <c r="BU34" s="315" t="s">
        <v>148</v>
      </c>
      <c r="BV34" s="316"/>
      <c r="BW34" s="314" t="s">
        <v>150</v>
      </c>
      <c r="BX34" s="315" t="s">
        <v>148</v>
      </c>
      <c r="BY34" s="315" t="s">
        <v>150</v>
      </c>
      <c r="BZ34" s="315" t="s">
        <v>148</v>
      </c>
      <c r="CA34" s="315" t="s">
        <v>150</v>
      </c>
      <c r="CB34" s="316" t="s">
        <v>150</v>
      </c>
      <c r="CC34" s="314"/>
      <c r="CD34" s="315" t="s">
        <v>148</v>
      </c>
      <c r="CE34" s="316"/>
      <c r="CF34" s="314"/>
      <c r="CG34" s="315"/>
      <c r="CH34" s="315"/>
      <c r="CI34" s="317"/>
      <c r="CK34" s="236">
        <f t="shared" si="10"/>
        <v>1</v>
      </c>
      <c r="CL34" s="237">
        <f t="shared" si="11"/>
        <v>3</v>
      </c>
      <c r="CM34" s="237">
        <f t="shared" si="12"/>
        <v>12</v>
      </c>
      <c r="CN34" s="237">
        <f t="shared" si="13"/>
        <v>10</v>
      </c>
      <c r="CO34" s="238">
        <f t="shared" si="14"/>
        <v>1</v>
      </c>
      <c r="CQ34" s="236" t="str">
        <f>desired_skills(C34,"Methodieken/Prince 2","o")</f>
        <v/>
      </c>
      <c r="CR34" s="237" t="str">
        <f>desired_skills(C34,"Methodieken/Prince 2","j")</f>
        <v/>
      </c>
      <c r="CS34" s="237" t="str">
        <f>desired_skills(C34,"Methodieken/Prince 2","m")</f>
        <v/>
      </c>
      <c r="CT34" s="237" t="str">
        <f>desired_skills(C34,"Methodieken/Prince 2","s")</f>
        <v/>
      </c>
      <c r="CU34" s="238" t="str">
        <f>desired_skills(C34,"Methodieken/Prince 2","e")</f>
        <v/>
      </c>
      <c r="CW34" s="236" t="str">
        <f>calc_gap('Matrix 171007_1810'!$CK$34,'Matrix 171007_1810'!$CQ$34)</f>
        <v/>
      </c>
      <c r="CX34" s="237" t="str">
        <f>calc_gap('Matrix 171007_1810'!$CL$34,'Matrix 171007_1810'!$CR$34)</f>
        <v/>
      </c>
      <c r="CY34" s="237" t="str">
        <f>calc_gap('Matrix 171007_1810'!$CM$34,'Matrix 171007_1810'!$CS$34)</f>
        <v/>
      </c>
      <c r="CZ34" s="237" t="str">
        <f>calc_gap('Matrix 171007_1810'!$CN$34,'Matrix 171007_1810'!$CT$34)</f>
        <v/>
      </c>
      <c r="DA34" s="238" t="str">
        <f>calc_gap('Matrix 171007_1810'!$CO$34,'Matrix 171007_1810'!$CU$34)</f>
        <v/>
      </c>
    </row>
    <row r="35" spans="2:105" x14ac:dyDescent="0.25">
      <c r="B35" s="435"/>
      <c r="C35" s="291" t="s">
        <v>79</v>
      </c>
      <c r="D35" s="314"/>
      <c r="E35" s="315"/>
      <c r="F35" s="315"/>
      <c r="G35" s="315"/>
      <c r="H35" s="315"/>
      <c r="I35" s="315"/>
      <c r="J35" s="315"/>
      <c r="K35" s="316"/>
      <c r="L35" s="314"/>
      <c r="M35" s="315"/>
      <c r="N35" s="315"/>
      <c r="O35" s="316"/>
      <c r="P35" s="314"/>
      <c r="Q35" s="315"/>
      <c r="R35" s="315"/>
      <c r="S35" s="315"/>
      <c r="T35" s="315"/>
      <c r="U35" s="315"/>
      <c r="V35" s="315"/>
      <c r="W35" s="315"/>
      <c r="X35" s="315"/>
      <c r="Y35" s="315"/>
      <c r="Z35" s="315"/>
      <c r="AA35" s="315"/>
      <c r="AB35" s="315"/>
      <c r="AC35" s="315"/>
      <c r="AD35" s="315"/>
      <c r="AE35" s="315"/>
      <c r="AF35" s="315"/>
      <c r="AG35" s="315"/>
      <c r="AH35" s="315"/>
      <c r="AI35" s="316"/>
      <c r="AJ35" s="314"/>
      <c r="AK35" s="315"/>
      <c r="AL35" s="316"/>
      <c r="AM35" s="314"/>
      <c r="AN35" s="315"/>
      <c r="AO35" s="316"/>
      <c r="AP35" s="314"/>
      <c r="AQ35" s="315"/>
      <c r="AR35" s="315"/>
      <c r="AS35" s="315"/>
      <c r="AT35" s="316"/>
      <c r="AU35" s="314" t="s">
        <v>150</v>
      </c>
      <c r="AV35" s="315" t="s">
        <v>150</v>
      </c>
      <c r="AW35" s="315" t="s">
        <v>150</v>
      </c>
      <c r="AX35" s="315" t="s">
        <v>47</v>
      </c>
      <c r="AY35" s="315" t="s">
        <v>47</v>
      </c>
      <c r="AZ35" s="315"/>
      <c r="BA35" s="315" t="s">
        <v>150</v>
      </c>
      <c r="BB35" s="316" t="s">
        <v>148</v>
      </c>
      <c r="BC35" s="314" t="s">
        <v>147</v>
      </c>
      <c r="BD35" s="315" t="s">
        <v>149</v>
      </c>
      <c r="BE35" s="315"/>
      <c r="BF35" s="315"/>
      <c r="BG35" s="316"/>
      <c r="BH35" s="314"/>
      <c r="BI35" s="315"/>
      <c r="BJ35" s="316"/>
      <c r="BK35" s="314"/>
      <c r="BL35" s="315" t="s">
        <v>150</v>
      </c>
      <c r="BM35" s="315"/>
      <c r="BN35" s="316"/>
      <c r="BO35" s="314"/>
      <c r="BP35" s="315" t="s">
        <v>148</v>
      </c>
      <c r="BQ35" s="315" t="s">
        <v>147</v>
      </c>
      <c r="BR35" s="315"/>
      <c r="BS35" s="315"/>
      <c r="BT35" s="315" t="s">
        <v>148</v>
      </c>
      <c r="BU35" s="315" t="s">
        <v>148</v>
      </c>
      <c r="BV35" s="316"/>
      <c r="BW35" s="314" t="s">
        <v>148</v>
      </c>
      <c r="BX35" s="315" t="s">
        <v>148</v>
      </c>
      <c r="BY35" s="315" t="s">
        <v>150</v>
      </c>
      <c r="BZ35" s="315" t="s">
        <v>147</v>
      </c>
      <c r="CA35" s="315" t="s">
        <v>150</v>
      </c>
      <c r="CB35" s="316" t="s">
        <v>150</v>
      </c>
      <c r="CC35" s="314"/>
      <c r="CD35" s="315"/>
      <c r="CE35" s="316"/>
      <c r="CF35" s="314"/>
      <c r="CG35" s="315"/>
      <c r="CH35" s="315"/>
      <c r="CI35" s="317"/>
      <c r="CK35" s="236">
        <f t="shared" si="10"/>
        <v>1</v>
      </c>
      <c r="CL35" s="237">
        <f t="shared" si="11"/>
        <v>3</v>
      </c>
      <c r="CM35" s="237">
        <f t="shared" si="12"/>
        <v>6</v>
      </c>
      <c r="CN35" s="237">
        <f t="shared" si="13"/>
        <v>8</v>
      </c>
      <c r="CO35" s="238">
        <f t="shared" si="14"/>
        <v>2</v>
      </c>
      <c r="CQ35" s="236" t="str">
        <f>desired_skills(C35,"Methodieken/Sox","o")</f>
        <v/>
      </c>
      <c r="CR35" s="237" t="str">
        <f>desired_skills(C35,"Methodieken/Sox","j")</f>
        <v/>
      </c>
      <c r="CS35" s="237" t="str">
        <f>desired_skills(C35,"Methodieken/Sox","m")</f>
        <v/>
      </c>
      <c r="CT35" s="237" t="str">
        <f>desired_skills(C35,"Methodieken/Sox","s")</f>
        <v/>
      </c>
      <c r="CU35" s="238" t="str">
        <f>desired_skills(C35,"Methodieken/Sox","e")</f>
        <v/>
      </c>
      <c r="CW35" s="236" t="str">
        <f>calc_gap('Matrix 171007_1810'!$CK$35,'Matrix 171007_1810'!$CQ$35)</f>
        <v/>
      </c>
      <c r="CX35" s="237" t="str">
        <f>calc_gap('Matrix 171007_1810'!$CL$35,'Matrix 171007_1810'!$CR$35)</f>
        <v/>
      </c>
      <c r="CY35" s="237" t="str">
        <f>calc_gap('Matrix 171007_1810'!$CM$35,'Matrix 171007_1810'!$CS$35)</f>
        <v/>
      </c>
      <c r="CZ35" s="237" t="str">
        <f>calc_gap('Matrix 171007_1810'!$CN$35,'Matrix 171007_1810'!$CT$35)</f>
        <v/>
      </c>
      <c r="DA35" s="238" t="str">
        <f>calc_gap('Matrix 171007_1810'!$CO$35,'Matrix 171007_1810'!$CU$35)</f>
        <v/>
      </c>
    </row>
    <row r="36" spans="2:105" x14ac:dyDescent="0.25">
      <c r="B36" s="435"/>
      <c r="C36" s="291" t="s">
        <v>80</v>
      </c>
      <c r="D36" s="314"/>
      <c r="E36" s="315"/>
      <c r="F36" s="315"/>
      <c r="G36" s="315"/>
      <c r="H36" s="315"/>
      <c r="I36" s="315"/>
      <c r="J36" s="315"/>
      <c r="K36" s="316"/>
      <c r="L36" s="314"/>
      <c r="M36" s="315"/>
      <c r="N36" s="315"/>
      <c r="O36" s="316"/>
      <c r="P36" s="314"/>
      <c r="Q36" s="315"/>
      <c r="R36" s="315"/>
      <c r="S36" s="315"/>
      <c r="T36" s="315"/>
      <c r="U36" s="315"/>
      <c r="V36" s="315"/>
      <c r="W36" s="315"/>
      <c r="X36" s="315"/>
      <c r="Y36" s="315"/>
      <c r="Z36" s="315"/>
      <c r="AA36" s="315"/>
      <c r="AB36" s="315"/>
      <c r="AC36" s="315"/>
      <c r="AD36" s="315"/>
      <c r="AE36" s="315"/>
      <c r="AF36" s="315"/>
      <c r="AG36" s="315"/>
      <c r="AH36" s="315"/>
      <c r="AI36" s="316"/>
      <c r="AJ36" s="314"/>
      <c r="AK36" s="315"/>
      <c r="AL36" s="316"/>
      <c r="AM36" s="314"/>
      <c r="AN36" s="315"/>
      <c r="AO36" s="316"/>
      <c r="AP36" s="314"/>
      <c r="AQ36" s="315"/>
      <c r="AR36" s="315"/>
      <c r="AS36" s="315"/>
      <c r="AT36" s="316"/>
      <c r="AU36" s="314" t="s">
        <v>150</v>
      </c>
      <c r="AV36" s="315" t="s">
        <v>148</v>
      </c>
      <c r="AW36" s="315" t="s">
        <v>150</v>
      </c>
      <c r="AX36" s="315" t="s">
        <v>150</v>
      </c>
      <c r="AY36" s="315" t="s">
        <v>150</v>
      </c>
      <c r="AZ36" s="315"/>
      <c r="BA36" s="315" t="s">
        <v>147</v>
      </c>
      <c r="BB36" s="316" t="s">
        <v>148</v>
      </c>
      <c r="BC36" s="314" t="s">
        <v>147</v>
      </c>
      <c r="BD36" s="315"/>
      <c r="BE36" s="315"/>
      <c r="BF36" s="315"/>
      <c r="BG36" s="316"/>
      <c r="BH36" s="314"/>
      <c r="BI36" s="315" t="s">
        <v>148</v>
      </c>
      <c r="BJ36" s="316"/>
      <c r="BK36" s="314"/>
      <c r="BL36" s="315" t="s">
        <v>149</v>
      </c>
      <c r="BM36" s="315"/>
      <c r="BN36" s="316"/>
      <c r="BO36" s="314"/>
      <c r="BP36" s="315" t="s">
        <v>147</v>
      </c>
      <c r="BQ36" s="315"/>
      <c r="BR36" s="315"/>
      <c r="BS36" s="315"/>
      <c r="BT36" s="315"/>
      <c r="BU36" s="315" t="s">
        <v>148</v>
      </c>
      <c r="BV36" s="316"/>
      <c r="BW36" s="314" t="s">
        <v>148</v>
      </c>
      <c r="BX36" s="315"/>
      <c r="BY36" s="315" t="s">
        <v>147</v>
      </c>
      <c r="BZ36" s="315"/>
      <c r="CA36" s="315" t="s">
        <v>150</v>
      </c>
      <c r="CB36" s="316" t="s">
        <v>148</v>
      </c>
      <c r="CC36" s="314"/>
      <c r="CD36" s="315"/>
      <c r="CE36" s="316"/>
      <c r="CF36" s="314"/>
      <c r="CG36" s="315"/>
      <c r="CH36" s="315"/>
      <c r="CI36" s="317"/>
      <c r="CK36" s="236">
        <f t="shared" si="10"/>
        <v>1</v>
      </c>
      <c r="CL36" s="237">
        <f t="shared" si="11"/>
        <v>4</v>
      </c>
      <c r="CM36" s="237">
        <f t="shared" si="12"/>
        <v>6</v>
      </c>
      <c r="CN36" s="237">
        <f t="shared" si="13"/>
        <v>5</v>
      </c>
      <c r="CO36" s="238" t="str">
        <f t="shared" si="14"/>
        <v/>
      </c>
      <c r="CQ36" s="236" t="str">
        <f>desired_skills(C36,"Methodieken/Cobit","o")</f>
        <v/>
      </c>
      <c r="CR36" s="237" t="str">
        <f>desired_skills(C36,"Methodieken/Cobit","j")</f>
        <v/>
      </c>
      <c r="CS36" s="237" t="str">
        <f>desired_skills(C36,"Methodieken/Cobit","m")</f>
        <v/>
      </c>
      <c r="CT36" s="237" t="str">
        <f>desired_skills(C36,"Methodieken/Cobit","s")</f>
        <v/>
      </c>
      <c r="CU36" s="238" t="str">
        <f>desired_skills(C36,"Methodieken/Cobit","e")</f>
        <v/>
      </c>
      <c r="CW36" s="236" t="str">
        <f>calc_gap('Matrix 171007_1810'!$CK$36,'Matrix 171007_1810'!$CQ$36)</f>
        <v/>
      </c>
      <c r="CX36" s="237" t="str">
        <f>calc_gap('Matrix 171007_1810'!$CL$36,'Matrix 171007_1810'!$CR$36)</f>
        <v/>
      </c>
      <c r="CY36" s="237" t="str">
        <f>calc_gap('Matrix 171007_1810'!$CM$36,'Matrix 171007_1810'!$CS$36)</f>
        <v/>
      </c>
      <c r="CZ36" s="237" t="str">
        <f>calc_gap('Matrix 171007_1810'!$CN$36,'Matrix 171007_1810'!$CT$36)</f>
        <v/>
      </c>
      <c r="DA36" s="238" t="str">
        <f>calc_gap('Matrix 171007_1810'!$CO$36,'Matrix 171007_1810'!$CU$36)</f>
        <v/>
      </c>
    </row>
    <row r="37" spans="2:105" ht="15.75" thickBot="1" x14ac:dyDescent="0.3">
      <c r="B37" s="435"/>
      <c r="C37" s="292" t="s">
        <v>225</v>
      </c>
      <c r="D37" s="318"/>
      <c r="E37" s="319"/>
      <c r="F37" s="319"/>
      <c r="G37" s="319"/>
      <c r="H37" s="319"/>
      <c r="I37" s="319"/>
      <c r="J37" s="319"/>
      <c r="K37" s="320"/>
      <c r="L37" s="318"/>
      <c r="M37" s="319"/>
      <c r="N37" s="319"/>
      <c r="O37" s="320"/>
      <c r="P37" s="318"/>
      <c r="Q37" s="319"/>
      <c r="R37" s="319"/>
      <c r="S37" s="319"/>
      <c r="T37" s="319"/>
      <c r="U37" s="319"/>
      <c r="V37" s="319"/>
      <c r="W37" s="319"/>
      <c r="X37" s="319"/>
      <c r="Y37" s="319"/>
      <c r="Z37" s="319"/>
      <c r="AA37" s="319"/>
      <c r="AB37" s="319"/>
      <c r="AC37" s="319"/>
      <c r="AD37" s="319"/>
      <c r="AE37" s="319"/>
      <c r="AF37" s="319"/>
      <c r="AG37" s="319"/>
      <c r="AH37" s="319"/>
      <c r="AI37" s="320"/>
      <c r="AJ37" s="318"/>
      <c r="AK37" s="319"/>
      <c r="AL37" s="320"/>
      <c r="AM37" s="318"/>
      <c r="AN37" s="319"/>
      <c r="AO37" s="320"/>
      <c r="AP37" s="318"/>
      <c r="AQ37" s="319"/>
      <c r="AR37" s="319"/>
      <c r="AS37" s="319"/>
      <c r="AT37" s="320"/>
      <c r="AU37" s="318"/>
      <c r="AV37" s="319"/>
      <c r="AW37" s="319"/>
      <c r="AX37" s="319"/>
      <c r="AY37" s="319"/>
      <c r="AZ37" s="319"/>
      <c r="BA37" s="319"/>
      <c r="BB37" s="320"/>
      <c r="BC37" s="318"/>
      <c r="BD37" s="319"/>
      <c r="BE37" s="319"/>
      <c r="BF37" s="319"/>
      <c r="BG37" s="320"/>
      <c r="BH37" s="318"/>
      <c r="BI37" s="319"/>
      <c r="BJ37" s="320"/>
      <c r="BK37" s="318"/>
      <c r="BL37" s="319"/>
      <c r="BM37" s="319"/>
      <c r="BN37" s="320"/>
      <c r="BO37" s="318"/>
      <c r="BP37" s="319"/>
      <c r="BQ37" s="319"/>
      <c r="BR37" s="319"/>
      <c r="BS37" s="319"/>
      <c r="BT37" s="319"/>
      <c r="BU37" s="319"/>
      <c r="BV37" s="320"/>
      <c r="BW37" s="318"/>
      <c r="BX37" s="319"/>
      <c r="BY37" s="319"/>
      <c r="BZ37" s="319"/>
      <c r="CA37" s="319"/>
      <c r="CB37" s="320"/>
      <c r="CC37" s="318"/>
      <c r="CD37" s="319"/>
      <c r="CE37" s="320"/>
      <c r="CF37" s="318"/>
      <c r="CG37" s="319"/>
      <c r="CH37" s="319"/>
      <c r="CI37" s="321"/>
      <c r="CK37" s="239" t="str">
        <f t="shared" si="10"/>
        <v/>
      </c>
      <c r="CL37" s="240" t="str">
        <f t="shared" si="11"/>
        <v/>
      </c>
      <c r="CM37" s="240" t="str">
        <f t="shared" si="12"/>
        <v/>
      </c>
      <c r="CN37" s="240" t="str">
        <f t="shared" si="13"/>
        <v/>
      </c>
      <c r="CO37" s="241" t="str">
        <f t="shared" si="14"/>
        <v/>
      </c>
      <c r="CQ37" s="239" t="str">
        <f>desired_skills(C37,"Methodieken/CISM/CISSP","o")</f>
        <v/>
      </c>
      <c r="CR37" s="240" t="str">
        <f>desired_skills(C37,"Methodieken/CISM/CISSP","j")</f>
        <v/>
      </c>
      <c r="CS37" s="240" t="str">
        <f>desired_skills(C37,"Methodieken/CISM/CISSP","m")</f>
        <v/>
      </c>
      <c r="CT37" s="240" t="str">
        <f>desired_skills(C37,"Methodieken/CISM/CISSP","s")</f>
        <v/>
      </c>
      <c r="CU37" s="241" t="str">
        <f>desired_skills(C37,"Methodieken/CISM/CISSP","e")</f>
        <v/>
      </c>
      <c r="CW37" s="239" t="str">
        <f>calc_gap('Matrix 171007_1810'!$CK$37,'Matrix 171007_1810'!$CQ$37)</f>
        <v/>
      </c>
      <c r="CX37" s="240" t="str">
        <f>calc_gap('Matrix 171007_1810'!$CL$37,'Matrix 171007_1810'!$CR$37)</f>
        <v/>
      </c>
      <c r="CY37" s="240" t="str">
        <f>calc_gap('Matrix 171007_1810'!$CM$37,'Matrix 171007_1810'!$CS$37)</f>
        <v/>
      </c>
      <c r="CZ37" s="240" t="str">
        <f>calc_gap('Matrix 171007_1810'!$CN$37,'Matrix 171007_1810'!$CT$37)</f>
        <v/>
      </c>
      <c r="DA37" s="241" t="str">
        <f>calc_gap('Matrix 171007_1810'!$CO$37,'Matrix 171007_1810'!$CU$37)</f>
        <v/>
      </c>
    </row>
    <row r="38" spans="2:105" ht="12.75" customHeight="1" thickTop="1" thickBot="1" x14ac:dyDescent="0.3">
      <c r="B38" s="436"/>
      <c r="C38" s="248"/>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c r="BA38" s="322"/>
      <c r="BB38" s="322"/>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2"/>
      <c r="CH38" s="322"/>
      <c r="CI38" s="322"/>
      <c r="CK38" s="249"/>
      <c r="CL38" s="249"/>
      <c r="CM38" s="249"/>
      <c r="CN38" s="249"/>
      <c r="CO38" s="249"/>
      <c r="CQ38" s="249"/>
      <c r="CR38" s="249"/>
      <c r="CS38" s="249"/>
      <c r="CT38" s="249"/>
      <c r="CU38" s="249"/>
      <c r="CW38" s="249"/>
      <c r="CX38" s="249"/>
      <c r="CY38" s="249"/>
      <c r="CZ38" s="249"/>
      <c r="DA38" s="249"/>
    </row>
    <row r="39" spans="2:105" ht="15.75" thickTop="1" x14ac:dyDescent="0.25">
      <c r="B39" s="434" t="s">
        <v>81</v>
      </c>
      <c r="C39" s="290" t="s">
        <v>82</v>
      </c>
      <c r="D39" s="310"/>
      <c r="E39" s="311"/>
      <c r="F39" s="311"/>
      <c r="G39" s="311"/>
      <c r="H39" s="311"/>
      <c r="I39" s="311"/>
      <c r="J39" s="311"/>
      <c r="K39" s="312"/>
      <c r="L39" s="310"/>
      <c r="M39" s="311"/>
      <c r="N39" s="311"/>
      <c r="O39" s="312"/>
      <c r="P39" s="310"/>
      <c r="Q39" s="311"/>
      <c r="R39" s="311"/>
      <c r="S39" s="311"/>
      <c r="T39" s="311"/>
      <c r="U39" s="311"/>
      <c r="V39" s="311"/>
      <c r="W39" s="311"/>
      <c r="X39" s="311"/>
      <c r="Y39" s="311"/>
      <c r="Z39" s="311"/>
      <c r="AA39" s="311"/>
      <c r="AB39" s="311"/>
      <c r="AC39" s="311"/>
      <c r="AD39" s="311"/>
      <c r="AE39" s="311"/>
      <c r="AF39" s="311"/>
      <c r="AG39" s="311"/>
      <c r="AH39" s="311"/>
      <c r="AI39" s="312"/>
      <c r="AJ39" s="310"/>
      <c r="AK39" s="311"/>
      <c r="AL39" s="312"/>
      <c r="AM39" s="310"/>
      <c r="AN39" s="311"/>
      <c r="AO39" s="312"/>
      <c r="AP39" s="310"/>
      <c r="AQ39" s="311"/>
      <c r="AR39" s="311"/>
      <c r="AS39" s="311"/>
      <c r="AT39" s="312"/>
      <c r="AU39" s="310" t="s">
        <v>150</v>
      </c>
      <c r="AV39" s="311" t="s">
        <v>148</v>
      </c>
      <c r="AW39" s="311" t="s">
        <v>150</v>
      </c>
      <c r="AX39" s="311" t="s">
        <v>150</v>
      </c>
      <c r="AY39" s="311" t="s">
        <v>148</v>
      </c>
      <c r="AZ39" s="311" t="s">
        <v>148</v>
      </c>
      <c r="BA39" s="311" t="s">
        <v>148</v>
      </c>
      <c r="BB39" s="312" t="s">
        <v>150</v>
      </c>
      <c r="BC39" s="310" t="s">
        <v>148</v>
      </c>
      <c r="BD39" s="311" t="s">
        <v>148</v>
      </c>
      <c r="BE39" s="311"/>
      <c r="BF39" s="311" t="s">
        <v>150</v>
      </c>
      <c r="BG39" s="312"/>
      <c r="BH39" s="310"/>
      <c r="BI39" s="311" t="s">
        <v>147</v>
      </c>
      <c r="BJ39" s="312"/>
      <c r="BK39" s="310" t="s">
        <v>148</v>
      </c>
      <c r="BL39" s="311" t="s">
        <v>150</v>
      </c>
      <c r="BM39" s="311"/>
      <c r="BN39" s="312" t="s">
        <v>148</v>
      </c>
      <c r="BO39" s="310" t="s">
        <v>148</v>
      </c>
      <c r="BP39" s="311" t="s">
        <v>47</v>
      </c>
      <c r="BQ39" s="311" t="s">
        <v>148</v>
      </c>
      <c r="BR39" s="311"/>
      <c r="BS39" s="311"/>
      <c r="BT39" s="311" t="s">
        <v>150</v>
      </c>
      <c r="BU39" s="311" t="s">
        <v>148</v>
      </c>
      <c r="BV39" s="312"/>
      <c r="BW39" s="310" t="s">
        <v>147</v>
      </c>
      <c r="BX39" s="311" t="s">
        <v>148</v>
      </c>
      <c r="BY39" s="311" t="s">
        <v>148</v>
      </c>
      <c r="BZ39" s="311" t="s">
        <v>150</v>
      </c>
      <c r="CA39" s="311" t="s">
        <v>150</v>
      </c>
      <c r="CB39" s="312" t="s">
        <v>150</v>
      </c>
      <c r="CC39" s="310" t="s">
        <v>148</v>
      </c>
      <c r="CD39" s="311" t="s">
        <v>150</v>
      </c>
      <c r="CE39" s="312"/>
      <c r="CF39" s="310"/>
      <c r="CG39" s="311"/>
      <c r="CH39" s="311"/>
      <c r="CI39" s="313"/>
      <c r="CK39" s="233" t="str">
        <f t="shared" ref="CK39:CK50" si="15">IF(COUNTIF(D39:CI39,"o")&gt;0,COUNTIF(D39:CI39,"o"),"")</f>
        <v/>
      </c>
      <c r="CL39" s="234">
        <f t="shared" ref="CL39:CL50" si="16">IF(COUNTIF(D39:CI39,"j")&gt;0,COUNTIF(D39:CI39,"j"),"")</f>
        <v>2</v>
      </c>
      <c r="CM39" s="234">
        <f t="shared" ref="CM39:CM50" si="17">IF(COUNTIF(D39:CI39,"m")&gt;0,COUNTIF(D39:CI39,"m"),"")</f>
        <v>14</v>
      </c>
      <c r="CN39" s="234">
        <f t="shared" ref="CN39:CN50" si="18">IF(COUNTIF(D39:CI39,"s")&gt;0,COUNTIF(D39:CI39,"s"),"")</f>
        <v>11</v>
      </c>
      <c r="CO39" s="235">
        <f t="shared" ref="CO39:CO50" si="19">IF(COUNTIF(D39:CI39,"e")&gt;0,COUNTIF(D39:CI39,"e"),"")</f>
        <v>1</v>
      </c>
      <c r="CQ39" s="233" t="str">
        <f>desired_skills(C39,"Competenties/Overtuigingskracht","o")</f>
        <v>21</v>
      </c>
      <c r="CR39" s="234" t="str">
        <f>desired_skills(C39,"Competenties/Overtuigingskracht","j")</f>
        <v/>
      </c>
      <c r="CS39" s="234" t="str">
        <f>desired_skills(C39,"Competenties/Overtuigingskracht","m")</f>
        <v/>
      </c>
      <c r="CT39" s="234" t="str">
        <f>desired_skills(C39,"Competenties/Overtuigingskracht","s")</f>
        <v/>
      </c>
      <c r="CU39" s="235" t="str">
        <f>desired_skills(C39,"Competenties/Overtuigingskracht","e")</f>
        <v/>
      </c>
      <c r="CW39" s="233" t="str">
        <f>calc_gap('Matrix 171007_1810'!$CK$39,'Matrix 171007_1810'!$CQ$39)</f>
        <v/>
      </c>
      <c r="CX39" s="234" t="str">
        <f>calc_gap('Matrix 171007_1810'!$CL$39,'Matrix 171007_1810'!$CR$39)</f>
        <v/>
      </c>
      <c r="CY39" s="234" t="str">
        <f>calc_gap('Matrix 171007_1810'!$CM$39,'Matrix 171007_1810'!$CS$39)</f>
        <v/>
      </c>
      <c r="CZ39" s="234" t="str">
        <f>calc_gap('Matrix 171007_1810'!$CN$39,'Matrix 171007_1810'!$CT$39)</f>
        <v/>
      </c>
      <c r="DA39" s="235" t="str">
        <f>calc_gap('Matrix 171007_1810'!$CO$39,'Matrix 171007_1810'!$CU$39)</f>
        <v/>
      </c>
    </row>
    <row r="40" spans="2:105" x14ac:dyDescent="0.25">
      <c r="B40" s="435"/>
      <c r="C40" s="291" t="s">
        <v>83</v>
      </c>
      <c r="D40" s="314"/>
      <c r="E40" s="315"/>
      <c r="F40" s="315"/>
      <c r="G40" s="315"/>
      <c r="H40" s="315"/>
      <c r="I40" s="315"/>
      <c r="J40" s="315"/>
      <c r="K40" s="316"/>
      <c r="L40" s="314"/>
      <c r="M40" s="315"/>
      <c r="N40" s="315"/>
      <c r="O40" s="316"/>
      <c r="P40" s="314"/>
      <c r="Q40" s="315"/>
      <c r="R40" s="315"/>
      <c r="S40" s="315"/>
      <c r="T40" s="315"/>
      <c r="U40" s="315"/>
      <c r="V40" s="315"/>
      <c r="W40" s="315"/>
      <c r="X40" s="315"/>
      <c r="Y40" s="315"/>
      <c r="Z40" s="315"/>
      <c r="AA40" s="315"/>
      <c r="AB40" s="315"/>
      <c r="AC40" s="315"/>
      <c r="AD40" s="315"/>
      <c r="AE40" s="315"/>
      <c r="AF40" s="315"/>
      <c r="AG40" s="315"/>
      <c r="AH40" s="315"/>
      <c r="AI40" s="316"/>
      <c r="AJ40" s="314"/>
      <c r="AK40" s="315"/>
      <c r="AL40" s="316"/>
      <c r="AM40" s="314"/>
      <c r="AN40" s="315"/>
      <c r="AO40" s="316"/>
      <c r="AP40" s="314"/>
      <c r="AQ40" s="315"/>
      <c r="AR40" s="315"/>
      <c r="AS40" s="315"/>
      <c r="AT40" s="316"/>
      <c r="AU40" s="314" t="s">
        <v>47</v>
      </c>
      <c r="AV40" s="315" t="s">
        <v>150</v>
      </c>
      <c r="AW40" s="315" t="s">
        <v>150</v>
      </c>
      <c r="AX40" s="315" t="s">
        <v>150</v>
      </c>
      <c r="AY40" s="315" t="s">
        <v>150</v>
      </c>
      <c r="AZ40" s="315" t="s">
        <v>47</v>
      </c>
      <c r="BA40" s="315" t="s">
        <v>47</v>
      </c>
      <c r="BB40" s="316" t="s">
        <v>47</v>
      </c>
      <c r="BC40" s="314" t="s">
        <v>150</v>
      </c>
      <c r="BD40" s="315" t="s">
        <v>148</v>
      </c>
      <c r="BE40" s="315"/>
      <c r="BF40" s="315" t="s">
        <v>47</v>
      </c>
      <c r="BG40" s="316"/>
      <c r="BH40" s="314"/>
      <c r="BI40" s="315" t="s">
        <v>150</v>
      </c>
      <c r="BJ40" s="316"/>
      <c r="BK40" s="314" t="s">
        <v>147</v>
      </c>
      <c r="BL40" s="315" t="s">
        <v>148</v>
      </c>
      <c r="BM40" s="315"/>
      <c r="BN40" s="316" t="s">
        <v>149</v>
      </c>
      <c r="BO40" s="314" t="s">
        <v>148</v>
      </c>
      <c r="BP40" s="315" t="s">
        <v>150</v>
      </c>
      <c r="BQ40" s="315" t="s">
        <v>150</v>
      </c>
      <c r="BR40" s="315"/>
      <c r="BS40" s="315"/>
      <c r="BT40" s="315" t="s">
        <v>150</v>
      </c>
      <c r="BU40" s="315" t="s">
        <v>150</v>
      </c>
      <c r="BV40" s="316"/>
      <c r="BW40" s="314" t="s">
        <v>150</v>
      </c>
      <c r="BX40" s="315" t="s">
        <v>148</v>
      </c>
      <c r="BY40" s="315" t="s">
        <v>150</v>
      </c>
      <c r="BZ40" s="315" t="s">
        <v>150</v>
      </c>
      <c r="CA40" s="315" t="s">
        <v>150</v>
      </c>
      <c r="CB40" s="316" t="s">
        <v>150</v>
      </c>
      <c r="CC40" s="314" t="s">
        <v>147</v>
      </c>
      <c r="CD40" s="315" t="s">
        <v>150</v>
      </c>
      <c r="CE40" s="316"/>
      <c r="CF40" s="314"/>
      <c r="CG40" s="315"/>
      <c r="CH40" s="315"/>
      <c r="CI40" s="317"/>
      <c r="CK40" s="236">
        <f t="shared" si="15"/>
        <v>1</v>
      </c>
      <c r="CL40" s="237">
        <f t="shared" si="16"/>
        <v>2</v>
      </c>
      <c r="CM40" s="237">
        <f t="shared" si="17"/>
        <v>4</v>
      </c>
      <c r="CN40" s="237">
        <f t="shared" si="18"/>
        <v>16</v>
      </c>
      <c r="CO40" s="238">
        <f t="shared" si="19"/>
        <v>5</v>
      </c>
      <c r="CQ40" s="236" t="str">
        <f>desired_skills(C40,"Competenties/Ketendenken/helicopterview","o")</f>
        <v/>
      </c>
      <c r="CR40" s="237" t="str">
        <f>desired_skills(C40,"Competenties/Ketendenken/helicopterview","j")</f>
        <v>22</v>
      </c>
      <c r="CS40" s="237" t="str">
        <f>desired_skills(C40,"Competenties/Ketendenken/helicopterview","m")</f>
        <v/>
      </c>
      <c r="CT40" s="237" t="str">
        <f>desired_skills(C40,"Competenties/Ketendenken/helicopterview","s")</f>
        <v/>
      </c>
      <c r="CU40" s="238" t="str">
        <f>desired_skills(C40,"Competenties/Ketendenken/helicopterview","e")</f>
        <v/>
      </c>
      <c r="CW40" s="236" t="str">
        <f>calc_gap('Matrix 171007_1810'!$CK$40,'Matrix 171007_1810'!$CQ$40)</f>
        <v/>
      </c>
      <c r="CX40" s="237" t="str">
        <f>calc_gap('Matrix 171007_1810'!$CL$40,'Matrix 171007_1810'!$CR$40)</f>
        <v>20</v>
      </c>
      <c r="CY40" s="237" t="str">
        <f>calc_gap('Matrix 171007_1810'!$CM$40,'Matrix 171007_1810'!$CS$40)</f>
        <v/>
      </c>
      <c r="CZ40" s="237" t="str">
        <f>calc_gap('Matrix 171007_1810'!$CN$40,'Matrix 171007_1810'!$CT$40)</f>
        <v/>
      </c>
      <c r="DA40" s="238" t="str">
        <f>calc_gap('Matrix 171007_1810'!$CO$40,'Matrix 171007_1810'!$CU$40)</f>
        <v/>
      </c>
    </row>
    <row r="41" spans="2:105" x14ac:dyDescent="0.25">
      <c r="B41" s="435"/>
      <c r="C41" s="291" t="s">
        <v>84</v>
      </c>
      <c r="D41" s="314"/>
      <c r="E41" s="315"/>
      <c r="F41" s="315"/>
      <c r="G41" s="315"/>
      <c r="H41" s="315"/>
      <c r="I41" s="315"/>
      <c r="J41" s="315"/>
      <c r="K41" s="316"/>
      <c r="L41" s="314"/>
      <c r="M41" s="315"/>
      <c r="N41" s="315"/>
      <c r="O41" s="316"/>
      <c r="P41" s="314"/>
      <c r="Q41" s="315"/>
      <c r="R41" s="315"/>
      <c r="S41" s="315"/>
      <c r="T41" s="315"/>
      <c r="U41" s="315"/>
      <c r="V41" s="315"/>
      <c r="W41" s="315"/>
      <c r="X41" s="315"/>
      <c r="Y41" s="315"/>
      <c r="Z41" s="315"/>
      <c r="AA41" s="315"/>
      <c r="AB41" s="315"/>
      <c r="AC41" s="315"/>
      <c r="AD41" s="315"/>
      <c r="AE41" s="315"/>
      <c r="AF41" s="315"/>
      <c r="AG41" s="315"/>
      <c r="AH41" s="315"/>
      <c r="AI41" s="316"/>
      <c r="AJ41" s="314"/>
      <c r="AK41" s="315"/>
      <c r="AL41" s="316"/>
      <c r="AM41" s="314"/>
      <c r="AN41" s="315"/>
      <c r="AO41" s="316"/>
      <c r="AP41" s="314"/>
      <c r="AQ41" s="315"/>
      <c r="AR41" s="315"/>
      <c r="AS41" s="315"/>
      <c r="AT41" s="316"/>
      <c r="AU41" s="314" t="s">
        <v>150</v>
      </c>
      <c r="AV41" s="315" t="s">
        <v>150</v>
      </c>
      <c r="AW41" s="315" t="s">
        <v>150</v>
      </c>
      <c r="AX41" s="315" t="s">
        <v>150</v>
      </c>
      <c r="AY41" s="315" t="s">
        <v>148</v>
      </c>
      <c r="AZ41" s="315" t="s">
        <v>150</v>
      </c>
      <c r="BA41" s="315" t="s">
        <v>148</v>
      </c>
      <c r="BB41" s="316" t="s">
        <v>150</v>
      </c>
      <c r="BC41" s="314" t="s">
        <v>47</v>
      </c>
      <c r="BD41" s="315" t="s">
        <v>148</v>
      </c>
      <c r="BE41" s="315"/>
      <c r="BF41" s="315" t="s">
        <v>150</v>
      </c>
      <c r="BG41" s="316"/>
      <c r="BH41" s="314"/>
      <c r="BI41" s="315" t="s">
        <v>148</v>
      </c>
      <c r="BJ41" s="316"/>
      <c r="BK41" s="314" t="s">
        <v>147</v>
      </c>
      <c r="BL41" s="315" t="s">
        <v>150</v>
      </c>
      <c r="BM41" s="315"/>
      <c r="BN41" s="316" t="s">
        <v>148</v>
      </c>
      <c r="BO41" s="314" t="s">
        <v>147</v>
      </c>
      <c r="BP41" s="315" t="s">
        <v>148</v>
      </c>
      <c r="BQ41" s="315" t="s">
        <v>148</v>
      </c>
      <c r="BR41" s="315"/>
      <c r="BS41" s="315"/>
      <c r="BT41" s="315" t="s">
        <v>148</v>
      </c>
      <c r="BU41" s="315" t="s">
        <v>148</v>
      </c>
      <c r="BV41" s="316"/>
      <c r="BW41" s="314" t="s">
        <v>148</v>
      </c>
      <c r="BX41" s="315" t="s">
        <v>148</v>
      </c>
      <c r="BY41" s="315" t="s">
        <v>148</v>
      </c>
      <c r="BZ41" s="315" t="s">
        <v>150</v>
      </c>
      <c r="CA41" s="315" t="s">
        <v>148</v>
      </c>
      <c r="CB41" s="316" t="s">
        <v>148</v>
      </c>
      <c r="CC41" s="314" t="s">
        <v>147</v>
      </c>
      <c r="CD41" s="315" t="s">
        <v>148</v>
      </c>
      <c r="CE41" s="316"/>
      <c r="CF41" s="314"/>
      <c r="CG41" s="315"/>
      <c r="CH41" s="315"/>
      <c r="CI41" s="317"/>
      <c r="CK41" s="236" t="str">
        <f t="shared" si="15"/>
        <v/>
      </c>
      <c r="CL41" s="237">
        <f t="shared" si="16"/>
        <v>3</v>
      </c>
      <c r="CM41" s="237">
        <f t="shared" si="17"/>
        <v>15</v>
      </c>
      <c r="CN41" s="237">
        <f t="shared" si="18"/>
        <v>9</v>
      </c>
      <c r="CO41" s="238">
        <f t="shared" si="19"/>
        <v>1</v>
      </c>
      <c r="CQ41" s="236" t="str">
        <f>desired_skills(C41,"Competenties/Presentatievaardigheden","o")</f>
        <v/>
      </c>
      <c r="CR41" s="237" t="str">
        <f>desired_skills(C41,"Competenties/Presentatievaardigheden","j")</f>
        <v/>
      </c>
      <c r="CS41" s="237" t="str">
        <f>desired_skills(C41,"Competenties/Presentatievaardigheden","m")</f>
        <v>23</v>
      </c>
      <c r="CT41" s="237" t="str">
        <f>desired_skills(C41,"Competenties/Presentatievaardigheden","s")</f>
        <v/>
      </c>
      <c r="CU41" s="238" t="str">
        <f>desired_skills(C41,"Competenties/Presentatievaardigheden","e")</f>
        <v/>
      </c>
      <c r="CW41" s="236" t="str">
        <f>calc_gap('Matrix 171007_1810'!$CK$41,'Matrix 171007_1810'!$CQ$41)</f>
        <v/>
      </c>
      <c r="CX41" s="237" t="str">
        <f>calc_gap('Matrix 171007_1810'!$CL$41,'Matrix 171007_1810'!$CR$41)</f>
        <v/>
      </c>
      <c r="CY41" s="237" t="str">
        <f>calc_gap('Matrix 171007_1810'!$CM$41,'Matrix 171007_1810'!$CS$41)</f>
        <v>8</v>
      </c>
      <c r="CZ41" s="237" t="str">
        <f>calc_gap('Matrix 171007_1810'!$CN$41,'Matrix 171007_1810'!$CT$41)</f>
        <v/>
      </c>
      <c r="DA41" s="238" t="str">
        <f>calc_gap('Matrix 171007_1810'!$CO$41,'Matrix 171007_1810'!$CU$41)</f>
        <v/>
      </c>
    </row>
    <row r="42" spans="2:105" x14ac:dyDescent="0.25">
      <c r="B42" s="435"/>
      <c r="C42" s="291" t="s">
        <v>85</v>
      </c>
      <c r="D42" s="314"/>
      <c r="E42" s="315"/>
      <c r="F42" s="315"/>
      <c r="G42" s="315"/>
      <c r="H42" s="315"/>
      <c r="I42" s="315"/>
      <c r="J42" s="315"/>
      <c r="K42" s="316"/>
      <c r="L42" s="314"/>
      <c r="M42" s="315"/>
      <c r="N42" s="315"/>
      <c r="O42" s="316"/>
      <c r="P42" s="314"/>
      <c r="Q42" s="315"/>
      <c r="R42" s="315"/>
      <c r="S42" s="315"/>
      <c r="T42" s="315"/>
      <c r="U42" s="315"/>
      <c r="V42" s="315"/>
      <c r="W42" s="315"/>
      <c r="X42" s="315"/>
      <c r="Y42" s="315"/>
      <c r="Z42" s="315"/>
      <c r="AA42" s="315"/>
      <c r="AB42" s="315"/>
      <c r="AC42" s="315"/>
      <c r="AD42" s="315"/>
      <c r="AE42" s="315"/>
      <c r="AF42" s="315"/>
      <c r="AG42" s="315"/>
      <c r="AH42" s="315"/>
      <c r="AI42" s="316"/>
      <c r="AJ42" s="314"/>
      <c r="AK42" s="315"/>
      <c r="AL42" s="316"/>
      <c r="AM42" s="314"/>
      <c r="AN42" s="315"/>
      <c r="AO42" s="316"/>
      <c r="AP42" s="314"/>
      <c r="AQ42" s="315"/>
      <c r="AR42" s="315"/>
      <c r="AS42" s="315"/>
      <c r="AT42" s="316"/>
      <c r="AU42" s="314" t="s">
        <v>150</v>
      </c>
      <c r="AV42" s="315" t="s">
        <v>148</v>
      </c>
      <c r="AW42" s="315" t="s">
        <v>150</v>
      </c>
      <c r="AX42" s="315" t="s">
        <v>150</v>
      </c>
      <c r="AY42" s="315" t="s">
        <v>150</v>
      </c>
      <c r="AZ42" s="315" t="s">
        <v>150</v>
      </c>
      <c r="BA42" s="315" t="s">
        <v>150</v>
      </c>
      <c r="BB42" s="316" t="s">
        <v>150</v>
      </c>
      <c r="BC42" s="314" t="s">
        <v>150</v>
      </c>
      <c r="BD42" s="315" t="s">
        <v>148</v>
      </c>
      <c r="BE42" s="315"/>
      <c r="BF42" s="315" t="s">
        <v>150</v>
      </c>
      <c r="BG42" s="316"/>
      <c r="BH42" s="314"/>
      <c r="BI42" s="315" t="s">
        <v>149</v>
      </c>
      <c r="BJ42" s="316"/>
      <c r="BK42" s="314" t="s">
        <v>148</v>
      </c>
      <c r="BL42" s="315" t="s">
        <v>148</v>
      </c>
      <c r="BM42" s="315"/>
      <c r="BN42" s="316"/>
      <c r="BO42" s="314" t="s">
        <v>147</v>
      </c>
      <c r="BP42" s="315" t="s">
        <v>150</v>
      </c>
      <c r="BQ42" s="315" t="s">
        <v>148</v>
      </c>
      <c r="BR42" s="315"/>
      <c r="BS42" s="315"/>
      <c r="BT42" s="315" t="s">
        <v>148</v>
      </c>
      <c r="BU42" s="315" t="s">
        <v>148</v>
      </c>
      <c r="BV42" s="316"/>
      <c r="BW42" s="314" t="s">
        <v>148</v>
      </c>
      <c r="BX42" s="315"/>
      <c r="BY42" s="315" t="s">
        <v>150</v>
      </c>
      <c r="BZ42" s="315" t="s">
        <v>150</v>
      </c>
      <c r="CA42" s="315" t="s">
        <v>47</v>
      </c>
      <c r="CB42" s="316" t="s">
        <v>150</v>
      </c>
      <c r="CC42" s="314"/>
      <c r="CD42" s="315" t="s">
        <v>150</v>
      </c>
      <c r="CE42" s="316"/>
      <c r="CF42" s="314"/>
      <c r="CG42" s="315"/>
      <c r="CH42" s="315"/>
      <c r="CI42" s="317"/>
      <c r="CK42" s="236">
        <f t="shared" si="15"/>
        <v>1</v>
      </c>
      <c r="CL42" s="237">
        <f t="shared" si="16"/>
        <v>1</v>
      </c>
      <c r="CM42" s="237">
        <f t="shared" si="17"/>
        <v>8</v>
      </c>
      <c r="CN42" s="237">
        <f t="shared" si="18"/>
        <v>14</v>
      </c>
      <c r="CO42" s="238">
        <f t="shared" si="19"/>
        <v>1</v>
      </c>
      <c r="CQ42" s="236" t="str">
        <f>desired_skills(C42,"Competenties/Stakeholdermanagement","o")</f>
        <v/>
      </c>
      <c r="CR42" s="237" t="str">
        <f>desired_skills(C42,"Competenties/Stakeholdermanagement","j")</f>
        <v/>
      </c>
      <c r="CS42" s="237" t="str">
        <f>desired_skills(C42,"Competenties/Stakeholdermanagement","m")</f>
        <v/>
      </c>
      <c r="CT42" s="237" t="str">
        <f>desired_skills(C42,"Competenties/Stakeholdermanagement","s")</f>
        <v>24</v>
      </c>
      <c r="CU42" s="238" t="str">
        <f>desired_skills(C42,"Competenties/Stakeholdermanagement","e")</f>
        <v/>
      </c>
      <c r="CW42" s="236" t="str">
        <f>calc_gap('Matrix 171007_1810'!$CK$42,'Matrix 171007_1810'!$CQ$42)</f>
        <v/>
      </c>
      <c r="CX42" s="237" t="str">
        <f>calc_gap('Matrix 171007_1810'!$CL$42,'Matrix 171007_1810'!$CR$42)</f>
        <v/>
      </c>
      <c r="CY42" s="237" t="str">
        <f>calc_gap('Matrix 171007_1810'!$CM$42,'Matrix 171007_1810'!$CS$42)</f>
        <v/>
      </c>
      <c r="CZ42" s="237" t="str">
        <f>calc_gap('Matrix 171007_1810'!$CN$42,'Matrix 171007_1810'!$CT$42)</f>
        <v>10</v>
      </c>
      <c r="DA42" s="238" t="str">
        <f>calc_gap('Matrix 171007_1810'!$CO$42,'Matrix 171007_1810'!$CU$42)</f>
        <v/>
      </c>
    </row>
    <row r="43" spans="2:105" x14ac:dyDescent="0.25">
      <c r="B43" s="435"/>
      <c r="C43" s="291" t="s">
        <v>86</v>
      </c>
      <c r="D43" s="314"/>
      <c r="E43" s="315"/>
      <c r="F43" s="315"/>
      <c r="G43" s="315"/>
      <c r="H43" s="315"/>
      <c r="I43" s="315"/>
      <c r="J43" s="315"/>
      <c r="K43" s="316"/>
      <c r="L43" s="314"/>
      <c r="M43" s="315"/>
      <c r="N43" s="315"/>
      <c r="O43" s="316"/>
      <c r="P43" s="314"/>
      <c r="Q43" s="315"/>
      <c r="R43" s="315"/>
      <c r="S43" s="315"/>
      <c r="T43" s="315"/>
      <c r="U43" s="315"/>
      <c r="V43" s="315"/>
      <c r="W43" s="315"/>
      <c r="X43" s="315"/>
      <c r="Y43" s="315"/>
      <c r="Z43" s="315"/>
      <c r="AA43" s="315"/>
      <c r="AB43" s="315"/>
      <c r="AC43" s="315"/>
      <c r="AD43" s="315"/>
      <c r="AE43" s="315"/>
      <c r="AF43" s="315"/>
      <c r="AG43" s="315"/>
      <c r="AH43" s="315"/>
      <c r="AI43" s="316"/>
      <c r="AJ43" s="314"/>
      <c r="AK43" s="315"/>
      <c r="AL43" s="316"/>
      <c r="AM43" s="314"/>
      <c r="AN43" s="315"/>
      <c r="AO43" s="316"/>
      <c r="AP43" s="314"/>
      <c r="AQ43" s="315"/>
      <c r="AR43" s="315"/>
      <c r="AS43" s="315"/>
      <c r="AT43" s="316"/>
      <c r="AU43" s="314" t="s">
        <v>150</v>
      </c>
      <c r="AV43" s="315" t="s">
        <v>150</v>
      </c>
      <c r="AW43" s="315" t="s">
        <v>150</v>
      </c>
      <c r="AX43" s="315" t="s">
        <v>150</v>
      </c>
      <c r="AY43" s="315" t="s">
        <v>150</v>
      </c>
      <c r="AZ43" s="315" t="s">
        <v>150</v>
      </c>
      <c r="BA43" s="315" t="s">
        <v>148</v>
      </c>
      <c r="BB43" s="316" t="s">
        <v>150</v>
      </c>
      <c r="BC43" s="314" t="s">
        <v>150</v>
      </c>
      <c r="BD43" s="315" t="s">
        <v>148</v>
      </c>
      <c r="BE43" s="315"/>
      <c r="BF43" s="315" t="s">
        <v>47</v>
      </c>
      <c r="BG43" s="316"/>
      <c r="BH43" s="314"/>
      <c r="BI43" s="315" t="s">
        <v>150</v>
      </c>
      <c r="BJ43" s="316"/>
      <c r="BK43" s="314" t="s">
        <v>147</v>
      </c>
      <c r="BL43" s="315" t="s">
        <v>148</v>
      </c>
      <c r="BM43" s="315"/>
      <c r="BN43" s="316" t="s">
        <v>148</v>
      </c>
      <c r="BO43" s="314" t="s">
        <v>150</v>
      </c>
      <c r="BP43" s="315" t="s">
        <v>150</v>
      </c>
      <c r="BQ43" s="315" t="s">
        <v>150</v>
      </c>
      <c r="BR43" s="315"/>
      <c r="BS43" s="315" t="s">
        <v>147</v>
      </c>
      <c r="BT43" s="315" t="s">
        <v>150</v>
      </c>
      <c r="BU43" s="315" t="s">
        <v>150</v>
      </c>
      <c r="BV43" s="316"/>
      <c r="BW43" s="314" t="s">
        <v>150</v>
      </c>
      <c r="BX43" s="315" t="s">
        <v>148</v>
      </c>
      <c r="BY43" s="315" t="s">
        <v>47</v>
      </c>
      <c r="BZ43" s="315" t="s">
        <v>150</v>
      </c>
      <c r="CA43" s="315" t="s">
        <v>47</v>
      </c>
      <c r="CB43" s="316" t="s">
        <v>47</v>
      </c>
      <c r="CC43" s="314"/>
      <c r="CD43" s="315" t="s">
        <v>150</v>
      </c>
      <c r="CE43" s="316"/>
      <c r="CF43" s="314"/>
      <c r="CG43" s="315"/>
      <c r="CH43" s="315"/>
      <c r="CI43" s="317"/>
      <c r="CK43" s="236" t="str">
        <f t="shared" si="15"/>
        <v/>
      </c>
      <c r="CL43" s="237">
        <f t="shared" si="16"/>
        <v>2</v>
      </c>
      <c r="CM43" s="237">
        <f t="shared" si="17"/>
        <v>5</v>
      </c>
      <c r="CN43" s="237">
        <f t="shared" si="18"/>
        <v>17</v>
      </c>
      <c r="CO43" s="238">
        <f t="shared" si="19"/>
        <v>4</v>
      </c>
      <c r="CQ43" s="236" t="str">
        <f>desired_skills(C43,"Competenties/Analyse &amp; advies","o")</f>
        <v/>
      </c>
      <c r="CR43" s="237" t="str">
        <f>desired_skills(C43,"Competenties/Analyse &amp; advies","j")</f>
        <v/>
      </c>
      <c r="CS43" s="237" t="str">
        <f>desired_skills(C43,"Competenties/Analyse &amp; advies","m")</f>
        <v/>
      </c>
      <c r="CT43" s="237" t="str">
        <f>desired_skills(C43,"Competenties/Analyse &amp; advies","s")</f>
        <v/>
      </c>
      <c r="CU43" s="238" t="str">
        <f>desired_skills(C43,"Competenties/Analyse &amp; advies","e")</f>
        <v>25</v>
      </c>
      <c r="CW43" s="236" t="str">
        <f>calc_gap('Matrix 171007_1810'!$CK$43,'Matrix 171007_1810'!$CQ$43)</f>
        <v/>
      </c>
      <c r="CX43" s="237" t="str">
        <f>calc_gap('Matrix 171007_1810'!$CL$43,'Matrix 171007_1810'!$CR$43)</f>
        <v/>
      </c>
      <c r="CY43" s="237" t="str">
        <f>calc_gap('Matrix 171007_1810'!$CM$43,'Matrix 171007_1810'!$CS$43)</f>
        <v/>
      </c>
      <c r="CZ43" s="237" t="str">
        <f>calc_gap('Matrix 171007_1810'!$CN$43,'Matrix 171007_1810'!$CT$43)</f>
        <v/>
      </c>
      <c r="DA43" s="238" t="str">
        <f>calc_gap('Matrix 171007_1810'!$CO$43,'Matrix 171007_1810'!$CU$43)</f>
        <v>21</v>
      </c>
    </row>
    <row r="44" spans="2:105" x14ac:dyDescent="0.25">
      <c r="B44" s="435"/>
      <c r="C44" s="291" t="s">
        <v>87</v>
      </c>
      <c r="D44" s="314"/>
      <c r="E44" s="315"/>
      <c r="F44" s="315"/>
      <c r="G44" s="315"/>
      <c r="H44" s="315"/>
      <c r="I44" s="315"/>
      <c r="J44" s="315"/>
      <c r="K44" s="316"/>
      <c r="L44" s="314"/>
      <c r="M44" s="315"/>
      <c r="N44" s="315"/>
      <c r="O44" s="316"/>
      <c r="P44" s="314"/>
      <c r="Q44" s="315"/>
      <c r="R44" s="315"/>
      <c r="S44" s="315"/>
      <c r="T44" s="315"/>
      <c r="U44" s="315"/>
      <c r="V44" s="315"/>
      <c r="W44" s="315"/>
      <c r="X44" s="315"/>
      <c r="Y44" s="315"/>
      <c r="Z44" s="315"/>
      <c r="AA44" s="315"/>
      <c r="AB44" s="315"/>
      <c r="AC44" s="315"/>
      <c r="AD44" s="315"/>
      <c r="AE44" s="315"/>
      <c r="AF44" s="315"/>
      <c r="AG44" s="315"/>
      <c r="AH44" s="315"/>
      <c r="AI44" s="316"/>
      <c r="AJ44" s="314"/>
      <c r="AK44" s="315"/>
      <c r="AL44" s="316"/>
      <c r="AM44" s="314"/>
      <c r="AN44" s="315"/>
      <c r="AO44" s="316"/>
      <c r="AP44" s="314"/>
      <c r="AQ44" s="315"/>
      <c r="AR44" s="315"/>
      <c r="AS44" s="315"/>
      <c r="AT44" s="316"/>
      <c r="AU44" s="314" t="s">
        <v>150</v>
      </c>
      <c r="AV44" s="315" t="s">
        <v>148</v>
      </c>
      <c r="AW44" s="315" t="s">
        <v>150</v>
      </c>
      <c r="AX44" s="315" t="s">
        <v>150</v>
      </c>
      <c r="AY44" s="315" t="s">
        <v>150</v>
      </c>
      <c r="AZ44" s="315" t="s">
        <v>150</v>
      </c>
      <c r="BA44" s="315" t="s">
        <v>150</v>
      </c>
      <c r="BB44" s="316" t="s">
        <v>150</v>
      </c>
      <c r="BC44" s="314" t="s">
        <v>148</v>
      </c>
      <c r="BD44" s="315" t="s">
        <v>148</v>
      </c>
      <c r="BE44" s="315"/>
      <c r="BF44" s="315" t="s">
        <v>150</v>
      </c>
      <c r="BG44" s="316"/>
      <c r="BH44" s="314"/>
      <c r="BI44" s="315" t="s">
        <v>149</v>
      </c>
      <c r="BJ44" s="316"/>
      <c r="BK44" s="314" t="s">
        <v>148</v>
      </c>
      <c r="BL44" s="315" t="s">
        <v>148</v>
      </c>
      <c r="BM44" s="315"/>
      <c r="BN44" s="316" t="s">
        <v>150</v>
      </c>
      <c r="BO44" s="314" t="s">
        <v>148</v>
      </c>
      <c r="BP44" s="315" t="s">
        <v>150</v>
      </c>
      <c r="BQ44" s="315" t="s">
        <v>148</v>
      </c>
      <c r="BR44" s="315"/>
      <c r="BS44" s="315"/>
      <c r="BT44" s="315" t="s">
        <v>150</v>
      </c>
      <c r="BU44" s="315" t="s">
        <v>148</v>
      </c>
      <c r="BV44" s="316"/>
      <c r="BW44" s="314" t="s">
        <v>148</v>
      </c>
      <c r="BX44" s="315" t="s">
        <v>148</v>
      </c>
      <c r="BY44" s="315" t="s">
        <v>47</v>
      </c>
      <c r="BZ44" s="315" t="s">
        <v>148</v>
      </c>
      <c r="CA44" s="315" t="s">
        <v>150</v>
      </c>
      <c r="CB44" s="316" t="s">
        <v>150</v>
      </c>
      <c r="CC44" s="314"/>
      <c r="CD44" s="315" t="s">
        <v>47</v>
      </c>
      <c r="CE44" s="316"/>
      <c r="CF44" s="314"/>
      <c r="CG44" s="315"/>
      <c r="CH44" s="315"/>
      <c r="CI44" s="317"/>
      <c r="CK44" s="236">
        <f t="shared" si="15"/>
        <v>1</v>
      </c>
      <c r="CL44" s="237" t="str">
        <f t="shared" si="16"/>
        <v/>
      </c>
      <c r="CM44" s="237">
        <f t="shared" si="17"/>
        <v>11</v>
      </c>
      <c r="CN44" s="237">
        <f t="shared" si="18"/>
        <v>13</v>
      </c>
      <c r="CO44" s="238">
        <f t="shared" si="19"/>
        <v>2</v>
      </c>
      <c r="CQ44" s="236" t="str">
        <f>desired_skills(C44,"Competenties/Veranderkracht","o")</f>
        <v/>
      </c>
      <c r="CR44" s="237" t="str">
        <f>desired_skills(C44,"Competenties/Veranderkracht","j")</f>
        <v/>
      </c>
      <c r="CS44" s="237" t="str">
        <f>desired_skills(C44,"Competenties/Veranderkracht","m")</f>
        <v/>
      </c>
      <c r="CT44" s="237" t="str">
        <f>desired_skills(C44,"Competenties/Veranderkracht","s")</f>
        <v/>
      </c>
      <c r="CU44" s="238" t="str">
        <f>desired_skills(C44,"Competenties/Veranderkracht","e")</f>
        <v/>
      </c>
      <c r="CW44" s="236" t="str">
        <f>calc_gap('Matrix 171007_1810'!$CK$44,'Matrix 171007_1810'!$CQ$44)</f>
        <v/>
      </c>
      <c r="CX44" s="237" t="str">
        <f>calc_gap('Matrix 171007_1810'!$CL$44,'Matrix 171007_1810'!$CR$44)</f>
        <v/>
      </c>
      <c r="CY44" s="237" t="str">
        <f>calc_gap('Matrix 171007_1810'!$CM$44,'Matrix 171007_1810'!$CS$44)</f>
        <v/>
      </c>
      <c r="CZ44" s="237" t="str">
        <f>calc_gap('Matrix 171007_1810'!$CN$44,'Matrix 171007_1810'!$CT$44)</f>
        <v/>
      </c>
      <c r="DA44" s="238" t="str">
        <f>calc_gap('Matrix 171007_1810'!$CO$44,'Matrix 171007_1810'!$CU$44)</f>
        <v/>
      </c>
    </row>
    <row r="45" spans="2:105" x14ac:dyDescent="0.25">
      <c r="B45" s="435"/>
      <c r="C45" s="291" t="s">
        <v>88</v>
      </c>
      <c r="D45" s="314"/>
      <c r="E45" s="315"/>
      <c r="F45" s="315"/>
      <c r="G45" s="315"/>
      <c r="H45" s="315"/>
      <c r="I45" s="315"/>
      <c r="J45" s="315"/>
      <c r="K45" s="316"/>
      <c r="L45" s="314"/>
      <c r="M45" s="315"/>
      <c r="N45" s="315"/>
      <c r="O45" s="316"/>
      <c r="P45" s="314"/>
      <c r="Q45" s="315"/>
      <c r="R45" s="315"/>
      <c r="S45" s="315"/>
      <c r="T45" s="315"/>
      <c r="U45" s="315"/>
      <c r="V45" s="315"/>
      <c r="W45" s="315"/>
      <c r="X45" s="315"/>
      <c r="Y45" s="315"/>
      <c r="Z45" s="315"/>
      <c r="AA45" s="315"/>
      <c r="AB45" s="315"/>
      <c r="AC45" s="315"/>
      <c r="AD45" s="315"/>
      <c r="AE45" s="315"/>
      <c r="AF45" s="315"/>
      <c r="AG45" s="315"/>
      <c r="AH45" s="315"/>
      <c r="AI45" s="316"/>
      <c r="AJ45" s="314"/>
      <c r="AK45" s="315"/>
      <c r="AL45" s="316"/>
      <c r="AM45" s="314"/>
      <c r="AN45" s="315"/>
      <c r="AO45" s="316"/>
      <c r="AP45" s="314"/>
      <c r="AQ45" s="315"/>
      <c r="AR45" s="315"/>
      <c r="AS45" s="315"/>
      <c r="AT45" s="316"/>
      <c r="AU45" s="314" t="s">
        <v>47</v>
      </c>
      <c r="AV45" s="315" t="s">
        <v>150</v>
      </c>
      <c r="AW45" s="315" t="s">
        <v>150</v>
      </c>
      <c r="AX45" s="315" t="s">
        <v>150</v>
      </c>
      <c r="AY45" s="315" t="s">
        <v>150</v>
      </c>
      <c r="AZ45" s="315" t="s">
        <v>150</v>
      </c>
      <c r="BA45" s="315" t="s">
        <v>150</v>
      </c>
      <c r="BB45" s="316" t="s">
        <v>150</v>
      </c>
      <c r="BC45" s="314" t="s">
        <v>150</v>
      </c>
      <c r="BD45" s="315" t="s">
        <v>150</v>
      </c>
      <c r="BE45" s="315"/>
      <c r="BF45" s="315" t="s">
        <v>150</v>
      </c>
      <c r="BG45" s="316"/>
      <c r="BH45" s="314"/>
      <c r="BI45" s="315" t="s">
        <v>148</v>
      </c>
      <c r="BJ45" s="316"/>
      <c r="BK45" s="314" t="s">
        <v>148</v>
      </c>
      <c r="BL45" s="315" t="s">
        <v>148</v>
      </c>
      <c r="BM45" s="315"/>
      <c r="BN45" s="316" t="s">
        <v>150</v>
      </c>
      <c r="BO45" s="314" t="s">
        <v>150</v>
      </c>
      <c r="BP45" s="315" t="s">
        <v>150</v>
      </c>
      <c r="BQ45" s="315" t="s">
        <v>150</v>
      </c>
      <c r="BR45" s="315"/>
      <c r="BS45" s="315" t="s">
        <v>147</v>
      </c>
      <c r="BT45" s="315" t="s">
        <v>150</v>
      </c>
      <c r="BU45" s="315" t="s">
        <v>150</v>
      </c>
      <c r="BV45" s="316"/>
      <c r="BW45" s="314" t="s">
        <v>150</v>
      </c>
      <c r="BX45" s="315" t="s">
        <v>148</v>
      </c>
      <c r="BY45" s="315" t="s">
        <v>150</v>
      </c>
      <c r="BZ45" s="315" t="s">
        <v>150</v>
      </c>
      <c r="CA45" s="315" t="s">
        <v>47</v>
      </c>
      <c r="CB45" s="316" t="s">
        <v>47</v>
      </c>
      <c r="CC45" s="314" t="s">
        <v>150</v>
      </c>
      <c r="CD45" s="315" t="s">
        <v>150</v>
      </c>
      <c r="CE45" s="316"/>
      <c r="CF45" s="314"/>
      <c r="CG45" s="315"/>
      <c r="CH45" s="315"/>
      <c r="CI45" s="317"/>
      <c r="CK45" s="236" t="str">
        <f t="shared" si="15"/>
        <v/>
      </c>
      <c r="CL45" s="237">
        <f t="shared" si="16"/>
        <v>1</v>
      </c>
      <c r="CM45" s="237">
        <f t="shared" si="17"/>
        <v>4</v>
      </c>
      <c r="CN45" s="237">
        <f t="shared" si="18"/>
        <v>21</v>
      </c>
      <c r="CO45" s="238">
        <f t="shared" si="19"/>
        <v>3</v>
      </c>
      <c r="CQ45" s="236" t="str">
        <f>desired_skills(C45,"Competenties/Zelfsturend","o")</f>
        <v/>
      </c>
      <c r="CR45" s="237" t="str">
        <f>desired_skills(C45,"Competenties/Zelfsturend","j")</f>
        <v/>
      </c>
      <c r="CS45" s="237" t="str">
        <f>desired_skills(C45,"Competenties/Zelfsturend","m")</f>
        <v/>
      </c>
      <c r="CT45" s="237" t="str">
        <f>desired_skills(C45,"Competenties/Zelfsturend","s")</f>
        <v/>
      </c>
      <c r="CU45" s="238" t="str">
        <f>desired_skills(C45,"Competenties/Zelfsturend","e")</f>
        <v/>
      </c>
      <c r="CW45" s="236" t="str">
        <f>calc_gap('Matrix 171007_1810'!$CK$45,'Matrix 171007_1810'!$CQ$45)</f>
        <v/>
      </c>
      <c r="CX45" s="237" t="str">
        <f>calc_gap('Matrix 171007_1810'!$CL$45,'Matrix 171007_1810'!$CR$45)</f>
        <v/>
      </c>
      <c r="CY45" s="237" t="str">
        <f>calc_gap('Matrix 171007_1810'!$CM$45,'Matrix 171007_1810'!$CS$45)</f>
        <v/>
      </c>
      <c r="CZ45" s="237" t="str">
        <f>calc_gap('Matrix 171007_1810'!$CN$45,'Matrix 171007_1810'!$CT$45)</f>
        <v/>
      </c>
      <c r="DA45" s="238" t="str">
        <f>calc_gap('Matrix 171007_1810'!$CO$45,'Matrix 171007_1810'!$CU$45)</f>
        <v/>
      </c>
    </row>
    <row r="46" spans="2:105" x14ac:dyDescent="0.25">
      <c r="B46" s="435"/>
      <c r="C46" s="291" t="s">
        <v>89</v>
      </c>
      <c r="D46" s="314"/>
      <c r="E46" s="315"/>
      <c r="F46" s="315"/>
      <c r="G46" s="315"/>
      <c r="H46" s="315"/>
      <c r="I46" s="315"/>
      <c r="J46" s="315"/>
      <c r="K46" s="316"/>
      <c r="L46" s="314"/>
      <c r="M46" s="315"/>
      <c r="N46" s="315"/>
      <c r="O46" s="316"/>
      <c r="P46" s="314"/>
      <c r="Q46" s="315"/>
      <c r="R46" s="315"/>
      <c r="S46" s="315"/>
      <c r="T46" s="315"/>
      <c r="U46" s="315"/>
      <c r="V46" s="315"/>
      <c r="W46" s="315"/>
      <c r="X46" s="315"/>
      <c r="Y46" s="315"/>
      <c r="Z46" s="315"/>
      <c r="AA46" s="315"/>
      <c r="AB46" s="315"/>
      <c r="AC46" s="315"/>
      <c r="AD46" s="315"/>
      <c r="AE46" s="315"/>
      <c r="AF46" s="315"/>
      <c r="AG46" s="315"/>
      <c r="AH46" s="315"/>
      <c r="AI46" s="316"/>
      <c r="AJ46" s="314"/>
      <c r="AK46" s="315"/>
      <c r="AL46" s="316"/>
      <c r="AM46" s="314"/>
      <c r="AN46" s="315"/>
      <c r="AO46" s="316"/>
      <c r="AP46" s="314"/>
      <c r="AQ46" s="315"/>
      <c r="AR46" s="315"/>
      <c r="AS46" s="315"/>
      <c r="AT46" s="316"/>
      <c r="AU46" s="314" t="s">
        <v>150</v>
      </c>
      <c r="AV46" s="315" t="s">
        <v>148</v>
      </c>
      <c r="AW46" s="315" t="s">
        <v>150</v>
      </c>
      <c r="AX46" s="315" t="s">
        <v>150</v>
      </c>
      <c r="AY46" s="315" t="s">
        <v>148</v>
      </c>
      <c r="AZ46" s="315" t="s">
        <v>150</v>
      </c>
      <c r="BA46" s="315" t="s">
        <v>150</v>
      </c>
      <c r="BB46" s="316" t="s">
        <v>150</v>
      </c>
      <c r="BC46" s="314" t="s">
        <v>150</v>
      </c>
      <c r="BD46" s="315" t="s">
        <v>148</v>
      </c>
      <c r="BE46" s="315"/>
      <c r="BF46" s="315" t="s">
        <v>148</v>
      </c>
      <c r="BG46" s="316"/>
      <c r="BH46" s="314"/>
      <c r="BI46" s="315" t="s">
        <v>147</v>
      </c>
      <c r="BJ46" s="316"/>
      <c r="BK46" s="314" t="s">
        <v>147</v>
      </c>
      <c r="BL46" s="315" t="s">
        <v>148</v>
      </c>
      <c r="BM46" s="315"/>
      <c r="BN46" s="316" t="s">
        <v>148</v>
      </c>
      <c r="BO46" s="314" t="s">
        <v>148</v>
      </c>
      <c r="BP46" s="315" t="s">
        <v>150</v>
      </c>
      <c r="BQ46" s="315" t="s">
        <v>148</v>
      </c>
      <c r="BR46" s="315"/>
      <c r="BS46" s="315"/>
      <c r="BT46" s="315" t="s">
        <v>148</v>
      </c>
      <c r="BU46" s="315" t="s">
        <v>150</v>
      </c>
      <c r="BV46" s="316"/>
      <c r="BW46" s="314" t="s">
        <v>148</v>
      </c>
      <c r="BX46" s="315" t="s">
        <v>148</v>
      </c>
      <c r="BY46" s="315" t="s">
        <v>148</v>
      </c>
      <c r="BZ46" s="315" t="s">
        <v>150</v>
      </c>
      <c r="CA46" s="315" t="s">
        <v>150</v>
      </c>
      <c r="CB46" s="316" t="s">
        <v>148</v>
      </c>
      <c r="CC46" s="314" t="s">
        <v>148</v>
      </c>
      <c r="CD46" s="315" t="s">
        <v>47</v>
      </c>
      <c r="CE46" s="316"/>
      <c r="CF46" s="314"/>
      <c r="CG46" s="315"/>
      <c r="CH46" s="315"/>
      <c r="CI46" s="317"/>
      <c r="CK46" s="236" t="str">
        <f t="shared" si="15"/>
        <v/>
      </c>
      <c r="CL46" s="237">
        <f t="shared" si="16"/>
        <v>2</v>
      </c>
      <c r="CM46" s="237">
        <f t="shared" si="17"/>
        <v>14</v>
      </c>
      <c r="CN46" s="237">
        <f t="shared" si="18"/>
        <v>11</v>
      </c>
      <c r="CO46" s="238">
        <f t="shared" si="19"/>
        <v>1</v>
      </c>
      <c r="CQ46" s="236" t="str">
        <f>desired_skills(C46,"Competenties/Inspireren &amp; beïnvloeden","o")</f>
        <v/>
      </c>
      <c r="CR46" s="237" t="str">
        <f>desired_skills(C46,"Competenties/Inspireren &amp; beïnvloeden","j")</f>
        <v/>
      </c>
      <c r="CS46" s="237" t="str">
        <f>desired_skills(C46,"Competenties/Inspireren &amp; beïnvloeden","m")</f>
        <v/>
      </c>
      <c r="CT46" s="237" t="str">
        <f>desired_skills(C46,"Competenties/Inspireren &amp; beïnvloeden","s")</f>
        <v/>
      </c>
      <c r="CU46" s="238" t="str">
        <f>desired_skills(C46,"Competenties/Inspireren &amp; beïnvloeden","e")</f>
        <v/>
      </c>
      <c r="CW46" s="236" t="str">
        <f>calc_gap('Matrix 171007_1810'!$CK$46,'Matrix 171007_1810'!$CQ$46)</f>
        <v/>
      </c>
      <c r="CX46" s="237" t="str">
        <f>calc_gap('Matrix 171007_1810'!$CL$46,'Matrix 171007_1810'!$CR$46)</f>
        <v/>
      </c>
      <c r="CY46" s="237" t="str">
        <f>calc_gap('Matrix 171007_1810'!$CM$46,'Matrix 171007_1810'!$CS$46)</f>
        <v/>
      </c>
      <c r="CZ46" s="237" t="str">
        <f>calc_gap('Matrix 171007_1810'!$CN$46,'Matrix 171007_1810'!$CT$46)</f>
        <v/>
      </c>
      <c r="DA46" s="238" t="str">
        <f>calc_gap('Matrix 171007_1810'!$CO$46,'Matrix 171007_1810'!$CU$46)</f>
        <v/>
      </c>
    </row>
    <row r="47" spans="2:105" x14ac:dyDescent="0.25">
      <c r="B47" s="435"/>
      <c r="C47" s="291" t="s">
        <v>90</v>
      </c>
      <c r="D47" s="314"/>
      <c r="E47" s="315"/>
      <c r="F47" s="315"/>
      <c r="G47" s="315"/>
      <c r="H47" s="315"/>
      <c r="I47" s="315"/>
      <c r="J47" s="315"/>
      <c r="K47" s="316"/>
      <c r="L47" s="314"/>
      <c r="M47" s="315"/>
      <c r="N47" s="315"/>
      <c r="O47" s="316"/>
      <c r="P47" s="314"/>
      <c r="Q47" s="315"/>
      <c r="R47" s="315"/>
      <c r="S47" s="315"/>
      <c r="T47" s="315"/>
      <c r="U47" s="315"/>
      <c r="V47" s="315"/>
      <c r="W47" s="315"/>
      <c r="X47" s="315"/>
      <c r="Y47" s="315"/>
      <c r="Z47" s="315"/>
      <c r="AA47" s="315"/>
      <c r="AB47" s="315"/>
      <c r="AC47" s="315"/>
      <c r="AD47" s="315"/>
      <c r="AE47" s="315"/>
      <c r="AF47" s="315"/>
      <c r="AG47" s="315"/>
      <c r="AH47" s="315"/>
      <c r="AI47" s="316"/>
      <c r="AJ47" s="314"/>
      <c r="AK47" s="315"/>
      <c r="AL47" s="316"/>
      <c r="AM47" s="314"/>
      <c r="AN47" s="315"/>
      <c r="AO47" s="316"/>
      <c r="AP47" s="314"/>
      <c r="AQ47" s="315"/>
      <c r="AR47" s="315"/>
      <c r="AS47" s="315"/>
      <c r="AT47" s="316"/>
      <c r="AU47" s="314" t="s">
        <v>47</v>
      </c>
      <c r="AV47" s="315" t="s">
        <v>150</v>
      </c>
      <c r="AW47" s="315" t="s">
        <v>150</v>
      </c>
      <c r="AX47" s="315" t="s">
        <v>150</v>
      </c>
      <c r="AY47" s="315" t="s">
        <v>150</v>
      </c>
      <c r="AZ47" s="315" t="s">
        <v>150</v>
      </c>
      <c r="BA47" s="315" t="s">
        <v>150</v>
      </c>
      <c r="BB47" s="316" t="s">
        <v>150</v>
      </c>
      <c r="BC47" s="314" t="s">
        <v>150</v>
      </c>
      <c r="BD47" s="315" t="s">
        <v>148</v>
      </c>
      <c r="BE47" s="315"/>
      <c r="BF47" s="315" t="s">
        <v>150</v>
      </c>
      <c r="BG47" s="316"/>
      <c r="BH47" s="314"/>
      <c r="BI47" s="315" t="s">
        <v>148</v>
      </c>
      <c r="BJ47" s="316"/>
      <c r="BK47" s="314" t="s">
        <v>148</v>
      </c>
      <c r="BL47" s="315" t="s">
        <v>148</v>
      </c>
      <c r="BM47" s="315"/>
      <c r="BN47" s="316" t="s">
        <v>150</v>
      </c>
      <c r="BO47" s="314" t="s">
        <v>148</v>
      </c>
      <c r="BP47" s="315" t="s">
        <v>150</v>
      </c>
      <c r="BQ47" s="315" t="s">
        <v>150</v>
      </c>
      <c r="BR47" s="315"/>
      <c r="BS47" s="315"/>
      <c r="BT47" s="315" t="s">
        <v>150</v>
      </c>
      <c r="BU47" s="315" t="s">
        <v>150</v>
      </c>
      <c r="BV47" s="316"/>
      <c r="BW47" s="314" t="s">
        <v>150</v>
      </c>
      <c r="BX47" s="315" t="s">
        <v>150</v>
      </c>
      <c r="BY47" s="315" t="s">
        <v>47</v>
      </c>
      <c r="BZ47" s="315" t="s">
        <v>148</v>
      </c>
      <c r="CA47" s="315" t="s">
        <v>47</v>
      </c>
      <c r="CB47" s="316" t="s">
        <v>150</v>
      </c>
      <c r="CC47" s="314" t="s">
        <v>147</v>
      </c>
      <c r="CD47" s="315" t="s">
        <v>150</v>
      </c>
      <c r="CE47" s="316"/>
      <c r="CF47" s="314"/>
      <c r="CG47" s="315"/>
      <c r="CH47" s="315"/>
      <c r="CI47" s="317"/>
      <c r="CK47" s="236" t="str">
        <f t="shared" si="15"/>
        <v/>
      </c>
      <c r="CL47" s="237">
        <f t="shared" si="16"/>
        <v>1</v>
      </c>
      <c r="CM47" s="237">
        <f t="shared" si="17"/>
        <v>6</v>
      </c>
      <c r="CN47" s="237">
        <f t="shared" si="18"/>
        <v>18</v>
      </c>
      <c r="CO47" s="238">
        <f t="shared" si="19"/>
        <v>3</v>
      </c>
      <c r="CQ47" s="236" t="str">
        <f>desired_skills(C47,"Competenties/Resultaatgerichtheid","o")</f>
        <v/>
      </c>
      <c r="CR47" s="237" t="str">
        <f>desired_skills(C47,"Competenties/Resultaatgerichtheid","j")</f>
        <v/>
      </c>
      <c r="CS47" s="237" t="str">
        <f>desired_skills(C47,"Competenties/Resultaatgerichtheid","m")</f>
        <v/>
      </c>
      <c r="CT47" s="237" t="str">
        <f>desired_skills(C47,"Competenties/Resultaatgerichtheid","s")</f>
        <v/>
      </c>
      <c r="CU47" s="238" t="str">
        <f>desired_skills(C47,"Competenties/Resultaatgerichtheid","e")</f>
        <v/>
      </c>
      <c r="CW47" s="236" t="str">
        <f>calc_gap('Matrix 171007_1810'!$CK$47,'Matrix 171007_1810'!$CQ$47)</f>
        <v/>
      </c>
      <c r="CX47" s="237" t="str">
        <f>calc_gap('Matrix 171007_1810'!$CL$47,'Matrix 171007_1810'!$CR$47)</f>
        <v/>
      </c>
      <c r="CY47" s="237" t="str">
        <f>calc_gap('Matrix 171007_1810'!$CM$47,'Matrix 171007_1810'!$CS$47)</f>
        <v/>
      </c>
      <c r="CZ47" s="237" t="str">
        <f>calc_gap('Matrix 171007_1810'!$CN$47,'Matrix 171007_1810'!$CT$47)</f>
        <v/>
      </c>
      <c r="DA47" s="238" t="str">
        <f>calc_gap('Matrix 171007_1810'!$CO$47,'Matrix 171007_1810'!$CU$47)</f>
        <v/>
      </c>
    </row>
    <row r="48" spans="2:105" x14ac:dyDescent="0.25">
      <c r="B48" s="435"/>
      <c r="C48" s="291" t="s">
        <v>91</v>
      </c>
      <c r="D48" s="314"/>
      <c r="E48" s="315"/>
      <c r="F48" s="315"/>
      <c r="G48" s="315"/>
      <c r="H48" s="315"/>
      <c r="I48" s="315"/>
      <c r="J48" s="315"/>
      <c r="K48" s="316"/>
      <c r="L48" s="314"/>
      <c r="M48" s="315"/>
      <c r="N48" s="315"/>
      <c r="O48" s="316"/>
      <c r="P48" s="314"/>
      <c r="Q48" s="315"/>
      <c r="R48" s="315"/>
      <c r="S48" s="315"/>
      <c r="T48" s="315"/>
      <c r="U48" s="315"/>
      <c r="V48" s="315"/>
      <c r="W48" s="315"/>
      <c r="X48" s="315"/>
      <c r="Y48" s="315"/>
      <c r="Z48" s="315"/>
      <c r="AA48" s="315"/>
      <c r="AB48" s="315"/>
      <c r="AC48" s="315"/>
      <c r="AD48" s="315"/>
      <c r="AE48" s="315"/>
      <c r="AF48" s="315"/>
      <c r="AG48" s="315"/>
      <c r="AH48" s="315"/>
      <c r="AI48" s="316"/>
      <c r="AJ48" s="314"/>
      <c r="AK48" s="315"/>
      <c r="AL48" s="316"/>
      <c r="AM48" s="314"/>
      <c r="AN48" s="315"/>
      <c r="AO48" s="316"/>
      <c r="AP48" s="314"/>
      <c r="AQ48" s="315"/>
      <c r="AR48" s="315"/>
      <c r="AS48" s="315"/>
      <c r="AT48" s="316"/>
      <c r="AU48" s="314" t="s">
        <v>148</v>
      </c>
      <c r="AV48" s="315" t="s">
        <v>150</v>
      </c>
      <c r="AW48" s="315" t="s">
        <v>150</v>
      </c>
      <c r="AX48" s="315" t="s">
        <v>148</v>
      </c>
      <c r="AY48" s="315" t="s">
        <v>148</v>
      </c>
      <c r="AZ48" s="315" t="s">
        <v>150</v>
      </c>
      <c r="BA48" s="315" t="s">
        <v>150</v>
      </c>
      <c r="BB48" s="316" t="s">
        <v>150</v>
      </c>
      <c r="BC48" s="314" t="s">
        <v>150</v>
      </c>
      <c r="BD48" s="315" t="s">
        <v>148</v>
      </c>
      <c r="BE48" s="315"/>
      <c r="BF48" s="315" t="s">
        <v>150</v>
      </c>
      <c r="BG48" s="316"/>
      <c r="BH48" s="314"/>
      <c r="BI48" s="315" t="s">
        <v>148</v>
      </c>
      <c r="BJ48" s="316"/>
      <c r="BK48" s="314" t="s">
        <v>147</v>
      </c>
      <c r="BL48" s="315" t="s">
        <v>148</v>
      </c>
      <c r="BM48" s="315"/>
      <c r="BN48" s="316" t="s">
        <v>150</v>
      </c>
      <c r="BO48" s="314" t="s">
        <v>148</v>
      </c>
      <c r="BP48" s="315" t="s">
        <v>150</v>
      </c>
      <c r="BQ48" s="315" t="s">
        <v>148</v>
      </c>
      <c r="BR48" s="315"/>
      <c r="BS48" s="315" t="s">
        <v>147</v>
      </c>
      <c r="BT48" s="315" t="s">
        <v>150</v>
      </c>
      <c r="BU48" s="315" t="s">
        <v>148</v>
      </c>
      <c r="BV48" s="316"/>
      <c r="BW48" s="314" t="s">
        <v>150</v>
      </c>
      <c r="BX48" s="315" t="s">
        <v>150</v>
      </c>
      <c r="BY48" s="315" t="s">
        <v>150</v>
      </c>
      <c r="BZ48" s="315" t="s">
        <v>148</v>
      </c>
      <c r="CA48" s="315" t="s">
        <v>47</v>
      </c>
      <c r="CB48" s="316" t="s">
        <v>150</v>
      </c>
      <c r="CC48" s="314" t="s">
        <v>148</v>
      </c>
      <c r="CD48" s="315" t="s">
        <v>150</v>
      </c>
      <c r="CE48" s="316"/>
      <c r="CF48" s="314"/>
      <c r="CG48" s="315"/>
      <c r="CH48" s="315"/>
      <c r="CI48" s="317"/>
      <c r="CK48" s="236" t="str">
        <f t="shared" si="15"/>
        <v/>
      </c>
      <c r="CL48" s="237">
        <f t="shared" si="16"/>
        <v>2</v>
      </c>
      <c r="CM48" s="237">
        <f t="shared" si="17"/>
        <v>11</v>
      </c>
      <c r="CN48" s="237">
        <f t="shared" si="18"/>
        <v>15</v>
      </c>
      <c r="CO48" s="238">
        <f t="shared" si="19"/>
        <v>1</v>
      </c>
      <c r="CQ48" s="236" t="str">
        <f>desired_skills(C48,"Competenties/Organisatiesensitiviteit","o")</f>
        <v/>
      </c>
      <c r="CR48" s="237" t="str">
        <f>desired_skills(C48,"Competenties/Organisatiesensitiviteit","j")</f>
        <v/>
      </c>
      <c r="CS48" s="237" t="str">
        <f>desired_skills(C48,"Competenties/Organisatiesensitiviteit","m")</f>
        <v/>
      </c>
      <c r="CT48" s="237" t="str">
        <f>desired_skills(C48,"Competenties/Organisatiesensitiviteit","s")</f>
        <v/>
      </c>
      <c r="CU48" s="238" t="str">
        <f>desired_skills(C48,"Competenties/Organisatiesensitiviteit","e")</f>
        <v/>
      </c>
      <c r="CW48" s="236" t="str">
        <f>calc_gap('Matrix 171007_1810'!$CK$48,'Matrix 171007_1810'!$CQ$48)</f>
        <v/>
      </c>
      <c r="CX48" s="237" t="str">
        <f>calc_gap('Matrix 171007_1810'!$CL$48,'Matrix 171007_1810'!$CR$48)</f>
        <v/>
      </c>
      <c r="CY48" s="237" t="str">
        <f>calc_gap('Matrix 171007_1810'!$CM$48,'Matrix 171007_1810'!$CS$48)</f>
        <v/>
      </c>
      <c r="CZ48" s="237" t="str">
        <f>calc_gap('Matrix 171007_1810'!$CN$48,'Matrix 171007_1810'!$CT$48)</f>
        <v/>
      </c>
      <c r="DA48" s="238" t="str">
        <f>calc_gap('Matrix 171007_1810'!$CO$48,'Matrix 171007_1810'!$CU$48)</f>
        <v/>
      </c>
    </row>
    <row r="49" spans="2:105" x14ac:dyDescent="0.25">
      <c r="B49" s="435"/>
      <c r="C49" s="291" t="s">
        <v>226</v>
      </c>
      <c r="D49" s="314"/>
      <c r="E49" s="315"/>
      <c r="F49" s="315"/>
      <c r="G49" s="315"/>
      <c r="H49" s="315"/>
      <c r="I49" s="315"/>
      <c r="J49" s="315"/>
      <c r="K49" s="316"/>
      <c r="L49" s="314"/>
      <c r="M49" s="315"/>
      <c r="N49" s="315"/>
      <c r="O49" s="316"/>
      <c r="P49" s="314"/>
      <c r="Q49" s="315"/>
      <c r="R49" s="315"/>
      <c r="S49" s="315"/>
      <c r="T49" s="315"/>
      <c r="U49" s="315"/>
      <c r="V49" s="315"/>
      <c r="W49" s="315"/>
      <c r="X49" s="315"/>
      <c r="Y49" s="315"/>
      <c r="Z49" s="315"/>
      <c r="AA49" s="315"/>
      <c r="AB49" s="315"/>
      <c r="AC49" s="315"/>
      <c r="AD49" s="315"/>
      <c r="AE49" s="315"/>
      <c r="AF49" s="315"/>
      <c r="AG49" s="315"/>
      <c r="AH49" s="315"/>
      <c r="AI49" s="316"/>
      <c r="AJ49" s="314"/>
      <c r="AK49" s="315"/>
      <c r="AL49" s="316"/>
      <c r="AM49" s="314"/>
      <c r="AN49" s="315"/>
      <c r="AO49" s="316"/>
      <c r="AP49" s="314"/>
      <c r="AQ49" s="315"/>
      <c r="AR49" s="315"/>
      <c r="AS49" s="315"/>
      <c r="AT49" s="316"/>
      <c r="AU49" s="314"/>
      <c r="AV49" s="315"/>
      <c r="AW49" s="315"/>
      <c r="AX49" s="315"/>
      <c r="AY49" s="315"/>
      <c r="AZ49" s="315"/>
      <c r="BA49" s="315"/>
      <c r="BB49" s="316"/>
      <c r="BC49" s="314"/>
      <c r="BD49" s="315"/>
      <c r="BE49" s="315"/>
      <c r="BF49" s="315"/>
      <c r="BG49" s="316"/>
      <c r="BH49" s="314"/>
      <c r="BI49" s="315"/>
      <c r="BJ49" s="316"/>
      <c r="BK49" s="314"/>
      <c r="BL49" s="315"/>
      <c r="BM49" s="315"/>
      <c r="BN49" s="316"/>
      <c r="BO49" s="314"/>
      <c r="BP49" s="315"/>
      <c r="BQ49" s="315"/>
      <c r="BR49" s="315"/>
      <c r="BS49" s="315"/>
      <c r="BT49" s="315"/>
      <c r="BU49" s="315"/>
      <c r="BV49" s="316"/>
      <c r="BW49" s="314"/>
      <c r="BX49" s="315"/>
      <c r="BY49" s="315"/>
      <c r="BZ49" s="315"/>
      <c r="CA49" s="315"/>
      <c r="CB49" s="316"/>
      <c r="CC49" s="314"/>
      <c r="CD49" s="315"/>
      <c r="CE49" s="316"/>
      <c r="CF49" s="314"/>
      <c r="CG49" s="315"/>
      <c r="CH49" s="315"/>
      <c r="CI49" s="317"/>
      <c r="CK49" s="236" t="str">
        <f t="shared" si="15"/>
        <v/>
      </c>
      <c r="CL49" s="237" t="str">
        <f t="shared" si="16"/>
        <v/>
      </c>
      <c r="CM49" s="237" t="str">
        <f t="shared" si="17"/>
        <v/>
      </c>
      <c r="CN49" s="237" t="str">
        <f t="shared" si="18"/>
        <v/>
      </c>
      <c r="CO49" s="238" t="str">
        <f t="shared" si="19"/>
        <v/>
      </c>
      <c r="CQ49" s="236" t="str">
        <f>desired_skills(C49,"Competenties/Netwerken en contacten onderhouden en uitbouwen","o")</f>
        <v/>
      </c>
      <c r="CR49" s="237" t="str">
        <f>desired_skills(C49,"Competenties/Netwerken en contacten onderhouden en uitbouwen","j")</f>
        <v/>
      </c>
      <c r="CS49" s="237" t="str">
        <f>desired_skills(C49,"Competenties/Netwerken en contacten onderhouden en uitbouwen","m")</f>
        <v/>
      </c>
      <c r="CT49" s="237" t="str">
        <f>desired_skills(C49,"Competenties/Netwerken en contacten onderhouden en uitbouwen","s")</f>
        <v/>
      </c>
      <c r="CU49" s="238" t="str">
        <f>desired_skills(C49,"Competenties/Netwerken en contacten onderhouden en uitbouwen","e")</f>
        <v/>
      </c>
      <c r="CW49" s="236" t="str">
        <f>calc_gap('Matrix 171007_1810'!$CK$49,'Matrix 171007_1810'!$CQ$49)</f>
        <v/>
      </c>
      <c r="CX49" s="237" t="str">
        <f>calc_gap('Matrix 171007_1810'!$CL$49,'Matrix 171007_1810'!$CR$49)</f>
        <v/>
      </c>
      <c r="CY49" s="237" t="str">
        <f>calc_gap('Matrix 171007_1810'!$CM$49,'Matrix 171007_1810'!$CS$49)</f>
        <v/>
      </c>
      <c r="CZ49" s="237" t="str">
        <f>calc_gap('Matrix 171007_1810'!$CN$49,'Matrix 171007_1810'!$CT$49)</f>
        <v/>
      </c>
      <c r="DA49" s="238" t="str">
        <f>calc_gap('Matrix 171007_1810'!$CO$49,'Matrix 171007_1810'!$CU$49)</f>
        <v/>
      </c>
    </row>
    <row r="50" spans="2:105" ht="15.75" thickBot="1" x14ac:dyDescent="0.3">
      <c r="B50" s="435"/>
      <c r="C50" s="292" t="s">
        <v>227</v>
      </c>
      <c r="D50" s="318"/>
      <c r="E50" s="319"/>
      <c r="F50" s="319"/>
      <c r="G50" s="319"/>
      <c r="H50" s="319"/>
      <c r="I50" s="319"/>
      <c r="J50" s="319"/>
      <c r="K50" s="320"/>
      <c r="L50" s="318"/>
      <c r="M50" s="319"/>
      <c r="N50" s="319"/>
      <c r="O50" s="320"/>
      <c r="P50" s="318"/>
      <c r="Q50" s="319"/>
      <c r="R50" s="319"/>
      <c r="S50" s="319"/>
      <c r="T50" s="319"/>
      <c r="U50" s="319"/>
      <c r="V50" s="319"/>
      <c r="W50" s="319"/>
      <c r="X50" s="319"/>
      <c r="Y50" s="319"/>
      <c r="Z50" s="319"/>
      <c r="AA50" s="319"/>
      <c r="AB50" s="319"/>
      <c r="AC50" s="319"/>
      <c r="AD50" s="319"/>
      <c r="AE50" s="319"/>
      <c r="AF50" s="319"/>
      <c r="AG50" s="319"/>
      <c r="AH50" s="319"/>
      <c r="AI50" s="320"/>
      <c r="AJ50" s="318"/>
      <c r="AK50" s="319"/>
      <c r="AL50" s="320"/>
      <c r="AM50" s="318"/>
      <c r="AN50" s="319"/>
      <c r="AO50" s="320"/>
      <c r="AP50" s="318"/>
      <c r="AQ50" s="319"/>
      <c r="AR50" s="319"/>
      <c r="AS50" s="319"/>
      <c r="AT50" s="320"/>
      <c r="AU50" s="318"/>
      <c r="AV50" s="319"/>
      <c r="AW50" s="319"/>
      <c r="AX50" s="319"/>
      <c r="AY50" s="319"/>
      <c r="AZ50" s="319"/>
      <c r="BA50" s="319"/>
      <c r="BB50" s="320"/>
      <c r="BC50" s="318"/>
      <c r="BD50" s="319"/>
      <c r="BE50" s="319"/>
      <c r="BF50" s="319"/>
      <c r="BG50" s="320"/>
      <c r="BH50" s="318"/>
      <c r="BI50" s="319"/>
      <c r="BJ50" s="320"/>
      <c r="BK50" s="318"/>
      <c r="BL50" s="319"/>
      <c r="BM50" s="319"/>
      <c r="BN50" s="320"/>
      <c r="BO50" s="318"/>
      <c r="BP50" s="319"/>
      <c r="BQ50" s="319"/>
      <c r="BR50" s="319"/>
      <c r="BS50" s="319"/>
      <c r="BT50" s="319"/>
      <c r="BU50" s="319"/>
      <c r="BV50" s="320"/>
      <c r="BW50" s="318"/>
      <c r="BX50" s="319"/>
      <c r="BY50" s="319"/>
      <c r="BZ50" s="319"/>
      <c r="CA50" s="319"/>
      <c r="CB50" s="320"/>
      <c r="CC50" s="318"/>
      <c r="CD50" s="319"/>
      <c r="CE50" s="320"/>
      <c r="CF50" s="318"/>
      <c r="CG50" s="319"/>
      <c r="CH50" s="319"/>
      <c r="CI50" s="321"/>
      <c r="CK50" s="239" t="str">
        <f t="shared" si="15"/>
        <v/>
      </c>
      <c r="CL50" s="240" t="str">
        <f t="shared" si="16"/>
        <v/>
      </c>
      <c r="CM50" s="240" t="str">
        <f t="shared" si="17"/>
        <v/>
      </c>
      <c r="CN50" s="240" t="str">
        <f t="shared" si="18"/>
        <v/>
      </c>
      <c r="CO50" s="241" t="str">
        <f t="shared" si="19"/>
        <v/>
      </c>
      <c r="CQ50" s="239" t="str">
        <f>desired_skills(C50,"Competenties/Werken in zelfsturend team","o")</f>
        <v/>
      </c>
      <c r="CR50" s="240" t="str">
        <f>desired_skills(C50,"Competenties/Werken in zelfsturend team","j")</f>
        <v/>
      </c>
      <c r="CS50" s="240" t="str">
        <f>desired_skills(C50,"Competenties/Werken in zelfsturend team","m")</f>
        <v/>
      </c>
      <c r="CT50" s="240" t="str">
        <f>desired_skills(C50,"Competenties/Werken in zelfsturend team","s")</f>
        <v/>
      </c>
      <c r="CU50" s="241" t="str">
        <f>desired_skills(C50,"Competenties/Werken in zelfsturend team","e")</f>
        <v/>
      </c>
      <c r="CW50" s="239" t="str">
        <f>calc_gap('Matrix 171007_1810'!$CK$50,'Matrix 171007_1810'!$CQ$50)</f>
        <v/>
      </c>
      <c r="CX50" s="240" t="str">
        <f>calc_gap('Matrix 171007_1810'!$CL$50,'Matrix 171007_1810'!$CR$50)</f>
        <v/>
      </c>
      <c r="CY50" s="240" t="str">
        <f>calc_gap('Matrix 171007_1810'!$CM$50,'Matrix 171007_1810'!$CS$50)</f>
        <v/>
      </c>
      <c r="CZ50" s="240" t="str">
        <f>calc_gap('Matrix 171007_1810'!$CN$50,'Matrix 171007_1810'!$CT$50)</f>
        <v/>
      </c>
      <c r="DA50" s="241" t="str">
        <f>calc_gap('Matrix 171007_1810'!$CO$50,'Matrix 171007_1810'!$CU$50)</f>
        <v/>
      </c>
    </row>
    <row r="51" spans="2:105" ht="12.75" customHeight="1" thickTop="1" thickBot="1" x14ac:dyDescent="0.3">
      <c r="B51" s="436"/>
      <c r="C51" s="248"/>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2"/>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2"/>
      <c r="CH51" s="322"/>
      <c r="CI51" s="322"/>
      <c r="CK51" s="249"/>
      <c r="CL51" s="249"/>
      <c r="CM51" s="249"/>
      <c r="CN51" s="249"/>
      <c r="CO51" s="249"/>
      <c r="CQ51" s="249"/>
      <c r="CR51" s="249"/>
      <c r="CS51" s="249"/>
      <c r="CT51" s="249"/>
      <c r="CU51" s="249"/>
      <c r="CW51" s="249"/>
      <c r="CX51" s="249"/>
      <c r="CY51" s="249"/>
      <c r="CZ51" s="249"/>
      <c r="DA51" s="249"/>
    </row>
    <row r="52" spans="2:105" ht="15.75" thickTop="1" x14ac:dyDescent="0.25">
      <c r="B52" s="434" t="s">
        <v>122</v>
      </c>
      <c r="C52" s="290" t="s">
        <v>92</v>
      </c>
      <c r="D52" s="310"/>
      <c r="E52" s="311"/>
      <c r="F52" s="311"/>
      <c r="G52" s="311"/>
      <c r="H52" s="311"/>
      <c r="I52" s="311"/>
      <c r="J52" s="311"/>
      <c r="K52" s="312"/>
      <c r="L52" s="310"/>
      <c r="M52" s="311"/>
      <c r="N52" s="311"/>
      <c r="O52" s="312"/>
      <c r="P52" s="310"/>
      <c r="Q52" s="311"/>
      <c r="R52" s="311"/>
      <c r="S52" s="311"/>
      <c r="T52" s="311"/>
      <c r="U52" s="311"/>
      <c r="V52" s="311"/>
      <c r="W52" s="311"/>
      <c r="X52" s="311"/>
      <c r="Y52" s="311"/>
      <c r="Z52" s="311"/>
      <c r="AA52" s="311"/>
      <c r="AB52" s="311"/>
      <c r="AC52" s="311"/>
      <c r="AD52" s="311"/>
      <c r="AE52" s="311"/>
      <c r="AF52" s="311"/>
      <c r="AG52" s="311"/>
      <c r="AH52" s="311"/>
      <c r="AI52" s="312"/>
      <c r="AJ52" s="310"/>
      <c r="AK52" s="311"/>
      <c r="AL52" s="312"/>
      <c r="AM52" s="310"/>
      <c r="AN52" s="311"/>
      <c r="AO52" s="312"/>
      <c r="AP52" s="310"/>
      <c r="AQ52" s="311"/>
      <c r="AR52" s="311"/>
      <c r="AS52" s="311"/>
      <c r="AT52" s="312"/>
      <c r="AU52" s="310" t="s">
        <v>148</v>
      </c>
      <c r="AV52" s="311" t="s">
        <v>148</v>
      </c>
      <c r="AW52" s="311" t="s">
        <v>147</v>
      </c>
      <c r="AX52" s="311" t="s">
        <v>148</v>
      </c>
      <c r="AY52" s="311" t="s">
        <v>148</v>
      </c>
      <c r="AZ52" s="311" t="s">
        <v>147</v>
      </c>
      <c r="BA52" s="311" t="s">
        <v>147</v>
      </c>
      <c r="BB52" s="312" t="s">
        <v>148</v>
      </c>
      <c r="BC52" s="310" t="s">
        <v>147</v>
      </c>
      <c r="BD52" s="311" t="s">
        <v>148</v>
      </c>
      <c r="BE52" s="311"/>
      <c r="BF52" s="311" t="s">
        <v>150</v>
      </c>
      <c r="BG52" s="312"/>
      <c r="BH52" s="310"/>
      <c r="BI52" s="311" t="s">
        <v>148</v>
      </c>
      <c r="BJ52" s="312"/>
      <c r="BK52" s="310" t="s">
        <v>147</v>
      </c>
      <c r="BL52" s="311" t="s">
        <v>148</v>
      </c>
      <c r="BM52" s="311"/>
      <c r="BN52" s="312" t="s">
        <v>150</v>
      </c>
      <c r="BO52" s="310" t="s">
        <v>148</v>
      </c>
      <c r="BP52" s="311" t="s">
        <v>148</v>
      </c>
      <c r="BQ52" s="311" t="s">
        <v>150</v>
      </c>
      <c r="BR52" s="311"/>
      <c r="BS52" s="311" t="s">
        <v>147</v>
      </c>
      <c r="BT52" s="311" t="s">
        <v>148</v>
      </c>
      <c r="BU52" s="311" t="s">
        <v>148</v>
      </c>
      <c r="BV52" s="312"/>
      <c r="BW52" s="310" t="s">
        <v>150</v>
      </c>
      <c r="BX52" s="311" t="s">
        <v>148</v>
      </c>
      <c r="BY52" s="311" t="s">
        <v>150</v>
      </c>
      <c r="BZ52" s="311" t="s">
        <v>148</v>
      </c>
      <c r="CA52" s="311" t="s">
        <v>150</v>
      </c>
      <c r="CB52" s="312" t="s">
        <v>150</v>
      </c>
      <c r="CC52" s="310" t="s">
        <v>150</v>
      </c>
      <c r="CD52" s="311" t="s">
        <v>148</v>
      </c>
      <c r="CE52" s="312"/>
      <c r="CF52" s="310"/>
      <c r="CG52" s="311"/>
      <c r="CH52" s="311"/>
      <c r="CI52" s="313"/>
      <c r="CK52" s="233" t="str">
        <f t="shared" ref="CK52:CK59" si="20">IF(COUNTIF(D52:CI52,"o")&gt;0,COUNTIF(D52:CI52,"o"),"")</f>
        <v/>
      </c>
      <c r="CL52" s="234">
        <f t="shared" ref="CL52:CL59" si="21">IF(COUNTIF(D52:CI52,"j")&gt;0,COUNTIF(D52:CI52,"j"),"")</f>
        <v>6</v>
      </c>
      <c r="CM52" s="234">
        <f t="shared" ref="CM52:CM59" si="22">IF(COUNTIF(D52:CI52,"m")&gt;0,COUNTIF(D52:CI52,"m"),"")</f>
        <v>15</v>
      </c>
      <c r="CN52" s="234">
        <f t="shared" ref="CN52:CN59" si="23">IF(COUNTIF(D52:CI52,"s")&gt;0,COUNTIF(D52:CI52,"s"),"")</f>
        <v>8</v>
      </c>
      <c r="CO52" s="235" t="str">
        <f t="shared" ref="CO52:CO59" si="24">IF(COUNTIF(D52:CI52,"e")&gt;0,COUNTIF(D52:CI52,"e"),"")</f>
        <v/>
      </c>
      <c r="CQ52" s="233" t="str">
        <f>desired_skills(C52,"Vaardigheden/Excel/VBA","o")</f>
        <v>26</v>
      </c>
      <c r="CR52" s="234" t="str">
        <f>desired_skills(C52,"Vaardigheden/Excel/VBA","j")</f>
        <v/>
      </c>
      <c r="CS52" s="234" t="str">
        <f>desired_skills(C52,"Vaardigheden/Excel/VBA","m")</f>
        <v/>
      </c>
      <c r="CT52" s="234" t="str">
        <f>desired_skills(C52,"Vaardigheden/Excel/VBA","s")</f>
        <v/>
      </c>
      <c r="CU52" s="235" t="str">
        <f>desired_skills(C52,"Vaardigheden/Excel/VBA","e")</f>
        <v/>
      </c>
      <c r="CW52" s="233" t="str">
        <f>calc_gap('Matrix 171007_1810'!$CK$52,'Matrix 171007_1810'!$CQ$52)</f>
        <v/>
      </c>
      <c r="CX52" s="234" t="str">
        <f>calc_gap('Matrix 171007_1810'!$CL$52,'Matrix 171007_1810'!$CR$52)</f>
        <v/>
      </c>
      <c r="CY52" s="234" t="str">
        <f>calc_gap('Matrix 171007_1810'!$CM$52,'Matrix 171007_1810'!$CS$52)</f>
        <v/>
      </c>
      <c r="CZ52" s="234" t="str">
        <f>calc_gap('Matrix 171007_1810'!$CN$52,'Matrix 171007_1810'!$CT$52)</f>
        <v/>
      </c>
      <c r="DA52" s="235" t="str">
        <f>calc_gap('Matrix 171007_1810'!$CO$52,'Matrix 171007_1810'!$CU$52)</f>
        <v/>
      </c>
    </row>
    <row r="53" spans="2:105" x14ac:dyDescent="0.25">
      <c r="B53" s="435"/>
      <c r="C53" s="291" t="s">
        <v>93</v>
      </c>
      <c r="D53" s="314"/>
      <c r="E53" s="315"/>
      <c r="F53" s="315"/>
      <c r="G53" s="315"/>
      <c r="H53" s="315"/>
      <c r="I53" s="315"/>
      <c r="J53" s="315"/>
      <c r="K53" s="316"/>
      <c r="L53" s="314"/>
      <c r="M53" s="315"/>
      <c r="N53" s="315"/>
      <c r="O53" s="316"/>
      <c r="P53" s="314"/>
      <c r="Q53" s="315"/>
      <c r="R53" s="315"/>
      <c r="S53" s="315"/>
      <c r="T53" s="315"/>
      <c r="U53" s="315"/>
      <c r="V53" s="315"/>
      <c r="W53" s="315"/>
      <c r="X53" s="315"/>
      <c r="Y53" s="315"/>
      <c r="Z53" s="315"/>
      <c r="AA53" s="315"/>
      <c r="AB53" s="315"/>
      <c r="AC53" s="315"/>
      <c r="AD53" s="315"/>
      <c r="AE53" s="315"/>
      <c r="AF53" s="315"/>
      <c r="AG53" s="315"/>
      <c r="AH53" s="315"/>
      <c r="AI53" s="316"/>
      <c r="AJ53" s="314"/>
      <c r="AK53" s="315"/>
      <c r="AL53" s="316"/>
      <c r="AM53" s="314"/>
      <c r="AN53" s="315"/>
      <c r="AO53" s="316"/>
      <c r="AP53" s="314"/>
      <c r="AQ53" s="315"/>
      <c r="AR53" s="315"/>
      <c r="AS53" s="315"/>
      <c r="AT53" s="316"/>
      <c r="AU53" s="314" t="s">
        <v>147</v>
      </c>
      <c r="AV53" s="315" t="s">
        <v>148</v>
      </c>
      <c r="AW53" s="315" t="s">
        <v>150</v>
      </c>
      <c r="AX53" s="315" t="s">
        <v>150</v>
      </c>
      <c r="AY53" s="315" t="s">
        <v>150</v>
      </c>
      <c r="AZ53" s="315" t="s">
        <v>148</v>
      </c>
      <c r="BA53" s="315"/>
      <c r="BB53" s="316" t="s">
        <v>150</v>
      </c>
      <c r="BC53" s="314" t="s">
        <v>47</v>
      </c>
      <c r="BD53" s="315" t="s">
        <v>149</v>
      </c>
      <c r="BE53" s="315"/>
      <c r="BF53" s="315" t="s">
        <v>150</v>
      </c>
      <c r="BG53" s="316"/>
      <c r="BH53" s="314"/>
      <c r="BI53" s="315"/>
      <c r="BJ53" s="316"/>
      <c r="BK53" s="314"/>
      <c r="BL53" s="315" t="s">
        <v>148</v>
      </c>
      <c r="BM53" s="315"/>
      <c r="BN53" s="316" t="s">
        <v>148</v>
      </c>
      <c r="BO53" s="314"/>
      <c r="BP53" s="315" t="s">
        <v>148</v>
      </c>
      <c r="BQ53" s="315"/>
      <c r="BR53" s="315"/>
      <c r="BS53" s="315"/>
      <c r="BT53" s="315"/>
      <c r="BU53" s="315" t="s">
        <v>150</v>
      </c>
      <c r="BV53" s="316"/>
      <c r="BW53" s="314" t="s">
        <v>147</v>
      </c>
      <c r="BX53" s="315"/>
      <c r="BY53" s="315"/>
      <c r="BZ53" s="315"/>
      <c r="CA53" s="315" t="s">
        <v>147</v>
      </c>
      <c r="CB53" s="316"/>
      <c r="CC53" s="314"/>
      <c r="CD53" s="315" t="s">
        <v>148</v>
      </c>
      <c r="CE53" s="316"/>
      <c r="CF53" s="314"/>
      <c r="CG53" s="315"/>
      <c r="CH53" s="315"/>
      <c r="CI53" s="317"/>
      <c r="CK53" s="236">
        <f t="shared" si="20"/>
        <v>1</v>
      </c>
      <c r="CL53" s="237">
        <f t="shared" si="21"/>
        <v>3</v>
      </c>
      <c r="CM53" s="237">
        <f t="shared" si="22"/>
        <v>6</v>
      </c>
      <c r="CN53" s="237">
        <f t="shared" si="23"/>
        <v>6</v>
      </c>
      <c r="CO53" s="238">
        <f t="shared" si="24"/>
        <v>1</v>
      </c>
      <c r="CQ53" s="236" t="str">
        <f>desired_skills(C53,"Vaardigheden/Product ownership","o")</f>
        <v/>
      </c>
      <c r="CR53" s="237" t="str">
        <f>desired_skills(C53,"Vaardigheden/Product ownership","j")</f>
        <v>27</v>
      </c>
      <c r="CS53" s="237" t="str">
        <f>desired_skills(C53,"Vaardigheden/Product ownership","m")</f>
        <v/>
      </c>
      <c r="CT53" s="237" t="str">
        <f>desired_skills(C53,"Vaardigheden/Product ownership","s")</f>
        <v/>
      </c>
      <c r="CU53" s="238" t="str">
        <f>desired_skills(C53,"Vaardigheden/Product ownership","e")</f>
        <v/>
      </c>
      <c r="CW53" s="236" t="str">
        <f>calc_gap('Matrix 171007_1810'!$CK$53,'Matrix 171007_1810'!$CQ$53)</f>
        <v/>
      </c>
      <c r="CX53" s="237" t="str">
        <f>calc_gap('Matrix 171007_1810'!$CL$53,'Matrix 171007_1810'!$CR$53)</f>
        <v>24</v>
      </c>
      <c r="CY53" s="237" t="str">
        <f>calc_gap('Matrix 171007_1810'!$CM$53,'Matrix 171007_1810'!$CS$53)</f>
        <v/>
      </c>
      <c r="CZ53" s="237" t="str">
        <f>calc_gap('Matrix 171007_1810'!$CN$53,'Matrix 171007_1810'!$CT$53)</f>
        <v/>
      </c>
      <c r="DA53" s="238" t="str">
        <f>calc_gap('Matrix 171007_1810'!$CO$53,'Matrix 171007_1810'!$CU$53)</f>
        <v/>
      </c>
    </row>
    <row r="54" spans="2:105" x14ac:dyDescent="0.25">
      <c r="B54" s="435"/>
      <c r="C54" s="291" t="s">
        <v>94</v>
      </c>
      <c r="D54" s="314"/>
      <c r="E54" s="315"/>
      <c r="F54" s="315"/>
      <c r="G54" s="315"/>
      <c r="H54" s="315"/>
      <c r="I54" s="315"/>
      <c r="J54" s="315"/>
      <c r="K54" s="316"/>
      <c r="L54" s="314"/>
      <c r="M54" s="315"/>
      <c r="N54" s="315"/>
      <c r="O54" s="316"/>
      <c r="P54" s="314"/>
      <c r="Q54" s="315"/>
      <c r="R54" s="315"/>
      <c r="S54" s="315"/>
      <c r="T54" s="315"/>
      <c r="U54" s="315"/>
      <c r="V54" s="315"/>
      <c r="W54" s="315"/>
      <c r="X54" s="315"/>
      <c r="Y54" s="315"/>
      <c r="Z54" s="315"/>
      <c r="AA54" s="315"/>
      <c r="AB54" s="315"/>
      <c r="AC54" s="315"/>
      <c r="AD54" s="315"/>
      <c r="AE54" s="315"/>
      <c r="AF54" s="315"/>
      <c r="AG54" s="315"/>
      <c r="AH54" s="315"/>
      <c r="AI54" s="316"/>
      <c r="AJ54" s="314"/>
      <c r="AK54" s="315"/>
      <c r="AL54" s="316"/>
      <c r="AM54" s="314"/>
      <c r="AN54" s="315"/>
      <c r="AO54" s="316"/>
      <c r="AP54" s="314"/>
      <c r="AQ54" s="315"/>
      <c r="AR54" s="315"/>
      <c r="AS54" s="315"/>
      <c r="AT54" s="316"/>
      <c r="AU54" s="314" t="s">
        <v>147</v>
      </c>
      <c r="AV54" s="315" t="s">
        <v>148</v>
      </c>
      <c r="AW54" s="315" t="s">
        <v>149</v>
      </c>
      <c r="AX54" s="315" t="s">
        <v>148</v>
      </c>
      <c r="AY54" s="315" t="s">
        <v>148</v>
      </c>
      <c r="AZ54" s="315" t="s">
        <v>47</v>
      </c>
      <c r="BA54" s="315"/>
      <c r="BB54" s="316" t="s">
        <v>147</v>
      </c>
      <c r="BC54" s="314" t="s">
        <v>147</v>
      </c>
      <c r="BD54" s="315" t="s">
        <v>149</v>
      </c>
      <c r="BE54" s="315"/>
      <c r="BF54" s="315" t="s">
        <v>148</v>
      </c>
      <c r="BG54" s="316"/>
      <c r="BH54" s="314"/>
      <c r="BI54" s="315" t="s">
        <v>47</v>
      </c>
      <c r="BJ54" s="316"/>
      <c r="BK54" s="314"/>
      <c r="BL54" s="315"/>
      <c r="BM54" s="315"/>
      <c r="BN54" s="316"/>
      <c r="BO54" s="314"/>
      <c r="BP54" s="315"/>
      <c r="BQ54" s="315"/>
      <c r="BR54" s="315"/>
      <c r="BS54" s="315"/>
      <c r="BT54" s="315"/>
      <c r="BU54" s="315" t="s">
        <v>150</v>
      </c>
      <c r="BV54" s="316"/>
      <c r="BW54" s="314" t="s">
        <v>148</v>
      </c>
      <c r="BX54" s="315"/>
      <c r="BY54" s="315" t="s">
        <v>147</v>
      </c>
      <c r="BZ54" s="315" t="s">
        <v>148</v>
      </c>
      <c r="CA54" s="315" t="s">
        <v>147</v>
      </c>
      <c r="CB54" s="316"/>
      <c r="CC54" s="314"/>
      <c r="CD54" s="315"/>
      <c r="CE54" s="316"/>
      <c r="CF54" s="314"/>
      <c r="CG54" s="315"/>
      <c r="CH54" s="315"/>
      <c r="CI54" s="317"/>
      <c r="CK54" s="236">
        <f t="shared" si="20"/>
        <v>2</v>
      </c>
      <c r="CL54" s="237">
        <f t="shared" si="21"/>
        <v>5</v>
      </c>
      <c r="CM54" s="237">
        <f t="shared" si="22"/>
        <v>6</v>
      </c>
      <c r="CN54" s="237">
        <f t="shared" si="23"/>
        <v>1</v>
      </c>
      <c r="CO54" s="238">
        <f t="shared" si="24"/>
        <v>2</v>
      </c>
      <c r="CQ54" s="236" t="str">
        <f>desired_skills(C54,"Vaardigheden/Proces mining","o")</f>
        <v/>
      </c>
      <c r="CR54" s="237" t="str">
        <f>desired_skills(C54,"Vaardigheden/Proces mining","j")</f>
        <v/>
      </c>
      <c r="CS54" s="237" t="str">
        <f>desired_skills(C54,"Vaardigheden/Proces mining","m")</f>
        <v>28</v>
      </c>
      <c r="CT54" s="237" t="str">
        <f>desired_skills(C54,"Vaardigheden/Proces mining","s")</f>
        <v/>
      </c>
      <c r="CU54" s="238" t="str">
        <f>desired_skills(C54,"Vaardigheden/Proces mining","e")</f>
        <v/>
      </c>
      <c r="CW54" s="236" t="str">
        <f>calc_gap('Matrix 171007_1810'!$CK$54,'Matrix 171007_1810'!$CQ$54)</f>
        <v/>
      </c>
      <c r="CX54" s="237" t="str">
        <f>calc_gap('Matrix 171007_1810'!$CL$54,'Matrix 171007_1810'!$CR$54)</f>
        <v/>
      </c>
      <c r="CY54" s="237" t="str">
        <f>calc_gap('Matrix 171007_1810'!$CM$54,'Matrix 171007_1810'!$CS$54)</f>
        <v>22</v>
      </c>
      <c r="CZ54" s="237" t="str">
        <f>calc_gap('Matrix 171007_1810'!$CN$54,'Matrix 171007_1810'!$CT$54)</f>
        <v/>
      </c>
      <c r="DA54" s="238" t="str">
        <f>calc_gap('Matrix 171007_1810'!$CO$54,'Matrix 171007_1810'!$CU$54)</f>
        <v/>
      </c>
    </row>
    <row r="55" spans="2:105" x14ac:dyDescent="0.25">
      <c r="B55" s="435"/>
      <c r="C55" s="291" t="s">
        <v>95</v>
      </c>
      <c r="D55" s="314"/>
      <c r="E55" s="315"/>
      <c r="F55" s="315"/>
      <c r="G55" s="315"/>
      <c r="H55" s="315"/>
      <c r="I55" s="315"/>
      <c r="J55" s="315"/>
      <c r="K55" s="316"/>
      <c r="L55" s="314"/>
      <c r="M55" s="315"/>
      <c r="N55" s="315"/>
      <c r="O55" s="316"/>
      <c r="P55" s="314"/>
      <c r="Q55" s="315"/>
      <c r="R55" s="315"/>
      <c r="S55" s="315"/>
      <c r="T55" s="315"/>
      <c r="U55" s="315"/>
      <c r="V55" s="315"/>
      <c r="W55" s="315"/>
      <c r="X55" s="315"/>
      <c r="Y55" s="315"/>
      <c r="Z55" s="315"/>
      <c r="AA55" s="315"/>
      <c r="AB55" s="315"/>
      <c r="AC55" s="315"/>
      <c r="AD55" s="315"/>
      <c r="AE55" s="315"/>
      <c r="AF55" s="315"/>
      <c r="AG55" s="315"/>
      <c r="AH55" s="315"/>
      <c r="AI55" s="316"/>
      <c r="AJ55" s="314"/>
      <c r="AK55" s="315"/>
      <c r="AL55" s="316"/>
      <c r="AM55" s="314"/>
      <c r="AN55" s="315"/>
      <c r="AO55" s="316"/>
      <c r="AP55" s="314"/>
      <c r="AQ55" s="315"/>
      <c r="AR55" s="315"/>
      <c r="AS55" s="315"/>
      <c r="AT55" s="316"/>
      <c r="AU55" s="314"/>
      <c r="AV55" s="315" t="s">
        <v>149</v>
      </c>
      <c r="AW55" s="315" t="s">
        <v>149</v>
      </c>
      <c r="AX55" s="315" t="s">
        <v>148</v>
      </c>
      <c r="AY55" s="315" t="s">
        <v>147</v>
      </c>
      <c r="AZ55" s="315"/>
      <c r="BA55" s="315"/>
      <c r="BB55" s="316" t="s">
        <v>147</v>
      </c>
      <c r="BC55" s="314" t="s">
        <v>147</v>
      </c>
      <c r="BD55" s="315" t="s">
        <v>149</v>
      </c>
      <c r="BE55" s="315"/>
      <c r="BF55" s="315" t="s">
        <v>147</v>
      </c>
      <c r="BG55" s="316"/>
      <c r="BH55" s="314"/>
      <c r="BI55" s="315" t="s">
        <v>147</v>
      </c>
      <c r="BJ55" s="316"/>
      <c r="BK55" s="314"/>
      <c r="BL55" s="315"/>
      <c r="BM55" s="315"/>
      <c r="BN55" s="316"/>
      <c r="BO55" s="314"/>
      <c r="BP55" s="315"/>
      <c r="BQ55" s="315" t="s">
        <v>148</v>
      </c>
      <c r="BR55" s="315"/>
      <c r="BS55" s="315" t="s">
        <v>149</v>
      </c>
      <c r="BT55" s="315" t="s">
        <v>147</v>
      </c>
      <c r="BU55" s="315" t="s">
        <v>150</v>
      </c>
      <c r="BV55" s="316"/>
      <c r="BW55" s="314" t="s">
        <v>148</v>
      </c>
      <c r="BX55" s="315"/>
      <c r="BY55" s="315" t="s">
        <v>147</v>
      </c>
      <c r="BZ55" s="315" t="s">
        <v>147</v>
      </c>
      <c r="CA55" s="315" t="s">
        <v>147</v>
      </c>
      <c r="CB55" s="316" t="s">
        <v>147</v>
      </c>
      <c r="CC55" s="314"/>
      <c r="CD55" s="315"/>
      <c r="CE55" s="316"/>
      <c r="CF55" s="314"/>
      <c r="CG55" s="315"/>
      <c r="CH55" s="315"/>
      <c r="CI55" s="317"/>
      <c r="CK55" s="236">
        <f t="shared" si="20"/>
        <v>4</v>
      </c>
      <c r="CL55" s="237">
        <f t="shared" si="21"/>
        <v>10</v>
      </c>
      <c r="CM55" s="237">
        <f t="shared" si="22"/>
        <v>3</v>
      </c>
      <c r="CN55" s="237">
        <f t="shared" si="23"/>
        <v>1</v>
      </c>
      <c r="CO55" s="238" t="str">
        <f t="shared" si="24"/>
        <v/>
      </c>
      <c r="CQ55" s="236" t="str">
        <f>desired_skills(C55,"Vaardigheden/Data mining / big data","o")</f>
        <v/>
      </c>
      <c r="CR55" s="237" t="str">
        <f>desired_skills(C55,"Vaardigheden/Data mining / big data","j")</f>
        <v/>
      </c>
      <c r="CS55" s="237" t="str">
        <f>desired_skills(C55,"Vaardigheden/Data mining / big data","m")</f>
        <v/>
      </c>
      <c r="CT55" s="237" t="str">
        <f>desired_skills(C55,"Vaardigheden/Data mining / big data","s")</f>
        <v>29</v>
      </c>
      <c r="CU55" s="238" t="str">
        <f>desired_skills(C55,"Vaardigheden/Data mining / big data","e")</f>
        <v/>
      </c>
      <c r="CW55" s="236" t="str">
        <f>calc_gap('Matrix 171007_1810'!$CK$55,'Matrix 171007_1810'!$CQ$55)</f>
        <v/>
      </c>
      <c r="CX55" s="237" t="str">
        <f>calc_gap('Matrix 171007_1810'!$CL$55,'Matrix 171007_1810'!$CR$55)</f>
        <v/>
      </c>
      <c r="CY55" s="237" t="str">
        <f>calc_gap('Matrix 171007_1810'!$CM$55,'Matrix 171007_1810'!$CS$55)</f>
        <v/>
      </c>
      <c r="CZ55" s="237" t="str">
        <f>calc_gap('Matrix 171007_1810'!$CN$55,'Matrix 171007_1810'!$CT$55)</f>
        <v>28</v>
      </c>
      <c r="DA55" s="238" t="str">
        <f>calc_gap('Matrix 171007_1810'!$CO$55,'Matrix 171007_1810'!$CU$55)</f>
        <v/>
      </c>
    </row>
    <row r="56" spans="2:105" x14ac:dyDescent="0.25">
      <c r="B56" s="435"/>
      <c r="C56" s="291" t="s">
        <v>96</v>
      </c>
      <c r="D56" s="314"/>
      <c r="E56" s="315"/>
      <c r="F56" s="315"/>
      <c r="G56" s="315"/>
      <c r="H56" s="315"/>
      <c r="I56" s="315"/>
      <c r="J56" s="315"/>
      <c r="K56" s="316"/>
      <c r="L56" s="314"/>
      <c r="M56" s="315"/>
      <c r="N56" s="315"/>
      <c r="O56" s="316"/>
      <c r="P56" s="314"/>
      <c r="Q56" s="315"/>
      <c r="R56" s="315"/>
      <c r="S56" s="315"/>
      <c r="T56" s="315"/>
      <c r="U56" s="315"/>
      <c r="V56" s="315"/>
      <c r="W56" s="315"/>
      <c r="X56" s="315"/>
      <c r="Y56" s="315"/>
      <c r="Z56" s="315"/>
      <c r="AA56" s="315"/>
      <c r="AB56" s="315"/>
      <c r="AC56" s="315"/>
      <c r="AD56" s="315"/>
      <c r="AE56" s="315"/>
      <c r="AF56" s="315"/>
      <c r="AG56" s="315"/>
      <c r="AH56" s="315"/>
      <c r="AI56" s="316"/>
      <c r="AJ56" s="314"/>
      <c r="AK56" s="315"/>
      <c r="AL56" s="316"/>
      <c r="AM56" s="314"/>
      <c r="AN56" s="315"/>
      <c r="AO56" s="316"/>
      <c r="AP56" s="314"/>
      <c r="AQ56" s="315"/>
      <c r="AR56" s="315"/>
      <c r="AS56" s="315"/>
      <c r="AT56" s="316"/>
      <c r="AU56" s="314" t="s">
        <v>148</v>
      </c>
      <c r="AV56" s="315" t="s">
        <v>149</v>
      </c>
      <c r="AW56" s="315" t="s">
        <v>148</v>
      </c>
      <c r="AX56" s="315" t="s">
        <v>148</v>
      </c>
      <c r="AY56" s="315" t="s">
        <v>148</v>
      </c>
      <c r="AZ56" s="315" t="s">
        <v>150</v>
      </c>
      <c r="BA56" s="315"/>
      <c r="BB56" s="316" t="s">
        <v>147</v>
      </c>
      <c r="BC56" s="314" t="s">
        <v>148</v>
      </c>
      <c r="BD56" s="315" t="s">
        <v>149</v>
      </c>
      <c r="BE56" s="315"/>
      <c r="BF56" s="315" t="s">
        <v>148</v>
      </c>
      <c r="BG56" s="316"/>
      <c r="BH56" s="314"/>
      <c r="BI56" s="315" t="s">
        <v>147</v>
      </c>
      <c r="BJ56" s="316"/>
      <c r="BK56" s="314"/>
      <c r="BL56" s="315" t="s">
        <v>149</v>
      </c>
      <c r="BM56" s="315"/>
      <c r="BN56" s="316" t="s">
        <v>147</v>
      </c>
      <c r="BO56" s="314"/>
      <c r="BP56" s="315"/>
      <c r="BQ56" s="315"/>
      <c r="BR56" s="315"/>
      <c r="BS56" s="315"/>
      <c r="BT56" s="315"/>
      <c r="BU56" s="315" t="s">
        <v>148</v>
      </c>
      <c r="BV56" s="316"/>
      <c r="BW56" s="314" t="s">
        <v>148</v>
      </c>
      <c r="BX56" s="315"/>
      <c r="BY56" s="315"/>
      <c r="BZ56" s="315" t="s">
        <v>150</v>
      </c>
      <c r="CA56" s="315" t="s">
        <v>147</v>
      </c>
      <c r="CB56" s="316" t="s">
        <v>147</v>
      </c>
      <c r="CC56" s="314"/>
      <c r="CD56" s="315"/>
      <c r="CE56" s="316"/>
      <c r="CF56" s="314"/>
      <c r="CG56" s="315"/>
      <c r="CH56" s="315"/>
      <c r="CI56" s="317"/>
      <c r="CK56" s="236">
        <f t="shared" si="20"/>
        <v>3</v>
      </c>
      <c r="CL56" s="237">
        <f t="shared" si="21"/>
        <v>5</v>
      </c>
      <c r="CM56" s="237">
        <f t="shared" si="22"/>
        <v>8</v>
      </c>
      <c r="CN56" s="237">
        <f t="shared" si="23"/>
        <v>2</v>
      </c>
      <c r="CO56" s="238" t="str">
        <f t="shared" si="24"/>
        <v/>
      </c>
      <c r="CQ56" s="236" t="str">
        <f>desired_skills(C56,"Vaardigheden/Business Intelligence","o")</f>
        <v/>
      </c>
      <c r="CR56" s="237" t="str">
        <f>desired_skills(C56,"Vaardigheden/Business Intelligence","j")</f>
        <v/>
      </c>
      <c r="CS56" s="237" t="str">
        <f>desired_skills(C56,"Vaardigheden/Business Intelligence","m")</f>
        <v/>
      </c>
      <c r="CT56" s="237" t="str">
        <f>desired_skills(C56,"Vaardigheden/Business Intelligence","s")</f>
        <v/>
      </c>
      <c r="CU56" s="238" t="str">
        <f>desired_skills(C56,"Vaardigheden/Business Intelligence","e")</f>
        <v>30</v>
      </c>
      <c r="CW56" s="236" t="str">
        <f>calc_gap('Matrix 171007_1810'!$CK$56,'Matrix 171007_1810'!$CQ$56)</f>
        <v/>
      </c>
      <c r="CX56" s="237" t="str">
        <f>calc_gap('Matrix 171007_1810'!$CL$56,'Matrix 171007_1810'!$CR$56)</f>
        <v/>
      </c>
      <c r="CY56" s="237" t="str">
        <f>calc_gap('Matrix 171007_1810'!$CM$56,'Matrix 171007_1810'!$CS$56)</f>
        <v/>
      </c>
      <c r="CZ56" s="237" t="str">
        <f>calc_gap('Matrix 171007_1810'!$CN$56,'Matrix 171007_1810'!$CT$56)</f>
        <v/>
      </c>
      <c r="DA56" s="238" t="str">
        <f>calc_gap('Matrix 171007_1810'!$CO$56,'Matrix 171007_1810'!$CU$56)</f>
        <v/>
      </c>
    </row>
    <row r="57" spans="2:105" x14ac:dyDescent="0.25">
      <c r="B57" s="435"/>
      <c r="C57" s="291" t="s">
        <v>97</v>
      </c>
      <c r="D57" s="314"/>
      <c r="E57" s="315"/>
      <c r="F57" s="315"/>
      <c r="G57" s="315"/>
      <c r="H57" s="315"/>
      <c r="I57" s="315"/>
      <c r="J57" s="315"/>
      <c r="K57" s="316"/>
      <c r="L57" s="314"/>
      <c r="M57" s="315"/>
      <c r="N57" s="315"/>
      <c r="O57" s="316"/>
      <c r="P57" s="314"/>
      <c r="Q57" s="315"/>
      <c r="R57" s="315"/>
      <c r="S57" s="315"/>
      <c r="T57" s="315"/>
      <c r="U57" s="315"/>
      <c r="V57" s="315"/>
      <c r="W57" s="315"/>
      <c r="X57" s="315"/>
      <c r="Y57" s="315"/>
      <c r="Z57" s="315"/>
      <c r="AA57" s="315"/>
      <c r="AB57" s="315"/>
      <c r="AC57" s="315"/>
      <c r="AD57" s="315"/>
      <c r="AE57" s="315"/>
      <c r="AF57" s="315"/>
      <c r="AG57" s="315"/>
      <c r="AH57" s="315"/>
      <c r="AI57" s="316"/>
      <c r="AJ57" s="314"/>
      <c r="AK57" s="315"/>
      <c r="AL57" s="316"/>
      <c r="AM57" s="314"/>
      <c r="AN57" s="315"/>
      <c r="AO57" s="316"/>
      <c r="AP57" s="314"/>
      <c r="AQ57" s="315"/>
      <c r="AR57" s="315"/>
      <c r="AS57" s="315"/>
      <c r="AT57" s="316"/>
      <c r="AU57" s="314" t="s">
        <v>47</v>
      </c>
      <c r="AV57" s="315" t="s">
        <v>150</v>
      </c>
      <c r="AW57" s="315" t="s">
        <v>150</v>
      </c>
      <c r="AX57" s="315" t="s">
        <v>150</v>
      </c>
      <c r="AY57" s="315" t="s">
        <v>47</v>
      </c>
      <c r="AZ57" s="315" t="s">
        <v>150</v>
      </c>
      <c r="BA57" s="315" t="s">
        <v>150</v>
      </c>
      <c r="BB57" s="316" t="s">
        <v>150</v>
      </c>
      <c r="BC57" s="314" t="s">
        <v>148</v>
      </c>
      <c r="BD57" s="315" t="s">
        <v>148</v>
      </c>
      <c r="BE57" s="315"/>
      <c r="BF57" s="315" t="s">
        <v>150</v>
      </c>
      <c r="BG57" s="316"/>
      <c r="BH57" s="314"/>
      <c r="BI57" s="315" t="s">
        <v>148</v>
      </c>
      <c r="BJ57" s="316"/>
      <c r="BK57" s="314" t="s">
        <v>148</v>
      </c>
      <c r="BL57" s="315"/>
      <c r="BM57" s="315"/>
      <c r="BN57" s="316"/>
      <c r="BO57" s="314"/>
      <c r="BP57" s="315"/>
      <c r="BQ57" s="315"/>
      <c r="BR57" s="315"/>
      <c r="BS57" s="315"/>
      <c r="BT57" s="315"/>
      <c r="BU57" s="315" t="s">
        <v>148</v>
      </c>
      <c r="BV57" s="316"/>
      <c r="BW57" s="314" t="s">
        <v>148</v>
      </c>
      <c r="BX57" s="315" t="s">
        <v>150</v>
      </c>
      <c r="BY57" s="315" t="s">
        <v>150</v>
      </c>
      <c r="BZ57" s="315" t="s">
        <v>148</v>
      </c>
      <c r="CA57" s="315" t="s">
        <v>150</v>
      </c>
      <c r="CB57" s="316" t="s">
        <v>150</v>
      </c>
      <c r="CC57" s="314"/>
      <c r="CD57" s="315" t="s">
        <v>150</v>
      </c>
      <c r="CE57" s="316"/>
      <c r="CF57" s="314"/>
      <c r="CG57" s="315"/>
      <c r="CH57" s="315"/>
      <c r="CI57" s="317"/>
      <c r="CK57" s="236" t="str">
        <f t="shared" si="20"/>
        <v/>
      </c>
      <c r="CL57" s="237" t="str">
        <f t="shared" si="21"/>
        <v/>
      </c>
      <c r="CM57" s="237">
        <f t="shared" si="22"/>
        <v>7</v>
      </c>
      <c r="CN57" s="237">
        <f t="shared" si="23"/>
        <v>12</v>
      </c>
      <c r="CO57" s="238">
        <f t="shared" si="24"/>
        <v>2</v>
      </c>
      <c r="CQ57" s="236" t="str">
        <f>desired_skills(C57,"Vaardigheden/PDCA (in het algemeen)","o")</f>
        <v/>
      </c>
      <c r="CR57" s="237" t="str">
        <f>desired_skills(C57,"Vaardigheden/PDCA (in het algemeen)","j")</f>
        <v/>
      </c>
      <c r="CS57" s="237" t="str">
        <f>desired_skills(C57,"Vaardigheden/PDCA (in het algemeen)","m")</f>
        <v/>
      </c>
      <c r="CT57" s="237" t="str">
        <f>desired_skills(C57,"Vaardigheden/PDCA (in het algemeen)","s")</f>
        <v/>
      </c>
      <c r="CU57" s="238" t="str">
        <f>desired_skills(C57,"Vaardigheden/PDCA (in het algemeen)","e")</f>
        <v/>
      </c>
      <c r="CW57" s="236" t="str">
        <f>calc_gap('Matrix 171007_1810'!$CK$57,'Matrix 171007_1810'!$CQ$57)</f>
        <v/>
      </c>
      <c r="CX57" s="237" t="str">
        <f>calc_gap('Matrix 171007_1810'!$CL$57,'Matrix 171007_1810'!$CR$57)</f>
        <v/>
      </c>
      <c r="CY57" s="237" t="str">
        <f>calc_gap('Matrix 171007_1810'!$CM$57,'Matrix 171007_1810'!$CS$57)</f>
        <v/>
      </c>
      <c r="CZ57" s="237" t="str">
        <f>calc_gap('Matrix 171007_1810'!$CN$57,'Matrix 171007_1810'!$CT$57)</f>
        <v/>
      </c>
      <c r="DA57" s="238" t="str">
        <f>calc_gap('Matrix 171007_1810'!$CO$57,'Matrix 171007_1810'!$CU$57)</f>
        <v/>
      </c>
    </row>
    <row r="58" spans="2:105" x14ac:dyDescent="0.25">
      <c r="B58" s="435"/>
      <c r="C58" s="291" t="s">
        <v>228</v>
      </c>
      <c r="D58" s="314"/>
      <c r="E58" s="315"/>
      <c r="F58" s="315"/>
      <c r="G58" s="315"/>
      <c r="H58" s="315"/>
      <c r="I58" s="315"/>
      <c r="J58" s="315"/>
      <c r="K58" s="316"/>
      <c r="L58" s="314"/>
      <c r="M58" s="315"/>
      <c r="N58" s="315"/>
      <c r="O58" s="316"/>
      <c r="P58" s="314"/>
      <c r="Q58" s="315"/>
      <c r="R58" s="315"/>
      <c r="S58" s="315"/>
      <c r="T58" s="315"/>
      <c r="U58" s="315"/>
      <c r="V58" s="315"/>
      <c r="W58" s="315"/>
      <c r="X58" s="315"/>
      <c r="Y58" s="315"/>
      <c r="Z58" s="315"/>
      <c r="AA58" s="315"/>
      <c r="AB58" s="315"/>
      <c r="AC58" s="315"/>
      <c r="AD58" s="315"/>
      <c r="AE58" s="315"/>
      <c r="AF58" s="315"/>
      <c r="AG58" s="315"/>
      <c r="AH58" s="315"/>
      <c r="AI58" s="316"/>
      <c r="AJ58" s="314"/>
      <c r="AK58" s="315"/>
      <c r="AL58" s="316"/>
      <c r="AM58" s="314"/>
      <c r="AN58" s="315"/>
      <c r="AO58" s="316"/>
      <c r="AP58" s="314"/>
      <c r="AQ58" s="315"/>
      <c r="AR58" s="315"/>
      <c r="AS58" s="315"/>
      <c r="AT58" s="316"/>
      <c r="AU58" s="314"/>
      <c r="AV58" s="315"/>
      <c r="AW58" s="315"/>
      <c r="AX58" s="315"/>
      <c r="AY58" s="315"/>
      <c r="AZ58" s="315"/>
      <c r="BA58" s="315"/>
      <c r="BB58" s="316"/>
      <c r="BC58" s="314"/>
      <c r="BD58" s="315"/>
      <c r="BE58" s="315"/>
      <c r="BF58" s="315"/>
      <c r="BG58" s="316"/>
      <c r="BH58" s="314"/>
      <c r="BI58" s="315"/>
      <c r="BJ58" s="316"/>
      <c r="BK58" s="314"/>
      <c r="BL58" s="315"/>
      <c r="BM58" s="315"/>
      <c r="BN58" s="316"/>
      <c r="BO58" s="314"/>
      <c r="BP58" s="315"/>
      <c r="BQ58" s="315"/>
      <c r="BR58" s="315"/>
      <c r="BS58" s="315"/>
      <c r="BT58" s="315"/>
      <c r="BU58" s="315"/>
      <c r="BV58" s="316"/>
      <c r="BW58" s="314"/>
      <c r="BX58" s="315"/>
      <c r="BY58" s="315"/>
      <c r="BZ58" s="315"/>
      <c r="CA58" s="315"/>
      <c r="CB58" s="316"/>
      <c r="CC58" s="314"/>
      <c r="CD58" s="315"/>
      <c r="CE58" s="316"/>
      <c r="CF58" s="314"/>
      <c r="CG58" s="315"/>
      <c r="CH58" s="315"/>
      <c r="CI58" s="317"/>
      <c r="CK58" s="236" t="str">
        <f t="shared" si="20"/>
        <v/>
      </c>
      <c r="CL58" s="237" t="str">
        <f t="shared" si="21"/>
        <v/>
      </c>
      <c r="CM58" s="237" t="str">
        <f t="shared" si="22"/>
        <v/>
      </c>
      <c r="CN58" s="237" t="str">
        <f t="shared" si="23"/>
        <v/>
      </c>
      <c r="CO58" s="238" t="str">
        <f t="shared" si="24"/>
        <v/>
      </c>
      <c r="CQ58" s="236" t="str">
        <f>desired_skills(C58,"Vaardigheden/PowerPoint (Presentaties)","o")</f>
        <v/>
      </c>
      <c r="CR58" s="237" t="str">
        <f>desired_skills(C58,"Vaardigheden/PowerPoint (Presentaties)","j")</f>
        <v/>
      </c>
      <c r="CS58" s="237" t="str">
        <f>desired_skills(C58,"Vaardigheden/PowerPoint (Presentaties)","m")</f>
        <v/>
      </c>
      <c r="CT58" s="237" t="str">
        <f>desired_skills(C58,"Vaardigheden/PowerPoint (Presentaties)","s")</f>
        <v/>
      </c>
      <c r="CU58" s="238" t="str">
        <f>desired_skills(C58,"Vaardigheden/PowerPoint (Presentaties)","e")</f>
        <v/>
      </c>
      <c r="CW58" s="236" t="str">
        <f>calc_gap('Matrix 171007_1810'!$CK$58,'Matrix 171007_1810'!$CQ$58)</f>
        <v/>
      </c>
      <c r="CX58" s="237" t="str">
        <f>calc_gap('Matrix 171007_1810'!$CL$58,'Matrix 171007_1810'!$CR$58)</f>
        <v/>
      </c>
      <c r="CY58" s="237" t="str">
        <f>calc_gap('Matrix 171007_1810'!$CM$58,'Matrix 171007_1810'!$CS$58)</f>
        <v/>
      </c>
      <c r="CZ58" s="237" t="str">
        <f>calc_gap('Matrix 171007_1810'!$CN$58,'Matrix 171007_1810'!$CT$58)</f>
        <v/>
      </c>
      <c r="DA58" s="238" t="str">
        <f>calc_gap('Matrix 171007_1810'!$CO$58,'Matrix 171007_1810'!$CU$58)</f>
        <v/>
      </c>
    </row>
    <row r="59" spans="2:105" ht="15.75" thickBot="1" x14ac:dyDescent="0.3">
      <c r="B59" s="435"/>
      <c r="C59" s="292" t="s">
        <v>229</v>
      </c>
      <c r="D59" s="318"/>
      <c r="E59" s="319"/>
      <c r="F59" s="319"/>
      <c r="G59" s="319"/>
      <c r="H59" s="319"/>
      <c r="I59" s="319"/>
      <c r="J59" s="319"/>
      <c r="K59" s="320"/>
      <c r="L59" s="318"/>
      <c r="M59" s="319"/>
      <c r="N59" s="319"/>
      <c r="O59" s="320"/>
      <c r="P59" s="318"/>
      <c r="Q59" s="319"/>
      <c r="R59" s="319"/>
      <c r="S59" s="319"/>
      <c r="T59" s="319"/>
      <c r="U59" s="319"/>
      <c r="V59" s="319"/>
      <c r="W59" s="319"/>
      <c r="X59" s="319"/>
      <c r="Y59" s="319"/>
      <c r="Z59" s="319"/>
      <c r="AA59" s="319"/>
      <c r="AB59" s="319"/>
      <c r="AC59" s="319"/>
      <c r="AD59" s="319"/>
      <c r="AE59" s="319"/>
      <c r="AF59" s="319"/>
      <c r="AG59" s="319"/>
      <c r="AH59" s="319"/>
      <c r="AI59" s="320"/>
      <c r="AJ59" s="318"/>
      <c r="AK59" s="319"/>
      <c r="AL59" s="320"/>
      <c r="AM59" s="318"/>
      <c r="AN59" s="319"/>
      <c r="AO59" s="320"/>
      <c r="AP59" s="318"/>
      <c r="AQ59" s="319"/>
      <c r="AR59" s="319"/>
      <c r="AS59" s="319"/>
      <c r="AT59" s="320"/>
      <c r="AU59" s="318"/>
      <c r="AV59" s="319"/>
      <c r="AW59" s="319"/>
      <c r="AX59" s="319"/>
      <c r="AY59" s="319"/>
      <c r="AZ59" s="319"/>
      <c r="BA59" s="319"/>
      <c r="BB59" s="320"/>
      <c r="BC59" s="318"/>
      <c r="BD59" s="319"/>
      <c r="BE59" s="319"/>
      <c r="BF59" s="319"/>
      <c r="BG59" s="320"/>
      <c r="BH59" s="318"/>
      <c r="BI59" s="319"/>
      <c r="BJ59" s="320"/>
      <c r="BK59" s="318"/>
      <c r="BL59" s="319"/>
      <c r="BM59" s="319"/>
      <c r="BN59" s="320"/>
      <c r="BO59" s="318"/>
      <c r="BP59" s="319"/>
      <c r="BQ59" s="319"/>
      <c r="BR59" s="319"/>
      <c r="BS59" s="319"/>
      <c r="BT59" s="319"/>
      <c r="BU59" s="319"/>
      <c r="BV59" s="320"/>
      <c r="BW59" s="318"/>
      <c r="BX59" s="319"/>
      <c r="BY59" s="319"/>
      <c r="BZ59" s="319"/>
      <c r="CA59" s="319"/>
      <c r="CB59" s="320"/>
      <c r="CC59" s="318"/>
      <c r="CD59" s="319"/>
      <c r="CE59" s="320"/>
      <c r="CF59" s="318"/>
      <c r="CG59" s="319"/>
      <c r="CH59" s="319"/>
      <c r="CI59" s="321"/>
      <c r="CK59" s="239" t="str">
        <f t="shared" si="20"/>
        <v/>
      </c>
      <c r="CL59" s="240" t="str">
        <f t="shared" si="21"/>
        <v/>
      </c>
      <c r="CM59" s="240" t="str">
        <f t="shared" si="22"/>
        <v/>
      </c>
      <c r="CN59" s="240" t="str">
        <f t="shared" si="23"/>
        <v/>
      </c>
      <c r="CO59" s="241" t="str">
        <f t="shared" si="24"/>
        <v/>
      </c>
      <c r="CQ59" s="239" t="str">
        <f>desired_skills(C59,"Vaardigheden/Uitvoeren impactanalyse","o")</f>
        <v/>
      </c>
      <c r="CR59" s="240" t="str">
        <f>desired_skills(C59,"Vaardigheden/Uitvoeren impactanalyse","j")</f>
        <v/>
      </c>
      <c r="CS59" s="240" t="str">
        <f>desired_skills(C59,"Vaardigheden/Uitvoeren impactanalyse","m")</f>
        <v/>
      </c>
      <c r="CT59" s="240" t="str">
        <f>desired_skills(C59,"Vaardigheden/Uitvoeren impactanalyse","s")</f>
        <v/>
      </c>
      <c r="CU59" s="241" t="str">
        <f>desired_skills(C59,"Vaardigheden/Uitvoeren impactanalyse","e")</f>
        <v/>
      </c>
      <c r="CW59" s="239" t="str">
        <f>calc_gap('Matrix 171007_1810'!$CK$59,'Matrix 171007_1810'!$CQ$59)</f>
        <v/>
      </c>
      <c r="CX59" s="240" t="str">
        <f>calc_gap('Matrix 171007_1810'!$CL$59,'Matrix 171007_1810'!$CR$59)</f>
        <v/>
      </c>
      <c r="CY59" s="240" t="str">
        <f>calc_gap('Matrix 171007_1810'!$CM$59,'Matrix 171007_1810'!$CS$59)</f>
        <v/>
      </c>
      <c r="CZ59" s="240" t="str">
        <f>calc_gap('Matrix 171007_1810'!$CN$59,'Matrix 171007_1810'!$CT$59)</f>
        <v/>
      </c>
      <c r="DA59" s="241" t="str">
        <f>calc_gap('Matrix 171007_1810'!$CO$59,'Matrix 171007_1810'!$CU$59)</f>
        <v/>
      </c>
    </row>
    <row r="60" spans="2:105" ht="12.75" customHeight="1" thickTop="1" thickBot="1" x14ac:dyDescent="0.3">
      <c r="B60" s="436"/>
      <c r="C60" s="248"/>
      <c r="D60" s="322"/>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c r="BA60" s="322"/>
      <c r="BB60" s="322"/>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2"/>
      <c r="CH60" s="322"/>
      <c r="CI60" s="322"/>
      <c r="CK60" s="249"/>
      <c r="CL60" s="249"/>
      <c r="CM60" s="249"/>
      <c r="CN60" s="249"/>
      <c r="CO60" s="249"/>
      <c r="CQ60" s="249"/>
      <c r="CR60" s="249"/>
      <c r="CS60" s="249"/>
      <c r="CT60" s="249"/>
      <c r="CU60" s="249"/>
      <c r="CW60" s="249"/>
      <c r="CX60" s="249"/>
      <c r="CY60" s="249"/>
      <c r="CZ60" s="249"/>
      <c r="DA60" s="249"/>
    </row>
    <row r="61" spans="2:105" ht="15.75" thickTop="1" x14ac:dyDescent="0.25">
      <c r="B61" s="434" t="s">
        <v>98</v>
      </c>
      <c r="C61" s="290" t="s">
        <v>99</v>
      </c>
      <c r="D61" s="310"/>
      <c r="E61" s="311"/>
      <c r="F61" s="311"/>
      <c r="G61" s="311"/>
      <c r="H61" s="311"/>
      <c r="I61" s="311"/>
      <c r="J61" s="311"/>
      <c r="K61" s="312"/>
      <c r="L61" s="310"/>
      <c r="M61" s="311"/>
      <c r="N61" s="311"/>
      <c r="O61" s="312"/>
      <c r="P61" s="310"/>
      <c r="Q61" s="311"/>
      <c r="R61" s="311"/>
      <c r="S61" s="311"/>
      <c r="T61" s="311"/>
      <c r="U61" s="311"/>
      <c r="V61" s="311"/>
      <c r="W61" s="311"/>
      <c r="X61" s="311"/>
      <c r="Y61" s="311"/>
      <c r="Z61" s="311"/>
      <c r="AA61" s="311"/>
      <c r="AB61" s="311"/>
      <c r="AC61" s="311"/>
      <c r="AD61" s="311"/>
      <c r="AE61" s="311"/>
      <c r="AF61" s="311"/>
      <c r="AG61" s="311"/>
      <c r="AH61" s="311"/>
      <c r="AI61" s="312"/>
      <c r="AJ61" s="310"/>
      <c r="AK61" s="311"/>
      <c r="AL61" s="312"/>
      <c r="AM61" s="310"/>
      <c r="AN61" s="311"/>
      <c r="AO61" s="312"/>
      <c r="AP61" s="310"/>
      <c r="AQ61" s="311"/>
      <c r="AR61" s="311"/>
      <c r="AS61" s="311"/>
      <c r="AT61" s="312"/>
      <c r="AU61" s="310" t="s">
        <v>147</v>
      </c>
      <c r="AV61" s="311" t="s">
        <v>47</v>
      </c>
      <c r="AW61" s="311" t="s">
        <v>148</v>
      </c>
      <c r="AX61" s="311" t="s">
        <v>150</v>
      </c>
      <c r="AY61" s="311" t="s">
        <v>148</v>
      </c>
      <c r="AZ61" s="311" t="s">
        <v>147</v>
      </c>
      <c r="BA61" s="311"/>
      <c r="BB61" s="312" t="s">
        <v>148</v>
      </c>
      <c r="BC61" s="310" t="s">
        <v>149</v>
      </c>
      <c r="BD61" s="311" t="s">
        <v>147</v>
      </c>
      <c r="BE61" s="311"/>
      <c r="BF61" s="311" t="s">
        <v>147</v>
      </c>
      <c r="BG61" s="312"/>
      <c r="BH61" s="310"/>
      <c r="BI61" s="311"/>
      <c r="BJ61" s="312"/>
      <c r="BK61" s="310"/>
      <c r="BL61" s="311"/>
      <c r="BM61" s="311"/>
      <c r="BN61" s="312"/>
      <c r="BO61" s="310"/>
      <c r="BP61" s="311"/>
      <c r="BQ61" s="311"/>
      <c r="BR61" s="311"/>
      <c r="BS61" s="311" t="s">
        <v>149</v>
      </c>
      <c r="BT61" s="311"/>
      <c r="BU61" s="311" t="s">
        <v>150</v>
      </c>
      <c r="BV61" s="312"/>
      <c r="BW61" s="310" t="s">
        <v>147</v>
      </c>
      <c r="BX61" s="311" t="s">
        <v>148</v>
      </c>
      <c r="BY61" s="311" t="s">
        <v>150</v>
      </c>
      <c r="BZ61" s="311" t="s">
        <v>147</v>
      </c>
      <c r="CA61" s="311" t="s">
        <v>47</v>
      </c>
      <c r="CB61" s="312" t="s">
        <v>47</v>
      </c>
      <c r="CC61" s="310"/>
      <c r="CD61" s="311" t="s">
        <v>148</v>
      </c>
      <c r="CE61" s="312"/>
      <c r="CF61" s="310"/>
      <c r="CG61" s="311"/>
      <c r="CH61" s="311"/>
      <c r="CI61" s="313"/>
      <c r="CK61" s="233">
        <f t="shared" ref="CK61:CK78" si="25">IF(COUNTIF(D61:CI61,"o")&gt;0,COUNTIF(D61:CI61,"o"),"")</f>
        <v>2</v>
      </c>
      <c r="CL61" s="234">
        <f t="shared" ref="CL61:CL78" si="26">IF(COUNTIF(D61:CI61,"j")&gt;0,COUNTIF(D61:CI61,"j"),"")</f>
        <v>6</v>
      </c>
      <c r="CM61" s="234">
        <f t="shared" ref="CM61:CM78" si="27">IF(COUNTIF(D61:CI61,"m")&gt;0,COUNTIF(D61:CI61,"m"),"")</f>
        <v>5</v>
      </c>
      <c r="CN61" s="234">
        <f t="shared" ref="CN61:CN78" si="28">IF(COUNTIF(D61:CI61,"s")&gt;0,COUNTIF(D61:CI61,"s"),"")</f>
        <v>3</v>
      </c>
      <c r="CO61" s="235">
        <f t="shared" ref="CO61:CO78" si="29">IF(COUNTIF(D61:CI61,"e")&gt;0,COUNTIF(D61:CI61,"e"),"")</f>
        <v>3</v>
      </c>
      <c r="CQ61" s="233" t="str">
        <f>desired_skills(C61,"Organisatie / klantomgeving/LB - PPB","o")</f>
        <v>31</v>
      </c>
      <c r="CR61" s="234" t="str">
        <f>desired_skills(C61,"Organisatie / klantomgeving/LB - PPB","j")</f>
        <v/>
      </c>
      <c r="CS61" s="234" t="str">
        <f>desired_skills(C61,"Organisatie / klantomgeving/LB - PPB","m")</f>
        <v/>
      </c>
      <c r="CT61" s="234" t="str">
        <f>desired_skills(C61,"Organisatie / klantomgeving/LB - PPB","s")</f>
        <v/>
      </c>
      <c r="CU61" s="235" t="str">
        <f>desired_skills(C61,"Organisatie / klantomgeving/LB - PPB","e")</f>
        <v/>
      </c>
      <c r="CW61" s="233" t="str">
        <f>calc_gap('Matrix 171007_1810'!$CK$61,'Matrix 171007_1810'!$CQ$61)</f>
        <v>29</v>
      </c>
      <c r="CX61" s="234" t="str">
        <f>calc_gap('Matrix 171007_1810'!$CL$61,'Matrix 171007_1810'!$CR$61)</f>
        <v/>
      </c>
      <c r="CY61" s="234" t="str">
        <f>calc_gap('Matrix 171007_1810'!$CM$61,'Matrix 171007_1810'!$CS$61)</f>
        <v/>
      </c>
      <c r="CZ61" s="234" t="str">
        <f>calc_gap('Matrix 171007_1810'!$CN$61,'Matrix 171007_1810'!$CT$61)</f>
        <v/>
      </c>
      <c r="DA61" s="235" t="str">
        <f>calc_gap('Matrix 171007_1810'!$CO$61,'Matrix 171007_1810'!$CU$61)</f>
        <v/>
      </c>
    </row>
    <row r="62" spans="2:105" x14ac:dyDescent="0.25">
      <c r="B62" s="435"/>
      <c r="C62" s="291" t="s">
        <v>100</v>
      </c>
      <c r="D62" s="314"/>
      <c r="E62" s="315"/>
      <c r="F62" s="315"/>
      <c r="G62" s="315"/>
      <c r="H62" s="315"/>
      <c r="I62" s="315"/>
      <c r="J62" s="315"/>
      <c r="K62" s="316"/>
      <c r="L62" s="314"/>
      <c r="M62" s="315"/>
      <c r="N62" s="315"/>
      <c r="O62" s="316"/>
      <c r="P62" s="314"/>
      <c r="Q62" s="315"/>
      <c r="R62" s="315"/>
      <c r="S62" s="315"/>
      <c r="T62" s="315"/>
      <c r="U62" s="315"/>
      <c r="V62" s="315"/>
      <c r="W62" s="315"/>
      <c r="X62" s="315"/>
      <c r="Y62" s="315"/>
      <c r="Z62" s="315"/>
      <c r="AA62" s="315"/>
      <c r="AB62" s="315"/>
      <c r="AC62" s="315"/>
      <c r="AD62" s="315"/>
      <c r="AE62" s="315"/>
      <c r="AF62" s="315"/>
      <c r="AG62" s="315"/>
      <c r="AH62" s="315"/>
      <c r="AI62" s="316"/>
      <c r="AJ62" s="314"/>
      <c r="AK62" s="315"/>
      <c r="AL62" s="316"/>
      <c r="AM62" s="314"/>
      <c r="AN62" s="315"/>
      <c r="AO62" s="316"/>
      <c r="AP62" s="314"/>
      <c r="AQ62" s="315"/>
      <c r="AR62" s="315"/>
      <c r="AS62" s="315"/>
      <c r="AT62" s="316"/>
      <c r="AU62" s="314" t="s">
        <v>147</v>
      </c>
      <c r="AV62" s="315" t="s">
        <v>150</v>
      </c>
      <c r="AW62" s="315" t="s">
        <v>148</v>
      </c>
      <c r="AX62" s="315" t="s">
        <v>150</v>
      </c>
      <c r="AY62" s="315" t="s">
        <v>148</v>
      </c>
      <c r="AZ62" s="315" t="s">
        <v>147</v>
      </c>
      <c r="BA62" s="315"/>
      <c r="BB62" s="316" t="s">
        <v>148</v>
      </c>
      <c r="BC62" s="314" t="s">
        <v>149</v>
      </c>
      <c r="BD62" s="315" t="s">
        <v>147</v>
      </c>
      <c r="BE62" s="315"/>
      <c r="BF62" s="315" t="s">
        <v>147</v>
      </c>
      <c r="BG62" s="316"/>
      <c r="BH62" s="314"/>
      <c r="BI62" s="315"/>
      <c r="BJ62" s="316"/>
      <c r="BK62" s="314"/>
      <c r="BL62" s="315"/>
      <c r="BM62" s="315"/>
      <c r="BN62" s="316"/>
      <c r="BO62" s="314"/>
      <c r="BP62" s="315"/>
      <c r="BQ62" s="315"/>
      <c r="BR62" s="315"/>
      <c r="BS62" s="315" t="s">
        <v>149</v>
      </c>
      <c r="BT62" s="315"/>
      <c r="BU62" s="315" t="s">
        <v>150</v>
      </c>
      <c r="BV62" s="316"/>
      <c r="BW62" s="314" t="s">
        <v>147</v>
      </c>
      <c r="BX62" s="315" t="s">
        <v>148</v>
      </c>
      <c r="BY62" s="315" t="s">
        <v>150</v>
      </c>
      <c r="BZ62" s="315" t="s">
        <v>147</v>
      </c>
      <c r="CA62" s="315" t="s">
        <v>47</v>
      </c>
      <c r="CB62" s="316" t="s">
        <v>150</v>
      </c>
      <c r="CC62" s="314"/>
      <c r="CD62" s="315" t="s">
        <v>148</v>
      </c>
      <c r="CE62" s="316"/>
      <c r="CF62" s="314"/>
      <c r="CG62" s="315"/>
      <c r="CH62" s="315"/>
      <c r="CI62" s="317"/>
      <c r="CK62" s="236">
        <f t="shared" si="25"/>
        <v>2</v>
      </c>
      <c r="CL62" s="237">
        <f t="shared" si="26"/>
        <v>6</v>
      </c>
      <c r="CM62" s="237">
        <f t="shared" si="27"/>
        <v>5</v>
      </c>
      <c r="CN62" s="237">
        <f t="shared" si="28"/>
        <v>5</v>
      </c>
      <c r="CO62" s="238">
        <f t="shared" si="29"/>
        <v>1</v>
      </c>
      <c r="CQ62" s="236" t="str">
        <f>desired_skills(C62,"Organisatie / klantomgeving/LB - Bedrijven","o")</f>
        <v/>
      </c>
      <c r="CR62" s="237" t="str">
        <f>desired_skills(C62,"Organisatie / klantomgeving/LB - Bedrijven","j")</f>
        <v>32</v>
      </c>
      <c r="CS62" s="237" t="str">
        <f>desired_skills(C62,"Organisatie / klantomgeving/LB - Bedrijven","m")</f>
        <v/>
      </c>
      <c r="CT62" s="237" t="str">
        <f>desired_skills(C62,"Organisatie / klantomgeving/LB - Bedrijven","s")</f>
        <v/>
      </c>
      <c r="CU62" s="238" t="str">
        <f>desired_skills(C62,"Organisatie / klantomgeving/LB - Bedrijven","e")</f>
        <v/>
      </c>
      <c r="CW62" s="236" t="str">
        <f>calc_gap('Matrix 171007_1810'!$CK$62,'Matrix 171007_1810'!$CQ$62)</f>
        <v/>
      </c>
      <c r="CX62" s="237" t="str">
        <f>calc_gap('Matrix 171007_1810'!$CL$62,'Matrix 171007_1810'!$CR$62)</f>
        <v>26</v>
      </c>
      <c r="CY62" s="237" t="str">
        <f>calc_gap('Matrix 171007_1810'!$CM$62,'Matrix 171007_1810'!$CS$62)</f>
        <v/>
      </c>
      <c r="CZ62" s="237" t="str">
        <f>calc_gap('Matrix 171007_1810'!$CN$62,'Matrix 171007_1810'!$CT$62)</f>
        <v/>
      </c>
      <c r="DA62" s="238" t="str">
        <f>calc_gap('Matrix 171007_1810'!$CO$62,'Matrix 171007_1810'!$CU$62)</f>
        <v/>
      </c>
    </row>
    <row r="63" spans="2:105" x14ac:dyDescent="0.25">
      <c r="B63" s="435"/>
      <c r="C63" s="291" t="s">
        <v>101</v>
      </c>
      <c r="D63" s="314"/>
      <c r="E63" s="315"/>
      <c r="F63" s="315"/>
      <c r="G63" s="315"/>
      <c r="H63" s="315"/>
      <c r="I63" s="315"/>
      <c r="J63" s="315"/>
      <c r="K63" s="316"/>
      <c r="L63" s="314"/>
      <c r="M63" s="315"/>
      <c r="N63" s="315"/>
      <c r="O63" s="316"/>
      <c r="P63" s="314"/>
      <c r="Q63" s="315"/>
      <c r="R63" s="315"/>
      <c r="S63" s="315"/>
      <c r="T63" s="315"/>
      <c r="U63" s="315"/>
      <c r="V63" s="315"/>
      <c r="W63" s="315"/>
      <c r="X63" s="315"/>
      <c r="Y63" s="315"/>
      <c r="Z63" s="315"/>
      <c r="AA63" s="315"/>
      <c r="AB63" s="315"/>
      <c r="AC63" s="315"/>
      <c r="AD63" s="315"/>
      <c r="AE63" s="315"/>
      <c r="AF63" s="315"/>
      <c r="AG63" s="315"/>
      <c r="AH63" s="315"/>
      <c r="AI63" s="316"/>
      <c r="AJ63" s="314"/>
      <c r="AK63" s="315"/>
      <c r="AL63" s="316"/>
      <c r="AM63" s="314"/>
      <c r="AN63" s="315"/>
      <c r="AO63" s="316"/>
      <c r="AP63" s="314"/>
      <c r="AQ63" s="315"/>
      <c r="AR63" s="315"/>
      <c r="AS63" s="315"/>
      <c r="AT63" s="316"/>
      <c r="AU63" s="314" t="s">
        <v>150</v>
      </c>
      <c r="AV63" s="315" t="s">
        <v>47</v>
      </c>
      <c r="AW63" s="315" t="s">
        <v>148</v>
      </c>
      <c r="AX63" s="315" t="s">
        <v>150</v>
      </c>
      <c r="AY63" s="315" t="s">
        <v>148</v>
      </c>
      <c r="AZ63" s="315"/>
      <c r="BA63" s="315"/>
      <c r="BB63" s="316" t="s">
        <v>148</v>
      </c>
      <c r="BC63" s="314" t="s">
        <v>149</v>
      </c>
      <c r="BD63" s="315" t="s">
        <v>147</v>
      </c>
      <c r="BE63" s="315"/>
      <c r="BF63" s="315" t="s">
        <v>150</v>
      </c>
      <c r="BG63" s="316"/>
      <c r="BH63" s="314"/>
      <c r="BI63" s="315"/>
      <c r="BJ63" s="316"/>
      <c r="BK63" s="314"/>
      <c r="BL63" s="315"/>
      <c r="BM63" s="315"/>
      <c r="BN63" s="316"/>
      <c r="BO63" s="314"/>
      <c r="BP63" s="315"/>
      <c r="BQ63" s="315"/>
      <c r="BR63" s="315"/>
      <c r="BS63" s="315" t="s">
        <v>149</v>
      </c>
      <c r="BT63" s="315"/>
      <c r="BU63" s="315" t="s">
        <v>150</v>
      </c>
      <c r="BV63" s="316"/>
      <c r="BW63" s="314" t="s">
        <v>147</v>
      </c>
      <c r="BX63" s="315" t="s">
        <v>148</v>
      </c>
      <c r="BY63" s="315" t="s">
        <v>47</v>
      </c>
      <c r="BZ63" s="315" t="s">
        <v>147</v>
      </c>
      <c r="CA63" s="315" t="s">
        <v>150</v>
      </c>
      <c r="CB63" s="316" t="s">
        <v>47</v>
      </c>
      <c r="CC63" s="314"/>
      <c r="CD63" s="315" t="s">
        <v>148</v>
      </c>
      <c r="CE63" s="316"/>
      <c r="CF63" s="314"/>
      <c r="CG63" s="315"/>
      <c r="CH63" s="315"/>
      <c r="CI63" s="317"/>
      <c r="CK63" s="236">
        <f t="shared" si="25"/>
        <v>2</v>
      </c>
      <c r="CL63" s="237">
        <f t="shared" si="26"/>
        <v>3</v>
      </c>
      <c r="CM63" s="237">
        <f t="shared" si="27"/>
        <v>5</v>
      </c>
      <c r="CN63" s="237">
        <f t="shared" si="28"/>
        <v>5</v>
      </c>
      <c r="CO63" s="238">
        <f t="shared" si="29"/>
        <v>3</v>
      </c>
      <c r="CQ63" s="236" t="str">
        <f>desired_skills(C63,"Organisatie / klantomgeving/LB - Business Support","o")</f>
        <v/>
      </c>
      <c r="CR63" s="237" t="str">
        <f>desired_skills(C63,"Organisatie / klantomgeving/LB - Business Support","j")</f>
        <v/>
      </c>
      <c r="CS63" s="237" t="str">
        <f>desired_skills(C63,"Organisatie / klantomgeving/LB - Business Support","m")</f>
        <v>33</v>
      </c>
      <c r="CT63" s="237" t="str">
        <f>desired_skills(C63,"Organisatie / klantomgeving/LB - Business Support","s")</f>
        <v/>
      </c>
      <c r="CU63" s="238" t="str">
        <f>desired_skills(C63,"Organisatie / klantomgeving/LB - Business Support","e")</f>
        <v/>
      </c>
      <c r="CW63" s="236" t="str">
        <f>calc_gap('Matrix 171007_1810'!$CK$63,'Matrix 171007_1810'!$CQ$63)</f>
        <v/>
      </c>
      <c r="CX63" s="237" t="str">
        <f>calc_gap('Matrix 171007_1810'!$CL$63,'Matrix 171007_1810'!$CR$63)</f>
        <v/>
      </c>
      <c r="CY63" s="237" t="str">
        <f>calc_gap('Matrix 171007_1810'!$CM$63,'Matrix 171007_1810'!$CS$63)</f>
        <v>28</v>
      </c>
      <c r="CZ63" s="237" t="str">
        <f>calc_gap('Matrix 171007_1810'!$CN$63,'Matrix 171007_1810'!$CT$63)</f>
        <v/>
      </c>
      <c r="DA63" s="238" t="str">
        <f>calc_gap('Matrix 171007_1810'!$CO$63,'Matrix 171007_1810'!$CU$63)</f>
        <v/>
      </c>
    </row>
    <row r="64" spans="2:105" x14ac:dyDescent="0.25">
      <c r="B64" s="435"/>
      <c r="C64" s="291" t="s">
        <v>102</v>
      </c>
      <c r="D64" s="314"/>
      <c r="E64" s="315"/>
      <c r="F64" s="315"/>
      <c r="G64" s="315"/>
      <c r="H64" s="315"/>
      <c r="I64" s="315"/>
      <c r="J64" s="315"/>
      <c r="K64" s="316"/>
      <c r="L64" s="314"/>
      <c r="M64" s="315"/>
      <c r="N64" s="315"/>
      <c r="O64" s="316"/>
      <c r="P64" s="314"/>
      <c r="Q64" s="315"/>
      <c r="R64" s="315"/>
      <c r="S64" s="315"/>
      <c r="T64" s="315"/>
      <c r="U64" s="315"/>
      <c r="V64" s="315"/>
      <c r="W64" s="315"/>
      <c r="X64" s="315"/>
      <c r="Y64" s="315"/>
      <c r="Z64" s="315"/>
      <c r="AA64" s="315"/>
      <c r="AB64" s="315"/>
      <c r="AC64" s="315"/>
      <c r="AD64" s="315"/>
      <c r="AE64" s="315"/>
      <c r="AF64" s="315"/>
      <c r="AG64" s="315"/>
      <c r="AH64" s="315"/>
      <c r="AI64" s="316"/>
      <c r="AJ64" s="314"/>
      <c r="AK64" s="315"/>
      <c r="AL64" s="316"/>
      <c r="AM64" s="314"/>
      <c r="AN64" s="315"/>
      <c r="AO64" s="316"/>
      <c r="AP64" s="314"/>
      <c r="AQ64" s="315"/>
      <c r="AR64" s="315"/>
      <c r="AS64" s="315"/>
      <c r="AT64" s="316"/>
      <c r="AU64" s="314" t="s">
        <v>147</v>
      </c>
      <c r="AV64" s="315" t="s">
        <v>47</v>
      </c>
      <c r="AW64" s="315" t="s">
        <v>148</v>
      </c>
      <c r="AX64" s="315" t="s">
        <v>150</v>
      </c>
      <c r="AY64" s="315" t="s">
        <v>148</v>
      </c>
      <c r="AZ64" s="315"/>
      <c r="BA64" s="315"/>
      <c r="BB64" s="316" t="s">
        <v>148</v>
      </c>
      <c r="BC64" s="314" t="s">
        <v>149</v>
      </c>
      <c r="BD64" s="315" t="s">
        <v>147</v>
      </c>
      <c r="BE64" s="315"/>
      <c r="BF64" s="315" t="s">
        <v>147</v>
      </c>
      <c r="BG64" s="316"/>
      <c r="BH64" s="314"/>
      <c r="BI64" s="315"/>
      <c r="BJ64" s="316"/>
      <c r="BK64" s="314"/>
      <c r="BL64" s="315"/>
      <c r="BM64" s="315"/>
      <c r="BN64" s="316"/>
      <c r="BO64" s="314" t="s">
        <v>148</v>
      </c>
      <c r="BP64" s="315" t="s">
        <v>150</v>
      </c>
      <c r="BQ64" s="315"/>
      <c r="BR64" s="315"/>
      <c r="BS64" s="315" t="s">
        <v>149</v>
      </c>
      <c r="BT64" s="315"/>
      <c r="BU64" s="315" t="s">
        <v>150</v>
      </c>
      <c r="BV64" s="316"/>
      <c r="BW64" s="314" t="s">
        <v>148</v>
      </c>
      <c r="BX64" s="315" t="s">
        <v>147</v>
      </c>
      <c r="BY64" s="315" t="s">
        <v>147</v>
      </c>
      <c r="BZ64" s="315" t="s">
        <v>148</v>
      </c>
      <c r="CA64" s="315" t="s">
        <v>150</v>
      </c>
      <c r="CB64" s="316" t="s">
        <v>47</v>
      </c>
      <c r="CC64" s="314"/>
      <c r="CD64" s="315" t="s">
        <v>148</v>
      </c>
      <c r="CE64" s="316"/>
      <c r="CF64" s="314"/>
      <c r="CG64" s="315"/>
      <c r="CH64" s="315"/>
      <c r="CI64" s="317"/>
      <c r="CK64" s="236">
        <f t="shared" si="25"/>
        <v>2</v>
      </c>
      <c r="CL64" s="237">
        <f t="shared" si="26"/>
        <v>5</v>
      </c>
      <c r="CM64" s="237">
        <f t="shared" si="27"/>
        <v>7</v>
      </c>
      <c r="CN64" s="237">
        <f t="shared" si="28"/>
        <v>4</v>
      </c>
      <c r="CO64" s="238">
        <f t="shared" si="29"/>
        <v>2</v>
      </c>
      <c r="CQ64" s="236" t="str">
        <f>desired_skills(C64,"Organisatie / klantomgeving/PPB","o")</f>
        <v/>
      </c>
      <c r="CR64" s="237" t="str">
        <f>desired_skills(C64,"Organisatie / klantomgeving/PPB","j")</f>
        <v/>
      </c>
      <c r="CS64" s="237" t="str">
        <f>desired_skills(C64,"Organisatie / klantomgeving/PPB","m")</f>
        <v/>
      </c>
      <c r="CT64" s="237" t="str">
        <f>desired_skills(C64,"Organisatie / klantomgeving/PPB","s")</f>
        <v>34</v>
      </c>
      <c r="CU64" s="238" t="str">
        <f>desired_skills(C64,"Organisatie / klantomgeving/PPB","e")</f>
        <v/>
      </c>
      <c r="CW64" s="236" t="str">
        <f>calc_gap('Matrix 171007_1810'!$CK$64,'Matrix 171007_1810'!$CQ$64)</f>
        <v/>
      </c>
      <c r="CX64" s="237" t="str">
        <f>calc_gap('Matrix 171007_1810'!$CL$64,'Matrix 171007_1810'!$CR$64)</f>
        <v/>
      </c>
      <c r="CY64" s="237" t="str">
        <f>calc_gap('Matrix 171007_1810'!$CM$64,'Matrix 171007_1810'!$CS$64)</f>
        <v/>
      </c>
      <c r="CZ64" s="237" t="str">
        <f>calc_gap('Matrix 171007_1810'!$CN$64,'Matrix 171007_1810'!$CT$64)</f>
        <v>30</v>
      </c>
      <c r="DA64" s="238" t="str">
        <f>calc_gap('Matrix 171007_1810'!$CO$64,'Matrix 171007_1810'!$CU$64)</f>
        <v/>
      </c>
    </row>
    <row r="65" spans="2:105" x14ac:dyDescent="0.25">
      <c r="B65" s="435"/>
      <c r="C65" s="291" t="s">
        <v>103</v>
      </c>
      <c r="D65" s="314"/>
      <c r="E65" s="315"/>
      <c r="F65" s="315"/>
      <c r="G65" s="315"/>
      <c r="H65" s="315"/>
      <c r="I65" s="315"/>
      <c r="J65" s="315"/>
      <c r="K65" s="316"/>
      <c r="L65" s="314"/>
      <c r="M65" s="315"/>
      <c r="N65" s="315"/>
      <c r="O65" s="316"/>
      <c r="P65" s="314"/>
      <c r="Q65" s="315"/>
      <c r="R65" s="315"/>
      <c r="S65" s="315"/>
      <c r="T65" s="315"/>
      <c r="U65" s="315"/>
      <c r="V65" s="315"/>
      <c r="W65" s="315"/>
      <c r="X65" s="315"/>
      <c r="Y65" s="315"/>
      <c r="Z65" s="315"/>
      <c r="AA65" s="315"/>
      <c r="AB65" s="315"/>
      <c r="AC65" s="315"/>
      <c r="AD65" s="315"/>
      <c r="AE65" s="315"/>
      <c r="AF65" s="315"/>
      <c r="AG65" s="315"/>
      <c r="AH65" s="315"/>
      <c r="AI65" s="316"/>
      <c r="AJ65" s="314"/>
      <c r="AK65" s="315"/>
      <c r="AL65" s="316"/>
      <c r="AM65" s="314"/>
      <c r="AN65" s="315"/>
      <c r="AO65" s="316"/>
      <c r="AP65" s="314"/>
      <c r="AQ65" s="315"/>
      <c r="AR65" s="315"/>
      <c r="AS65" s="315"/>
      <c r="AT65" s="316"/>
      <c r="AU65" s="314" t="s">
        <v>148</v>
      </c>
      <c r="AV65" s="315" t="s">
        <v>148</v>
      </c>
      <c r="AW65" s="315" t="s">
        <v>148</v>
      </c>
      <c r="AX65" s="315" t="s">
        <v>150</v>
      </c>
      <c r="AY65" s="315" t="s">
        <v>148</v>
      </c>
      <c r="AZ65" s="315"/>
      <c r="BA65" s="315"/>
      <c r="BB65" s="316" t="s">
        <v>148</v>
      </c>
      <c r="BC65" s="314" t="s">
        <v>149</v>
      </c>
      <c r="BD65" s="315" t="s">
        <v>147</v>
      </c>
      <c r="BE65" s="315"/>
      <c r="BF65" s="315" t="s">
        <v>147</v>
      </c>
      <c r="BG65" s="316"/>
      <c r="BH65" s="314"/>
      <c r="BI65" s="315"/>
      <c r="BJ65" s="316"/>
      <c r="BK65" s="314"/>
      <c r="BL65" s="315"/>
      <c r="BM65" s="315"/>
      <c r="BN65" s="316"/>
      <c r="BO65" s="314" t="s">
        <v>148</v>
      </c>
      <c r="BP65" s="315" t="s">
        <v>150</v>
      </c>
      <c r="BQ65" s="315"/>
      <c r="BR65" s="315"/>
      <c r="BS65" s="315" t="s">
        <v>149</v>
      </c>
      <c r="BT65" s="315"/>
      <c r="BU65" s="315" t="s">
        <v>150</v>
      </c>
      <c r="BV65" s="316"/>
      <c r="BW65" s="314" t="s">
        <v>148</v>
      </c>
      <c r="BX65" s="315" t="s">
        <v>147</v>
      </c>
      <c r="BY65" s="315" t="s">
        <v>147</v>
      </c>
      <c r="BZ65" s="315" t="s">
        <v>148</v>
      </c>
      <c r="CA65" s="315" t="s">
        <v>47</v>
      </c>
      <c r="CB65" s="316" t="s">
        <v>148</v>
      </c>
      <c r="CC65" s="314"/>
      <c r="CD65" s="315" t="s">
        <v>148</v>
      </c>
      <c r="CE65" s="316"/>
      <c r="CF65" s="314"/>
      <c r="CG65" s="315"/>
      <c r="CH65" s="315"/>
      <c r="CI65" s="317"/>
      <c r="CK65" s="236">
        <f t="shared" si="25"/>
        <v>2</v>
      </c>
      <c r="CL65" s="237">
        <f t="shared" si="26"/>
        <v>4</v>
      </c>
      <c r="CM65" s="237">
        <f t="shared" si="27"/>
        <v>10</v>
      </c>
      <c r="CN65" s="237">
        <f t="shared" si="28"/>
        <v>3</v>
      </c>
      <c r="CO65" s="238">
        <f t="shared" si="29"/>
        <v>1</v>
      </c>
      <c r="CQ65" s="236" t="str">
        <f>desired_skills(C65,"Organisatie / klantomgeving/Bedrijven","o")</f>
        <v/>
      </c>
      <c r="CR65" s="237" t="str">
        <f>desired_skills(C65,"Organisatie / klantomgeving/Bedrijven","j")</f>
        <v/>
      </c>
      <c r="CS65" s="237" t="str">
        <f>desired_skills(C65,"Organisatie / klantomgeving/Bedrijven","m")</f>
        <v/>
      </c>
      <c r="CT65" s="237" t="str">
        <f>desired_skills(C65,"Organisatie / klantomgeving/Bedrijven","s")</f>
        <v/>
      </c>
      <c r="CU65" s="238" t="str">
        <f>desired_skills(C65,"Organisatie / klantomgeving/Bedrijven","e")</f>
        <v>35</v>
      </c>
      <c r="CW65" s="236" t="str">
        <f>calc_gap('Matrix 171007_1810'!$CK$65,'Matrix 171007_1810'!$CQ$65)</f>
        <v/>
      </c>
      <c r="CX65" s="237" t="str">
        <f>calc_gap('Matrix 171007_1810'!$CL$65,'Matrix 171007_1810'!$CR$65)</f>
        <v/>
      </c>
      <c r="CY65" s="237" t="str">
        <f>calc_gap('Matrix 171007_1810'!$CM$65,'Matrix 171007_1810'!$CS$65)</f>
        <v/>
      </c>
      <c r="CZ65" s="237" t="str">
        <f>calc_gap('Matrix 171007_1810'!$CN$65,'Matrix 171007_1810'!$CT$65)</f>
        <v/>
      </c>
      <c r="DA65" s="238" t="str">
        <f>calc_gap('Matrix 171007_1810'!$CO$65,'Matrix 171007_1810'!$CU$65)</f>
        <v>34</v>
      </c>
    </row>
    <row r="66" spans="2:105" x14ac:dyDescent="0.25">
      <c r="B66" s="435"/>
      <c r="C66" s="291" t="s">
        <v>104</v>
      </c>
      <c r="D66" s="314"/>
      <c r="E66" s="315"/>
      <c r="F66" s="315"/>
      <c r="G66" s="315"/>
      <c r="H66" s="315"/>
      <c r="I66" s="315"/>
      <c r="J66" s="315"/>
      <c r="K66" s="316"/>
      <c r="L66" s="314"/>
      <c r="M66" s="315"/>
      <c r="N66" s="315"/>
      <c r="O66" s="316"/>
      <c r="P66" s="314"/>
      <c r="Q66" s="315"/>
      <c r="R66" s="315"/>
      <c r="S66" s="315"/>
      <c r="T66" s="315"/>
      <c r="U66" s="315"/>
      <c r="V66" s="315"/>
      <c r="W66" s="315"/>
      <c r="X66" s="315"/>
      <c r="Y66" s="315"/>
      <c r="Z66" s="315"/>
      <c r="AA66" s="315"/>
      <c r="AB66" s="315"/>
      <c r="AC66" s="315"/>
      <c r="AD66" s="315"/>
      <c r="AE66" s="315"/>
      <c r="AF66" s="315"/>
      <c r="AG66" s="315"/>
      <c r="AH66" s="315"/>
      <c r="AI66" s="316"/>
      <c r="AJ66" s="314"/>
      <c r="AK66" s="315"/>
      <c r="AL66" s="316"/>
      <c r="AM66" s="314"/>
      <c r="AN66" s="315"/>
      <c r="AO66" s="316"/>
      <c r="AP66" s="314"/>
      <c r="AQ66" s="315"/>
      <c r="AR66" s="315"/>
      <c r="AS66" s="315"/>
      <c r="AT66" s="316"/>
      <c r="AU66" s="314" t="s">
        <v>147</v>
      </c>
      <c r="AV66" s="315" t="s">
        <v>148</v>
      </c>
      <c r="AW66" s="315" t="s">
        <v>147</v>
      </c>
      <c r="AX66" s="315" t="s">
        <v>150</v>
      </c>
      <c r="AY66" s="315" t="s">
        <v>148</v>
      </c>
      <c r="AZ66" s="315"/>
      <c r="BA66" s="315"/>
      <c r="BB66" s="316" t="s">
        <v>148</v>
      </c>
      <c r="BC66" s="314" t="s">
        <v>149</v>
      </c>
      <c r="BD66" s="315" t="s">
        <v>147</v>
      </c>
      <c r="BE66" s="315"/>
      <c r="BF66" s="315" t="s">
        <v>147</v>
      </c>
      <c r="BG66" s="316"/>
      <c r="BH66" s="314"/>
      <c r="BI66" s="315"/>
      <c r="BJ66" s="316"/>
      <c r="BK66" s="314"/>
      <c r="BL66" s="315"/>
      <c r="BM66" s="315"/>
      <c r="BN66" s="316"/>
      <c r="BO66" s="314" t="s">
        <v>147</v>
      </c>
      <c r="BP66" s="315" t="s">
        <v>147</v>
      </c>
      <c r="BQ66" s="315"/>
      <c r="BR66" s="315"/>
      <c r="BS66" s="315" t="s">
        <v>149</v>
      </c>
      <c r="BT66" s="315"/>
      <c r="BU66" s="315" t="s">
        <v>148</v>
      </c>
      <c r="BV66" s="316"/>
      <c r="BW66" s="314" t="s">
        <v>148</v>
      </c>
      <c r="BX66" s="315"/>
      <c r="BY66" s="315" t="s">
        <v>150</v>
      </c>
      <c r="BZ66" s="315" t="s">
        <v>148</v>
      </c>
      <c r="CA66" s="315" t="s">
        <v>47</v>
      </c>
      <c r="CB66" s="316" t="s">
        <v>150</v>
      </c>
      <c r="CC66" s="314"/>
      <c r="CD66" s="315" t="s">
        <v>148</v>
      </c>
      <c r="CE66" s="316"/>
      <c r="CF66" s="314"/>
      <c r="CG66" s="315"/>
      <c r="CH66" s="315"/>
      <c r="CI66" s="317"/>
      <c r="CK66" s="236">
        <f t="shared" si="25"/>
        <v>2</v>
      </c>
      <c r="CL66" s="237">
        <f t="shared" si="26"/>
        <v>6</v>
      </c>
      <c r="CM66" s="237">
        <f t="shared" si="27"/>
        <v>7</v>
      </c>
      <c r="CN66" s="237">
        <f t="shared" si="28"/>
        <v>3</v>
      </c>
      <c r="CO66" s="238">
        <f t="shared" si="29"/>
        <v>1</v>
      </c>
      <c r="CQ66" s="236" t="str">
        <f>desired_skills(C66,"Organisatie / klantomgeving/Digitale Bank","o")</f>
        <v/>
      </c>
      <c r="CR66" s="237" t="str">
        <f>desired_skills(C66,"Organisatie / klantomgeving/Digitale Bank","j")</f>
        <v/>
      </c>
      <c r="CS66" s="237" t="str">
        <f>desired_skills(C66,"Organisatie / klantomgeving/Digitale Bank","m")</f>
        <v/>
      </c>
      <c r="CT66" s="237" t="str">
        <f>desired_skills(C66,"Organisatie / klantomgeving/Digitale Bank","s")</f>
        <v/>
      </c>
      <c r="CU66" s="238" t="str">
        <f>desired_skills(C66,"Organisatie / klantomgeving/Digitale Bank","e")</f>
        <v/>
      </c>
      <c r="CW66" s="236" t="str">
        <f>calc_gap('Matrix 171007_1810'!$CK$66,'Matrix 171007_1810'!$CQ$66)</f>
        <v/>
      </c>
      <c r="CX66" s="237" t="str">
        <f>calc_gap('Matrix 171007_1810'!$CL$66,'Matrix 171007_1810'!$CR$66)</f>
        <v/>
      </c>
      <c r="CY66" s="237" t="str">
        <f>calc_gap('Matrix 171007_1810'!$CM$66,'Matrix 171007_1810'!$CS$66)</f>
        <v/>
      </c>
      <c r="CZ66" s="237" t="str">
        <f>calc_gap('Matrix 171007_1810'!$CN$66,'Matrix 171007_1810'!$CT$66)</f>
        <v/>
      </c>
      <c r="DA66" s="238" t="str">
        <f>calc_gap('Matrix 171007_1810'!$CO$66,'Matrix 171007_1810'!$CU$66)</f>
        <v/>
      </c>
    </row>
    <row r="67" spans="2:105" x14ac:dyDescent="0.25">
      <c r="B67" s="435"/>
      <c r="C67" s="291" t="s">
        <v>105</v>
      </c>
      <c r="D67" s="314"/>
      <c r="E67" s="315"/>
      <c r="F67" s="315"/>
      <c r="G67" s="315"/>
      <c r="H67" s="315"/>
      <c r="I67" s="315"/>
      <c r="J67" s="315"/>
      <c r="K67" s="316"/>
      <c r="L67" s="314"/>
      <c r="M67" s="315"/>
      <c r="N67" s="315"/>
      <c r="O67" s="316"/>
      <c r="P67" s="314"/>
      <c r="Q67" s="315"/>
      <c r="R67" s="315"/>
      <c r="S67" s="315"/>
      <c r="T67" s="315"/>
      <c r="U67" s="315"/>
      <c r="V67" s="315"/>
      <c r="W67" s="315"/>
      <c r="X67" s="315"/>
      <c r="Y67" s="315"/>
      <c r="Z67" s="315"/>
      <c r="AA67" s="315"/>
      <c r="AB67" s="315"/>
      <c r="AC67" s="315"/>
      <c r="AD67" s="315"/>
      <c r="AE67" s="315"/>
      <c r="AF67" s="315"/>
      <c r="AG67" s="315"/>
      <c r="AH67" s="315"/>
      <c r="AI67" s="316"/>
      <c r="AJ67" s="314"/>
      <c r="AK67" s="315"/>
      <c r="AL67" s="316"/>
      <c r="AM67" s="314"/>
      <c r="AN67" s="315"/>
      <c r="AO67" s="316"/>
      <c r="AP67" s="314"/>
      <c r="AQ67" s="315"/>
      <c r="AR67" s="315"/>
      <c r="AS67" s="315"/>
      <c r="AT67" s="316"/>
      <c r="AU67" s="314" t="s">
        <v>150</v>
      </c>
      <c r="AV67" s="315" t="s">
        <v>150</v>
      </c>
      <c r="AW67" s="315" t="s">
        <v>147</v>
      </c>
      <c r="AX67" s="315" t="s">
        <v>150</v>
      </c>
      <c r="AY67" s="315" t="s">
        <v>150</v>
      </c>
      <c r="AZ67" s="315"/>
      <c r="BA67" s="315"/>
      <c r="BB67" s="316" t="s">
        <v>147</v>
      </c>
      <c r="BC67" s="314" t="s">
        <v>149</v>
      </c>
      <c r="BD67" s="315" t="s">
        <v>147</v>
      </c>
      <c r="BE67" s="315"/>
      <c r="BF67" s="315" t="s">
        <v>147</v>
      </c>
      <c r="BG67" s="316"/>
      <c r="BH67" s="314"/>
      <c r="BI67" s="315"/>
      <c r="BJ67" s="316"/>
      <c r="BK67" s="314"/>
      <c r="BL67" s="315"/>
      <c r="BM67" s="315"/>
      <c r="BN67" s="316"/>
      <c r="BO67" s="314" t="s">
        <v>148</v>
      </c>
      <c r="BP67" s="315" t="s">
        <v>148</v>
      </c>
      <c r="BQ67" s="315"/>
      <c r="BR67" s="315"/>
      <c r="BS67" s="315" t="s">
        <v>149</v>
      </c>
      <c r="BT67" s="315"/>
      <c r="BU67" s="315" t="s">
        <v>150</v>
      </c>
      <c r="BV67" s="316"/>
      <c r="BW67" s="314" t="s">
        <v>148</v>
      </c>
      <c r="BX67" s="315"/>
      <c r="BY67" s="315"/>
      <c r="BZ67" s="315" t="s">
        <v>148</v>
      </c>
      <c r="CA67" s="315" t="s">
        <v>147</v>
      </c>
      <c r="CB67" s="316" t="s">
        <v>147</v>
      </c>
      <c r="CC67" s="314"/>
      <c r="CD67" s="315" t="s">
        <v>147</v>
      </c>
      <c r="CE67" s="316"/>
      <c r="CF67" s="314"/>
      <c r="CG67" s="315"/>
      <c r="CH67" s="315"/>
      <c r="CI67" s="317"/>
      <c r="CK67" s="236">
        <f t="shared" si="25"/>
        <v>2</v>
      </c>
      <c r="CL67" s="237">
        <f t="shared" si="26"/>
        <v>7</v>
      </c>
      <c r="CM67" s="237">
        <f t="shared" si="27"/>
        <v>4</v>
      </c>
      <c r="CN67" s="237">
        <f t="shared" si="28"/>
        <v>5</v>
      </c>
      <c r="CO67" s="238" t="str">
        <f t="shared" si="29"/>
        <v/>
      </c>
      <c r="CQ67" s="236" t="str">
        <f>desired_skills(C67,"Organisatie / klantomgeving/CRO","o")</f>
        <v/>
      </c>
      <c r="CR67" s="237" t="str">
        <f>desired_skills(C67,"Organisatie / klantomgeving/CRO","j")</f>
        <v/>
      </c>
      <c r="CS67" s="237" t="str">
        <f>desired_skills(C67,"Organisatie / klantomgeving/CRO","m")</f>
        <v/>
      </c>
      <c r="CT67" s="237" t="str">
        <f>desired_skills(C67,"Organisatie / klantomgeving/CRO","s")</f>
        <v/>
      </c>
      <c r="CU67" s="238" t="str">
        <f>desired_skills(C67,"Organisatie / klantomgeving/CRO","e")</f>
        <v/>
      </c>
      <c r="CW67" s="236" t="str">
        <f>calc_gap('Matrix 171007_1810'!$CK$67,'Matrix 171007_1810'!$CQ$67)</f>
        <v/>
      </c>
      <c r="CX67" s="237" t="str">
        <f>calc_gap('Matrix 171007_1810'!$CL$67,'Matrix 171007_1810'!$CR$67)</f>
        <v/>
      </c>
      <c r="CY67" s="237" t="str">
        <f>calc_gap('Matrix 171007_1810'!$CM$67,'Matrix 171007_1810'!$CS$67)</f>
        <v/>
      </c>
      <c r="CZ67" s="237" t="str">
        <f>calc_gap('Matrix 171007_1810'!$CN$67,'Matrix 171007_1810'!$CT$67)</f>
        <v/>
      </c>
      <c r="DA67" s="238" t="str">
        <f>calc_gap('Matrix 171007_1810'!$CO$67,'Matrix 171007_1810'!$CU$67)</f>
        <v/>
      </c>
    </row>
    <row r="68" spans="2:105" x14ac:dyDescent="0.25">
      <c r="B68" s="435"/>
      <c r="C68" s="291" t="s">
        <v>106</v>
      </c>
      <c r="D68" s="314"/>
      <c r="E68" s="315"/>
      <c r="F68" s="315"/>
      <c r="G68" s="315"/>
      <c r="H68" s="315"/>
      <c r="I68" s="315"/>
      <c r="J68" s="315"/>
      <c r="K68" s="316"/>
      <c r="L68" s="314"/>
      <c r="M68" s="315"/>
      <c r="N68" s="315"/>
      <c r="O68" s="316"/>
      <c r="P68" s="314"/>
      <c r="Q68" s="315"/>
      <c r="R68" s="315"/>
      <c r="S68" s="315"/>
      <c r="T68" s="315"/>
      <c r="U68" s="315"/>
      <c r="V68" s="315"/>
      <c r="W68" s="315"/>
      <c r="X68" s="315"/>
      <c r="Y68" s="315"/>
      <c r="Z68" s="315"/>
      <c r="AA68" s="315"/>
      <c r="AB68" s="315"/>
      <c r="AC68" s="315"/>
      <c r="AD68" s="315"/>
      <c r="AE68" s="315"/>
      <c r="AF68" s="315"/>
      <c r="AG68" s="315"/>
      <c r="AH68" s="315"/>
      <c r="AI68" s="316"/>
      <c r="AJ68" s="314"/>
      <c r="AK68" s="315"/>
      <c r="AL68" s="316"/>
      <c r="AM68" s="314"/>
      <c r="AN68" s="315"/>
      <c r="AO68" s="316"/>
      <c r="AP68" s="314"/>
      <c r="AQ68" s="315"/>
      <c r="AR68" s="315"/>
      <c r="AS68" s="315"/>
      <c r="AT68" s="316"/>
      <c r="AU68" s="314" t="s">
        <v>148</v>
      </c>
      <c r="AV68" s="315" t="s">
        <v>148</v>
      </c>
      <c r="AW68" s="315" t="s">
        <v>147</v>
      </c>
      <c r="AX68" s="315" t="s">
        <v>150</v>
      </c>
      <c r="AY68" s="315" t="s">
        <v>150</v>
      </c>
      <c r="AZ68" s="315"/>
      <c r="BA68" s="315"/>
      <c r="BB68" s="316" t="s">
        <v>148</v>
      </c>
      <c r="BC68" s="314" t="s">
        <v>149</v>
      </c>
      <c r="BD68" s="315" t="s">
        <v>147</v>
      </c>
      <c r="BE68" s="315"/>
      <c r="BF68" s="315"/>
      <c r="BG68" s="316"/>
      <c r="BH68" s="314"/>
      <c r="BI68" s="315"/>
      <c r="BJ68" s="316"/>
      <c r="BK68" s="314"/>
      <c r="BL68" s="315"/>
      <c r="BM68" s="315"/>
      <c r="BN68" s="316"/>
      <c r="BO68" s="314" t="s">
        <v>148</v>
      </c>
      <c r="BP68" s="315" t="s">
        <v>148</v>
      </c>
      <c r="BQ68" s="315"/>
      <c r="BR68" s="315"/>
      <c r="BS68" s="315" t="s">
        <v>149</v>
      </c>
      <c r="BT68" s="315"/>
      <c r="BU68" s="315" t="s">
        <v>150</v>
      </c>
      <c r="BV68" s="316"/>
      <c r="BW68" s="314" t="s">
        <v>148</v>
      </c>
      <c r="BX68" s="315"/>
      <c r="BY68" s="315"/>
      <c r="BZ68" s="315" t="s">
        <v>148</v>
      </c>
      <c r="CA68" s="315" t="s">
        <v>147</v>
      </c>
      <c r="CB68" s="316" t="s">
        <v>147</v>
      </c>
      <c r="CC68" s="314"/>
      <c r="CD68" s="315" t="s">
        <v>147</v>
      </c>
      <c r="CE68" s="316"/>
      <c r="CF68" s="314"/>
      <c r="CG68" s="315"/>
      <c r="CH68" s="315"/>
      <c r="CI68" s="317"/>
      <c r="CK68" s="236">
        <f t="shared" si="25"/>
        <v>2</v>
      </c>
      <c r="CL68" s="237">
        <f t="shared" si="26"/>
        <v>5</v>
      </c>
      <c r="CM68" s="237">
        <f t="shared" si="27"/>
        <v>7</v>
      </c>
      <c r="CN68" s="237">
        <f t="shared" si="28"/>
        <v>3</v>
      </c>
      <c r="CO68" s="238" t="str">
        <f t="shared" si="29"/>
        <v/>
      </c>
      <c r="CQ68" s="236" t="str">
        <f>desired_skills(C68,"Organisatie / klantomgeving/CFO","o")</f>
        <v/>
      </c>
      <c r="CR68" s="237" t="str">
        <f>desired_skills(C68,"Organisatie / klantomgeving/CFO","j")</f>
        <v/>
      </c>
      <c r="CS68" s="237" t="str">
        <f>desired_skills(C68,"Organisatie / klantomgeving/CFO","m")</f>
        <v/>
      </c>
      <c r="CT68" s="237" t="str">
        <f>desired_skills(C68,"Organisatie / klantomgeving/CFO","s")</f>
        <v/>
      </c>
      <c r="CU68" s="238" t="str">
        <f>desired_skills(C68,"Organisatie / klantomgeving/CFO","e")</f>
        <v/>
      </c>
      <c r="CW68" s="236" t="str">
        <f>calc_gap('Matrix 171007_1810'!$CK$68,'Matrix 171007_1810'!$CQ$68)</f>
        <v/>
      </c>
      <c r="CX68" s="237" t="str">
        <f>calc_gap('Matrix 171007_1810'!$CL$68,'Matrix 171007_1810'!$CR$68)</f>
        <v/>
      </c>
      <c r="CY68" s="237" t="str">
        <f>calc_gap('Matrix 171007_1810'!$CM$68,'Matrix 171007_1810'!$CS$68)</f>
        <v/>
      </c>
      <c r="CZ68" s="237" t="str">
        <f>calc_gap('Matrix 171007_1810'!$CN$68,'Matrix 171007_1810'!$CT$68)</f>
        <v/>
      </c>
      <c r="DA68" s="238" t="str">
        <f>calc_gap('Matrix 171007_1810'!$CO$68,'Matrix 171007_1810'!$CU$68)</f>
        <v/>
      </c>
    </row>
    <row r="69" spans="2:105" x14ac:dyDescent="0.25">
      <c r="B69" s="435"/>
      <c r="C69" s="291" t="s">
        <v>107</v>
      </c>
      <c r="D69" s="314"/>
      <c r="E69" s="315"/>
      <c r="F69" s="315"/>
      <c r="G69" s="315"/>
      <c r="H69" s="315"/>
      <c r="I69" s="315"/>
      <c r="J69" s="315"/>
      <c r="K69" s="316"/>
      <c r="L69" s="314"/>
      <c r="M69" s="315"/>
      <c r="N69" s="315"/>
      <c r="O69" s="316"/>
      <c r="P69" s="314"/>
      <c r="Q69" s="315"/>
      <c r="R69" s="315"/>
      <c r="S69" s="315"/>
      <c r="T69" s="315"/>
      <c r="U69" s="315"/>
      <c r="V69" s="315"/>
      <c r="W69" s="315"/>
      <c r="X69" s="315"/>
      <c r="Y69" s="315"/>
      <c r="Z69" s="315"/>
      <c r="AA69" s="315"/>
      <c r="AB69" s="315"/>
      <c r="AC69" s="315"/>
      <c r="AD69" s="315"/>
      <c r="AE69" s="315"/>
      <c r="AF69" s="315"/>
      <c r="AG69" s="315"/>
      <c r="AH69" s="315"/>
      <c r="AI69" s="316"/>
      <c r="AJ69" s="314"/>
      <c r="AK69" s="315"/>
      <c r="AL69" s="316"/>
      <c r="AM69" s="314"/>
      <c r="AN69" s="315"/>
      <c r="AO69" s="316"/>
      <c r="AP69" s="314"/>
      <c r="AQ69" s="315"/>
      <c r="AR69" s="315"/>
      <c r="AS69" s="315"/>
      <c r="AT69" s="316"/>
      <c r="AU69" s="314" t="s">
        <v>148</v>
      </c>
      <c r="AV69" s="315" t="s">
        <v>148</v>
      </c>
      <c r="AW69" s="315" t="s">
        <v>147</v>
      </c>
      <c r="AX69" s="315" t="s">
        <v>150</v>
      </c>
      <c r="AY69" s="315" t="s">
        <v>150</v>
      </c>
      <c r="AZ69" s="315"/>
      <c r="BA69" s="315"/>
      <c r="BB69" s="316" t="s">
        <v>148</v>
      </c>
      <c r="BC69" s="314" t="s">
        <v>149</v>
      </c>
      <c r="BD69" s="315" t="s">
        <v>147</v>
      </c>
      <c r="BE69" s="315"/>
      <c r="BF69" s="315"/>
      <c r="BG69" s="316"/>
      <c r="BH69" s="314"/>
      <c r="BI69" s="315"/>
      <c r="BJ69" s="316"/>
      <c r="BK69" s="314"/>
      <c r="BL69" s="315"/>
      <c r="BM69" s="315"/>
      <c r="BN69" s="316"/>
      <c r="BO69" s="314" t="s">
        <v>147</v>
      </c>
      <c r="BP69" s="315" t="s">
        <v>150</v>
      </c>
      <c r="BQ69" s="315"/>
      <c r="BR69" s="315"/>
      <c r="BS69" s="315" t="s">
        <v>149</v>
      </c>
      <c r="BT69" s="315"/>
      <c r="BU69" s="315" t="s">
        <v>150</v>
      </c>
      <c r="BV69" s="316"/>
      <c r="BW69" s="314" t="s">
        <v>148</v>
      </c>
      <c r="BX69" s="315"/>
      <c r="BY69" s="315"/>
      <c r="BZ69" s="315" t="s">
        <v>150</v>
      </c>
      <c r="CA69" s="315" t="s">
        <v>148</v>
      </c>
      <c r="CB69" s="316" t="s">
        <v>147</v>
      </c>
      <c r="CC69" s="314"/>
      <c r="CD69" s="315" t="s">
        <v>147</v>
      </c>
      <c r="CE69" s="316"/>
      <c r="CF69" s="314"/>
      <c r="CG69" s="315"/>
      <c r="CH69" s="315"/>
      <c r="CI69" s="317"/>
      <c r="CK69" s="236">
        <f t="shared" si="25"/>
        <v>2</v>
      </c>
      <c r="CL69" s="237">
        <f t="shared" si="26"/>
        <v>5</v>
      </c>
      <c r="CM69" s="237">
        <f t="shared" si="27"/>
        <v>5</v>
      </c>
      <c r="CN69" s="237">
        <f t="shared" si="28"/>
        <v>5</v>
      </c>
      <c r="CO69" s="238" t="str">
        <f t="shared" si="29"/>
        <v/>
      </c>
      <c r="CQ69" s="236" t="str">
        <f>desired_skills(C69,"Organisatie / klantomgeving/COO - OPS B&amp;V","o")</f>
        <v/>
      </c>
      <c r="CR69" s="237" t="str">
        <f>desired_skills(C69,"Organisatie / klantomgeving/COO - OPS B&amp;V","j")</f>
        <v/>
      </c>
      <c r="CS69" s="237" t="str">
        <f>desired_skills(C69,"Organisatie / klantomgeving/COO - OPS B&amp;V","m")</f>
        <v/>
      </c>
      <c r="CT69" s="237" t="str">
        <f>desired_skills(C69,"Organisatie / klantomgeving/COO - OPS B&amp;V","s")</f>
        <v/>
      </c>
      <c r="CU69" s="238" t="str">
        <f>desired_skills(C69,"Organisatie / klantomgeving/COO - OPS B&amp;V","e")</f>
        <v/>
      </c>
      <c r="CW69" s="236" t="str">
        <f>calc_gap('Matrix 171007_1810'!$CK$69,'Matrix 171007_1810'!$CQ$69)</f>
        <v/>
      </c>
      <c r="CX69" s="237" t="str">
        <f>calc_gap('Matrix 171007_1810'!$CL$69,'Matrix 171007_1810'!$CR$69)</f>
        <v/>
      </c>
      <c r="CY69" s="237" t="str">
        <f>calc_gap('Matrix 171007_1810'!$CM$69,'Matrix 171007_1810'!$CS$69)</f>
        <v/>
      </c>
      <c r="CZ69" s="237" t="str">
        <f>calc_gap('Matrix 171007_1810'!$CN$69,'Matrix 171007_1810'!$CT$69)</f>
        <v/>
      </c>
      <c r="DA69" s="238" t="str">
        <f>calc_gap('Matrix 171007_1810'!$CO$69,'Matrix 171007_1810'!$CU$69)</f>
        <v/>
      </c>
    </row>
    <row r="70" spans="2:105" x14ac:dyDescent="0.25">
      <c r="B70" s="435"/>
      <c r="C70" s="291" t="s">
        <v>108</v>
      </c>
      <c r="D70" s="314"/>
      <c r="E70" s="315"/>
      <c r="F70" s="315"/>
      <c r="G70" s="315"/>
      <c r="H70" s="315"/>
      <c r="I70" s="315"/>
      <c r="J70" s="315"/>
      <c r="K70" s="316"/>
      <c r="L70" s="314"/>
      <c r="M70" s="315"/>
      <c r="N70" s="315"/>
      <c r="O70" s="316"/>
      <c r="P70" s="314"/>
      <c r="Q70" s="315"/>
      <c r="R70" s="315"/>
      <c r="S70" s="315"/>
      <c r="T70" s="315"/>
      <c r="U70" s="315"/>
      <c r="V70" s="315"/>
      <c r="W70" s="315"/>
      <c r="X70" s="315"/>
      <c r="Y70" s="315"/>
      <c r="Z70" s="315"/>
      <c r="AA70" s="315"/>
      <c r="AB70" s="315"/>
      <c r="AC70" s="315"/>
      <c r="AD70" s="315"/>
      <c r="AE70" s="315"/>
      <c r="AF70" s="315"/>
      <c r="AG70" s="315"/>
      <c r="AH70" s="315"/>
      <c r="AI70" s="316"/>
      <c r="AJ70" s="314"/>
      <c r="AK70" s="315"/>
      <c r="AL70" s="316"/>
      <c r="AM70" s="314"/>
      <c r="AN70" s="315"/>
      <c r="AO70" s="316"/>
      <c r="AP70" s="314"/>
      <c r="AQ70" s="315"/>
      <c r="AR70" s="315"/>
      <c r="AS70" s="315"/>
      <c r="AT70" s="316"/>
      <c r="AU70" s="314" t="s">
        <v>148</v>
      </c>
      <c r="AV70" s="315" t="s">
        <v>148</v>
      </c>
      <c r="AW70" s="315" t="s">
        <v>147</v>
      </c>
      <c r="AX70" s="315" t="s">
        <v>150</v>
      </c>
      <c r="AY70" s="315" t="s">
        <v>150</v>
      </c>
      <c r="AZ70" s="315"/>
      <c r="BA70" s="315"/>
      <c r="BB70" s="316" t="s">
        <v>148</v>
      </c>
      <c r="BC70" s="314" t="s">
        <v>148</v>
      </c>
      <c r="BD70" s="315" t="s">
        <v>147</v>
      </c>
      <c r="BE70" s="315"/>
      <c r="BF70" s="315"/>
      <c r="BG70" s="316"/>
      <c r="BH70" s="314"/>
      <c r="BI70" s="315"/>
      <c r="BJ70" s="316"/>
      <c r="BK70" s="314"/>
      <c r="BL70" s="315"/>
      <c r="BM70" s="315"/>
      <c r="BN70" s="316"/>
      <c r="BO70" s="314" t="s">
        <v>147</v>
      </c>
      <c r="BP70" s="315" t="s">
        <v>150</v>
      </c>
      <c r="BQ70" s="315"/>
      <c r="BR70" s="315"/>
      <c r="BS70" s="315" t="s">
        <v>149</v>
      </c>
      <c r="BT70" s="315"/>
      <c r="BU70" s="315" t="s">
        <v>150</v>
      </c>
      <c r="BV70" s="316"/>
      <c r="BW70" s="314" t="s">
        <v>148</v>
      </c>
      <c r="BX70" s="315"/>
      <c r="BY70" s="315"/>
      <c r="BZ70" s="315" t="s">
        <v>150</v>
      </c>
      <c r="CA70" s="315" t="s">
        <v>150</v>
      </c>
      <c r="CB70" s="316" t="s">
        <v>147</v>
      </c>
      <c r="CC70" s="314"/>
      <c r="CD70" s="315" t="s">
        <v>147</v>
      </c>
      <c r="CE70" s="316"/>
      <c r="CF70" s="314"/>
      <c r="CG70" s="315"/>
      <c r="CH70" s="315"/>
      <c r="CI70" s="317"/>
      <c r="CK70" s="236">
        <f t="shared" si="25"/>
        <v>1</v>
      </c>
      <c r="CL70" s="237">
        <f t="shared" si="26"/>
        <v>5</v>
      </c>
      <c r="CM70" s="237">
        <f t="shared" si="27"/>
        <v>5</v>
      </c>
      <c r="CN70" s="237">
        <f t="shared" si="28"/>
        <v>6</v>
      </c>
      <c r="CO70" s="238" t="str">
        <f t="shared" si="29"/>
        <v/>
      </c>
      <c r="CQ70" s="236" t="str">
        <f>desired_skills(C70,"Organisatie / klantomgeving/COO - OPS FIN","o")</f>
        <v/>
      </c>
      <c r="CR70" s="237" t="str">
        <f>desired_skills(C70,"Organisatie / klantomgeving/COO - OPS FIN","j")</f>
        <v/>
      </c>
      <c r="CS70" s="237" t="str">
        <f>desired_skills(C70,"Organisatie / klantomgeving/COO - OPS FIN","m")</f>
        <v/>
      </c>
      <c r="CT70" s="237" t="str">
        <f>desired_skills(C70,"Organisatie / klantomgeving/COO - OPS FIN","s")</f>
        <v/>
      </c>
      <c r="CU70" s="238" t="str">
        <f>desired_skills(C70,"Organisatie / klantomgeving/COO - OPS FIN","e")</f>
        <v/>
      </c>
      <c r="CW70" s="236" t="str">
        <f>calc_gap('Matrix 171007_1810'!$CK$70,'Matrix 171007_1810'!$CQ$70)</f>
        <v/>
      </c>
      <c r="CX70" s="237" t="str">
        <f>calc_gap('Matrix 171007_1810'!$CL$70,'Matrix 171007_1810'!$CR$70)</f>
        <v/>
      </c>
      <c r="CY70" s="237" t="str">
        <f>calc_gap('Matrix 171007_1810'!$CM$70,'Matrix 171007_1810'!$CS$70)</f>
        <v/>
      </c>
      <c r="CZ70" s="237" t="str">
        <f>calc_gap('Matrix 171007_1810'!$CN$70,'Matrix 171007_1810'!$CT$70)</f>
        <v/>
      </c>
      <c r="DA70" s="238" t="str">
        <f>calc_gap('Matrix 171007_1810'!$CO$70,'Matrix 171007_1810'!$CU$70)</f>
        <v/>
      </c>
    </row>
    <row r="71" spans="2:105" x14ac:dyDescent="0.25">
      <c r="B71" s="435"/>
      <c r="C71" s="291" t="s">
        <v>109</v>
      </c>
      <c r="D71" s="314"/>
      <c r="E71" s="315"/>
      <c r="F71" s="315"/>
      <c r="G71" s="315"/>
      <c r="H71" s="315"/>
      <c r="I71" s="315"/>
      <c r="J71" s="315"/>
      <c r="K71" s="316"/>
      <c r="L71" s="314"/>
      <c r="M71" s="315"/>
      <c r="N71" s="315"/>
      <c r="O71" s="316"/>
      <c r="P71" s="314"/>
      <c r="Q71" s="315"/>
      <c r="R71" s="315"/>
      <c r="S71" s="315"/>
      <c r="T71" s="315"/>
      <c r="U71" s="315"/>
      <c r="V71" s="315"/>
      <c r="W71" s="315"/>
      <c r="X71" s="315"/>
      <c r="Y71" s="315"/>
      <c r="Z71" s="315"/>
      <c r="AA71" s="315"/>
      <c r="AB71" s="315"/>
      <c r="AC71" s="315"/>
      <c r="AD71" s="315"/>
      <c r="AE71" s="315"/>
      <c r="AF71" s="315"/>
      <c r="AG71" s="315"/>
      <c r="AH71" s="315"/>
      <c r="AI71" s="316"/>
      <c r="AJ71" s="314"/>
      <c r="AK71" s="315"/>
      <c r="AL71" s="316"/>
      <c r="AM71" s="314"/>
      <c r="AN71" s="315"/>
      <c r="AO71" s="316"/>
      <c r="AP71" s="314"/>
      <c r="AQ71" s="315"/>
      <c r="AR71" s="315"/>
      <c r="AS71" s="315"/>
      <c r="AT71" s="316"/>
      <c r="AU71" s="314" t="s">
        <v>147</v>
      </c>
      <c r="AV71" s="315" t="s">
        <v>148</v>
      </c>
      <c r="AW71" s="315" t="s">
        <v>147</v>
      </c>
      <c r="AX71" s="315" t="s">
        <v>150</v>
      </c>
      <c r="AY71" s="315" t="s">
        <v>150</v>
      </c>
      <c r="AZ71" s="315"/>
      <c r="BA71" s="315"/>
      <c r="BB71" s="316" t="s">
        <v>148</v>
      </c>
      <c r="BC71" s="314" t="s">
        <v>149</v>
      </c>
      <c r="BD71" s="315" t="s">
        <v>147</v>
      </c>
      <c r="BE71" s="315"/>
      <c r="BF71" s="315"/>
      <c r="BG71" s="316"/>
      <c r="BH71" s="314"/>
      <c r="BI71" s="315"/>
      <c r="BJ71" s="316"/>
      <c r="BK71" s="314"/>
      <c r="BL71" s="315"/>
      <c r="BM71" s="315"/>
      <c r="BN71" s="316"/>
      <c r="BO71" s="314" t="s">
        <v>147</v>
      </c>
      <c r="BP71" s="315" t="s">
        <v>150</v>
      </c>
      <c r="BQ71" s="315"/>
      <c r="BR71" s="315"/>
      <c r="BS71" s="315" t="s">
        <v>149</v>
      </c>
      <c r="BT71" s="315"/>
      <c r="BU71" s="315" t="s">
        <v>150</v>
      </c>
      <c r="BV71" s="316"/>
      <c r="BW71" s="314" t="s">
        <v>148</v>
      </c>
      <c r="BX71" s="315"/>
      <c r="BY71" s="315"/>
      <c r="BZ71" s="315" t="s">
        <v>150</v>
      </c>
      <c r="CA71" s="315" t="s">
        <v>148</v>
      </c>
      <c r="CB71" s="316" t="s">
        <v>147</v>
      </c>
      <c r="CC71" s="314"/>
      <c r="CD71" s="315" t="s">
        <v>147</v>
      </c>
      <c r="CE71" s="316"/>
      <c r="CF71" s="314"/>
      <c r="CG71" s="315"/>
      <c r="CH71" s="315"/>
      <c r="CI71" s="317"/>
      <c r="CK71" s="236">
        <f t="shared" si="25"/>
        <v>2</v>
      </c>
      <c r="CL71" s="237">
        <f t="shared" si="26"/>
        <v>6</v>
      </c>
      <c r="CM71" s="237">
        <f t="shared" si="27"/>
        <v>4</v>
      </c>
      <c r="CN71" s="237">
        <f t="shared" si="28"/>
        <v>5</v>
      </c>
      <c r="CO71" s="238" t="str">
        <f t="shared" si="29"/>
        <v/>
      </c>
      <c r="CQ71" s="236" t="str">
        <f>desired_skills(C71,"Organisatie / klantomgeving/COO - OPS Beleggen","o")</f>
        <v/>
      </c>
      <c r="CR71" s="237" t="str">
        <f>desired_skills(C71,"Organisatie / klantomgeving/COO - OPS Beleggen","j")</f>
        <v/>
      </c>
      <c r="CS71" s="237" t="str">
        <f>desired_skills(C71,"Organisatie / klantomgeving/COO - OPS Beleggen","m")</f>
        <v/>
      </c>
      <c r="CT71" s="237" t="str">
        <f>desired_skills(C71,"Organisatie / klantomgeving/COO - OPS Beleggen","s")</f>
        <v/>
      </c>
      <c r="CU71" s="238" t="str">
        <f>desired_skills(C71,"Organisatie / klantomgeving/COO - OPS Beleggen","e")</f>
        <v/>
      </c>
      <c r="CW71" s="236" t="str">
        <f>calc_gap('Matrix 171007_1810'!$CK$71,'Matrix 171007_1810'!$CQ$71)</f>
        <v/>
      </c>
      <c r="CX71" s="237" t="str">
        <f>calc_gap('Matrix 171007_1810'!$CL$71,'Matrix 171007_1810'!$CR$71)</f>
        <v/>
      </c>
      <c r="CY71" s="237" t="str">
        <f>calc_gap('Matrix 171007_1810'!$CM$71,'Matrix 171007_1810'!$CS$71)</f>
        <v/>
      </c>
      <c r="CZ71" s="237" t="str">
        <f>calc_gap('Matrix 171007_1810'!$CN$71,'Matrix 171007_1810'!$CT$71)</f>
        <v/>
      </c>
      <c r="DA71" s="238" t="str">
        <f>calc_gap('Matrix 171007_1810'!$CO$71,'Matrix 171007_1810'!$CU$71)</f>
        <v/>
      </c>
    </row>
    <row r="72" spans="2:105" x14ac:dyDescent="0.25">
      <c r="B72" s="435"/>
      <c r="C72" s="291" t="s">
        <v>110</v>
      </c>
      <c r="D72" s="314"/>
      <c r="E72" s="315"/>
      <c r="F72" s="315"/>
      <c r="G72" s="315"/>
      <c r="H72" s="315"/>
      <c r="I72" s="315"/>
      <c r="J72" s="315"/>
      <c r="K72" s="316"/>
      <c r="L72" s="314"/>
      <c r="M72" s="315"/>
      <c r="N72" s="315"/>
      <c r="O72" s="316"/>
      <c r="P72" s="314"/>
      <c r="Q72" s="315"/>
      <c r="R72" s="315"/>
      <c r="S72" s="315"/>
      <c r="T72" s="315"/>
      <c r="U72" s="315"/>
      <c r="V72" s="315"/>
      <c r="W72" s="315"/>
      <c r="X72" s="315"/>
      <c r="Y72" s="315"/>
      <c r="Z72" s="315"/>
      <c r="AA72" s="315"/>
      <c r="AB72" s="315"/>
      <c r="AC72" s="315"/>
      <c r="AD72" s="315"/>
      <c r="AE72" s="315"/>
      <c r="AF72" s="315"/>
      <c r="AG72" s="315"/>
      <c r="AH72" s="315"/>
      <c r="AI72" s="316"/>
      <c r="AJ72" s="314"/>
      <c r="AK72" s="315"/>
      <c r="AL72" s="316"/>
      <c r="AM72" s="314"/>
      <c r="AN72" s="315"/>
      <c r="AO72" s="316"/>
      <c r="AP72" s="314"/>
      <c r="AQ72" s="315"/>
      <c r="AR72" s="315"/>
      <c r="AS72" s="315"/>
      <c r="AT72" s="316"/>
      <c r="AU72" s="314" t="s">
        <v>147</v>
      </c>
      <c r="AV72" s="315" t="s">
        <v>148</v>
      </c>
      <c r="AW72" s="315" t="s">
        <v>147</v>
      </c>
      <c r="AX72" s="315" t="s">
        <v>150</v>
      </c>
      <c r="AY72" s="315" t="s">
        <v>148</v>
      </c>
      <c r="AZ72" s="315"/>
      <c r="BA72" s="315"/>
      <c r="BB72" s="316" t="s">
        <v>148</v>
      </c>
      <c r="BC72" s="314" t="s">
        <v>149</v>
      </c>
      <c r="BD72" s="315" t="s">
        <v>147</v>
      </c>
      <c r="BE72" s="315"/>
      <c r="BF72" s="315"/>
      <c r="BG72" s="316"/>
      <c r="BH72" s="314"/>
      <c r="BI72" s="315"/>
      <c r="BJ72" s="316"/>
      <c r="BK72" s="314"/>
      <c r="BL72" s="315"/>
      <c r="BM72" s="315"/>
      <c r="BN72" s="316"/>
      <c r="BO72" s="314" t="s">
        <v>147</v>
      </c>
      <c r="BP72" s="315" t="s">
        <v>150</v>
      </c>
      <c r="BQ72" s="315"/>
      <c r="BR72" s="315"/>
      <c r="BS72" s="315" t="s">
        <v>149</v>
      </c>
      <c r="BT72" s="315"/>
      <c r="BU72" s="315" t="s">
        <v>150</v>
      </c>
      <c r="BV72" s="316"/>
      <c r="BW72" s="314" t="s">
        <v>148</v>
      </c>
      <c r="BX72" s="315"/>
      <c r="BY72" s="315"/>
      <c r="BZ72" s="315" t="s">
        <v>150</v>
      </c>
      <c r="CA72" s="315" t="s">
        <v>147</v>
      </c>
      <c r="CB72" s="316"/>
      <c r="CC72" s="314"/>
      <c r="CD72" s="315" t="s">
        <v>147</v>
      </c>
      <c r="CE72" s="316"/>
      <c r="CF72" s="314"/>
      <c r="CG72" s="315"/>
      <c r="CH72" s="315"/>
      <c r="CI72" s="317"/>
      <c r="CK72" s="236">
        <f t="shared" si="25"/>
        <v>2</v>
      </c>
      <c r="CL72" s="237">
        <f t="shared" si="26"/>
        <v>6</v>
      </c>
      <c r="CM72" s="237">
        <f t="shared" si="27"/>
        <v>4</v>
      </c>
      <c r="CN72" s="237">
        <f t="shared" si="28"/>
        <v>4</v>
      </c>
      <c r="CO72" s="238" t="str">
        <f t="shared" si="29"/>
        <v/>
      </c>
      <c r="CQ72" s="236" t="str">
        <f>desired_skills(C72,"Organisatie / klantomgeving/COO - OPS overig","o")</f>
        <v/>
      </c>
      <c r="CR72" s="237" t="str">
        <f>desired_skills(C72,"Organisatie / klantomgeving/COO - OPS overig","j")</f>
        <v/>
      </c>
      <c r="CS72" s="237" t="str">
        <f>desired_skills(C72,"Organisatie / klantomgeving/COO - OPS overig","m")</f>
        <v/>
      </c>
      <c r="CT72" s="237" t="str">
        <f>desired_skills(C72,"Organisatie / klantomgeving/COO - OPS overig","s")</f>
        <v/>
      </c>
      <c r="CU72" s="238" t="str">
        <f>desired_skills(C72,"Organisatie / klantomgeving/COO - OPS overig","e")</f>
        <v/>
      </c>
      <c r="CW72" s="236" t="str">
        <f>calc_gap('Matrix 171007_1810'!$CK$72,'Matrix 171007_1810'!$CQ$72)</f>
        <v/>
      </c>
      <c r="CX72" s="237" t="str">
        <f>calc_gap('Matrix 171007_1810'!$CL$72,'Matrix 171007_1810'!$CR$72)</f>
        <v/>
      </c>
      <c r="CY72" s="237" t="str">
        <f>calc_gap('Matrix 171007_1810'!$CM$72,'Matrix 171007_1810'!$CS$72)</f>
        <v/>
      </c>
      <c r="CZ72" s="237" t="str">
        <f>calc_gap('Matrix 171007_1810'!$CN$72,'Matrix 171007_1810'!$CT$72)</f>
        <v/>
      </c>
      <c r="DA72" s="238" t="str">
        <f>calc_gap('Matrix 171007_1810'!$CO$72,'Matrix 171007_1810'!$CU$72)</f>
        <v/>
      </c>
    </row>
    <row r="73" spans="2:105" x14ac:dyDescent="0.25">
      <c r="B73" s="435"/>
      <c r="C73" s="291" t="s">
        <v>111</v>
      </c>
      <c r="D73" s="314"/>
      <c r="E73" s="315"/>
      <c r="F73" s="315"/>
      <c r="G73" s="315"/>
      <c r="H73" s="315"/>
      <c r="I73" s="315"/>
      <c r="J73" s="315"/>
      <c r="K73" s="316"/>
      <c r="L73" s="314"/>
      <c r="M73" s="315"/>
      <c r="N73" s="315"/>
      <c r="O73" s="316"/>
      <c r="P73" s="314"/>
      <c r="Q73" s="315"/>
      <c r="R73" s="315"/>
      <c r="S73" s="315"/>
      <c r="T73" s="315"/>
      <c r="U73" s="315"/>
      <c r="V73" s="315"/>
      <c r="W73" s="315"/>
      <c r="X73" s="315"/>
      <c r="Y73" s="315"/>
      <c r="Z73" s="315"/>
      <c r="AA73" s="315"/>
      <c r="AB73" s="315"/>
      <c r="AC73" s="315"/>
      <c r="AD73" s="315"/>
      <c r="AE73" s="315"/>
      <c r="AF73" s="315"/>
      <c r="AG73" s="315"/>
      <c r="AH73" s="315"/>
      <c r="AI73" s="316"/>
      <c r="AJ73" s="314"/>
      <c r="AK73" s="315"/>
      <c r="AL73" s="316"/>
      <c r="AM73" s="314"/>
      <c r="AN73" s="315"/>
      <c r="AO73" s="316"/>
      <c r="AP73" s="314"/>
      <c r="AQ73" s="315"/>
      <c r="AR73" s="315"/>
      <c r="AS73" s="315"/>
      <c r="AT73" s="316"/>
      <c r="AU73" s="314" t="s">
        <v>148</v>
      </c>
      <c r="AV73" s="315" t="s">
        <v>147</v>
      </c>
      <c r="AW73" s="315" t="s">
        <v>147</v>
      </c>
      <c r="AX73" s="315" t="s">
        <v>150</v>
      </c>
      <c r="AY73" s="315" t="s">
        <v>148</v>
      </c>
      <c r="AZ73" s="315"/>
      <c r="BA73" s="315"/>
      <c r="BB73" s="316" t="s">
        <v>148</v>
      </c>
      <c r="BC73" s="314" t="s">
        <v>149</v>
      </c>
      <c r="BD73" s="315" t="s">
        <v>147</v>
      </c>
      <c r="BE73" s="315"/>
      <c r="BF73" s="315"/>
      <c r="BG73" s="316"/>
      <c r="BH73" s="314"/>
      <c r="BI73" s="315"/>
      <c r="BJ73" s="316"/>
      <c r="BK73" s="314"/>
      <c r="BL73" s="315"/>
      <c r="BM73" s="315"/>
      <c r="BN73" s="316"/>
      <c r="BO73" s="314" t="s">
        <v>148</v>
      </c>
      <c r="BP73" s="315" t="s">
        <v>148</v>
      </c>
      <c r="BQ73" s="315"/>
      <c r="BR73" s="315"/>
      <c r="BS73" s="315" t="s">
        <v>149</v>
      </c>
      <c r="BT73" s="315"/>
      <c r="BU73" s="315" t="s">
        <v>150</v>
      </c>
      <c r="BV73" s="316"/>
      <c r="BW73" s="314" t="s">
        <v>148</v>
      </c>
      <c r="BX73" s="315"/>
      <c r="BY73" s="315"/>
      <c r="BZ73" s="315" t="s">
        <v>150</v>
      </c>
      <c r="CA73" s="315" t="s">
        <v>147</v>
      </c>
      <c r="CB73" s="316"/>
      <c r="CC73" s="314"/>
      <c r="CD73" s="315" t="s">
        <v>147</v>
      </c>
      <c r="CE73" s="316"/>
      <c r="CF73" s="314"/>
      <c r="CG73" s="315"/>
      <c r="CH73" s="315"/>
      <c r="CI73" s="317"/>
      <c r="CK73" s="236">
        <f t="shared" si="25"/>
        <v>2</v>
      </c>
      <c r="CL73" s="237">
        <f t="shared" si="26"/>
        <v>5</v>
      </c>
      <c r="CM73" s="237">
        <f t="shared" si="27"/>
        <v>6</v>
      </c>
      <c r="CN73" s="237">
        <f t="shared" si="28"/>
        <v>3</v>
      </c>
      <c r="CO73" s="238" t="str">
        <f t="shared" si="29"/>
        <v/>
      </c>
      <c r="CQ73" s="236" t="str">
        <f>desired_skills(C73,"Organisatie / klantomgeving/COO - ITS","o")</f>
        <v/>
      </c>
      <c r="CR73" s="237" t="str">
        <f>desired_skills(C73,"Organisatie / klantomgeving/COO - ITS","j")</f>
        <v/>
      </c>
      <c r="CS73" s="237" t="str">
        <f>desired_skills(C73,"Organisatie / klantomgeving/COO - ITS","m")</f>
        <v/>
      </c>
      <c r="CT73" s="237" t="str">
        <f>desired_skills(C73,"Organisatie / klantomgeving/COO - ITS","s")</f>
        <v/>
      </c>
      <c r="CU73" s="238" t="str">
        <f>desired_skills(C73,"Organisatie / klantomgeving/COO - ITS","e")</f>
        <v/>
      </c>
      <c r="CW73" s="236" t="str">
        <f>calc_gap('Matrix 171007_1810'!$CK$73,'Matrix 171007_1810'!$CQ$73)</f>
        <v/>
      </c>
      <c r="CX73" s="237" t="str">
        <f>calc_gap('Matrix 171007_1810'!$CL$73,'Matrix 171007_1810'!$CR$73)</f>
        <v/>
      </c>
      <c r="CY73" s="237" t="str">
        <f>calc_gap('Matrix 171007_1810'!$CM$73,'Matrix 171007_1810'!$CS$73)</f>
        <v/>
      </c>
      <c r="CZ73" s="237" t="str">
        <f>calc_gap('Matrix 171007_1810'!$CN$73,'Matrix 171007_1810'!$CT$73)</f>
        <v/>
      </c>
      <c r="DA73" s="238" t="str">
        <f>calc_gap('Matrix 171007_1810'!$CO$73,'Matrix 171007_1810'!$CU$73)</f>
        <v/>
      </c>
    </row>
    <row r="74" spans="2:105" x14ac:dyDescent="0.25">
      <c r="B74" s="435"/>
      <c r="C74" s="291" t="s">
        <v>112</v>
      </c>
      <c r="D74" s="314"/>
      <c r="E74" s="315"/>
      <c r="F74" s="315"/>
      <c r="G74" s="315"/>
      <c r="H74" s="315"/>
      <c r="I74" s="315"/>
      <c r="J74" s="315"/>
      <c r="K74" s="316"/>
      <c r="L74" s="314"/>
      <c r="M74" s="315"/>
      <c r="N74" s="315"/>
      <c r="O74" s="316"/>
      <c r="P74" s="314"/>
      <c r="Q74" s="315"/>
      <c r="R74" s="315"/>
      <c r="S74" s="315"/>
      <c r="T74" s="315"/>
      <c r="U74" s="315"/>
      <c r="V74" s="315"/>
      <c r="W74" s="315"/>
      <c r="X74" s="315"/>
      <c r="Y74" s="315"/>
      <c r="Z74" s="315"/>
      <c r="AA74" s="315"/>
      <c r="AB74" s="315"/>
      <c r="AC74" s="315"/>
      <c r="AD74" s="315"/>
      <c r="AE74" s="315"/>
      <c r="AF74" s="315"/>
      <c r="AG74" s="315"/>
      <c r="AH74" s="315"/>
      <c r="AI74" s="316"/>
      <c r="AJ74" s="314"/>
      <c r="AK74" s="315"/>
      <c r="AL74" s="316"/>
      <c r="AM74" s="314"/>
      <c r="AN74" s="315"/>
      <c r="AO74" s="316"/>
      <c r="AP74" s="314"/>
      <c r="AQ74" s="315"/>
      <c r="AR74" s="315"/>
      <c r="AS74" s="315"/>
      <c r="AT74" s="316"/>
      <c r="AU74" s="314" t="s">
        <v>147</v>
      </c>
      <c r="AV74" s="315" t="s">
        <v>147</v>
      </c>
      <c r="AW74" s="315" t="s">
        <v>147</v>
      </c>
      <c r="AX74" s="315" t="s">
        <v>150</v>
      </c>
      <c r="AY74" s="315" t="s">
        <v>148</v>
      </c>
      <c r="AZ74" s="315"/>
      <c r="BA74" s="315"/>
      <c r="BB74" s="316" t="s">
        <v>147</v>
      </c>
      <c r="BC74" s="314" t="s">
        <v>149</v>
      </c>
      <c r="BD74" s="315" t="s">
        <v>148</v>
      </c>
      <c r="BE74" s="315"/>
      <c r="BF74" s="315"/>
      <c r="BG74" s="316"/>
      <c r="BH74" s="314"/>
      <c r="BI74" s="315"/>
      <c r="BJ74" s="316"/>
      <c r="BK74" s="314"/>
      <c r="BL74" s="315"/>
      <c r="BM74" s="315"/>
      <c r="BN74" s="316"/>
      <c r="BO74" s="314" t="s">
        <v>148</v>
      </c>
      <c r="BP74" s="315" t="s">
        <v>148</v>
      </c>
      <c r="BQ74" s="315"/>
      <c r="BR74" s="315"/>
      <c r="BS74" s="315" t="s">
        <v>149</v>
      </c>
      <c r="BT74" s="315"/>
      <c r="BU74" s="315" t="s">
        <v>150</v>
      </c>
      <c r="BV74" s="316"/>
      <c r="BW74" s="314" t="s">
        <v>148</v>
      </c>
      <c r="BX74" s="315"/>
      <c r="BY74" s="315"/>
      <c r="BZ74" s="315" t="s">
        <v>148</v>
      </c>
      <c r="CA74" s="315" t="s">
        <v>147</v>
      </c>
      <c r="CB74" s="316"/>
      <c r="CC74" s="314"/>
      <c r="CD74" s="315" t="s">
        <v>147</v>
      </c>
      <c r="CE74" s="316"/>
      <c r="CF74" s="314"/>
      <c r="CG74" s="315"/>
      <c r="CH74" s="315"/>
      <c r="CI74" s="317"/>
      <c r="CK74" s="236">
        <f t="shared" si="25"/>
        <v>2</v>
      </c>
      <c r="CL74" s="237">
        <f t="shared" si="26"/>
        <v>6</v>
      </c>
      <c r="CM74" s="237">
        <f t="shared" si="27"/>
        <v>6</v>
      </c>
      <c r="CN74" s="237">
        <f t="shared" si="28"/>
        <v>2</v>
      </c>
      <c r="CO74" s="238" t="str">
        <f t="shared" si="29"/>
        <v/>
      </c>
      <c r="CQ74" s="236" t="str">
        <f>desired_skills(C74,"Organisatie / klantomgeving/COO - Infra","o")</f>
        <v/>
      </c>
      <c r="CR74" s="237" t="str">
        <f>desired_skills(C74,"Organisatie / klantomgeving/COO - Infra","j")</f>
        <v/>
      </c>
      <c r="CS74" s="237" t="str">
        <f>desired_skills(C74,"Organisatie / klantomgeving/COO - Infra","m")</f>
        <v/>
      </c>
      <c r="CT74" s="237" t="str">
        <f>desired_skills(C74,"Organisatie / klantomgeving/COO - Infra","s")</f>
        <v/>
      </c>
      <c r="CU74" s="238" t="str">
        <f>desired_skills(C74,"Organisatie / klantomgeving/COO - Infra","e")</f>
        <v/>
      </c>
      <c r="CW74" s="236" t="str">
        <f>calc_gap('Matrix 171007_1810'!$CK$74,'Matrix 171007_1810'!$CQ$74)</f>
        <v/>
      </c>
      <c r="CX74" s="237" t="str">
        <f>calc_gap('Matrix 171007_1810'!$CL$74,'Matrix 171007_1810'!$CR$74)</f>
        <v/>
      </c>
      <c r="CY74" s="237" t="str">
        <f>calc_gap('Matrix 171007_1810'!$CM$74,'Matrix 171007_1810'!$CS$74)</f>
        <v/>
      </c>
      <c r="CZ74" s="237" t="str">
        <f>calc_gap('Matrix 171007_1810'!$CN$74,'Matrix 171007_1810'!$CT$74)</f>
        <v/>
      </c>
      <c r="DA74" s="238" t="str">
        <f>calc_gap('Matrix 171007_1810'!$CO$74,'Matrix 171007_1810'!$CU$74)</f>
        <v/>
      </c>
    </row>
    <row r="75" spans="2:105" x14ac:dyDescent="0.25">
      <c r="B75" s="435"/>
      <c r="C75" s="291" t="s">
        <v>113</v>
      </c>
      <c r="D75" s="314"/>
      <c r="E75" s="315"/>
      <c r="F75" s="315"/>
      <c r="G75" s="315"/>
      <c r="H75" s="315"/>
      <c r="I75" s="315"/>
      <c r="J75" s="315"/>
      <c r="K75" s="316"/>
      <c r="L75" s="314"/>
      <c r="M75" s="315"/>
      <c r="N75" s="315"/>
      <c r="O75" s="316"/>
      <c r="P75" s="314"/>
      <c r="Q75" s="315"/>
      <c r="R75" s="315"/>
      <c r="S75" s="315"/>
      <c r="T75" s="315"/>
      <c r="U75" s="315"/>
      <c r="V75" s="315"/>
      <c r="W75" s="315"/>
      <c r="X75" s="315"/>
      <c r="Y75" s="315"/>
      <c r="Z75" s="315"/>
      <c r="AA75" s="315"/>
      <c r="AB75" s="315"/>
      <c r="AC75" s="315"/>
      <c r="AD75" s="315"/>
      <c r="AE75" s="315"/>
      <c r="AF75" s="315"/>
      <c r="AG75" s="315"/>
      <c r="AH75" s="315"/>
      <c r="AI75" s="316"/>
      <c r="AJ75" s="314"/>
      <c r="AK75" s="315"/>
      <c r="AL75" s="316"/>
      <c r="AM75" s="314"/>
      <c r="AN75" s="315"/>
      <c r="AO75" s="316"/>
      <c r="AP75" s="314"/>
      <c r="AQ75" s="315"/>
      <c r="AR75" s="315"/>
      <c r="AS75" s="315"/>
      <c r="AT75" s="316"/>
      <c r="AU75" s="314" t="s">
        <v>148</v>
      </c>
      <c r="AV75" s="315" t="s">
        <v>150</v>
      </c>
      <c r="AW75" s="315" t="s">
        <v>147</v>
      </c>
      <c r="AX75" s="315" t="s">
        <v>150</v>
      </c>
      <c r="AY75" s="315" t="s">
        <v>150</v>
      </c>
      <c r="AZ75" s="315"/>
      <c r="BA75" s="315"/>
      <c r="BB75" s="316" t="s">
        <v>148</v>
      </c>
      <c r="BC75" s="314" t="s">
        <v>149</v>
      </c>
      <c r="BD75" s="315" t="s">
        <v>148</v>
      </c>
      <c r="BE75" s="315"/>
      <c r="BF75" s="315"/>
      <c r="BG75" s="316"/>
      <c r="BH75" s="314"/>
      <c r="BI75" s="315"/>
      <c r="BJ75" s="316"/>
      <c r="BK75" s="314"/>
      <c r="BL75" s="315"/>
      <c r="BM75" s="315"/>
      <c r="BN75" s="316"/>
      <c r="BO75" s="314" t="s">
        <v>148</v>
      </c>
      <c r="BP75" s="315" t="s">
        <v>148</v>
      </c>
      <c r="BQ75" s="315"/>
      <c r="BR75" s="315"/>
      <c r="BS75" s="315" t="s">
        <v>149</v>
      </c>
      <c r="BT75" s="315"/>
      <c r="BU75" s="315" t="s">
        <v>150</v>
      </c>
      <c r="BV75" s="316"/>
      <c r="BW75" s="314" t="s">
        <v>148</v>
      </c>
      <c r="BX75" s="315"/>
      <c r="BY75" s="315"/>
      <c r="BZ75" s="315" t="s">
        <v>148</v>
      </c>
      <c r="CA75" s="315" t="s">
        <v>147</v>
      </c>
      <c r="CB75" s="316"/>
      <c r="CC75" s="314"/>
      <c r="CD75" s="315" t="s">
        <v>147</v>
      </c>
      <c r="CE75" s="316"/>
      <c r="CF75" s="314"/>
      <c r="CG75" s="315"/>
      <c r="CH75" s="315"/>
      <c r="CI75" s="317"/>
      <c r="CK75" s="236">
        <f t="shared" si="25"/>
        <v>2</v>
      </c>
      <c r="CL75" s="237">
        <f t="shared" si="26"/>
        <v>3</v>
      </c>
      <c r="CM75" s="237">
        <f t="shared" si="27"/>
        <v>7</v>
      </c>
      <c r="CN75" s="237">
        <f t="shared" si="28"/>
        <v>4</v>
      </c>
      <c r="CO75" s="238" t="str">
        <f t="shared" si="29"/>
        <v/>
      </c>
      <c r="CQ75" s="236" t="str">
        <f>desired_skills(C75,"Organisatie / klantomgeving/COO - RRS","o")</f>
        <v/>
      </c>
      <c r="CR75" s="237" t="str">
        <f>desired_skills(C75,"Organisatie / klantomgeving/COO - RRS","j")</f>
        <v/>
      </c>
      <c r="CS75" s="237" t="str">
        <f>desired_skills(C75,"Organisatie / klantomgeving/COO - RRS","m")</f>
        <v/>
      </c>
      <c r="CT75" s="237" t="str">
        <f>desired_skills(C75,"Organisatie / klantomgeving/COO - RRS","s")</f>
        <v/>
      </c>
      <c r="CU75" s="238" t="str">
        <f>desired_skills(C75,"Organisatie / klantomgeving/COO - RRS","e")</f>
        <v/>
      </c>
      <c r="CW75" s="236" t="str">
        <f>calc_gap('Matrix 171007_1810'!$CK$75,'Matrix 171007_1810'!$CQ$75)</f>
        <v/>
      </c>
      <c r="CX75" s="237" t="str">
        <f>calc_gap('Matrix 171007_1810'!$CL$75,'Matrix 171007_1810'!$CR$75)</f>
        <v/>
      </c>
      <c r="CY75" s="237" t="str">
        <f>calc_gap('Matrix 171007_1810'!$CM$75,'Matrix 171007_1810'!$CS$75)</f>
        <v/>
      </c>
      <c r="CZ75" s="237" t="str">
        <f>calc_gap('Matrix 171007_1810'!$CN$75,'Matrix 171007_1810'!$CT$75)</f>
        <v/>
      </c>
      <c r="DA75" s="238" t="str">
        <f>calc_gap('Matrix 171007_1810'!$CO$75,'Matrix 171007_1810'!$CU$75)</f>
        <v/>
      </c>
    </row>
    <row r="76" spans="2:105" x14ac:dyDescent="0.25">
      <c r="B76" s="435"/>
      <c r="C76" s="291" t="s">
        <v>114</v>
      </c>
      <c r="D76" s="314"/>
      <c r="E76" s="315"/>
      <c r="F76" s="315"/>
      <c r="G76" s="315"/>
      <c r="H76" s="315"/>
      <c r="I76" s="315"/>
      <c r="J76" s="315"/>
      <c r="K76" s="316"/>
      <c r="L76" s="314"/>
      <c r="M76" s="315"/>
      <c r="N76" s="315"/>
      <c r="O76" s="316"/>
      <c r="P76" s="314"/>
      <c r="Q76" s="315"/>
      <c r="R76" s="315"/>
      <c r="S76" s="315"/>
      <c r="T76" s="315"/>
      <c r="U76" s="315"/>
      <c r="V76" s="315"/>
      <c r="W76" s="315"/>
      <c r="X76" s="315"/>
      <c r="Y76" s="315"/>
      <c r="Z76" s="315"/>
      <c r="AA76" s="315"/>
      <c r="AB76" s="315"/>
      <c r="AC76" s="315"/>
      <c r="AD76" s="315"/>
      <c r="AE76" s="315"/>
      <c r="AF76" s="315"/>
      <c r="AG76" s="315"/>
      <c r="AH76" s="315"/>
      <c r="AI76" s="316"/>
      <c r="AJ76" s="314"/>
      <c r="AK76" s="315"/>
      <c r="AL76" s="316"/>
      <c r="AM76" s="314"/>
      <c r="AN76" s="315"/>
      <c r="AO76" s="316"/>
      <c r="AP76" s="314"/>
      <c r="AQ76" s="315"/>
      <c r="AR76" s="315"/>
      <c r="AS76" s="315"/>
      <c r="AT76" s="316"/>
      <c r="AU76" s="314" t="s">
        <v>148</v>
      </c>
      <c r="AV76" s="315" t="s">
        <v>150</v>
      </c>
      <c r="AW76" s="315" t="s">
        <v>150</v>
      </c>
      <c r="AX76" s="315" t="s">
        <v>150</v>
      </c>
      <c r="AY76" s="315" t="s">
        <v>150</v>
      </c>
      <c r="AZ76" s="315" t="s">
        <v>148</v>
      </c>
      <c r="BA76" s="315"/>
      <c r="BB76" s="316" t="s">
        <v>150</v>
      </c>
      <c r="BC76" s="314" t="s">
        <v>148</v>
      </c>
      <c r="BD76" s="315" t="s">
        <v>150</v>
      </c>
      <c r="BE76" s="315"/>
      <c r="BF76" s="315"/>
      <c r="BG76" s="316"/>
      <c r="BH76" s="314"/>
      <c r="BI76" s="315"/>
      <c r="BJ76" s="316"/>
      <c r="BK76" s="314"/>
      <c r="BL76" s="315"/>
      <c r="BM76" s="315"/>
      <c r="BN76" s="316"/>
      <c r="BO76" s="314" t="s">
        <v>148</v>
      </c>
      <c r="BP76" s="315" t="s">
        <v>148</v>
      </c>
      <c r="BQ76" s="315"/>
      <c r="BR76" s="315"/>
      <c r="BS76" s="315" t="s">
        <v>149</v>
      </c>
      <c r="BT76" s="315"/>
      <c r="BU76" s="315" t="s">
        <v>150</v>
      </c>
      <c r="BV76" s="316"/>
      <c r="BW76" s="314" t="s">
        <v>150</v>
      </c>
      <c r="BX76" s="315"/>
      <c r="BY76" s="315"/>
      <c r="BZ76" s="315" t="s">
        <v>150</v>
      </c>
      <c r="CA76" s="315" t="s">
        <v>147</v>
      </c>
      <c r="CB76" s="316" t="s">
        <v>147</v>
      </c>
      <c r="CC76" s="314"/>
      <c r="CD76" s="315" t="s">
        <v>147</v>
      </c>
      <c r="CE76" s="316"/>
      <c r="CF76" s="314"/>
      <c r="CG76" s="315"/>
      <c r="CH76" s="315"/>
      <c r="CI76" s="317"/>
      <c r="CK76" s="236">
        <f t="shared" si="25"/>
        <v>1</v>
      </c>
      <c r="CL76" s="237">
        <f t="shared" si="26"/>
        <v>3</v>
      </c>
      <c r="CM76" s="237">
        <f t="shared" si="27"/>
        <v>5</v>
      </c>
      <c r="CN76" s="237">
        <f t="shared" si="28"/>
        <v>9</v>
      </c>
      <c r="CO76" s="238" t="str">
        <f t="shared" si="29"/>
        <v/>
      </c>
      <c r="CQ76" s="236" t="str">
        <f>desired_skills(C76,"Organisatie / klantomgeving/COO - IAM","o")</f>
        <v/>
      </c>
      <c r="CR76" s="237" t="str">
        <f>desired_skills(C76,"Organisatie / klantomgeving/COO - IAM","j")</f>
        <v/>
      </c>
      <c r="CS76" s="237" t="str">
        <f>desired_skills(C76,"Organisatie / klantomgeving/COO - IAM","m")</f>
        <v/>
      </c>
      <c r="CT76" s="237" t="str">
        <f>desired_skills(C76,"Organisatie / klantomgeving/COO - IAM","s")</f>
        <v/>
      </c>
      <c r="CU76" s="238" t="str">
        <f>desired_skills(C76,"Organisatie / klantomgeving/COO - IAM","e")</f>
        <v/>
      </c>
      <c r="CW76" s="236" t="str">
        <f>calc_gap('Matrix 171007_1810'!$CK$76,'Matrix 171007_1810'!$CQ$76)</f>
        <v/>
      </c>
      <c r="CX76" s="237" t="str">
        <f>calc_gap('Matrix 171007_1810'!$CL$76,'Matrix 171007_1810'!$CR$76)</f>
        <v/>
      </c>
      <c r="CY76" s="237" t="str">
        <f>calc_gap('Matrix 171007_1810'!$CM$76,'Matrix 171007_1810'!$CS$76)</f>
        <v/>
      </c>
      <c r="CZ76" s="237" t="str">
        <f>calc_gap('Matrix 171007_1810'!$CN$76,'Matrix 171007_1810'!$CT$76)</f>
        <v/>
      </c>
      <c r="DA76" s="238" t="str">
        <f>calc_gap('Matrix 171007_1810'!$CO$76,'Matrix 171007_1810'!$CU$76)</f>
        <v/>
      </c>
    </row>
    <row r="77" spans="2:105" x14ac:dyDescent="0.25">
      <c r="B77" s="435"/>
      <c r="C77" s="291" t="s">
        <v>115</v>
      </c>
      <c r="D77" s="314"/>
      <c r="E77" s="315"/>
      <c r="F77" s="315"/>
      <c r="G77" s="315"/>
      <c r="H77" s="315"/>
      <c r="I77" s="315"/>
      <c r="J77" s="315"/>
      <c r="K77" s="316"/>
      <c r="L77" s="314"/>
      <c r="M77" s="315"/>
      <c r="N77" s="315"/>
      <c r="O77" s="316"/>
      <c r="P77" s="314"/>
      <c r="Q77" s="315"/>
      <c r="R77" s="315"/>
      <c r="S77" s="315"/>
      <c r="T77" s="315"/>
      <c r="U77" s="315"/>
      <c r="V77" s="315"/>
      <c r="W77" s="315"/>
      <c r="X77" s="315"/>
      <c r="Y77" s="315"/>
      <c r="Z77" s="315"/>
      <c r="AA77" s="315"/>
      <c r="AB77" s="315"/>
      <c r="AC77" s="315"/>
      <c r="AD77" s="315"/>
      <c r="AE77" s="315"/>
      <c r="AF77" s="315"/>
      <c r="AG77" s="315"/>
      <c r="AH77" s="315"/>
      <c r="AI77" s="316"/>
      <c r="AJ77" s="314"/>
      <c r="AK77" s="315"/>
      <c r="AL77" s="316"/>
      <c r="AM77" s="314"/>
      <c r="AN77" s="315"/>
      <c r="AO77" s="316"/>
      <c r="AP77" s="314"/>
      <c r="AQ77" s="315"/>
      <c r="AR77" s="315"/>
      <c r="AS77" s="315"/>
      <c r="AT77" s="316"/>
      <c r="AU77" s="314" t="s">
        <v>47</v>
      </c>
      <c r="AV77" s="315" t="s">
        <v>148</v>
      </c>
      <c r="AW77" s="315" t="s">
        <v>148</v>
      </c>
      <c r="AX77" s="315" t="s">
        <v>150</v>
      </c>
      <c r="AY77" s="315" t="s">
        <v>150</v>
      </c>
      <c r="AZ77" s="315" t="s">
        <v>148</v>
      </c>
      <c r="BA77" s="315" t="s">
        <v>148</v>
      </c>
      <c r="BB77" s="316" t="s">
        <v>148</v>
      </c>
      <c r="BC77" s="314" t="s">
        <v>148</v>
      </c>
      <c r="BD77" s="315" t="s">
        <v>148</v>
      </c>
      <c r="BE77" s="315"/>
      <c r="BF77" s="315"/>
      <c r="BG77" s="316"/>
      <c r="BH77" s="314"/>
      <c r="BI77" s="315" t="s">
        <v>148</v>
      </c>
      <c r="BJ77" s="316"/>
      <c r="BK77" s="314" t="s">
        <v>148</v>
      </c>
      <c r="BL77" s="315" t="s">
        <v>148</v>
      </c>
      <c r="BM77" s="315"/>
      <c r="BN77" s="316"/>
      <c r="BO77" s="314" t="s">
        <v>148</v>
      </c>
      <c r="BP77" s="315" t="s">
        <v>148</v>
      </c>
      <c r="BQ77" s="315"/>
      <c r="BR77" s="315"/>
      <c r="BS77" s="315" t="s">
        <v>149</v>
      </c>
      <c r="BT77" s="315" t="s">
        <v>147</v>
      </c>
      <c r="BU77" s="315" t="s">
        <v>150</v>
      </c>
      <c r="BV77" s="316"/>
      <c r="BW77" s="314" t="s">
        <v>148</v>
      </c>
      <c r="BX77" s="315"/>
      <c r="BY77" s="315" t="s">
        <v>147</v>
      </c>
      <c r="BZ77" s="315" t="s">
        <v>150</v>
      </c>
      <c r="CA77" s="315" t="s">
        <v>147</v>
      </c>
      <c r="CB77" s="316" t="s">
        <v>147</v>
      </c>
      <c r="CC77" s="314" t="s">
        <v>147</v>
      </c>
      <c r="CD77" s="315" t="s">
        <v>148</v>
      </c>
      <c r="CE77" s="316"/>
      <c r="CF77" s="314"/>
      <c r="CG77" s="315"/>
      <c r="CH77" s="315"/>
      <c r="CI77" s="317"/>
      <c r="CK77" s="236">
        <f t="shared" si="25"/>
        <v>1</v>
      </c>
      <c r="CL77" s="237">
        <f t="shared" si="26"/>
        <v>5</v>
      </c>
      <c r="CM77" s="237">
        <f t="shared" si="27"/>
        <v>14</v>
      </c>
      <c r="CN77" s="237">
        <f t="shared" si="28"/>
        <v>4</v>
      </c>
      <c r="CO77" s="238">
        <f t="shared" si="29"/>
        <v>1</v>
      </c>
      <c r="CQ77" s="236" t="str">
        <f>desired_skills(C77,"Organisatie / klantomgeving/HR (processen)","o")</f>
        <v/>
      </c>
      <c r="CR77" s="237" t="str">
        <f>desired_skills(C77,"Organisatie / klantomgeving/HR (processen)","j")</f>
        <v/>
      </c>
      <c r="CS77" s="237" t="str">
        <f>desired_skills(C77,"Organisatie / klantomgeving/HR (processen)","m")</f>
        <v/>
      </c>
      <c r="CT77" s="237" t="str">
        <f>desired_skills(C77,"Organisatie / klantomgeving/HR (processen)","s")</f>
        <v/>
      </c>
      <c r="CU77" s="238" t="str">
        <f>desired_skills(C77,"Organisatie / klantomgeving/HR (processen)","e")</f>
        <v/>
      </c>
      <c r="CW77" s="236" t="str">
        <f>calc_gap('Matrix 171007_1810'!$CK$77,'Matrix 171007_1810'!$CQ$77)</f>
        <v/>
      </c>
      <c r="CX77" s="237" t="str">
        <f>calc_gap('Matrix 171007_1810'!$CL$77,'Matrix 171007_1810'!$CR$77)</f>
        <v/>
      </c>
      <c r="CY77" s="237" t="str">
        <f>calc_gap('Matrix 171007_1810'!$CM$77,'Matrix 171007_1810'!$CS$77)</f>
        <v/>
      </c>
      <c r="CZ77" s="237" t="str">
        <f>calc_gap('Matrix 171007_1810'!$CN$77,'Matrix 171007_1810'!$CT$77)</f>
        <v/>
      </c>
      <c r="DA77" s="238" t="str">
        <f>calc_gap('Matrix 171007_1810'!$CO$77,'Matrix 171007_1810'!$CU$77)</f>
        <v/>
      </c>
    </row>
    <row r="78" spans="2:105" ht="15.75" thickBot="1" x14ac:dyDescent="0.3">
      <c r="B78" s="435"/>
      <c r="C78" s="292" t="s">
        <v>116</v>
      </c>
      <c r="D78" s="318"/>
      <c r="E78" s="319"/>
      <c r="F78" s="319"/>
      <c r="G78" s="319"/>
      <c r="H78" s="319"/>
      <c r="I78" s="319"/>
      <c r="J78" s="319"/>
      <c r="K78" s="320"/>
      <c r="L78" s="318"/>
      <c r="M78" s="319"/>
      <c r="N78" s="319"/>
      <c r="O78" s="320"/>
      <c r="P78" s="318"/>
      <c r="Q78" s="319"/>
      <c r="R78" s="319"/>
      <c r="S78" s="319"/>
      <c r="T78" s="319"/>
      <c r="U78" s="319"/>
      <c r="V78" s="319"/>
      <c r="W78" s="319"/>
      <c r="X78" s="319"/>
      <c r="Y78" s="319"/>
      <c r="Z78" s="319"/>
      <c r="AA78" s="319"/>
      <c r="AB78" s="319"/>
      <c r="AC78" s="319"/>
      <c r="AD78" s="319"/>
      <c r="AE78" s="319"/>
      <c r="AF78" s="319"/>
      <c r="AG78" s="319"/>
      <c r="AH78" s="319"/>
      <c r="AI78" s="320"/>
      <c r="AJ78" s="318"/>
      <c r="AK78" s="319"/>
      <c r="AL78" s="320"/>
      <c r="AM78" s="318"/>
      <c r="AN78" s="319"/>
      <c r="AO78" s="320"/>
      <c r="AP78" s="318"/>
      <c r="AQ78" s="319"/>
      <c r="AR78" s="319"/>
      <c r="AS78" s="319"/>
      <c r="AT78" s="320"/>
      <c r="AU78" s="318" t="s">
        <v>148</v>
      </c>
      <c r="AV78" s="319" t="s">
        <v>47</v>
      </c>
      <c r="AW78" s="319" t="s">
        <v>150</v>
      </c>
      <c r="AX78" s="319" t="s">
        <v>150</v>
      </c>
      <c r="AY78" s="319" t="s">
        <v>150</v>
      </c>
      <c r="AZ78" s="319" t="s">
        <v>147</v>
      </c>
      <c r="BA78" s="319" t="s">
        <v>148</v>
      </c>
      <c r="BB78" s="320" t="s">
        <v>150</v>
      </c>
      <c r="BC78" s="318" t="s">
        <v>147</v>
      </c>
      <c r="BD78" s="319" t="s">
        <v>148</v>
      </c>
      <c r="BE78" s="319"/>
      <c r="BF78" s="319" t="s">
        <v>147</v>
      </c>
      <c r="BG78" s="320"/>
      <c r="BH78" s="318"/>
      <c r="BI78" s="319"/>
      <c r="BJ78" s="320"/>
      <c r="BK78" s="318" t="s">
        <v>148</v>
      </c>
      <c r="BL78" s="319" t="s">
        <v>148</v>
      </c>
      <c r="BM78" s="319"/>
      <c r="BN78" s="320" t="s">
        <v>149</v>
      </c>
      <c r="BO78" s="318" t="s">
        <v>147</v>
      </c>
      <c r="BP78" s="319" t="s">
        <v>148</v>
      </c>
      <c r="BQ78" s="319" t="s">
        <v>148</v>
      </c>
      <c r="BR78" s="319"/>
      <c r="BS78" s="319" t="s">
        <v>149</v>
      </c>
      <c r="BT78" s="319" t="s">
        <v>148</v>
      </c>
      <c r="BU78" s="319" t="s">
        <v>150</v>
      </c>
      <c r="BV78" s="320"/>
      <c r="BW78" s="318" t="s">
        <v>150</v>
      </c>
      <c r="BX78" s="319"/>
      <c r="BY78" s="319" t="s">
        <v>150</v>
      </c>
      <c r="BZ78" s="319" t="s">
        <v>150</v>
      </c>
      <c r="CA78" s="319" t="s">
        <v>150</v>
      </c>
      <c r="CB78" s="320" t="s">
        <v>150</v>
      </c>
      <c r="CC78" s="318" t="s">
        <v>147</v>
      </c>
      <c r="CD78" s="319" t="s">
        <v>148</v>
      </c>
      <c r="CE78" s="320"/>
      <c r="CF78" s="318"/>
      <c r="CG78" s="319"/>
      <c r="CH78" s="319"/>
      <c r="CI78" s="321"/>
      <c r="CK78" s="239">
        <f t="shared" si="25"/>
        <v>2</v>
      </c>
      <c r="CL78" s="240">
        <f t="shared" si="26"/>
        <v>5</v>
      </c>
      <c r="CM78" s="240">
        <f t="shared" si="27"/>
        <v>9</v>
      </c>
      <c r="CN78" s="240">
        <f t="shared" si="28"/>
        <v>10</v>
      </c>
      <c r="CO78" s="241">
        <f t="shared" si="29"/>
        <v>1</v>
      </c>
      <c r="CQ78" s="239" t="str">
        <f>desired_skills(C78,"Organisatie / klantomgeving/LEX-en","o")</f>
        <v/>
      </c>
      <c r="CR78" s="240" t="str">
        <f>desired_skills(C78,"Organisatie / klantomgeving/LEX-en","j")</f>
        <v/>
      </c>
      <c r="CS78" s="240" t="str">
        <f>desired_skills(C78,"Organisatie / klantomgeving/LEX-en","m")</f>
        <v/>
      </c>
      <c r="CT78" s="240" t="str">
        <f>desired_skills(C78,"Organisatie / klantomgeving/LEX-en","s")</f>
        <v/>
      </c>
      <c r="CU78" s="241" t="str">
        <f>desired_skills(C78,"Organisatie / klantomgeving/LEX-en","e")</f>
        <v/>
      </c>
      <c r="CW78" s="239" t="str">
        <f>calc_gap('Matrix 171007_1810'!$CK$78,'Matrix 171007_1810'!$CQ$78)</f>
        <v/>
      </c>
      <c r="CX78" s="240" t="str">
        <f>calc_gap('Matrix 171007_1810'!$CL$78,'Matrix 171007_1810'!$CR$78)</f>
        <v/>
      </c>
      <c r="CY78" s="240" t="str">
        <f>calc_gap('Matrix 171007_1810'!$CM$78,'Matrix 171007_1810'!$CS$78)</f>
        <v/>
      </c>
      <c r="CZ78" s="240" t="str">
        <f>calc_gap('Matrix 171007_1810'!$CN$78,'Matrix 171007_1810'!$CT$78)</f>
        <v/>
      </c>
      <c r="DA78" s="241" t="str">
        <f>calc_gap('Matrix 171007_1810'!$CO$78,'Matrix 171007_1810'!$CU$78)</f>
        <v/>
      </c>
    </row>
    <row r="79" spans="2:105" ht="12.75" customHeight="1" thickTop="1" thickBot="1" x14ac:dyDescent="0.3">
      <c r="B79" s="436"/>
      <c r="C79" s="248"/>
      <c r="D79" s="322"/>
      <c r="E79" s="322"/>
      <c r="F79" s="322"/>
      <c r="G79" s="322"/>
      <c r="H79" s="322"/>
      <c r="I79" s="322"/>
      <c r="J79" s="322"/>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c r="BG79" s="322"/>
      <c r="BH79" s="322"/>
      <c r="BI79" s="322"/>
      <c r="BJ79" s="322"/>
      <c r="BK79" s="322"/>
      <c r="BL79" s="322"/>
      <c r="BM79" s="322"/>
      <c r="BN79" s="322"/>
      <c r="BO79" s="322"/>
      <c r="BP79" s="322"/>
      <c r="BQ79" s="322"/>
      <c r="BR79" s="322"/>
      <c r="BS79" s="322"/>
      <c r="BT79" s="322"/>
      <c r="BU79" s="322"/>
      <c r="BV79" s="322"/>
      <c r="BW79" s="322"/>
      <c r="BX79" s="322"/>
      <c r="BY79" s="322"/>
      <c r="BZ79" s="322"/>
      <c r="CA79" s="322"/>
      <c r="CB79" s="322"/>
      <c r="CC79" s="322"/>
      <c r="CD79" s="322"/>
      <c r="CE79" s="322"/>
      <c r="CF79" s="322"/>
      <c r="CG79" s="322"/>
      <c r="CH79" s="322"/>
      <c r="CI79" s="322"/>
      <c r="CK79" s="249"/>
      <c r="CL79" s="249"/>
      <c r="CM79" s="249"/>
      <c r="CN79" s="249"/>
      <c r="CO79" s="249"/>
      <c r="CQ79" s="249"/>
      <c r="CR79" s="249"/>
      <c r="CS79" s="249"/>
      <c r="CT79" s="249"/>
      <c r="CU79" s="249"/>
      <c r="CW79" s="249"/>
      <c r="CX79" s="249"/>
      <c r="CY79" s="249"/>
      <c r="CZ79" s="249"/>
      <c r="DA79" s="249"/>
    </row>
    <row r="80" spans="2:105" ht="15.75" thickTop="1" x14ac:dyDescent="0.25">
      <c r="B80" s="434" t="s">
        <v>267</v>
      </c>
      <c r="C80" s="290" t="s">
        <v>269</v>
      </c>
      <c r="D80" s="310"/>
      <c r="E80" s="311"/>
      <c r="F80" s="311"/>
      <c r="G80" s="311"/>
      <c r="H80" s="311"/>
      <c r="I80" s="311"/>
      <c r="J80" s="311"/>
      <c r="K80" s="312"/>
      <c r="L80" s="310"/>
      <c r="M80" s="311"/>
      <c r="N80" s="311"/>
      <c r="O80" s="312"/>
      <c r="P80" s="310"/>
      <c r="Q80" s="311"/>
      <c r="R80" s="311"/>
      <c r="S80" s="311"/>
      <c r="T80" s="311"/>
      <c r="U80" s="311"/>
      <c r="V80" s="311"/>
      <c r="W80" s="311"/>
      <c r="X80" s="311"/>
      <c r="Y80" s="311"/>
      <c r="Z80" s="311"/>
      <c r="AA80" s="311"/>
      <c r="AB80" s="311"/>
      <c r="AC80" s="311"/>
      <c r="AD80" s="311"/>
      <c r="AE80" s="311"/>
      <c r="AF80" s="311"/>
      <c r="AG80" s="311"/>
      <c r="AH80" s="311"/>
      <c r="AI80" s="312"/>
      <c r="AJ80" s="310"/>
      <c r="AK80" s="311"/>
      <c r="AL80" s="312"/>
      <c r="AM80" s="310"/>
      <c r="AN80" s="311"/>
      <c r="AO80" s="312"/>
      <c r="AP80" s="310"/>
      <c r="AQ80" s="311"/>
      <c r="AR80" s="311"/>
      <c r="AS80" s="311"/>
      <c r="AT80" s="312"/>
      <c r="AU80" s="310"/>
      <c r="AV80" s="311"/>
      <c r="AW80" s="311"/>
      <c r="AX80" s="311"/>
      <c r="AY80" s="311"/>
      <c r="AZ80" s="311"/>
      <c r="BA80" s="311"/>
      <c r="BB80" s="312"/>
      <c r="BC80" s="310"/>
      <c r="BD80" s="311"/>
      <c r="BE80" s="311"/>
      <c r="BF80" s="311"/>
      <c r="BG80" s="312"/>
      <c r="BH80" s="310"/>
      <c r="BI80" s="311"/>
      <c r="BJ80" s="312"/>
      <c r="BK80" s="310"/>
      <c r="BL80" s="311"/>
      <c r="BM80" s="311"/>
      <c r="BN80" s="312"/>
      <c r="BO80" s="310"/>
      <c r="BP80" s="311"/>
      <c r="BQ80" s="311"/>
      <c r="BR80" s="311"/>
      <c r="BS80" s="311"/>
      <c r="BT80" s="311"/>
      <c r="BU80" s="311"/>
      <c r="BV80" s="312"/>
      <c r="BW80" s="310"/>
      <c r="BX80" s="311"/>
      <c r="BY80" s="311"/>
      <c r="BZ80" s="311"/>
      <c r="CA80" s="311"/>
      <c r="CB80" s="312"/>
      <c r="CC80" s="310"/>
      <c r="CD80" s="311"/>
      <c r="CE80" s="312"/>
      <c r="CF80" s="310"/>
      <c r="CG80" s="311"/>
      <c r="CH80" s="311"/>
      <c r="CI80" s="313"/>
      <c r="CK80" s="233" t="str">
        <f t="shared" ref="CK80:CK94" si="30">IF(COUNTIF(D80:CI80,"o")&gt;0,COUNTIF(D80:CI80,"o"),"")</f>
        <v/>
      </c>
      <c r="CL80" s="234" t="str">
        <f t="shared" ref="CL80:CL94" si="31">IF(COUNTIF(D80:CI80,"j")&gt;0,COUNTIF(D80:CI80,"j"),"")</f>
        <v/>
      </c>
      <c r="CM80" s="234" t="str">
        <f t="shared" ref="CM80:CM94" si="32">IF(COUNTIF(D80:CI80,"m")&gt;0,COUNTIF(D80:CI80,"m"),"")</f>
        <v/>
      </c>
      <c r="CN80" s="234" t="str">
        <f t="shared" ref="CN80:CN94" si="33">IF(COUNTIF(D80:CI80,"s")&gt;0,COUNTIF(D80:CI80,"s"),"")</f>
        <v/>
      </c>
      <c r="CO80" s="235" t="str">
        <f t="shared" ref="CO80:CO94" si="34">IF(COUNTIF(D80:CI80,"e")&gt;0,COUNTIF(D80:CI80,"e"),"")</f>
        <v/>
      </c>
      <c r="CQ80" s="233" t="str">
        <f>desired_skills(C80,"Extra vaardigheden/Vormgeving/ontwerpen","o")</f>
        <v/>
      </c>
      <c r="CR80" s="234" t="str">
        <f>desired_skills(C80,"Extra vaardigheden/Vormgeving/ontwerpen","j")</f>
        <v/>
      </c>
      <c r="CS80" s="234" t="str">
        <f>desired_skills(C80,"Extra vaardigheden/Vormgeving/ontwerpen","m")</f>
        <v/>
      </c>
      <c r="CT80" s="234" t="str">
        <f>desired_skills(C80,"Extra vaardigheden/Vormgeving/ontwerpen","s")</f>
        <v/>
      </c>
      <c r="CU80" s="235" t="str">
        <f>desired_skills(C80,"Extra vaardigheden/Vormgeving/ontwerpen","e")</f>
        <v/>
      </c>
      <c r="CW80" s="233" t="str">
        <f>calc_gap('Matrix 171007_1810'!$CK$80,'Matrix 171007_1810'!$CQ$80)</f>
        <v/>
      </c>
      <c r="CX80" s="234" t="str">
        <f>calc_gap('Matrix 171007_1810'!$CL$80,'Matrix 171007_1810'!$CR$80)</f>
        <v/>
      </c>
      <c r="CY80" s="234" t="str">
        <f>calc_gap('Matrix 171007_1810'!$CM$80,'Matrix 171007_1810'!$CS$80)</f>
        <v/>
      </c>
      <c r="CZ80" s="234" t="str">
        <f>calc_gap('Matrix 171007_1810'!$CN$80,'Matrix 171007_1810'!$CT$80)</f>
        <v/>
      </c>
      <c r="DA80" s="235" t="str">
        <f>calc_gap('Matrix 171007_1810'!$CO$80,'Matrix 171007_1810'!$CU$80)</f>
        <v/>
      </c>
    </row>
    <row r="81" spans="2:105" x14ac:dyDescent="0.25">
      <c r="B81" s="435"/>
      <c r="C81" s="291" t="s">
        <v>270</v>
      </c>
      <c r="D81" s="314"/>
      <c r="E81" s="315"/>
      <c r="F81" s="315"/>
      <c r="G81" s="315"/>
      <c r="H81" s="315"/>
      <c r="I81" s="315"/>
      <c r="J81" s="315"/>
      <c r="K81" s="316"/>
      <c r="L81" s="314"/>
      <c r="M81" s="315"/>
      <c r="N81" s="315"/>
      <c r="O81" s="316"/>
      <c r="P81" s="314"/>
      <c r="Q81" s="315"/>
      <c r="R81" s="315"/>
      <c r="S81" s="315"/>
      <c r="T81" s="315"/>
      <c r="U81" s="315"/>
      <c r="V81" s="315"/>
      <c r="W81" s="315"/>
      <c r="X81" s="315"/>
      <c r="Y81" s="315"/>
      <c r="Z81" s="315"/>
      <c r="AA81" s="315"/>
      <c r="AB81" s="315"/>
      <c r="AC81" s="315"/>
      <c r="AD81" s="315"/>
      <c r="AE81" s="315"/>
      <c r="AF81" s="315"/>
      <c r="AG81" s="315"/>
      <c r="AH81" s="315"/>
      <c r="AI81" s="316"/>
      <c r="AJ81" s="314"/>
      <c r="AK81" s="315"/>
      <c r="AL81" s="316"/>
      <c r="AM81" s="314"/>
      <c r="AN81" s="315"/>
      <c r="AO81" s="316"/>
      <c r="AP81" s="314"/>
      <c r="AQ81" s="315"/>
      <c r="AR81" s="315"/>
      <c r="AS81" s="315"/>
      <c r="AT81" s="316"/>
      <c r="AU81" s="314"/>
      <c r="AV81" s="315"/>
      <c r="AW81" s="315"/>
      <c r="AX81" s="315"/>
      <c r="AY81" s="315"/>
      <c r="AZ81" s="315"/>
      <c r="BA81" s="315"/>
      <c r="BB81" s="316"/>
      <c r="BC81" s="314"/>
      <c r="BD81" s="315"/>
      <c r="BE81" s="315"/>
      <c r="BF81" s="315"/>
      <c r="BG81" s="316"/>
      <c r="BH81" s="314"/>
      <c r="BI81" s="315"/>
      <c r="BJ81" s="316"/>
      <c r="BK81" s="314"/>
      <c r="BL81" s="315"/>
      <c r="BM81" s="315"/>
      <c r="BN81" s="316"/>
      <c r="BO81" s="314"/>
      <c r="BP81" s="315"/>
      <c r="BQ81" s="315"/>
      <c r="BR81" s="315"/>
      <c r="BS81" s="315"/>
      <c r="BT81" s="315"/>
      <c r="BU81" s="315"/>
      <c r="BV81" s="316"/>
      <c r="BW81" s="314"/>
      <c r="BX81" s="315"/>
      <c r="BY81" s="315"/>
      <c r="BZ81" s="315"/>
      <c r="CA81" s="315"/>
      <c r="CB81" s="316"/>
      <c r="CC81" s="314"/>
      <c r="CD81" s="315"/>
      <c r="CE81" s="316"/>
      <c r="CF81" s="314"/>
      <c r="CG81" s="315"/>
      <c r="CH81" s="315"/>
      <c r="CI81" s="317"/>
      <c r="CK81" s="236" t="str">
        <f t="shared" si="30"/>
        <v/>
      </c>
      <c r="CL81" s="237" t="str">
        <f t="shared" si="31"/>
        <v/>
      </c>
      <c r="CM81" s="237" t="str">
        <f t="shared" si="32"/>
        <v/>
      </c>
      <c r="CN81" s="237" t="str">
        <f t="shared" si="33"/>
        <v/>
      </c>
      <c r="CO81" s="238" t="str">
        <f t="shared" si="34"/>
        <v/>
      </c>
      <c r="CQ81" s="236" t="str">
        <f>desired_skills(C81,"Extra vaardigheden/Organiseren","o")</f>
        <v/>
      </c>
      <c r="CR81" s="237" t="str">
        <f>desired_skills(C81,"Extra vaardigheden/Organiseren","j")</f>
        <v/>
      </c>
      <c r="CS81" s="237" t="str">
        <f>desired_skills(C81,"Extra vaardigheden/Organiseren","m")</f>
        <v/>
      </c>
      <c r="CT81" s="237" t="str">
        <f>desired_skills(C81,"Extra vaardigheden/Organiseren","s")</f>
        <v/>
      </c>
      <c r="CU81" s="238" t="str">
        <f>desired_skills(C81,"Extra vaardigheden/Organiseren","e")</f>
        <v/>
      </c>
      <c r="CW81" s="236" t="str">
        <f>calc_gap('Matrix 171007_1810'!$CK$81,'Matrix 171007_1810'!$CQ$81)</f>
        <v/>
      </c>
      <c r="CX81" s="237" t="str">
        <f>calc_gap('Matrix 171007_1810'!$CL$81,'Matrix 171007_1810'!$CR$81)</f>
        <v/>
      </c>
      <c r="CY81" s="237" t="str">
        <f>calc_gap('Matrix 171007_1810'!$CM$81,'Matrix 171007_1810'!$CS$81)</f>
        <v/>
      </c>
      <c r="CZ81" s="237" t="str">
        <f>calc_gap('Matrix 171007_1810'!$CN$81,'Matrix 171007_1810'!$CT$81)</f>
        <v/>
      </c>
      <c r="DA81" s="238" t="str">
        <f>calc_gap('Matrix 171007_1810'!$CO$81,'Matrix 171007_1810'!$CU$81)</f>
        <v/>
      </c>
    </row>
    <row r="82" spans="2:105" x14ac:dyDescent="0.25">
      <c r="B82" s="435"/>
      <c r="C82" s="291" t="s">
        <v>271</v>
      </c>
      <c r="D82" s="314"/>
      <c r="E82" s="315"/>
      <c r="F82" s="315"/>
      <c r="G82" s="315"/>
      <c r="H82" s="315"/>
      <c r="I82" s="315"/>
      <c r="J82" s="315"/>
      <c r="K82" s="316"/>
      <c r="L82" s="314"/>
      <c r="M82" s="315"/>
      <c r="N82" s="315"/>
      <c r="O82" s="316"/>
      <c r="P82" s="314"/>
      <c r="Q82" s="315"/>
      <c r="R82" s="315"/>
      <c r="S82" s="315"/>
      <c r="T82" s="315"/>
      <c r="U82" s="315"/>
      <c r="V82" s="315"/>
      <c r="W82" s="315"/>
      <c r="X82" s="315"/>
      <c r="Y82" s="315"/>
      <c r="Z82" s="315"/>
      <c r="AA82" s="315"/>
      <c r="AB82" s="315"/>
      <c r="AC82" s="315"/>
      <c r="AD82" s="315"/>
      <c r="AE82" s="315"/>
      <c r="AF82" s="315"/>
      <c r="AG82" s="315"/>
      <c r="AH82" s="315"/>
      <c r="AI82" s="316"/>
      <c r="AJ82" s="314"/>
      <c r="AK82" s="315"/>
      <c r="AL82" s="316"/>
      <c r="AM82" s="314"/>
      <c r="AN82" s="315"/>
      <c r="AO82" s="316"/>
      <c r="AP82" s="314"/>
      <c r="AQ82" s="315"/>
      <c r="AR82" s="315"/>
      <c r="AS82" s="315"/>
      <c r="AT82" s="316"/>
      <c r="AU82" s="314"/>
      <c r="AV82" s="315"/>
      <c r="AW82" s="315"/>
      <c r="AX82" s="315"/>
      <c r="AY82" s="315"/>
      <c r="AZ82" s="315"/>
      <c r="BA82" s="315"/>
      <c r="BB82" s="316"/>
      <c r="BC82" s="314"/>
      <c r="BD82" s="315"/>
      <c r="BE82" s="315"/>
      <c r="BF82" s="315"/>
      <c r="BG82" s="316"/>
      <c r="BH82" s="314"/>
      <c r="BI82" s="315"/>
      <c r="BJ82" s="316"/>
      <c r="BK82" s="314"/>
      <c r="BL82" s="315"/>
      <c r="BM82" s="315"/>
      <c r="BN82" s="316"/>
      <c r="BO82" s="314"/>
      <c r="BP82" s="315"/>
      <c r="BQ82" s="315"/>
      <c r="BR82" s="315"/>
      <c r="BS82" s="315"/>
      <c r="BT82" s="315"/>
      <c r="BU82" s="315"/>
      <c r="BV82" s="316"/>
      <c r="BW82" s="314"/>
      <c r="BX82" s="315"/>
      <c r="BY82" s="315"/>
      <c r="BZ82" s="315"/>
      <c r="CA82" s="315"/>
      <c r="CB82" s="316"/>
      <c r="CC82" s="314"/>
      <c r="CD82" s="315"/>
      <c r="CE82" s="316"/>
      <c r="CF82" s="314"/>
      <c r="CG82" s="315"/>
      <c r="CH82" s="315"/>
      <c r="CI82" s="317"/>
      <c r="CK82" s="236" t="str">
        <f t="shared" si="30"/>
        <v/>
      </c>
      <c r="CL82" s="237" t="str">
        <f t="shared" si="31"/>
        <v/>
      </c>
      <c r="CM82" s="237" t="str">
        <f t="shared" si="32"/>
        <v/>
      </c>
      <c r="CN82" s="237" t="str">
        <f t="shared" si="33"/>
        <v/>
      </c>
      <c r="CO82" s="238" t="str">
        <f t="shared" si="34"/>
        <v/>
      </c>
      <c r="CQ82" s="236" t="str">
        <f>desired_skills(C82,"Extra vaardigheden/Fotografie","o")</f>
        <v/>
      </c>
      <c r="CR82" s="237" t="str">
        <f>desired_skills(C82,"Extra vaardigheden/Fotografie","j")</f>
        <v/>
      </c>
      <c r="CS82" s="237" t="str">
        <f>desired_skills(C82,"Extra vaardigheden/Fotografie","m")</f>
        <v/>
      </c>
      <c r="CT82" s="237" t="str">
        <f>desired_skills(C82,"Extra vaardigheden/Fotografie","s")</f>
        <v/>
      </c>
      <c r="CU82" s="238" t="str">
        <f>desired_skills(C82,"Extra vaardigheden/Fotografie","e")</f>
        <v/>
      </c>
      <c r="CW82" s="236" t="str">
        <f>calc_gap('Matrix 171007_1810'!$CK$82,'Matrix 171007_1810'!$CQ$82)</f>
        <v/>
      </c>
      <c r="CX82" s="237" t="str">
        <f>calc_gap('Matrix 171007_1810'!$CL$82,'Matrix 171007_1810'!$CR$82)</f>
        <v/>
      </c>
      <c r="CY82" s="237" t="str">
        <f>calc_gap('Matrix 171007_1810'!$CM$82,'Matrix 171007_1810'!$CS$82)</f>
        <v/>
      </c>
      <c r="CZ82" s="237" t="str">
        <f>calc_gap('Matrix 171007_1810'!$CN$82,'Matrix 171007_1810'!$CT$82)</f>
        <v/>
      </c>
      <c r="DA82" s="238" t="str">
        <f>calc_gap('Matrix 171007_1810'!$CO$82,'Matrix 171007_1810'!$CU$82)</f>
        <v/>
      </c>
    </row>
    <row r="83" spans="2:105" x14ac:dyDescent="0.25">
      <c r="B83" s="435"/>
      <c r="C83" s="291" t="s">
        <v>272</v>
      </c>
      <c r="D83" s="314"/>
      <c r="E83" s="315"/>
      <c r="F83" s="315"/>
      <c r="G83" s="315"/>
      <c r="H83" s="315"/>
      <c r="I83" s="315"/>
      <c r="J83" s="315"/>
      <c r="K83" s="316"/>
      <c r="L83" s="314"/>
      <c r="M83" s="315"/>
      <c r="N83" s="315"/>
      <c r="O83" s="316"/>
      <c r="P83" s="314"/>
      <c r="Q83" s="315"/>
      <c r="R83" s="315"/>
      <c r="S83" s="315"/>
      <c r="T83" s="315"/>
      <c r="U83" s="315"/>
      <c r="V83" s="315"/>
      <c r="W83" s="315"/>
      <c r="X83" s="315"/>
      <c r="Y83" s="315"/>
      <c r="Z83" s="315"/>
      <c r="AA83" s="315"/>
      <c r="AB83" s="315"/>
      <c r="AC83" s="315"/>
      <c r="AD83" s="315"/>
      <c r="AE83" s="315"/>
      <c r="AF83" s="315"/>
      <c r="AG83" s="315"/>
      <c r="AH83" s="315"/>
      <c r="AI83" s="316"/>
      <c r="AJ83" s="314"/>
      <c r="AK83" s="315"/>
      <c r="AL83" s="316"/>
      <c r="AM83" s="314"/>
      <c r="AN83" s="315"/>
      <c r="AO83" s="316"/>
      <c r="AP83" s="314"/>
      <c r="AQ83" s="315"/>
      <c r="AR83" s="315"/>
      <c r="AS83" s="315"/>
      <c r="AT83" s="316"/>
      <c r="AU83" s="314"/>
      <c r="AV83" s="315"/>
      <c r="AW83" s="315"/>
      <c r="AX83" s="315"/>
      <c r="AY83" s="315"/>
      <c r="AZ83" s="315"/>
      <c r="BA83" s="315"/>
      <c r="BB83" s="316"/>
      <c r="BC83" s="314"/>
      <c r="BD83" s="315"/>
      <c r="BE83" s="315"/>
      <c r="BF83" s="315"/>
      <c r="BG83" s="316"/>
      <c r="BH83" s="314"/>
      <c r="BI83" s="315"/>
      <c r="BJ83" s="316"/>
      <c r="BK83" s="314"/>
      <c r="BL83" s="315"/>
      <c r="BM83" s="315"/>
      <c r="BN83" s="316"/>
      <c r="BO83" s="314"/>
      <c r="BP83" s="315"/>
      <c r="BQ83" s="315"/>
      <c r="BR83" s="315"/>
      <c r="BS83" s="315"/>
      <c r="BT83" s="315"/>
      <c r="BU83" s="315"/>
      <c r="BV83" s="316"/>
      <c r="BW83" s="314"/>
      <c r="BX83" s="315"/>
      <c r="BY83" s="315"/>
      <c r="BZ83" s="315"/>
      <c r="CA83" s="315"/>
      <c r="CB83" s="316"/>
      <c r="CC83" s="314"/>
      <c r="CD83" s="315"/>
      <c r="CE83" s="316"/>
      <c r="CF83" s="314"/>
      <c r="CG83" s="315"/>
      <c r="CH83" s="315"/>
      <c r="CI83" s="317"/>
      <c r="CK83" s="236" t="str">
        <f t="shared" si="30"/>
        <v/>
      </c>
      <c r="CL83" s="237" t="str">
        <f t="shared" si="31"/>
        <v/>
      </c>
      <c r="CM83" s="237" t="str">
        <f t="shared" si="32"/>
        <v/>
      </c>
      <c r="CN83" s="237" t="str">
        <f t="shared" si="33"/>
        <v/>
      </c>
      <c r="CO83" s="238" t="str">
        <f t="shared" si="34"/>
        <v/>
      </c>
      <c r="CQ83" s="236" t="str">
        <f>desired_skills(C83,"Extra vaardigheden/Tekenen","o")</f>
        <v/>
      </c>
      <c r="CR83" s="237" t="str">
        <f>desired_skills(C83,"Extra vaardigheden/Tekenen","j")</f>
        <v/>
      </c>
      <c r="CS83" s="237" t="str">
        <f>desired_skills(C83,"Extra vaardigheden/Tekenen","m")</f>
        <v/>
      </c>
      <c r="CT83" s="237" t="str">
        <f>desired_skills(C83,"Extra vaardigheden/Tekenen","s")</f>
        <v/>
      </c>
      <c r="CU83" s="238" t="str">
        <f>desired_skills(C83,"Extra vaardigheden/Tekenen","e")</f>
        <v/>
      </c>
      <c r="CW83" s="236" t="str">
        <f>calc_gap('Matrix 171007_1810'!$CK$83,'Matrix 171007_1810'!$CQ$83)</f>
        <v/>
      </c>
      <c r="CX83" s="237" t="str">
        <f>calc_gap('Matrix 171007_1810'!$CL$83,'Matrix 171007_1810'!$CR$83)</f>
        <v/>
      </c>
      <c r="CY83" s="237" t="str">
        <f>calc_gap('Matrix 171007_1810'!$CM$83,'Matrix 171007_1810'!$CS$83)</f>
        <v/>
      </c>
      <c r="CZ83" s="237" t="str">
        <f>calc_gap('Matrix 171007_1810'!$CN$83,'Matrix 171007_1810'!$CT$83)</f>
        <v/>
      </c>
      <c r="DA83" s="238" t="str">
        <f>calc_gap('Matrix 171007_1810'!$CO$83,'Matrix 171007_1810'!$CU$83)</f>
        <v/>
      </c>
    </row>
    <row r="84" spans="2:105" x14ac:dyDescent="0.25">
      <c r="B84" s="435"/>
      <c r="C84" s="291" t="s">
        <v>273</v>
      </c>
      <c r="D84" s="314"/>
      <c r="E84" s="315"/>
      <c r="F84" s="315"/>
      <c r="G84" s="315"/>
      <c r="H84" s="315"/>
      <c r="I84" s="315"/>
      <c r="J84" s="315"/>
      <c r="K84" s="316"/>
      <c r="L84" s="314"/>
      <c r="M84" s="315"/>
      <c r="N84" s="315"/>
      <c r="O84" s="316"/>
      <c r="P84" s="314"/>
      <c r="Q84" s="315"/>
      <c r="R84" s="315"/>
      <c r="S84" s="315"/>
      <c r="T84" s="315"/>
      <c r="U84" s="315"/>
      <c r="V84" s="315"/>
      <c r="W84" s="315"/>
      <c r="X84" s="315"/>
      <c r="Y84" s="315"/>
      <c r="Z84" s="315"/>
      <c r="AA84" s="315"/>
      <c r="AB84" s="315"/>
      <c r="AC84" s="315"/>
      <c r="AD84" s="315"/>
      <c r="AE84" s="315"/>
      <c r="AF84" s="315"/>
      <c r="AG84" s="315"/>
      <c r="AH84" s="315"/>
      <c r="AI84" s="316"/>
      <c r="AJ84" s="314"/>
      <c r="AK84" s="315"/>
      <c r="AL84" s="316"/>
      <c r="AM84" s="314"/>
      <c r="AN84" s="315"/>
      <c r="AO84" s="316"/>
      <c r="AP84" s="314"/>
      <c r="AQ84" s="315"/>
      <c r="AR84" s="315"/>
      <c r="AS84" s="315"/>
      <c r="AT84" s="316"/>
      <c r="AU84" s="314"/>
      <c r="AV84" s="315"/>
      <c r="AW84" s="315"/>
      <c r="AX84" s="315"/>
      <c r="AY84" s="315"/>
      <c r="AZ84" s="315"/>
      <c r="BA84" s="315"/>
      <c r="BB84" s="316"/>
      <c r="BC84" s="314"/>
      <c r="BD84" s="315"/>
      <c r="BE84" s="315"/>
      <c r="BF84" s="315"/>
      <c r="BG84" s="316"/>
      <c r="BH84" s="314"/>
      <c r="BI84" s="315"/>
      <c r="BJ84" s="316"/>
      <c r="BK84" s="314"/>
      <c r="BL84" s="315"/>
      <c r="BM84" s="315"/>
      <c r="BN84" s="316"/>
      <c r="BO84" s="314"/>
      <c r="BP84" s="315"/>
      <c r="BQ84" s="315"/>
      <c r="BR84" s="315"/>
      <c r="BS84" s="315"/>
      <c r="BT84" s="315"/>
      <c r="BU84" s="315"/>
      <c r="BV84" s="316"/>
      <c r="BW84" s="314"/>
      <c r="BX84" s="315"/>
      <c r="BY84" s="315"/>
      <c r="BZ84" s="315"/>
      <c r="CA84" s="315"/>
      <c r="CB84" s="316"/>
      <c r="CC84" s="314"/>
      <c r="CD84" s="315"/>
      <c r="CE84" s="316"/>
      <c r="CF84" s="314"/>
      <c r="CG84" s="315"/>
      <c r="CH84" s="315"/>
      <c r="CI84" s="317"/>
      <c r="CK84" s="236" t="str">
        <f t="shared" si="30"/>
        <v/>
      </c>
      <c r="CL84" s="237" t="str">
        <f t="shared" si="31"/>
        <v/>
      </c>
      <c r="CM84" s="237" t="str">
        <f t="shared" si="32"/>
        <v/>
      </c>
      <c r="CN84" s="237" t="str">
        <f t="shared" si="33"/>
        <v/>
      </c>
      <c r="CO84" s="238" t="str">
        <f t="shared" si="34"/>
        <v/>
      </c>
      <c r="CQ84" s="236" t="str">
        <f>desired_skills(C84,"Extra vaardigheden/Creatief","o")</f>
        <v/>
      </c>
      <c r="CR84" s="237" t="str">
        <f>desired_skills(C84,"Extra vaardigheden/Creatief","j")</f>
        <v/>
      </c>
      <c r="CS84" s="237" t="str">
        <f>desired_skills(C84,"Extra vaardigheden/Creatief","m")</f>
        <v/>
      </c>
      <c r="CT84" s="237" t="str">
        <f>desired_skills(C84,"Extra vaardigheden/Creatief","s")</f>
        <v/>
      </c>
      <c r="CU84" s="238" t="str">
        <f>desired_skills(C84,"Extra vaardigheden/Creatief","e")</f>
        <v/>
      </c>
      <c r="CW84" s="236" t="str">
        <f>calc_gap('Matrix 171007_1810'!$CK$84,'Matrix 171007_1810'!$CQ$84)</f>
        <v/>
      </c>
      <c r="CX84" s="237" t="str">
        <f>calc_gap('Matrix 171007_1810'!$CL$84,'Matrix 171007_1810'!$CR$84)</f>
        <v/>
      </c>
      <c r="CY84" s="237" t="str">
        <f>calc_gap('Matrix 171007_1810'!$CM$84,'Matrix 171007_1810'!$CS$84)</f>
        <v/>
      </c>
      <c r="CZ84" s="237" t="str">
        <f>calc_gap('Matrix 171007_1810'!$CN$84,'Matrix 171007_1810'!$CT$84)</f>
        <v/>
      </c>
      <c r="DA84" s="238" t="str">
        <f>calc_gap('Matrix 171007_1810'!$CO$84,'Matrix 171007_1810'!$CU$84)</f>
        <v/>
      </c>
    </row>
    <row r="85" spans="2:105" x14ac:dyDescent="0.25">
      <c r="B85" s="435"/>
      <c r="C85" s="291" t="s">
        <v>274</v>
      </c>
      <c r="D85" s="314"/>
      <c r="E85" s="315"/>
      <c r="F85" s="315"/>
      <c r="G85" s="315"/>
      <c r="H85" s="315"/>
      <c r="I85" s="315"/>
      <c r="J85" s="315"/>
      <c r="K85" s="316"/>
      <c r="L85" s="314"/>
      <c r="M85" s="315"/>
      <c r="N85" s="315"/>
      <c r="O85" s="316"/>
      <c r="P85" s="314"/>
      <c r="Q85" s="315"/>
      <c r="R85" s="315"/>
      <c r="S85" s="315"/>
      <c r="T85" s="315"/>
      <c r="U85" s="315"/>
      <c r="V85" s="315"/>
      <c r="W85" s="315"/>
      <c r="X85" s="315"/>
      <c r="Y85" s="315"/>
      <c r="Z85" s="315"/>
      <c r="AA85" s="315"/>
      <c r="AB85" s="315"/>
      <c r="AC85" s="315"/>
      <c r="AD85" s="315"/>
      <c r="AE85" s="315"/>
      <c r="AF85" s="315"/>
      <c r="AG85" s="315"/>
      <c r="AH85" s="315"/>
      <c r="AI85" s="316"/>
      <c r="AJ85" s="314"/>
      <c r="AK85" s="315"/>
      <c r="AL85" s="316"/>
      <c r="AM85" s="314"/>
      <c r="AN85" s="315"/>
      <c r="AO85" s="316"/>
      <c r="AP85" s="314"/>
      <c r="AQ85" s="315"/>
      <c r="AR85" s="315"/>
      <c r="AS85" s="315"/>
      <c r="AT85" s="316"/>
      <c r="AU85" s="314"/>
      <c r="AV85" s="315"/>
      <c r="AW85" s="315"/>
      <c r="AX85" s="315"/>
      <c r="AY85" s="315"/>
      <c r="AZ85" s="315"/>
      <c r="BA85" s="315"/>
      <c r="BB85" s="316"/>
      <c r="BC85" s="314"/>
      <c r="BD85" s="315"/>
      <c r="BE85" s="315"/>
      <c r="BF85" s="315"/>
      <c r="BG85" s="316"/>
      <c r="BH85" s="314"/>
      <c r="BI85" s="315"/>
      <c r="BJ85" s="316"/>
      <c r="BK85" s="314"/>
      <c r="BL85" s="315"/>
      <c r="BM85" s="315"/>
      <c r="BN85" s="316"/>
      <c r="BO85" s="314"/>
      <c r="BP85" s="315"/>
      <c r="BQ85" s="315"/>
      <c r="BR85" s="315"/>
      <c r="BS85" s="315"/>
      <c r="BT85" s="315"/>
      <c r="BU85" s="315"/>
      <c r="BV85" s="316"/>
      <c r="BW85" s="314"/>
      <c r="BX85" s="315"/>
      <c r="BY85" s="315"/>
      <c r="BZ85" s="315"/>
      <c r="CA85" s="315"/>
      <c r="CB85" s="316"/>
      <c r="CC85" s="314"/>
      <c r="CD85" s="315"/>
      <c r="CE85" s="316"/>
      <c r="CF85" s="314"/>
      <c r="CG85" s="315"/>
      <c r="CH85" s="315"/>
      <c r="CI85" s="317"/>
      <c r="CK85" s="236" t="str">
        <f t="shared" si="30"/>
        <v/>
      </c>
      <c r="CL85" s="237" t="str">
        <f t="shared" si="31"/>
        <v/>
      </c>
      <c r="CM85" s="237" t="str">
        <f t="shared" si="32"/>
        <v/>
      </c>
      <c r="CN85" s="237" t="str">
        <f t="shared" si="33"/>
        <v/>
      </c>
      <c r="CO85" s="238" t="str">
        <f t="shared" si="34"/>
        <v/>
      </c>
      <c r="CQ85" s="236" t="str">
        <f>desired_skills(C85,"Extra vaardigheden/Videobewerking","o")</f>
        <v/>
      </c>
      <c r="CR85" s="237" t="str">
        <f>desired_skills(C85,"Extra vaardigheden/Videobewerking","j")</f>
        <v/>
      </c>
      <c r="CS85" s="237" t="str">
        <f>desired_skills(C85,"Extra vaardigheden/Videobewerking","m")</f>
        <v/>
      </c>
      <c r="CT85" s="237" t="str">
        <f>desired_skills(C85,"Extra vaardigheden/Videobewerking","s")</f>
        <v/>
      </c>
      <c r="CU85" s="238" t="str">
        <f>desired_skills(C85,"Extra vaardigheden/Videobewerking","e")</f>
        <v/>
      </c>
      <c r="CW85" s="236" t="str">
        <f>calc_gap('Matrix 171007_1810'!$CK$85,'Matrix 171007_1810'!$CQ$85)</f>
        <v/>
      </c>
      <c r="CX85" s="237" t="str">
        <f>calc_gap('Matrix 171007_1810'!$CL$85,'Matrix 171007_1810'!$CR$85)</f>
        <v/>
      </c>
      <c r="CY85" s="237" t="str">
        <f>calc_gap('Matrix 171007_1810'!$CM$85,'Matrix 171007_1810'!$CS$85)</f>
        <v/>
      </c>
      <c r="CZ85" s="237" t="str">
        <f>calc_gap('Matrix 171007_1810'!$CN$85,'Matrix 171007_1810'!$CT$85)</f>
        <v/>
      </c>
      <c r="DA85" s="238" t="str">
        <f>calc_gap('Matrix 171007_1810'!$CO$85,'Matrix 171007_1810'!$CU$85)</f>
        <v/>
      </c>
    </row>
    <row r="86" spans="2:105" x14ac:dyDescent="0.25">
      <c r="B86" s="435"/>
      <c r="C86" s="291" t="s">
        <v>275</v>
      </c>
      <c r="D86" s="314"/>
      <c r="E86" s="315"/>
      <c r="F86" s="315"/>
      <c r="G86" s="315"/>
      <c r="H86" s="315"/>
      <c r="I86" s="315"/>
      <c r="J86" s="315"/>
      <c r="K86" s="316"/>
      <c r="L86" s="314"/>
      <c r="M86" s="315"/>
      <c r="N86" s="315"/>
      <c r="O86" s="316"/>
      <c r="P86" s="314"/>
      <c r="Q86" s="315"/>
      <c r="R86" s="315"/>
      <c r="S86" s="315"/>
      <c r="T86" s="315"/>
      <c r="U86" s="315"/>
      <c r="V86" s="315"/>
      <c r="W86" s="315"/>
      <c r="X86" s="315"/>
      <c r="Y86" s="315"/>
      <c r="Z86" s="315"/>
      <c r="AA86" s="315"/>
      <c r="AB86" s="315"/>
      <c r="AC86" s="315"/>
      <c r="AD86" s="315"/>
      <c r="AE86" s="315"/>
      <c r="AF86" s="315"/>
      <c r="AG86" s="315"/>
      <c r="AH86" s="315"/>
      <c r="AI86" s="316"/>
      <c r="AJ86" s="314"/>
      <c r="AK86" s="315"/>
      <c r="AL86" s="316"/>
      <c r="AM86" s="314"/>
      <c r="AN86" s="315"/>
      <c r="AO86" s="316"/>
      <c r="AP86" s="314"/>
      <c r="AQ86" s="315"/>
      <c r="AR86" s="315"/>
      <c r="AS86" s="315"/>
      <c r="AT86" s="316"/>
      <c r="AU86" s="314"/>
      <c r="AV86" s="315"/>
      <c r="AW86" s="315"/>
      <c r="AX86" s="315"/>
      <c r="AY86" s="315"/>
      <c r="AZ86" s="315"/>
      <c r="BA86" s="315"/>
      <c r="BB86" s="316"/>
      <c r="BC86" s="314"/>
      <c r="BD86" s="315"/>
      <c r="BE86" s="315"/>
      <c r="BF86" s="315"/>
      <c r="BG86" s="316"/>
      <c r="BH86" s="314"/>
      <c r="BI86" s="315"/>
      <c r="BJ86" s="316"/>
      <c r="BK86" s="314"/>
      <c r="BL86" s="315"/>
      <c r="BM86" s="315"/>
      <c r="BN86" s="316"/>
      <c r="BO86" s="314"/>
      <c r="BP86" s="315"/>
      <c r="BQ86" s="315"/>
      <c r="BR86" s="315"/>
      <c r="BS86" s="315"/>
      <c r="BT86" s="315"/>
      <c r="BU86" s="315"/>
      <c r="BV86" s="316"/>
      <c r="BW86" s="314"/>
      <c r="BX86" s="315"/>
      <c r="BY86" s="315"/>
      <c r="BZ86" s="315"/>
      <c r="CA86" s="315"/>
      <c r="CB86" s="316"/>
      <c r="CC86" s="314"/>
      <c r="CD86" s="315"/>
      <c r="CE86" s="316"/>
      <c r="CF86" s="314"/>
      <c r="CG86" s="315"/>
      <c r="CH86" s="315"/>
      <c r="CI86" s="317"/>
      <c r="CK86" s="236" t="str">
        <f t="shared" si="30"/>
        <v/>
      </c>
      <c r="CL86" s="237" t="str">
        <f t="shared" si="31"/>
        <v/>
      </c>
      <c r="CM86" s="237" t="str">
        <f t="shared" si="32"/>
        <v/>
      </c>
      <c r="CN86" s="237" t="str">
        <f t="shared" si="33"/>
        <v/>
      </c>
      <c r="CO86" s="238" t="str">
        <f t="shared" si="34"/>
        <v/>
      </c>
      <c r="CQ86" s="236" t="str">
        <f>desired_skills(C86,"Extra vaardigheden/Excel","o")</f>
        <v/>
      </c>
      <c r="CR86" s="237" t="str">
        <f>desired_skills(C86,"Extra vaardigheden/Excel","j")</f>
        <v/>
      </c>
      <c r="CS86" s="237" t="str">
        <f>desired_skills(C86,"Extra vaardigheden/Excel","m")</f>
        <v/>
      </c>
      <c r="CT86" s="237" t="str">
        <f>desired_skills(C86,"Extra vaardigheden/Excel","s")</f>
        <v/>
      </c>
      <c r="CU86" s="238" t="str">
        <f>desired_skills(C86,"Extra vaardigheden/Excel","e")</f>
        <v/>
      </c>
      <c r="CW86" s="236" t="str">
        <f>calc_gap('Matrix 171007_1810'!$CK$86,'Matrix 171007_1810'!$CQ$86)</f>
        <v/>
      </c>
      <c r="CX86" s="237" t="str">
        <f>calc_gap('Matrix 171007_1810'!$CL$86,'Matrix 171007_1810'!$CR$86)</f>
        <v/>
      </c>
      <c r="CY86" s="237" t="str">
        <f>calc_gap('Matrix 171007_1810'!$CM$86,'Matrix 171007_1810'!$CS$86)</f>
        <v/>
      </c>
      <c r="CZ86" s="237" t="str">
        <f>calc_gap('Matrix 171007_1810'!$CN$86,'Matrix 171007_1810'!$CT$86)</f>
        <v/>
      </c>
      <c r="DA86" s="238" t="str">
        <f>calc_gap('Matrix 171007_1810'!$CO$86,'Matrix 171007_1810'!$CU$86)</f>
        <v/>
      </c>
    </row>
    <row r="87" spans="2:105" x14ac:dyDescent="0.25">
      <c r="B87" s="435"/>
      <c r="C87" s="291" t="s">
        <v>281</v>
      </c>
      <c r="D87" s="314"/>
      <c r="E87" s="315"/>
      <c r="F87" s="315"/>
      <c r="G87" s="315"/>
      <c r="H87" s="315"/>
      <c r="I87" s="315"/>
      <c r="J87" s="315"/>
      <c r="K87" s="316"/>
      <c r="L87" s="314"/>
      <c r="M87" s="315"/>
      <c r="N87" s="315"/>
      <c r="O87" s="316"/>
      <c r="P87" s="314"/>
      <c r="Q87" s="315"/>
      <c r="R87" s="315"/>
      <c r="S87" s="315"/>
      <c r="T87" s="315"/>
      <c r="U87" s="315"/>
      <c r="V87" s="315"/>
      <c r="W87" s="315"/>
      <c r="X87" s="315"/>
      <c r="Y87" s="315"/>
      <c r="Z87" s="315"/>
      <c r="AA87" s="315"/>
      <c r="AB87" s="315"/>
      <c r="AC87" s="315"/>
      <c r="AD87" s="315"/>
      <c r="AE87" s="315"/>
      <c r="AF87" s="315"/>
      <c r="AG87" s="315"/>
      <c r="AH87" s="315"/>
      <c r="AI87" s="316"/>
      <c r="AJ87" s="314"/>
      <c r="AK87" s="315"/>
      <c r="AL87" s="316"/>
      <c r="AM87" s="314"/>
      <c r="AN87" s="315"/>
      <c r="AO87" s="316"/>
      <c r="AP87" s="314"/>
      <c r="AQ87" s="315"/>
      <c r="AR87" s="315"/>
      <c r="AS87" s="315"/>
      <c r="AT87" s="316"/>
      <c r="AU87" s="314"/>
      <c r="AV87" s="315"/>
      <c r="AW87" s="315"/>
      <c r="AX87" s="315"/>
      <c r="AY87" s="315"/>
      <c r="AZ87" s="315"/>
      <c r="BA87" s="315"/>
      <c r="BB87" s="316"/>
      <c r="BC87" s="314"/>
      <c r="BD87" s="315"/>
      <c r="BE87" s="315"/>
      <c r="BF87" s="315"/>
      <c r="BG87" s="316"/>
      <c r="BH87" s="314"/>
      <c r="BI87" s="315"/>
      <c r="BJ87" s="316"/>
      <c r="BK87" s="314"/>
      <c r="BL87" s="315"/>
      <c r="BM87" s="315"/>
      <c r="BN87" s="316"/>
      <c r="BO87" s="314"/>
      <c r="BP87" s="315"/>
      <c r="BQ87" s="315"/>
      <c r="BR87" s="315"/>
      <c r="BS87" s="315"/>
      <c r="BT87" s="315"/>
      <c r="BU87" s="315"/>
      <c r="BV87" s="316"/>
      <c r="BW87" s="314"/>
      <c r="BX87" s="315"/>
      <c r="BY87" s="315"/>
      <c r="BZ87" s="315"/>
      <c r="CA87" s="315"/>
      <c r="CB87" s="316"/>
      <c r="CC87" s="314"/>
      <c r="CD87" s="315"/>
      <c r="CE87" s="316"/>
      <c r="CF87" s="314"/>
      <c r="CG87" s="315"/>
      <c r="CH87" s="315"/>
      <c r="CI87" s="317"/>
      <c r="CK87" s="236" t="str">
        <f t="shared" si="30"/>
        <v/>
      </c>
      <c r="CL87" s="237" t="str">
        <f t="shared" si="31"/>
        <v/>
      </c>
      <c r="CM87" s="237" t="str">
        <f t="shared" si="32"/>
        <v/>
      </c>
      <c r="CN87" s="237" t="str">
        <f t="shared" si="33"/>
        <v/>
      </c>
      <c r="CO87" s="238" t="str">
        <f t="shared" si="34"/>
        <v/>
      </c>
      <c r="CQ87" s="236" t="str">
        <f>desired_skills(C87,"Extra vaardigheden/PowerPoint","o")</f>
        <v/>
      </c>
      <c r="CR87" s="237" t="str">
        <f>desired_skills(C87,"Extra vaardigheden/PowerPoint","j")</f>
        <v/>
      </c>
      <c r="CS87" s="237" t="str">
        <f>desired_skills(C87,"Extra vaardigheden/PowerPoint","m")</f>
        <v/>
      </c>
      <c r="CT87" s="237" t="str">
        <f>desired_skills(C87,"Extra vaardigheden/PowerPoint","s")</f>
        <v/>
      </c>
      <c r="CU87" s="238" t="str">
        <f>desired_skills(C87,"Extra vaardigheden/PowerPoint","e")</f>
        <v/>
      </c>
      <c r="CW87" s="236" t="str">
        <f>calc_gap('Matrix 171007_1810'!$CK$87,'Matrix 171007_1810'!$CQ$87)</f>
        <v/>
      </c>
      <c r="CX87" s="237" t="str">
        <f>calc_gap('Matrix 171007_1810'!$CL$87,'Matrix 171007_1810'!$CR$87)</f>
        <v/>
      </c>
      <c r="CY87" s="237" t="str">
        <f>calc_gap('Matrix 171007_1810'!$CM$87,'Matrix 171007_1810'!$CS$87)</f>
        <v/>
      </c>
      <c r="CZ87" s="237" t="str">
        <f>calc_gap('Matrix 171007_1810'!$CN$87,'Matrix 171007_1810'!$CT$87)</f>
        <v/>
      </c>
      <c r="DA87" s="238" t="str">
        <f>calc_gap('Matrix 171007_1810'!$CO$87,'Matrix 171007_1810'!$CU$87)</f>
        <v/>
      </c>
    </row>
    <row r="88" spans="2:105" x14ac:dyDescent="0.25">
      <c r="B88" s="435"/>
      <c r="C88" s="291" t="s">
        <v>276</v>
      </c>
      <c r="D88" s="314"/>
      <c r="E88" s="315"/>
      <c r="F88" s="315"/>
      <c r="G88" s="315"/>
      <c r="H88" s="315"/>
      <c r="I88" s="315"/>
      <c r="J88" s="315"/>
      <c r="K88" s="316"/>
      <c r="L88" s="314"/>
      <c r="M88" s="315"/>
      <c r="N88" s="315"/>
      <c r="O88" s="316"/>
      <c r="P88" s="314"/>
      <c r="Q88" s="315"/>
      <c r="R88" s="315"/>
      <c r="S88" s="315"/>
      <c r="T88" s="315"/>
      <c r="U88" s="315"/>
      <c r="V88" s="315"/>
      <c r="W88" s="315"/>
      <c r="X88" s="315"/>
      <c r="Y88" s="315"/>
      <c r="Z88" s="315"/>
      <c r="AA88" s="315"/>
      <c r="AB88" s="315"/>
      <c r="AC88" s="315"/>
      <c r="AD88" s="315"/>
      <c r="AE88" s="315"/>
      <c r="AF88" s="315"/>
      <c r="AG88" s="315"/>
      <c r="AH88" s="315"/>
      <c r="AI88" s="316"/>
      <c r="AJ88" s="314"/>
      <c r="AK88" s="315"/>
      <c r="AL88" s="316"/>
      <c r="AM88" s="314"/>
      <c r="AN88" s="315"/>
      <c r="AO88" s="316"/>
      <c r="AP88" s="314"/>
      <c r="AQ88" s="315"/>
      <c r="AR88" s="315"/>
      <c r="AS88" s="315"/>
      <c r="AT88" s="316"/>
      <c r="AU88" s="314"/>
      <c r="AV88" s="315"/>
      <c r="AW88" s="315"/>
      <c r="AX88" s="315"/>
      <c r="AY88" s="315"/>
      <c r="AZ88" s="315"/>
      <c r="BA88" s="315"/>
      <c r="BB88" s="316"/>
      <c r="BC88" s="314"/>
      <c r="BD88" s="315"/>
      <c r="BE88" s="315"/>
      <c r="BF88" s="315"/>
      <c r="BG88" s="316"/>
      <c r="BH88" s="314"/>
      <c r="BI88" s="315"/>
      <c r="BJ88" s="316"/>
      <c r="BK88" s="314"/>
      <c r="BL88" s="315"/>
      <c r="BM88" s="315"/>
      <c r="BN88" s="316"/>
      <c r="BO88" s="314"/>
      <c r="BP88" s="315"/>
      <c r="BQ88" s="315"/>
      <c r="BR88" s="315"/>
      <c r="BS88" s="315"/>
      <c r="BT88" s="315"/>
      <c r="BU88" s="315"/>
      <c r="BV88" s="316"/>
      <c r="BW88" s="314"/>
      <c r="BX88" s="315"/>
      <c r="BY88" s="315"/>
      <c r="BZ88" s="315"/>
      <c r="CA88" s="315"/>
      <c r="CB88" s="316"/>
      <c r="CC88" s="314"/>
      <c r="CD88" s="315"/>
      <c r="CE88" s="316"/>
      <c r="CF88" s="314"/>
      <c r="CG88" s="315"/>
      <c r="CH88" s="315"/>
      <c r="CI88" s="317"/>
      <c r="CK88" s="236" t="str">
        <f t="shared" si="30"/>
        <v/>
      </c>
      <c r="CL88" s="237" t="str">
        <f t="shared" si="31"/>
        <v/>
      </c>
      <c r="CM88" s="237" t="str">
        <f t="shared" si="32"/>
        <v/>
      </c>
      <c r="CN88" s="237" t="str">
        <f t="shared" si="33"/>
        <v/>
      </c>
      <c r="CO88" s="238" t="str">
        <f t="shared" si="34"/>
        <v/>
      </c>
      <c r="CQ88" s="236" t="str">
        <f>desired_skills(C88,"Extra vaardigheden/Word","o")</f>
        <v/>
      </c>
      <c r="CR88" s="237" t="str">
        <f>desired_skills(C88,"Extra vaardigheden/Word","j")</f>
        <v/>
      </c>
      <c r="CS88" s="237" t="str">
        <f>desired_skills(C88,"Extra vaardigheden/Word","m")</f>
        <v/>
      </c>
      <c r="CT88" s="237" t="str">
        <f>desired_skills(C88,"Extra vaardigheden/Word","s")</f>
        <v/>
      </c>
      <c r="CU88" s="238" t="str">
        <f>desired_skills(C88,"Extra vaardigheden/Word","e")</f>
        <v/>
      </c>
      <c r="CW88" s="236" t="str">
        <f>calc_gap('Matrix 171007_1810'!$CK$88,'Matrix 171007_1810'!$CQ$88)</f>
        <v/>
      </c>
      <c r="CX88" s="237" t="str">
        <f>calc_gap('Matrix 171007_1810'!$CL$88,'Matrix 171007_1810'!$CR$88)</f>
        <v/>
      </c>
      <c r="CY88" s="237" t="str">
        <f>calc_gap('Matrix 171007_1810'!$CM$88,'Matrix 171007_1810'!$CS$88)</f>
        <v/>
      </c>
      <c r="CZ88" s="237" t="str">
        <f>calc_gap('Matrix 171007_1810'!$CN$88,'Matrix 171007_1810'!$CT$88)</f>
        <v/>
      </c>
      <c r="DA88" s="238" t="str">
        <f>calc_gap('Matrix 171007_1810'!$CO$88,'Matrix 171007_1810'!$CU$88)</f>
        <v/>
      </c>
    </row>
    <row r="89" spans="2:105" x14ac:dyDescent="0.25">
      <c r="B89" s="435"/>
      <c r="C89" s="291" t="s">
        <v>277</v>
      </c>
      <c r="D89" s="314"/>
      <c r="E89" s="315"/>
      <c r="F89" s="315"/>
      <c r="G89" s="315"/>
      <c r="H89" s="315"/>
      <c r="I89" s="315"/>
      <c r="J89" s="315"/>
      <c r="K89" s="316"/>
      <c r="L89" s="314"/>
      <c r="M89" s="315"/>
      <c r="N89" s="315"/>
      <c r="O89" s="316"/>
      <c r="P89" s="314"/>
      <c r="Q89" s="315"/>
      <c r="R89" s="315"/>
      <c r="S89" s="315"/>
      <c r="T89" s="315"/>
      <c r="U89" s="315"/>
      <c r="V89" s="315"/>
      <c r="W89" s="315"/>
      <c r="X89" s="315"/>
      <c r="Y89" s="315"/>
      <c r="Z89" s="315"/>
      <c r="AA89" s="315"/>
      <c r="AB89" s="315"/>
      <c r="AC89" s="315"/>
      <c r="AD89" s="315"/>
      <c r="AE89" s="315"/>
      <c r="AF89" s="315"/>
      <c r="AG89" s="315"/>
      <c r="AH89" s="315"/>
      <c r="AI89" s="316"/>
      <c r="AJ89" s="314"/>
      <c r="AK89" s="315"/>
      <c r="AL89" s="316"/>
      <c r="AM89" s="314"/>
      <c r="AN89" s="315"/>
      <c r="AO89" s="316"/>
      <c r="AP89" s="314"/>
      <c r="AQ89" s="315"/>
      <c r="AR89" s="315"/>
      <c r="AS89" s="315"/>
      <c r="AT89" s="316"/>
      <c r="AU89" s="314"/>
      <c r="AV89" s="315"/>
      <c r="AW89" s="315"/>
      <c r="AX89" s="315"/>
      <c r="AY89" s="315"/>
      <c r="AZ89" s="315"/>
      <c r="BA89" s="315"/>
      <c r="BB89" s="316"/>
      <c r="BC89" s="314"/>
      <c r="BD89" s="315"/>
      <c r="BE89" s="315"/>
      <c r="BF89" s="315"/>
      <c r="BG89" s="316"/>
      <c r="BH89" s="314"/>
      <c r="BI89" s="315"/>
      <c r="BJ89" s="316"/>
      <c r="BK89" s="314"/>
      <c r="BL89" s="315"/>
      <c r="BM89" s="315"/>
      <c r="BN89" s="316"/>
      <c r="BO89" s="314"/>
      <c r="BP89" s="315"/>
      <c r="BQ89" s="315"/>
      <c r="BR89" s="315"/>
      <c r="BS89" s="315"/>
      <c r="BT89" s="315"/>
      <c r="BU89" s="315"/>
      <c r="BV89" s="316"/>
      <c r="BW89" s="314"/>
      <c r="BX89" s="315"/>
      <c r="BY89" s="315"/>
      <c r="BZ89" s="315"/>
      <c r="CA89" s="315"/>
      <c r="CB89" s="316"/>
      <c r="CC89" s="314"/>
      <c r="CD89" s="315"/>
      <c r="CE89" s="316"/>
      <c r="CF89" s="314"/>
      <c r="CG89" s="315"/>
      <c r="CH89" s="315"/>
      <c r="CI89" s="317"/>
      <c r="CK89" s="236" t="str">
        <f t="shared" si="30"/>
        <v/>
      </c>
      <c r="CL89" s="237" t="str">
        <f t="shared" si="31"/>
        <v/>
      </c>
      <c r="CM89" s="237" t="str">
        <f t="shared" si="32"/>
        <v/>
      </c>
      <c r="CN89" s="237" t="str">
        <f t="shared" si="33"/>
        <v/>
      </c>
      <c r="CO89" s="238" t="str">
        <f t="shared" si="34"/>
        <v/>
      </c>
      <c r="CQ89" s="236" t="str">
        <f>desired_skills(C89,"Extra vaardigheden/Filmpjes maken","o")</f>
        <v/>
      </c>
      <c r="CR89" s="237" t="str">
        <f>desired_skills(C89,"Extra vaardigheden/Filmpjes maken","j")</f>
        <v/>
      </c>
      <c r="CS89" s="237" t="str">
        <f>desired_skills(C89,"Extra vaardigheden/Filmpjes maken","m")</f>
        <v/>
      </c>
      <c r="CT89" s="237" t="str">
        <f>desired_skills(C89,"Extra vaardigheden/Filmpjes maken","s")</f>
        <v/>
      </c>
      <c r="CU89" s="238" t="str">
        <f>desired_skills(C89,"Extra vaardigheden/Filmpjes maken","e")</f>
        <v/>
      </c>
      <c r="CW89" s="236" t="str">
        <f>calc_gap('Matrix 171007_1810'!$CK$89,'Matrix 171007_1810'!$CQ$89)</f>
        <v/>
      </c>
      <c r="CX89" s="237" t="str">
        <f>calc_gap('Matrix 171007_1810'!$CL$89,'Matrix 171007_1810'!$CR$89)</f>
        <v/>
      </c>
      <c r="CY89" s="237" t="str">
        <f>calc_gap('Matrix 171007_1810'!$CM$89,'Matrix 171007_1810'!$CS$89)</f>
        <v/>
      </c>
      <c r="CZ89" s="237" t="str">
        <f>calc_gap('Matrix 171007_1810'!$CN$89,'Matrix 171007_1810'!$CT$89)</f>
        <v/>
      </c>
      <c r="DA89" s="238" t="str">
        <f>calc_gap('Matrix 171007_1810'!$CO$89,'Matrix 171007_1810'!$CU$89)</f>
        <v/>
      </c>
    </row>
    <row r="90" spans="2:105" x14ac:dyDescent="0.25">
      <c r="B90" s="435"/>
      <c r="C90" s="291" t="s">
        <v>278</v>
      </c>
      <c r="D90" s="314"/>
      <c r="E90" s="315"/>
      <c r="F90" s="315"/>
      <c r="G90" s="315"/>
      <c r="H90" s="315"/>
      <c r="I90" s="315"/>
      <c r="J90" s="315"/>
      <c r="K90" s="316"/>
      <c r="L90" s="314"/>
      <c r="M90" s="315"/>
      <c r="N90" s="315"/>
      <c r="O90" s="316"/>
      <c r="P90" s="314"/>
      <c r="Q90" s="315"/>
      <c r="R90" s="315"/>
      <c r="S90" s="315"/>
      <c r="T90" s="315"/>
      <c r="U90" s="315"/>
      <c r="V90" s="315"/>
      <c r="W90" s="315"/>
      <c r="X90" s="315"/>
      <c r="Y90" s="315"/>
      <c r="Z90" s="315"/>
      <c r="AA90" s="315"/>
      <c r="AB90" s="315"/>
      <c r="AC90" s="315"/>
      <c r="AD90" s="315"/>
      <c r="AE90" s="315"/>
      <c r="AF90" s="315"/>
      <c r="AG90" s="315"/>
      <c r="AH90" s="315"/>
      <c r="AI90" s="316"/>
      <c r="AJ90" s="314"/>
      <c r="AK90" s="315"/>
      <c r="AL90" s="316"/>
      <c r="AM90" s="314"/>
      <c r="AN90" s="315"/>
      <c r="AO90" s="316"/>
      <c r="AP90" s="314"/>
      <c r="AQ90" s="315"/>
      <c r="AR90" s="315"/>
      <c r="AS90" s="315"/>
      <c r="AT90" s="316"/>
      <c r="AU90" s="314"/>
      <c r="AV90" s="315"/>
      <c r="AW90" s="315"/>
      <c r="AX90" s="315"/>
      <c r="AY90" s="315"/>
      <c r="AZ90" s="315"/>
      <c r="BA90" s="315"/>
      <c r="BB90" s="316"/>
      <c r="BC90" s="314"/>
      <c r="BD90" s="315"/>
      <c r="BE90" s="315"/>
      <c r="BF90" s="315"/>
      <c r="BG90" s="316"/>
      <c r="BH90" s="314"/>
      <c r="BI90" s="315"/>
      <c r="BJ90" s="316"/>
      <c r="BK90" s="314"/>
      <c r="BL90" s="315"/>
      <c r="BM90" s="315"/>
      <c r="BN90" s="316"/>
      <c r="BO90" s="314"/>
      <c r="BP90" s="315"/>
      <c r="BQ90" s="315"/>
      <c r="BR90" s="315"/>
      <c r="BS90" s="315"/>
      <c r="BT90" s="315"/>
      <c r="BU90" s="315"/>
      <c r="BV90" s="316"/>
      <c r="BW90" s="314"/>
      <c r="BX90" s="315"/>
      <c r="BY90" s="315"/>
      <c r="BZ90" s="315"/>
      <c r="CA90" s="315"/>
      <c r="CB90" s="316"/>
      <c r="CC90" s="314"/>
      <c r="CD90" s="315"/>
      <c r="CE90" s="316"/>
      <c r="CF90" s="314"/>
      <c r="CG90" s="315"/>
      <c r="CH90" s="315"/>
      <c r="CI90" s="317"/>
      <c r="CK90" s="236" t="str">
        <f t="shared" si="30"/>
        <v/>
      </c>
      <c r="CL90" s="237" t="str">
        <f t="shared" si="31"/>
        <v/>
      </c>
      <c r="CM90" s="237" t="str">
        <f t="shared" si="32"/>
        <v/>
      </c>
      <c r="CN90" s="237" t="str">
        <f t="shared" si="33"/>
        <v/>
      </c>
      <c r="CO90" s="238" t="str">
        <f t="shared" si="34"/>
        <v/>
      </c>
      <c r="CQ90" s="236" t="str">
        <f>desired_skills(C90,"Extra vaardigheden/Website bouwen","o")</f>
        <v/>
      </c>
      <c r="CR90" s="237" t="str">
        <f>desired_skills(C90,"Extra vaardigheden/Website bouwen","j")</f>
        <v/>
      </c>
      <c r="CS90" s="237" t="str">
        <f>desired_skills(C90,"Extra vaardigheden/Website bouwen","m")</f>
        <v/>
      </c>
      <c r="CT90" s="237" t="str">
        <f>desired_skills(C90,"Extra vaardigheden/Website bouwen","s")</f>
        <v/>
      </c>
      <c r="CU90" s="238" t="str">
        <f>desired_skills(C90,"Extra vaardigheden/Website bouwen","e")</f>
        <v/>
      </c>
      <c r="CW90" s="236" t="str">
        <f>calc_gap('Matrix 171007_1810'!$CK$90,'Matrix 171007_1810'!$CQ$90)</f>
        <v/>
      </c>
      <c r="CX90" s="237" t="str">
        <f>calc_gap('Matrix 171007_1810'!$CL$90,'Matrix 171007_1810'!$CR$90)</f>
        <v/>
      </c>
      <c r="CY90" s="237" t="str">
        <f>calc_gap('Matrix 171007_1810'!$CM$90,'Matrix 171007_1810'!$CS$90)</f>
        <v/>
      </c>
      <c r="CZ90" s="237" t="str">
        <f>calc_gap('Matrix 171007_1810'!$CN$90,'Matrix 171007_1810'!$CT$90)</f>
        <v/>
      </c>
      <c r="DA90" s="238" t="str">
        <f>calc_gap('Matrix 171007_1810'!$CO$90,'Matrix 171007_1810'!$CU$90)</f>
        <v/>
      </c>
    </row>
    <row r="91" spans="2:105" x14ac:dyDescent="0.25">
      <c r="B91" s="435"/>
      <c r="C91" s="291" t="s">
        <v>282</v>
      </c>
      <c r="D91" s="314"/>
      <c r="E91" s="315"/>
      <c r="F91" s="315"/>
      <c r="G91" s="315"/>
      <c r="H91" s="315"/>
      <c r="I91" s="315"/>
      <c r="J91" s="315"/>
      <c r="K91" s="316"/>
      <c r="L91" s="314"/>
      <c r="M91" s="315"/>
      <c r="N91" s="315"/>
      <c r="O91" s="316"/>
      <c r="P91" s="314"/>
      <c r="Q91" s="315"/>
      <c r="R91" s="315"/>
      <c r="S91" s="315"/>
      <c r="T91" s="315"/>
      <c r="U91" s="315"/>
      <c r="V91" s="315"/>
      <c r="W91" s="315"/>
      <c r="X91" s="315"/>
      <c r="Y91" s="315"/>
      <c r="Z91" s="315"/>
      <c r="AA91" s="315"/>
      <c r="AB91" s="315"/>
      <c r="AC91" s="315"/>
      <c r="AD91" s="315"/>
      <c r="AE91" s="315"/>
      <c r="AF91" s="315"/>
      <c r="AG91" s="315"/>
      <c r="AH91" s="315"/>
      <c r="AI91" s="316"/>
      <c r="AJ91" s="314"/>
      <c r="AK91" s="315"/>
      <c r="AL91" s="316"/>
      <c r="AM91" s="314"/>
      <c r="AN91" s="315"/>
      <c r="AO91" s="316"/>
      <c r="AP91" s="314"/>
      <c r="AQ91" s="315"/>
      <c r="AR91" s="315"/>
      <c r="AS91" s="315"/>
      <c r="AT91" s="316"/>
      <c r="AU91" s="314"/>
      <c r="AV91" s="315"/>
      <c r="AW91" s="315"/>
      <c r="AX91" s="315"/>
      <c r="AY91" s="315"/>
      <c r="AZ91" s="315"/>
      <c r="BA91" s="315"/>
      <c r="BB91" s="316"/>
      <c r="BC91" s="314"/>
      <c r="BD91" s="315"/>
      <c r="BE91" s="315"/>
      <c r="BF91" s="315"/>
      <c r="BG91" s="316"/>
      <c r="BH91" s="314"/>
      <c r="BI91" s="315"/>
      <c r="BJ91" s="316"/>
      <c r="BK91" s="314"/>
      <c r="BL91" s="315"/>
      <c r="BM91" s="315"/>
      <c r="BN91" s="316"/>
      <c r="BO91" s="314"/>
      <c r="BP91" s="315"/>
      <c r="BQ91" s="315"/>
      <c r="BR91" s="315"/>
      <c r="BS91" s="315"/>
      <c r="BT91" s="315"/>
      <c r="BU91" s="315"/>
      <c r="BV91" s="316"/>
      <c r="BW91" s="314"/>
      <c r="BX91" s="315"/>
      <c r="BY91" s="315"/>
      <c r="BZ91" s="315"/>
      <c r="CA91" s="315"/>
      <c r="CB91" s="316"/>
      <c r="CC91" s="314"/>
      <c r="CD91" s="315"/>
      <c r="CE91" s="316"/>
      <c r="CF91" s="314"/>
      <c r="CG91" s="315"/>
      <c r="CH91" s="315"/>
      <c r="CI91" s="317"/>
      <c r="CK91" s="236" t="str">
        <f t="shared" si="30"/>
        <v/>
      </c>
      <c r="CL91" s="237" t="str">
        <f t="shared" si="31"/>
        <v/>
      </c>
      <c r="CM91" s="237" t="str">
        <f t="shared" si="32"/>
        <v/>
      </c>
      <c r="CN91" s="237" t="str">
        <f t="shared" si="33"/>
        <v/>
      </c>
      <c r="CO91" s="238" t="str">
        <f t="shared" si="34"/>
        <v/>
      </c>
      <c r="CQ91" s="236" t="str">
        <f>desired_skills(C91,"Extra vaardigheden/Muziek maken","o")</f>
        <v/>
      </c>
      <c r="CR91" s="237" t="str">
        <f>desired_skills(C91,"Extra vaardigheden/Muziek maken","j")</f>
        <v/>
      </c>
      <c r="CS91" s="237" t="str">
        <f>desired_skills(C91,"Extra vaardigheden/Muziek maken","m")</f>
        <v/>
      </c>
      <c r="CT91" s="237" t="str">
        <f>desired_skills(C91,"Extra vaardigheden/Muziek maken","s")</f>
        <v/>
      </c>
      <c r="CU91" s="238" t="str">
        <f>desired_skills(C91,"Extra vaardigheden/Muziek maken","e")</f>
        <v/>
      </c>
      <c r="CW91" s="236" t="str">
        <f>calc_gap('Matrix 171007_1810'!$CK$91,'Matrix 171007_1810'!$CQ$91)</f>
        <v/>
      </c>
      <c r="CX91" s="237" t="str">
        <f>calc_gap('Matrix 171007_1810'!$CL$91,'Matrix 171007_1810'!$CR$91)</f>
        <v/>
      </c>
      <c r="CY91" s="237" t="str">
        <f>calc_gap('Matrix 171007_1810'!$CM$91,'Matrix 171007_1810'!$CS$91)</f>
        <v/>
      </c>
      <c r="CZ91" s="237" t="str">
        <f>calc_gap('Matrix 171007_1810'!$CN$91,'Matrix 171007_1810'!$CT$91)</f>
        <v/>
      </c>
      <c r="DA91" s="238" t="str">
        <f>calc_gap('Matrix 171007_1810'!$CO$91,'Matrix 171007_1810'!$CU$91)</f>
        <v/>
      </c>
    </row>
    <row r="92" spans="2:105" x14ac:dyDescent="0.25">
      <c r="B92" s="435"/>
      <c r="C92" s="291" t="s">
        <v>283</v>
      </c>
      <c r="D92" s="314"/>
      <c r="E92" s="315"/>
      <c r="F92" s="315"/>
      <c r="G92" s="315"/>
      <c r="H92" s="315"/>
      <c r="I92" s="315"/>
      <c r="J92" s="315"/>
      <c r="K92" s="316"/>
      <c r="L92" s="314"/>
      <c r="M92" s="315"/>
      <c r="N92" s="315"/>
      <c r="O92" s="316"/>
      <c r="P92" s="314"/>
      <c r="Q92" s="315"/>
      <c r="R92" s="315"/>
      <c r="S92" s="315"/>
      <c r="T92" s="315"/>
      <c r="U92" s="315"/>
      <c r="V92" s="315"/>
      <c r="W92" s="315"/>
      <c r="X92" s="315"/>
      <c r="Y92" s="315"/>
      <c r="Z92" s="315"/>
      <c r="AA92" s="315"/>
      <c r="AB92" s="315"/>
      <c r="AC92" s="315"/>
      <c r="AD92" s="315"/>
      <c r="AE92" s="315"/>
      <c r="AF92" s="315"/>
      <c r="AG92" s="315"/>
      <c r="AH92" s="315"/>
      <c r="AI92" s="316"/>
      <c r="AJ92" s="314"/>
      <c r="AK92" s="315"/>
      <c r="AL92" s="316"/>
      <c r="AM92" s="314"/>
      <c r="AN92" s="315"/>
      <c r="AO92" s="316"/>
      <c r="AP92" s="314"/>
      <c r="AQ92" s="315"/>
      <c r="AR92" s="315"/>
      <c r="AS92" s="315"/>
      <c r="AT92" s="316"/>
      <c r="AU92" s="314"/>
      <c r="AV92" s="315"/>
      <c r="AW92" s="315"/>
      <c r="AX92" s="315"/>
      <c r="AY92" s="315"/>
      <c r="AZ92" s="315"/>
      <c r="BA92" s="315"/>
      <c r="BB92" s="316"/>
      <c r="BC92" s="314"/>
      <c r="BD92" s="315"/>
      <c r="BE92" s="315"/>
      <c r="BF92" s="315"/>
      <c r="BG92" s="316"/>
      <c r="BH92" s="314"/>
      <c r="BI92" s="315"/>
      <c r="BJ92" s="316"/>
      <c r="BK92" s="314"/>
      <c r="BL92" s="315"/>
      <c r="BM92" s="315"/>
      <c r="BN92" s="316"/>
      <c r="BO92" s="314"/>
      <c r="BP92" s="315"/>
      <c r="BQ92" s="315"/>
      <c r="BR92" s="315"/>
      <c r="BS92" s="315"/>
      <c r="BT92" s="315"/>
      <c r="BU92" s="315"/>
      <c r="BV92" s="316"/>
      <c r="BW92" s="314"/>
      <c r="BX92" s="315"/>
      <c r="BY92" s="315"/>
      <c r="BZ92" s="315"/>
      <c r="CA92" s="315"/>
      <c r="CB92" s="316"/>
      <c r="CC92" s="314"/>
      <c r="CD92" s="315"/>
      <c r="CE92" s="316"/>
      <c r="CF92" s="314"/>
      <c r="CG92" s="315"/>
      <c r="CH92" s="315"/>
      <c r="CI92" s="317"/>
      <c r="CK92" s="236" t="str">
        <f t="shared" si="30"/>
        <v/>
      </c>
      <c r="CL92" s="237" t="str">
        <f t="shared" si="31"/>
        <v/>
      </c>
      <c r="CM92" s="237" t="str">
        <f t="shared" si="32"/>
        <v/>
      </c>
      <c r="CN92" s="237" t="str">
        <f t="shared" si="33"/>
        <v/>
      </c>
      <c r="CO92" s="238" t="str">
        <f t="shared" si="34"/>
        <v/>
      </c>
      <c r="CQ92" s="236" t="str">
        <f>desired_skills(C92,"Extra vaardigheden/Koken en/of bakken","o")</f>
        <v/>
      </c>
      <c r="CR92" s="237" t="str">
        <f>desired_skills(C92,"Extra vaardigheden/Koken en/of bakken","j")</f>
        <v/>
      </c>
      <c r="CS92" s="237" t="str">
        <f>desired_skills(C92,"Extra vaardigheden/Koken en/of bakken","m")</f>
        <v/>
      </c>
      <c r="CT92" s="237" t="str">
        <f>desired_skills(C92,"Extra vaardigheden/Koken en/of bakken","s")</f>
        <v/>
      </c>
      <c r="CU92" s="238" t="str">
        <f>desired_skills(C92,"Extra vaardigheden/Koken en/of bakken","e")</f>
        <v/>
      </c>
      <c r="CW92" s="236" t="str">
        <f>calc_gap('Matrix 171007_1810'!$CK$92,'Matrix 171007_1810'!$CQ$92)</f>
        <v/>
      </c>
      <c r="CX92" s="237" t="str">
        <f>calc_gap('Matrix 171007_1810'!$CL$92,'Matrix 171007_1810'!$CR$92)</f>
        <v/>
      </c>
      <c r="CY92" s="237" t="str">
        <f>calc_gap('Matrix 171007_1810'!$CM$92,'Matrix 171007_1810'!$CS$92)</f>
        <v/>
      </c>
      <c r="CZ92" s="237" t="str">
        <f>calc_gap('Matrix 171007_1810'!$CN$92,'Matrix 171007_1810'!$CT$92)</f>
        <v/>
      </c>
      <c r="DA92" s="238" t="str">
        <f>calc_gap('Matrix 171007_1810'!$CO$92,'Matrix 171007_1810'!$CU$92)</f>
        <v/>
      </c>
    </row>
    <row r="93" spans="2:105" x14ac:dyDescent="0.25">
      <c r="B93" s="435"/>
      <c r="C93" s="291" t="s">
        <v>279</v>
      </c>
      <c r="D93" s="314"/>
      <c r="E93" s="315"/>
      <c r="F93" s="315"/>
      <c r="G93" s="315"/>
      <c r="H93" s="315"/>
      <c r="I93" s="315"/>
      <c r="J93" s="315"/>
      <c r="K93" s="316"/>
      <c r="L93" s="314"/>
      <c r="M93" s="315"/>
      <c r="N93" s="315"/>
      <c r="O93" s="316"/>
      <c r="P93" s="314"/>
      <c r="Q93" s="315"/>
      <c r="R93" s="315"/>
      <c r="S93" s="315"/>
      <c r="T93" s="315"/>
      <c r="U93" s="315"/>
      <c r="V93" s="315"/>
      <c r="W93" s="315"/>
      <c r="X93" s="315"/>
      <c r="Y93" s="315"/>
      <c r="Z93" s="315"/>
      <c r="AA93" s="315"/>
      <c r="AB93" s="315"/>
      <c r="AC93" s="315"/>
      <c r="AD93" s="315"/>
      <c r="AE93" s="315"/>
      <c r="AF93" s="315"/>
      <c r="AG93" s="315"/>
      <c r="AH93" s="315"/>
      <c r="AI93" s="316"/>
      <c r="AJ93" s="314"/>
      <c r="AK93" s="315"/>
      <c r="AL93" s="316"/>
      <c r="AM93" s="314"/>
      <c r="AN93" s="315"/>
      <c r="AO93" s="316"/>
      <c r="AP93" s="314"/>
      <c r="AQ93" s="315"/>
      <c r="AR93" s="315"/>
      <c r="AS93" s="315"/>
      <c r="AT93" s="316"/>
      <c r="AU93" s="314"/>
      <c r="AV93" s="315"/>
      <c r="AW93" s="315"/>
      <c r="AX93" s="315"/>
      <c r="AY93" s="315"/>
      <c r="AZ93" s="315"/>
      <c r="BA93" s="315"/>
      <c r="BB93" s="316"/>
      <c r="BC93" s="314"/>
      <c r="BD93" s="315"/>
      <c r="BE93" s="315"/>
      <c r="BF93" s="315"/>
      <c r="BG93" s="316"/>
      <c r="BH93" s="314"/>
      <c r="BI93" s="315"/>
      <c r="BJ93" s="316"/>
      <c r="BK93" s="314"/>
      <c r="BL93" s="315"/>
      <c r="BM93" s="315"/>
      <c r="BN93" s="316"/>
      <c r="BO93" s="314"/>
      <c r="BP93" s="315"/>
      <c r="BQ93" s="315"/>
      <c r="BR93" s="315"/>
      <c r="BS93" s="315"/>
      <c r="BT93" s="315"/>
      <c r="BU93" s="315"/>
      <c r="BV93" s="316"/>
      <c r="BW93" s="314"/>
      <c r="BX93" s="315"/>
      <c r="BY93" s="315"/>
      <c r="BZ93" s="315"/>
      <c r="CA93" s="315"/>
      <c r="CB93" s="316"/>
      <c r="CC93" s="314"/>
      <c r="CD93" s="315"/>
      <c r="CE93" s="316"/>
      <c r="CF93" s="314"/>
      <c r="CG93" s="315"/>
      <c r="CH93" s="315"/>
      <c r="CI93" s="317"/>
      <c r="CK93" s="236" t="str">
        <f t="shared" si="30"/>
        <v/>
      </c>
      <c r="CL93" s="237" t="str">
        <f t="shared" si="31"/>
        <v/>
      </c>
      <c r="CM93" s="237" t="str">
        <f t="shared" si="32"/>
        <v/>
      </c>
      <c r="CN93" s="237" t="str">
        <f t="shared" si="33"/>
        <v/>
      </c>
      <c r="CO93" s="238" t="str">
        <f t="shared" si="34"/>
        <v/>
      </c>
      <c r="CQ93" s="236" t="str">
        <f>desired_skills(C93,"Extra vaardigheden/Lesgeven op school","o")</f>
        <v/>
      </c>
      <c r="CR93" s="237" t="str">
        <f>desired_skills(C93,"Extra vaardigheden/Lesgeven op school","j")</f>
        <v/>
      </c>
      <c r="CS93" s="237" t="str">
        <f>desired_skills(C93,"Extra vaardigheden/Lesgeven op school","m")</f>
        <v/>
      </c>
      <c r="CT93" s="237" t="str">
        <f>desired_skills(C93,"Extra vaardigheden/Lesgeven op school","s")</f>
        <v/>
      </c>
      <c r="CU93" s="238" t="str">
        <f>desired_skills(C93,"Extra vaardigheden/Lesgeven op school","e")</f>
        <v/>
      </c>
      <c r="CW93" s="236" t="str">
        <f>calc_gap('Matrix 171007_1810'!$CK$93,'Matrix 171007_1810'!$CQ$93)</f>
        <v/>
      </c>
      <c r="CX93" s="237" t="str">
        <f>calc_gap('Matrix 171007_1810'!$CL$93,'Matrix 171007_1810'!$CR$93)</f>
        <v/>
      </c>
      <c r="CY93" s="237" t="str">
        <f>calc_gap('Matrix 171007_1810'!$CM$93,'Matrix 171007_1810'!$CS$93)</f>
        <v/>
      </c>
      <c r="CZ93" s="237" t="str">
        <f>calc_gap('Matrix 171007_1810'!$CN$93,'Matrix 171007_1810'!$CT$93)</f>
        <v/>
      </c>
      <c r="DA93" s="238" t="str">
        <f>calc_gap('Matrix 171007_1810'!$CO$93,'Matrix 171007_1810'!$CU$93)</f>
        <v/>
      </c>
    </row>
    <row r="94" spans="2:105" ht="15.75" thickBot="1" x14ac:dyDescent="0.3">
      <c r="B94" s="435"/>
      <c r="C94" s="292" t="s">
        <v>280</v>
      </c>
      <c r="D94" s="318"/>
      <c r="E94" s="319"/>
      <c r="F94" s="319"/>
      <c r="G94" s="319"/>
      <c r="H94" s="319"/>
      <c r="I94" s="319"/>
      <c r="J94" s="319"/>
      <c r="K94" s="320"/>
      <c r="L94" s="318"/>
      <c r="M94" s="319"/>
      <c r="N94" s="319"/>
      <c r="O94" s="320"/>
      <c r="P94" s="318"/>
      <c r="Q94" s="319"/>
      <c r="R94" s="319"/>
      <c r="S94" s="319"/>
      <c r="T94" s="319"/>
      <c r="U94" s="319"/>
      <c r="V94" s="319"/>
      <c r="W94" s="319"/>
      <c r="X94" s="319"/>
      <c r="Y94" s="319"/>
      <c r="Z94" s="319"/>
      <c r="AA94" s="319"/>
      <c r="AB94" s="319"/>
      <c r="AC94" s="319"/>
      <c r="AD94" s="319"/>
      <c r="AE94" s="319"/>
      <c r="AF94" s="319"/>
      <c r="AG94" s="319"/>
      <c r="AH94" s="319"/>
      <c r="AI94" s="320"/>
      <c r="AJ94" s="318"/>
      <c r="AK94" s="319"/>
      <c r="AL94" s="320"/>
      <c r="AM94" s="318"/>
      <c r="AN94" s="319"/>
      <c r="AO94" s="320"/>
      <c r="AP94" s="318"/>
      <c r="AQ94" s="319"/>
      <c r="AR94" s="319"/>
      <c r="AS94" s="319"/>
      <c r="AT94" s="320"/>
      <c r="AU94" s="318"/>
      <c r="AV94" s="319"/>
      <c r="AW94" s="319"/>
      <c r="AX94" s="319"/>
      <c r="AY94" s="319"/>
      <c r="AZ94" s="319"/>
      <c r="BA94" s="319"/>
      <c r="BB94" s="320"/>
      <c r="BC94" s="318"/>
      <c r="BD94" s="319"/>
      <c r="BE94" s="319"/>
      <c r="BF94" s="319"/>
      <c r="BG94" s="320"/>
      <c r="BH94" s="318"/>
      <c r="BI94" s="319"/>
      <c r="BJ94" s="320"/>
      <c r="BK94" s="318"/>
      <c r="BL94" s="319"/>
      <c r="BM94" s="319"/>
      <c r="BN94" s="320"/>
      <c r="BO94" s="318"/>
      <c r="BP94" s="319"/>
      <c r="BQ94" s="319"/>
      <c r="BR94" s="319"/>
      <c r="BS94" s="319"/>
      <c r="BT94" s="319"/>
      <c r="BU94" s="319"/>
      <c r="BV94" s="320"/>
      <c r="BW94" s="318"/>
      <c r="BX94" s="319"/>
      <c r="BY94" s="319"/>
      <c r="BZ94" s="319"/>
      <c r="CA94" s="319"/>
      <c r="CB94" s="320"/>
      <c r="CC94" s="318"/>
      <c r="CD94" s="319"/>
      <c r="CE94" s="320"/>
      <c r="CF94" s="318"/>
      <c r="CG94" s="319"/>
      <c r="CH94" s="319"/>
      <c r="CI94" s="321"/>
      <c r="CK94" s="239" t="str">
        <f t="shared" si="30"/>
        <v/>
      </c>
      <c r="CL94" s="240" t="str">
        <f t="shared" si="31"/>
        <v/>
      </c>
      <c r="CM94" s="240" t="str">
        <f t="shared" si="32"/>
        <v/>
      </c>
      <c r="CN94" s="240" t="str">
        <f t="shared" si="33"/>
        <v/>
      </c>
      <c r="CO94" s="241" t="str">
        <f t="shared" si="34"/>
        <v/>
      </c>
      <c r="CQ94" s="239" t="str">
        <f>desired_skills(C94,"Extra vaardigheden/Coachen","o")</f>
        <v/>
      </c>
      <c r="CR94" s="240" t="str">
        <f>desired_skills(C94,"Extra vaardigheden/Coachen","j")</f>
        <v/>
      </c>
      <c r="CS94" s="240" t="str">
        <f>desired_skills(C94,"Extra vaardigheden/Coachen","m")</f>
        <v/>
      </c>
      <c r="CT94" s="240" t="str">
        <f>desired_skills(C94,"Extra vaardigheden/Coachen","s")</f>
        <v/>
      </c>
      <c r="CU94" s="241" t="str">
        <f>desired_skills(C94,"Extra vaardigheden/Coachen","e")</f>
        <v/>
      </c>
      <c r="CW94" s="239" t="str">
        <f>calc_gap('Matrix 171007_1810'!$CK$94,'Matrix 171007_1810'!$CQ$94)</f>
        <v/>
      </c>
      <c r="CX94" s="240" t="str">
        <f>calc_gap('Matrix 171007_1810'!$CL$94,'Matrix 171007_1810'!$CR$94)</f>
        <v/>
      </c>
      <c r="CY94" s="240" t="str">
        <f>calc_gap('Matrix 171007_1810'!$CM$94,'Matrix 171007_1810'!$CS$94)</f>
        <v/>
      </c>
      <c r="CZ94" s="240" t="str">
        <f>calc_gap('Matrix 171007_1810'!$CN$94,'Matrix 171007_1810'!$CT$94)</f>
        <v/>
      </c>
      <c r="DA94" s="241" t="str">
        <f>calc_gap('Matrix 171007_1810'!$CO$94,'Matrix 171007_1810'!$CU$94)</f>
        <v/>
      </c>
    </row>
    <row r="95" spans="2:105" ht="12.75" customHeight="1" thickTop="1" thickBot="1" x14ac:dyDescent="0.3">
      <c r="B95" s="436"/>
      <c r="C95" s="248"/>
      <c r="D95" s="322"/>
      <c r="E95" s="322"/>
      <c r="F95" s="322"/>
      <c r="G95" s="322"/>
      <c r="H95" s="322"/>
      <c r="I95" s="322"/>
      <c r="J95" s="322"/>
      <c r="K95" s="322"/>
      <c r="L95" s="322"/>
      <c r="M95" s="322"/>
      <c r="N95" s="322"/>
      <c r="O95" s="322"/>
      <c r="P95" s="322"/>
      <c r="Q95" s="322"/>
      <c r="R95" s="322"/>
      <c r="S95" s="322"/>
      <c r="T95" s="322"/>
      <c r="U95" s="322"/>
      <c r="V95" s="322"/>
      <c r="W95" s="322"/>
      <c r="X95" s="322"/>
      <c r="Y95" s="322"/>
      <c r="Z95" s="322"/>
      <c r="AA95" s="322"/>
      <c r="AB95" s="322"/>
      <c r="AC95" s="322"/>
      <c r="AD95" s="322"/>
      <c r="AE95" s="322"/>
      <c r="AF95" s="322"/>
      <c r="AG95" s="322"/>
      <c r="AH95" s="322"/>
      <c r="AI95" s="322"/>
      <c r="AJ95" s="322"/>
      <c r="AK95" s="322"/>
      <c r="AL95" s="322"/>
      <c r="AM95" s="322"/>
      <c r="AN95" s="322"/>
      <c r="AO95" s="322"/>
      <c r="AP95" s="322"/>
      <c r="AQ95" s="322"/>
      <c r="AR95" s="322"/>
      <c r="AS95" s="322"/>
      <c r="AT95" s="322"/>
      <c r="AU95" s="322"/>
      <c r="AV95" s="322"/>
      <c r="AW95" s="322"/>
      <c r="AX95" s="322"/>
      <c r="AY95" s="322"/>
      <c r="AZ95" s="322"/>
      <c r="BA95" s="322"/>
      <c r="BB95" s="322"/>
      <c r="BC95" s="322"/>
      <c r="BD95" s="322"/>
      <c r="BE95" s="322"/>
      <c r="BF95" s="322"/>
      <c r="BG95" s="322"/>
      <c r="BH95" s="322"/>
      <c r="BI95" s="322"/>
      <c r="BJ95" s="322"/>
      <c r="BK95" s="322"/>
      <c r="BL95" s="322"/>
      <c r="BM95" s="322"/>
      <c r="BN95" s="322"/>
      <c r="BO95" s="322"/>
      <c r="BP95" s="322"/>
      <c r="BQ95" s="322"/>
      <c r="BR95" s="322"/>
      <c r="BS95" s="322"/>
      <c r="BT95" s="322"/>
      <c r="BU95" s="322"/>
      <c r="BV95" s="322"/>
      <c r="BW95" s="322"/>
      <c r="BX95" s="322"/>
      <c r="BY95" s="322"/>
      <c r="BZ95" s="322"/>
      <c r="CA95" s="322"/>
      <c r="CB95" s="322"/>
      <c r="CC95" s="322"/>
      <c r="CD95" s="322"/>
      <c r="CE95" s="322"/>
      <c r="CF95" s="322"/>
      <c r="CG95" s="322"/>
      <c r="CH95" s="322"/>
      <c r="CI95" s="322"/>
      <c r="CK95" s="249"/>
      <c r="CL95" s="249"/>
      <c r="CM95" s="249"/>
      <c r="CN95" s="249"/>
      <c r="CO95" s="249"/>
      <c r="CQ95" s="249"/>
      <c r="CR95" s="249"/>
      <c r="CS95" s="249"/>
      <c r="CT95" s="249"/>
      <c r="CU95" s="249"/>
      <c r="CW95" s="249"/>
      <c r="CX95" s="249"/>
      <c r="CY95" s="249"/>
      <c r="CZ95" s="249"/>
      <c r="DA95" s="249"/>
    </row>
    <row r="96" spans="2:105" ht="15.75" thickTop="1" x14ac:dyDescent="0.25">
      <c r="B96" s="434" t="s">
        <v>266</v>
      </c>
      <c r="C96" s="290" t="s">
        <v>184</v>
      </c>
      <c r="D96" s="310"/>
      <c r="E96" s="311"/>
      <c r="F96" s="311"/>
      <c r="G96" s="311"/>
      <c r="H96" s="311"/>
      <c r="I96" s="311"/>
      <c r="J96" s="311"/>
      <c r="K96" s="312"/>
      <c r="L96" s="310"/>
      <c r="M96" s="311"/>
      <c r="N96" s="311"/>
      <c r="O96" s="312"/>
      <c r="P96" s="310"/>
      <c r="Q96" s="311"/>
      <c r="R96" s="311"/>
      <c r="S96" s="311"/>
      <c r="T96" s="311"/>
      <c r="U96" s="311"/>
      <c r="V96" s="311"/>
      <c r="W96" s="311"/>
      <c r="X96" s="311"/>
      <c r="Y96" s="311"/>
      <c r="Z96" s="311"/>
      <c r="AA96" s="311"/>
      <c r="AB96" s="311"/>
      <c r="AC96" s="311"/>
      <c r="AD96" s="311"/>
      <c r="AE96" s="311"/>
      <c r="AF96" s="311"/>
      <c r="AG96" s="311"/>
      <c r="AH96" s="311"/>
      <c r="AI96" s="312"/>
      <c r="AJ96" s="310"/>
      <c r="AK96" s="311"/>
      <c r="AL96" s="312"/>
      <c r="AM96" s="310"/>
      <c r="AN96" s="311"/>
      <c r="AO96" s="312"/>
      <c r="AP96" s="310"/>
      <c r="AQ96" s="311"/>
      <c r="AR96" s="311"/>
      <c r="AS96" s="311"/>
      <c r="AT96" s="312"/>
      <c r="AU96" s="310"/>
      <c r="AV96" s="311"/>
      <c r="AW96" s="311"/>
      <c r="AX96" s="311"/>
      <c r="AY96" s="311"/>
      <c r="AZ96" s="311"/>
      <c r="BA96" s="311"/>
      <c r="BB96" s="312"/>
      <c r="BC96" s="310"/>
      <c r="BD96" s="311"/>
      <c r="BE96" s="311"/>
      <c r="BF96" s="311"/>
      <c r="BG96" s="312"/>
      <c r="BH96" s="310"/>
      <c r="BI96" s="311"/>
      <c r="BJ96" s="312"/>
      <c r="BK96" s="310"/>
      <c r="BL96" s="311"/>
      <c r="BM96" s="311"/>
      <c r="BN96" s="312"/>
      <c r="BO96" s="310"/>
      <c r="BP96" s="311"/>
      <c r="BQ96" s="311"/>
      <c r="BR96" s="311"/>
      <c r="BS96" s="311"/>
      <c r="BT96" s="311"/>
      <c r="BU96" s="311"/>
      <c r="BV96" s="312"/>
      <c r="BW96" s="310"/>
      <c r="BX96" s="311"/>
      <c r="BY96" s="311"/>
      <c r="BZ96" s="311"/>
      <c r="CA96" s="311"/>
      <c r="CB96" s="312"/>
      <c r="CC96" s="310"/>
      <c r="CD96" s="311"/>
      <c r="CE96" s="312"/>
      <c r="CF96" s="310"/>
      <c r="CG96" s="311"/>
      <c r="CH96" s="311"/>
      <c r="CI96" s="313"/>
      <c r="CK96" s="233" t="str">
        <f>IF(COUNTIF(D96:CI96,"o")&gt;0,COUNTIF(D96:CI96,"o"),"")</f>
        <v/>
      </c>
      <c r="CL96" s="234" t="str">
        <f>IF(COUNTIF(D96:CI96,"j")&gt;0,COUNTIF(D96:CI96,"j"),"")</f>
        <v/>
      </c>
      <c r="CM96" s="234" t="str">
        <f>IF(COUNTIF(D96:CI96,"m")&gt;0,COUNTIF(D96:CI96,"m"),"")</f>
        <v/>
      </c>
      <c r="CN96" s="234" t="str">
        <f>IF(COUNTIF(D96:CI96,"s")&gt;0,COUNTIF(D96:CI96,"s"),"")</f>
        <v/>
      </c>
      <c r="CO96" s="235" t="str">
        <f>IF(COUNTIF(D96:CI96,"e")&gt;0,COUNTIF(D96:CI96,"e"),"")</f>
        <v/>
      </c>
      <c r="CQ96" s="233" t="str">
        <f>desired_skills(C96,"Talen/Nederlands","o")</f>
        <v/>
      </c>
      <c r="CR96" s="234" t="str">
        <f>desired_skills(C96,"Talen/Nederlands","j")</f>
        <v/>
      </c>
      <c r="CS96" s="234" t="str">
        <f>desired_skills(C96,"Talen/Nederlands","m")</f>
        <v/>
      </c>
      <c r="CT96" s="234" t="str">
        <f>desired_skills(C96,"Talen/Nederlands","s")</f>
        <v/>
      </c>
      <c r="CU96" s="235" t="str">
        <f>desired_skills(C96,"Talen/Nederlands","e")</f>
        <v/>
      </c>
      <c r="CW96" s="233" t="str">
        <f>calc_gap('Matrix 171007_1810'!$CK$96,'Matrix 171007_1810'!$CQ$96)</f>
        <v/>
      </c>
      <c r="CX96" s="234" t="str">
        <f>calc_gap('Matrix 171007_1810'!$CL$96,'Matrix 171007_1810'!$CR$96)</f>
        <v/>
      </c>
      <c r="CY96" s="234" t="str">
        <f>calc_gap('Matrix 171007_1810'!$CM$96,'Matrix 171007_1810'!$CS$96)</f>
        <v/>
      </c>
      <c r="CZ96" s="234" t="str">
        <f>calc_gap('Matrix 171007_1810'!$CN$96,'Matrix 171007_1810'!$CT$96)</f>
        <v/>
      </c>
      <c r="DA96" s="235" t="str">
        <f>calc_gap('Matrix 171007_1810'!$CO$96,'Matrix 171007_1810'!$CU$96)</f>
        <v/>
      </c>
    </row>
    <row r="97" spans="2:105" x14ac:dyDescent="0.25">
      <c r="B97" s="435"/>
      <c r="C97" s="291" t="s">
        <v>123</v>
      </c>
      <c r="D97" s="314"/>
      <c r="E97" s="315"/>
      <c r="F97" s="315"/>
      <c r="G97" s="315"/>
      <c r="H97" s="315"/>
      <c r="I97" s="315"/>
      <c r="J97" s="315"/>
      <c r="K97" s="316"/>
      <c r="L97" s="314"/>
      <c r="M97" s="315"/>
      <c r="N97" s="315"/>
      <c r="O97" s="316"/>
      <c r="P97" s="314"/>
      <c r="Q97" s="315"/>
      <c r="R97" s="315"/>
      <c r="S97" s="315"/>
      <c r="T97" s="315"/>
      <c r="U97" s="315"/>
      <c r="V97" s="315"/>
      <c r="W97" s="315"/>
      <c r="X97" s="315"/>
      <c r="Y97" s="315"/>
      <c r="Z97" s="315"/>
      <c r="AA97" s="315"/>
      <c r="AB97" s="315"/>
      <c r="AC97" s="315"/>
      <c r="AD97" s="315"/>
      <c r="AE97" s="315"/>
      <c r="AF97" s="315"/>
      <c r="AG97" s="315"/>
      <c r="AH97" s="315"/>
      <c r="AI97" s="316"/>
      <c r="AJ97" s="314"/>
      <c r="AK97" s="315"/>
      <c r="AL97" s="316"/>
      <c r="AM97" s="314"/>
      <c r="AN97" s="315"/>
      <c r="AO97" s="316"/>
      <c r="AP97" s="314"/>
      <c r="AQ97" s="315"/>
      <c r="AR97" s="315"/>
      <c r="AS97" s="315"/>
      <c r="AT97" s="316"/>
      <c r="AU97" s="314"/>
      <c r="AV97" s="315"/>
      <c r="AW97" s="315"/>
      <c r="AX97" s="315"/>
      <c r="AY97" s="315"/>
      <c r="AZ97" s="315"/>
      <c r="BA97" s="315"/>
      <c r="BB97" s="316"/>
      <c r="BC97" s="314"/>
      <c r="BD97" s="315"/>
      <c r="BE97" s="315"/>
      <c r="BF97" s="315"/>
      <c r="BG97" s="316"/>
      <c r="BH97" s="314"/>
      <c r="BI97" s="315"/>
      <c r="BJ97" s="316"/>
      <c r="BK97" s="314"/>
      <c r="BL97" s="315"/>
      <c r="BM97" s="315"/>
      <c r="BN97" s="316"/>
      <c r="BO97" s="314"/>
      <c r="BP97" s="315"/>
      <c r="BQ97" s="315"/>
      <c r="BR97" s="315"/>
      <c r="BS97" s="315"/>
      <c r="BT97" s="315"/>
      <c r="BU97" s="315"/>
      <c r="BV97" s="316"/>
      <c r="BW97" s="314"/>
      <c r="BX97" s="315"/>
      <c r="BY97" s="315"/>
      <c r="BZ97" s="315"/>
      <c r="CA97" s="315"/>
      <c r="CB97" s="316"/>
      <c r="CC97" s="314"/>
      <c r="CD97" s="315"/>
      <c r="CE97" s="316"/>
      <c r="CF97" s="314"/>
      <c r="CG97" s="315"/>
      <c r="CH97" s="315"/>
      <c r="CI97" s="317"/>
      <c r="CK97" s="236" t="str">
        <f>IF(COUNTIF(D97:CI97,"o")&gt;0,COUNTIF(D97:CI97,"o"),"")</f>
        <v/>
      </c>
      <c r="CL97" s="237" t="str">
        <f>IF(COUNTIF(D97:CI97,"j")&gt;0,COUNTIF(D97:CI97,"j"),"")</f>
        <v/>
      </c>
      <c r="CM97" s="237" t="str">
        <f>IF(COUNTIF(D97:CI97,"m")&gt;0,COUNTIF(D97:CI97,"m"),"")</f>
        <v/>
      </c>
      <c r="CN97" s="237" t="str">
        <f>IF(COUNTIF(D97:CI97,"s")&gt;0,COUNTIF(D97:CI97,"s"),"")</f>
        <v/>
      </c>
      <c r="CO97" s="238" t="str">
        <f>IF(COUNTIF(D97:CI97,"e")&gt;0,COUNTIF(D97:CI97,"e"),"")</f>
        <v/>
      </c>
      <c r="CQ97" s="236" t="str">
        <f>desired_skills(C97,"Talen/Engels","o")</f>
        <v/>
      </c>
      <c r="CR97" s="237" t="str">
        <f>desired_skills(C97,"Talen/Engels","j")</f>
        <v/>
      </c>
      <c r="CS97" s="237" t="str">
        <f>desired_skills(C97,"Talen/Engels","m")</f>
        <v/>
      </c>
      <c r="CT97" s="237" t="str">
        <f>desired_skills(C97,"Talen/Engels","s")</f>
        <v/>
      </c>
      <c r="CU97" s="238" t="str">
        <f>desired_skills(C97,"Talen/Engels","e")</f>
        <v/>
      </c>
      <c r="CW97" s="236" t="str">
        <f>calc_gap('Matrix 171007_1810'!$CK$97,'Matrix 171007_1810'!$CQ$97)</f>
        <v/>
      </c>
      <c r="CX97" s="237" t="str">
        <f>calc_gap('Matrix 171007_1810'!$CL$97,'Matrix 171007_1810'!$CR$97)</f>
        <v/>
      </c>
      <c r="CY97" s="237" t="str">
        <f>calc_gap('Matrix 171007_1810'!$CM$97,'Matrix 171007_1810'!$CS$97)</f>
        <v/>
      </c>
      <c r="CZ97" s="237" t="str">
        <f>calc_gap('Matrix 171007_1810'!$CN$97,'Matrix 171007_1810'!$CT$97)</f>
        <v/>
      </c>
      <c r="DA97" s="238" t="str">
        <f>calc_gap('Matrix 171007_1810'!$CO$97,'Matrix 171007_1810'!$CU$97)</f>
        <v/>
      </c>
    </row>
    <row r="98" spans="2:105" x14ac:dyDescent="0.25">
      <c r="B98" s="435"/>
      <c r="C98" s="291" t="s">
        <v>268</v>
      </c>
      <c r="D98" s="314"/>
      <c r="E98" s="315"/>
      <c r="F98" s="315"/>
      <c r="G98" s="315"/>
      <c r="H98" s="315"/>
      <c r="I98" s="315"/>
      <c r="J98" s="315"/>
      <c r="K98" s="316"/>
      <c r="L98" s="314"/>
      <c r="M98" s="315"/>
      <c r="N98" s="315"/>
      <c r="O98" s="316"/>
      <c r="P98" s="314"/>
      <c r="Q98" s="315"/>
      <c r="R98" s="315"/>
      <c r="S98" s="315"/>
      <c r="T98" s="315"/>
      <c r="U98" s="315"/>
      <c r="V98" s="315"/>
      <c r="W98" s="315"/>
      <c r="X98" s="315"/>
      <c r="Y98" s="315"/>
      <c r="Z98" s="315"/>
      <c r="AA98" s="315"/>
      <c r="AB98" s="315"/>
      <c r="AC98" s="315"/>
      <c r="AD98" s="315"/>
      <c r="AE98" s="315"/>
      <c r="AF98" s="315"/>
      <c r="AG98" s="315"/>
      <c r="AH98" s="315"/>
      <c r="AI98" s="316"/>
      <c r="AJ98" s="314"/>
      <c r="AK98" s="315"/>
      <c r="AL98" s="316"/>
      <c r="AM98" s="314"/>
      <c r="AN98" s="315"/>
      <c r="AO98" s="316"/>
      <c r="AP98" s="314"/>
      <c r="AQ98" s="315"/>
      <c r="AR98" s="315"/>
      <c r="AS98" s="315"/>
      <c r="AT98" s="316"/>
      <c r="AU98" s="314"/>
      <c r="AV98" s="315"/>
      <c r="AW98" s="315"/>
      <c r="AX98" s="315"/>
      <c r="AY98" s="315"/>
      <c r="AZ98" s="315"/>
      <c r="BA98" s="315"/>
      <c r="BB98" s="316"/>
      <c r="BC98" s="314"/>
      <c r="BD98" s="315"/>
      <c r="BE98" s="315"/>
      <c r="BF98" s="315"/>
      <c r="BG98" s="316"/>
      <c r="BH98" s="314"/>
      <c r="BI98" s="315"/>
      <c r="BJ98" s="316"/>
      <c r="BK98" s="314"/>
      <c r="BL98" s="315"/>
      <c r="BM98" s="315"/>
      <c r="BN98" s="316"/>
      <c r="BO98" s="314"/>
      <c r="BP98" s="315"/>
      <c r="BQ98" s="315"/>
      <c r="BR98" s="315"/>
      <c r="BS98" s="315"/>
      <c r="BT98" s="315"/>
      <c r="BU98" s="315"/>
      <c r="BV98" s="316"/>
      <c r="BW98" s="314"/>
      <c r="BX98" s="315"/>
      <c r="BY98" s="315"/>
      <c r="BZ98" s="315"/>
      <c r="CA98" s="315"/>
      <c r="CB98" s="316"/>
      <c r="CC98" s="314"/>
      <c r="CD98" s="315"/>
      <c r="CE98" s="316"/>
      <c r="CF98" s="314"/>
      <c r="CG98" s="315"/>
      <c r="CH98" s="315"/>
      <c r="CI98" s="317"/>
      <c r="CK98" s="236" t="str">
        <f>IF(COUNTIF(D98:CI98,"o")&gt;0,COUNTIF(D98:CI98,"o"),"")</f>
        <v/>
      </c>
      <c r="CL98" s="237" t="str">
        <f>IF(COUNTIF(D98:CI98,"j")&gt;0,COUNTIF(D98:CI98,"j"),"")</f>
        <v/>
      </c>
      <c r="CM98" s="237" t="str">
        <f>IF(COUNTIF(D98:CI98,"m")&gt;0,COUNTIF(D98:CI98,"m"),"")</f>
        <v/>
      </c>
      <c r="CN98" s="237" t="str">
        <f>IF(COUNTIF(D98:CI98,"s")&gt;0,COUNTIF(D98:CI98,"s"),"")</f>
        <v/>
      </c>
      <c r="CO98" s="238" t="str">
        <f>IF(COUNTIF(D98:CI98,"e")&gt;0,COUNTIF(D98:CI98,"e"),"")</f>
        <v/>
      </c>
      <c r="CQ98" s="236" t="str">
        <f>desired_skills(C98,"Talen/Duits","o")</f>
        <v/>
      </c>
      <c r="CR98" s="237" t="str">
        <f>desired_skills(C98,"Talen/Duits","j")</f>
        <v/>
      </c>
      <c r="CS98" s="237" t="str">
        <f>desired_skills(C98,"Talen/Duits","m")</f>
        <v/>
      </c>
      <c r="CT98" s="237" t="str">
        <f>desired_skills(C98,"Talen/Duits","s")</f>
        <v/>
      </c>
      <c r="CU98" s="238" t="str">
        <f>desired_skills(C98,"Talen/Duits","e")</f>
        <v/>
      </c>
      <c r="CW98" s="236" t="str">
        <f>calc_gap('Matrix 171007_1810'!$CK$98,'Matrix 171007_1810'!$CQ$98)</f>
        <v/>
      </c>
      <c r="CX98" s="237" t="str">
        <f>calc_gap('Matrix 171007_1810'!$CL$98,'Matrix 171007_1810'!$CR$98)</f>
        <v/>
      </c>
      <c r="CY98" s="237" t="str">
        <f>calc_gap('Matrix 171007_1810'!$CM$98,'Matrix 171007_1810'!$CS$98)</f>
        <v/>
      </c>
      <c r="CZ98" s="237" t="str">
        <f>calc_gap('Matrix 171007_1810'!$CN$98,'Matrix 171007_1810'!$CT$98)</f>
        <v/>
      </c>
      <c r="DA98" s="238" t="str">
        <f>calc_gap('Matrix 171007_1810'!$CO$98,'Matrix 171007_1810'!$CU$98)</f>
        <v/>
      </c>
    </row>
    <row r="99" spans="2:105" ht="15.75" thickBot="1" x14ac:dyDescent="0.3">
      <c r="B99" s="435"/>
      <c r="C99" s="292" t="s">
        <v>143</v>
      </c>
      <c r="D99" s="318"/>
      <c r="E99" s="319"/>
      <c r="F99" s="319"/>
      <c r="G99" s="319"/>
      <c r="H99" s="319"/>
      <c r="I99" s="319"/>
      <c r="J99" s="319"/>
      <c r="K99" s="320"/>
      <c r="L99" s="318"/>
      <c r="M99" s="319"/>
      <c r="N99" s="319"/>
      <c r="O99" s="320"/>
      <c r="P99" s="318"/>
      <c r="Q99" s="319"/>
      <c r="R99" s="319"/>
      <c r="S99" s="319"/>
      <c r="T99" s="319"/>
      <c r="U99" s="319"/>
      <c r="V99" s="319"/>
      <c r="W99" s="319"/>
      <c r="X99" s="319"/>
      <c r="Y99" s="319"/>
      <c r="Z99" s="319"/>
      <c r="AA99" s="319"/>
      <c r="AB99" s="319"/>
      <c r="AC99" s="319"/>
      <c r="AD99" s="319"/>
      <c r="AE99" s="319"/>
      <c r="AF99" s="319"/>
      <c r="AG99" s="319"/>
      <c r="AH99" s="319"/>
      <c r="AI99" s="320"/>
      <c r="AJ99" s="318"/>
      <c r="AK99" s="319"/>
      <c r="AL99" s="320"/>
      <c r="AM99" s="318"/>
      <c r="AN99" s="319"/>
      <c r="AO99" s="320"/>
      <c r="AP99" s="318"/>
      <c r="AQ99" s="319"/>
      <c r="AR99" s="319"/>
      <c r="AS99" s="319"/>
      <c r="AT99" s="320"/>
      <c r="AU99" s="318"/>
      <c r="AV99" s="319"/>
      <c r="AW99" s="319"/>
      <c r="AX99" s="319"/>
      <c r="AY99" s="319"/>
      <c r="AZ99" s="319"/>
      <c r="BA99" s="319"/>
      <c r="BB99" s="320"/>
      <c r="BC99" s="318"/>
      <c r="BD99" s="319"/>
      <c r="BE99" s="319"/>
      <c r="BF99" s="319"/>
      <c r="BG99" s="320"/>
      <c r="BH99" s="318"/>
      <c r="BI99" s="319"/>
      <c r="BJ99" s="320"/>
      <c r="BK99" s="318"/>
      <c r="BL99" s="319"/>
      <c r="BM99" s="319"/>
      <c r="BN99" s="320"/>
      <c r="BO99" s="318"/>
      <c r="BP99" s="319"/>
      <c r="BQ99" s="319"/>
      <c r="BR99" s="319"/>
      <c r="BS99" s="319"/>
      <c r="BT99" s="319"/>
      <c r="BU99" s="319"/>
      <c r="BV99" s="320"/>
      <c r="BW99" s="318"/>
      <c r="BX99" s="319"/>
      <c r="BY99" s="319"/>
      <c r="BZ99" s="319"/>
      <c r="CA99" s="319"/>
      <c r="CB99" s="320"/>
      <c r="CC99" s="318"/>
      <c r="CD99" s="319"/>
      <c r="CE99" s="320"/>
      <c r="CF99" s="318"/>
      <c r="CG99" s="319"/>
      <c r="CH99" s="319"/>
      <c r="CI99" s="321"/>
      <c r="CK99" s="239" t="str">
        <f>IF(COUNTIF(D99:CI99,"o")&gt;0,COUNTIF(D99:CI99,"o"),"")</f>
        <v/>
      </c>
      <c r="CL99" s="240" t="str">
        <f>IF(COUNTIF(D99:CI99,"j")&gt;0,COUNTIF(D99:CI99,"j"),"")</f>
        <v/>
      </c>
      <c r="CM99" s="240" t="str">
        <f>IF(COUNTIF(D99:CI99,"m")&gt;0,COUNTIF(D99:CI99,"m"),"")</f>
        <v/>
      </c>
      <c r="CN99" s="240" t="str">
        <f>IF(COUNTIF(D99:CI99,"s")&gt;0,COUNTIF(D99:CI99,"s"),"")</f>
        <v/>
      </c>
      <c r="CO99" s="241" t="str">
        <f>IF(COUNTIF(D99:CI99,"e")&gt;0,COUNTIF(D99:CI99,"e"),"")</f>
        <v/>
      </c>
      <c r="CQ99" s="239" t="str">
        <f>desired_skills(C99,"Talen/Frans","o")</f>
        <v/>
      </c>
      <c r="CR99" s="240" t="str">
        <f>desired_skills(C99,"Talen/Frans","j")</f>
        <v/>
      </c>
      <c r="CS99" s="240" t="str">
        <f>desired_skills(C99,"Talen/Frans","m")</f>
        <v/>
      </c>
      <c r="CT99" s="240" t="str">
        <f>desired_skills(C99,"Talen/Frans","s")</f>
        <v/>
      </c>
      <c r="CU99" s="241" t="str">
        <f>desired_skills(C99,"Talen/Frans","e")</f>
        <v/>
      </c>
      <c r="CW99" s="239" t="str">
        <f>calc_gap('Matrix 171007_1810'!$CK$99,'Matrix 171007_1810'!$CQ$99)</f>
        <v/>
      </c>
      <c r="CX99" s="240" t="str">
        <f>calc_gap('Matrix 171007_1810'!$CL$99,'Matrix 171007_1810'!$CR$99)</f>
        <v/>
      </c>
      <c r="CY99" s="240" t="str">
        <f>calc_gap('Matrix 171007_1810'!$CM$99,'Matrix 171007_1810'!$CS$99)</f>
        <v/>
      </c>
      <c r="CZ99" s="240" t="str">
        <f>calc_gap('Matrix 171007_1810'!$CN$99,'Matrix 171007_1810'!$CT$99)</f>
        <v/>
      </c>
      <c r="DA99" s="241" t="str">
        <f>calc_gap('Matrix 171007_1810'!$CO$99,'Matrix 171007_1810'!$CU$99)</f>
        <v/>
      </c>
    </row>
    <row r="100" spans="2:105" ht="12.75" customHeight="1" thickTop="1" thickBot="1" x14ac:dyDescent="0.3">
      <c r="B100" s="437"/>
      <c r="C100" s="248"/>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2"/>
      <c r="BK100" s="322"/>
      <c r="BL100" s="322"/>
      <c r="BM100" s="322"/>
      <c r="BN100" s="322"/>
      <c r="BO100" s="322"/>
      <c r="BP100" s="322"/>
      <c r="BQ100" s="322"/>
      <c r="BR100" s="322"/>
      <c r="BS100" s="322"/>
      <c r="BT100" s="322"/>
      <c r="BU100" s="322"/>
      <c r="BV100" s="322"/>
      <c r="BW100" s="322"/>
      <c r="BX100" s="322"/>
      <c r="BY100" s="322"/>
      <c r="BZ100" s="322"/>
      <c r="CA100" s="322"/>
      <c r="CB100" s="322"/>
      <c r="CC100" s="322"/>
      <c r="CD100" s="322"/>
      <c r="CE100" s="322"/>
      <c r="CF100" s="322"/>
      <c r="CG100" s="322"/>
      <c r="CH100" s="322"/>
      <c r="CI100" s="322"/>
      <c r="CK100" s="249"/>
      <c r="CL100" s="249"/>
      <c r="CM100" s="249"/>
      <c r="CN100" s="249"/>
      <c r="CO100" s="249"/>
      <c r="CQ100" s="249"/>
      <c r="CR100" s="249"/>
      <c r="CS100" s="249"/>
      <c r="CT100" s="249"/>
      <c r="CU100" s="249"/>
      <c r="CW100" s="249"/>
      <c r="CX100" s="249"/>
      <c r="CY100" s="249"/>
      <c r="CZ100" s="249"/>
      <c r="DA100" s="249"/>
    </row>
    <row r="101" spans="2:105" ht="16.5" thickTop="1" thickBot="1" x14ac:dyDescent="0.3"/>
    <row r="102" spans="2:105" ht="15.75" thickTop="1" x14ac:dyDescent="0.25">
      <c r="B102" s="434" t="s">
        <v>303</v>
      </c>
      <c r="C102" s="298" t="s">
        <v>217</v>
      </c>
      <c r="D102" s="294" t="str">
        <f t="shared" ref="D102:AI102" si="35">IF(COUNTIF(D4:D100,"o")&gt;0,COUNTIF(D4:D100,"o"),"")</f>
        <v/>
      </c>
      <c r="E102" s="234" t="str">
        <f t="shared" si="35"/>
        <v/>
      </c>
      <c r="F102" s="234" t="str">
        <f t="shared" si="35"/>
        <v/>
      </c>
      <c r="G102" s="234" t="str">
        <f t="shared" si="35"/>
        <v/>
      </c>
      <c r="H102" s="234" t="str">
        <f t="shared" si="35"/>
        <v/>
      </c>
      <c r="I102" s="234" t="str">
        <f t="shared" si="35"/>
        <v/>
      </c>
      <c r="J102" s="234" t="str">
        <f t="shared" si="35"/>
        <v/>
      </c>
      <c r="K102" s="242" t="str">
        <f t="shared" si="35"/>
        <v/>
      </c>
      <c r="L102" s="233" t="str">
        <f t="shared" si="35"/>
        <v/>
      </c>
      <c r="M102" s="234" t="str">
        <f t="shared" si="35"/>
        <v/>
      </c>
      <c r="N102" s="234" t="str">
        <f t="shared" si="35"/>
        <v/>
      </c>
      <c r="O102" s="242" t="str">
        <f t="shared" si="35"/>
        <v/>
      </c>
      <c r="P102" s="233" t="str">
        <f t="shared" si="35"/>
        <v/>
      </c>
      <c r="Q102" s="234" t="str">
        <f t="shared" si="35"/>
        <v/>
      </c>
      <c r="R102" s="234" t="str">
        <f t="shared" si="35"/>
        <v/>
      </c>
      <c r="S102" s="234" t="str">
        <f t="shared" si="35"/>
        <v/>
      </c>
      <c r="T102" s="234" t="str">
        <f t="shared" si="35"/>
        <v/>
      </c>
      <c r="U102" s="234" t="str">
        <f t="shared" si="35"/>
        <v/>
      </c>
      <c r="V102" s="234" t="str">
        <f t="shared" si="35"/>
        <v/>
      </c>
      <c r="W102" s="234" t="str">
        <f t="shared" si="35"/>
        <v/>
      </c>
      <c r="X102" s="234" t="str">
        <f t="shared" si="35"/>
        <v/>
      </c>
      <c r="Y102" s="234" t="str">
        <f t="shared" si="35"/>
        <v/>
      </c>
      <c r="Z102" s="234" t="str">
        <f t="shared" si="35"/>
        <v/>
      </c>
      <c r="AA102" s="234" t="str">
        <f t="shared" si="35"/>
        <v/>
      </c>
      <c r="AB102" s="234" t="str">
        <f t="shared" si="35"/>
        <v/>
      </c>
      <c r="AC102" s="234" t="str">
        <f t="shared" si="35"/>
        <v/>
      </c>
      <c r="AD102" s="234" t="str">
        <f t="shared" si="35"/>
        <v/>
      </c>
      <c r="AE102" s="234" t="str">
        <f t="shared" si="35"/>
        <v/>
      </c>
      <c r="AF102" s="234" t="str">
        <f t="shared" si="35"/>
        <v/>
      </c>
      <c r="AG102" s="234" t="str">
        <f t="shared" si="35"/>
        <v/>
      </c>
      <c r="AH102" s="234" t="str">
        <f t="shared" si="35"/>
        <v/>
      </c>
      <c r="AI102" s="242" t="str">
        <f t="shared" si="35"/>
        <v/>
      </c>
      <c r="AJ102" s="233" t="str">
        <f t="shared" ref="AJ102:BO102" si="36">IF(COUNTIF(AJ4:AJ100,"o")&gt;0,COUNTIF(AJ4:AJ100,"o"),"")</f>
        <v/>
      </c>
      <c r="AK102" s="234" t="str">
        <f t="shared" si="36"/>
        <v/>
      </c>
      <c r="AL102" s="242" t="str">
        <f t="shared" si="36"/>
        <v/>
      </c>
      <c r="AM102" s="233" t="str">
        <f t="shared" si="36"/>
        <v/>
      </c>
      <c r="AN102" s="234" t="str">
        <f t="shared" si="36"/>
        <v/>
      </c>
      <c r="AO102" s="242" t="str">
        <f t="shared" si="36"/>
        <v/>
      </c>
      <c r="AP102" s="233" t="str">
        <f t="shared" si="36"/>
        <v/>
      </c>
      <c r="AQ102" s="234" t="str">
        <f t="shared" si="36"/>
        <v/>
      </c>
      <c r="AR102" s="234" t="str">
        <f t="shared" si="36"/>
        <v/>
      </c>
      <c r="AS102" s="234" t="str">
        <f t="shared" si="36"/>
        <v/>
      </c>
      <c r="AT102" s="242" t="str">
        <f t="shared" si="36"/>
        <v/>
      </c>
      <c r="AU102" s="233" t="str">
        <f t="shared" si="36"/>
        <v/>
      </c>
      <c r="AV102" s="234">
        <f t="shared" si="36"/>
        <v>3</v>
      </c>
      <c r="AW102" s="234">
        <f t="shared" si="36"/>
        <v>9</v>
      </c>
      <c r="AX102" s="234" t="str">
        <f t="shared" si="36"/>
        <v/>
      </c>
      <c r="AY102" s="234" t="str">
        <f t="shared" si="36"/>
        <v/>
      </c>
      <c r="AZ102" s="234">
        <f t="shared" si="36"/>
        <v>1</v>
      </c>
      <c r="BA102" s="234">
        <f t="shared" si="36"/>
        <v>2</v>
      </c>
      <c r="BB102" s="242" t="str">
        <f t="shared" si="36"/>
        <v/>
      </c>
      <c r="BC102" s="233">
        <f t="shared" si="36"/>
        <v>20</v>
      </c>
      <c r="BD102" s="234">
        <f t="shared" si="36"/>
        <v>12</v>
      </c>
      <c r="BE102" s="234" t="str">
        <f t="shared" si="36"/>
        <v/>
      </c>
      <c r="BF102" s="234" t="str">
        <f t="shared" si="36"/>
        <v/>
      </c>
      <c r="BG102" s="242" t="str">
        <f t="shared" si="36"/>
        <v/>
      </c>
      <c r="BH102" s="233" t="str">
        <f t="shared" si="36"/>
        <v/>
      </c>
      <c r="BI102" s="234">
        <f t="shared" si="36"/>
        <v>2</v>
      </c>
      <c r="BJ102" s="242" t="str">
        <f t="shared" si="36"/>
        <v/>
      </c>
      <c r="BK102" s="233" t="str">
        <f t="shared" si="36"/>
        <v/>
      </c>
      <c r="BL102" s="234">
        <f t="shared" si="36"/>
        <v>3</v>
      </c>
      <c r="BM102" s="234" t="str">
        <f t="shared" si="36"/>
        <v/>
      </c>
      <c r="BN102" s="242">
        <f t="shared" si="36"/>
        <v>9</v>
      </c>
      <c r="BO102" s="233" t="str">
        <f t="shared" si="36"/>
        <v/>
      </c>
      <c r="BP102" s="234" t="str">
        <f t="shared" ref="BP102:CI102" si="37">IF(COUNTIF(BP4:BP100,"o")&gt;0,COUNTIF(BP4:BP100,"o"),"")</f>
        <v/>
      </c>
      <c r="BQ102" s="234" t="str">
        <f t="shared" si="37"/>
        <v/>
      </c>
      <c r="BR102" s="234" t="str">
        <f t="shared" si="37"/>
        <v/>
      </c>
      <c r="BS102" s="234">
        <f t="shared" si="37"/>
        <v>22</v>
      </c>
      <c r="BT102" s="234">
        <f t="shared" si="37"/>
        <v>1</v>
      </c>
      <c r="BU102" s="234" t="str">
        <f t="shared" si="37"/>
        <v/>
      </c>
      <c r="BV102" s="242" t="str">
        <f t="shared" si="37"/>
        <v/>
      </c>
      <c r="BW102" s="233">
        <f t="shared" si="37"/>
        <v>3</v>
      </c>
      <c r="BX102" s="234" t="str">
        <f t="shared" si="37"/>
        <v/>
      </c>
      <c r="BY102" s="234" t="str">
        <f t="shared" si="37"/>
        <v/>
      </c>
      <c r="BZ102" s="234">
        <f t="shared" si="37"/>
        <v>1</v>
      </c>
      <c r="CA102" s="234" t="str">
        <f t="shared" si="37"/>
        <v/>
      </c>
      <c r="CB102" s="242" t="str">
        <f t="shared" si="37"/>
        <v/>
      </c>
      <c r="CC102" s="233" t="str">
        <f t="shared" si="37"/>
        <v/>
      </c>
      <c r="CD102" s="234" t="str">
        <f t="shared" si="37"/>
        <v/>
      </c>
      <c r="CE102" s="242" t="str">
        <f t="shared" si="37"/>
        <v/>
      </c>
      <c r="CF102" s="233" t="str">
        <f t="shared" si="37"/>
        <v/>
      </c>
      <c r="CG102" s="234" t="str">
        <f t="shared" si="37"/>
        <v/>
      </c>
      <c r="CH102" s="234" t="str">
        <f t="shared" si="37"/>
        <v/>
      </c>
      <c r="CI102" s="235" t="str">
        <f t="shared" si="37"/>
        <v/>
      </c>
    </row>
    <row r="103" spans="2:105" x14ac:dyDescent="0.25">
      <c r="B103" s="435"/>
      <c r="C103" s="299" t="s">
        <v>218</v>
      </c>
      <c r="D103" s="295" t="str">
        <f t="shared" ref="D103:AI103" si="38">IF(COUNTIF(D4:D100,"j")&gt;0,COUNTIF(D4:D100,"j"),"")</f>
        <v/>
      </c>
      <c r="E103" s="237" t="str">
        <f t="shared" si="38"/>
        <v/>
      </c>
      <c r="F103" s="237" t="str">
        <f t="shared" si="38"/>
        <v/>
      </c>
      <c r="G103" s="237" t="str">
        <f t="shared" si="38"/>
        <v/>
      </c>
      <c r="H103" s="237" t="str">
        <f t="shared" si="38"/>
        <v/>
      </c>
      <c r="I103" s="237" t="str">
        <f t="shared" si="38"/>
        <v/>
      </c>
      <c r="J103" s="237" t="str">
        <f t="shared" si="38"/>
        <v/>
      </c>
      <c r="K103" s="243" t="str">
        <f t="shared" si="38"/>
        <v/>
      </c>
      <c r="L103" s="236" t="str">
        <f t="shared" si="38"/>
        <v/>
      </c>
      <c r="M103" s="237" t="str">
        <f t="shared" si="38"/>
        <v/>
      </c>
      <c r="N103" s="237" t="str">
        <f t="shared" si="38"/>
        <v/>
      </c>
      <c r="O103" s="243" t="str">
        <f t="shared" si="38"/>
        <v/>
      </c>
      <c r="P103" s="236" t="str">
        <f t="shared" si="38"/>
        <v/>
      </c>
      <c r="Q103" s="237" t="str">
        <f t="shared" si="38"/>
        <v/>
      </c>
      <c r="R103" s="237" t="str">
        <f t="shared" si="38"/>
        <v/>
      </c>
      <c r="S103" s="237" t="str">
        <f t="shared" si="38"/>
        <v/>
      </c>
      <c r="T103" s="237" t="str">
        <f t="shared" si="38"/>
        <v/>
      </c>
      <c r="U103" s="237" t="str">
        <f t="shared" si="38"/>
        <v/>
      </c>
      <c r="V103" s="237" t="str">
        <f t="shared" si="38"/>
        <v/>
      </c>
      <c r="W103" s="237" t="str">
        <f t="shared" si="38"/>
        <v/>
      </c>
      <c r="X103" s="237" t="str">
        <f t="shared" si="38"/>
        <v/>
      </c>
      <c r="Y103" s="237" t="str">
        <f t="shared" si="38"/>
        <v/>
      </c>
      <c r="Z103" s="237" t="str">
        <f t="shared" si="38"/>
        <v/>
      </c>
      <c r="AA103" s="237" t="str">
        <f t="shared" si="38"/>
        <v/>
      </c>
      <c r="AB103" s="237" t="str">
        <f t="shared" si="38"/>
        <v/>
      </c>
      <c r="AC103" s="237" t="str">
        <f t="shared" si="38"/>
        <v/>
      </c>
      <c r="AD103" s="237" t="str">
        <f t="shared" si="38"/>
        <v/>
      </c>
      <c r="AE103" s="237" t="str">
        <f t="shared" si="38"/>
        <v/>
      </c>
      <c r="AF103" s="237" t="str">
        <f t="shared" si="38"/>
        <v/>
      </c>
      <c r="AG103" s="237" t="str">
        <f t="shared" si="38"/>
        <v/>
      </c>
      <c r="AH103" s="237" t="str">
        <f t="shared" si="38"/>
        <v/>
      </c>
      <c r="AI103" s="243" t="str">
        <f t="shared" si="38"/>
        <v/>
      </c>
      <c r="AJ103" s="236" t="str">
        <f t="shared" ref="AJ103:BO103" si="39">IF(COUNTIF(AJ4:AJ100,"j")&gt;0,COUNTIF(AJ4:AJ100,"j"),"")</f>
        <v/>
      </c>
      <c r="AK103" s="237" t="str">
        <f t="shared" si="39"/>
        <v/>
      </c>
      <c r="AL103" s="243" t="str">
        <f t="shared" si="39"/>
        <v/>
      </c>
      <c r="AM103" s="236" t="str">
        <f t="shared" si="39"/>
        <v/>
      </c>
      <c r="AN103" s="237" t="str">
        <f t="shared" si="39"/>
        <v/>
      </c>
      <c r="AO103" s="243" t="str">
        <f t="shared" si="39"/>
        <v/>
      </c>
      <c r="AP103" s="236" t="str">
        <f t="shared" si="39"/>
        <v/>
      </c>
      <c r="AQ103" s="237" t="str">
        <f t="shared" si="39"/>
        <v/>
      </c>
      <c r="AR103" s="237" t="str">
        <f t="shared" si="39"/>
        <v/>
      </c>
      <c r="AS103" s="237" t="str">
        <f t="shared" si="39"/>
        <v/>
      </c>
      <c r="AT103" s="243" t="str">
        <f t="shared" si="39"/>
        <v/>
      </c>
      <c r="AU103" s="236">
        <f t="shared" si="39"/>
        <v>12</v>
      </c>
      <c r="AV103" s="237">
        <f t="shared" si="39"/>
        <v>9</v>
      </c>
      <c r="AW103" s="237">
        <f t="shared" si="39"/>
        <v>15</v>
      </c>
      <c r="AX103" s="237">
        <f t="shared" si="39"/>
        <v>7</v>
      </c>
      <c r="AY103" s="237">
        <f t="shared" si="39"/>
        <v>14</v>
      </c>
      <c r="AZ103" s="237">
        <f t="shared" si="39"/>
        <v>7</v>
      </c>
      <c r="BA103" s="237">
        <f t="shared" si="39"/>
        <v>5</v>
      </c>
      <c r="BB103" s="243">
        <f t="shared" si="39"/>
        <v>14</v>
      </c>
      <c r="BC103" s="236">
        <f t="shared" si="39"/>
        <v>18</v>
      </c>
      <c r="BD103" s="237">
        <f t="shared" si="39"/>
        <v>22</v>
      </c>
      <c r="BE103" s="237" t="str">
        <f t="shared" si="39"/>
        <v/>
      </c>
      <c r="BF103" s="237">
        <f t="shared" si="39"/>
        <v>17</v>
      </c>
      <c r="BG103" s="243" t="str">
        <f t="shared" si="39"/>
        <v/>
      </c>
      <c r="BH103" s="236" t="str">
        <f t="shared" si="39"/>
        <v/>
      </c>
      <c r="BI103" s="237">
        <f t="shared" si="39"/>
        <v>6</v>
      </c>
      <c r="BJ103" s="243" t="str">
        <f t="shared" si="39"/>
        <v/>
      </c>
      <c r="BK103" s="236">
        <f t="shared" si="39"/>
        <v>14</v>
      </c>
      <c r="BL103" s="237">
        <f t="shared" si="39"/>
        <v>6</v>
      </c>
      <c r="BM103" s="237" t="str">
        <f t="shared" si="39"/>
        <v/>
      </c>
      <c r="BN103" s="243">
        <f t="shared" si="39"/>
        <v>8</v>
      </c>
      <c r="BO103" s="236">
        <f t="shared" si="39"/>
        <v>13</v>
      </c>
      <c r="BP103" s="237">
        <f t="shared" ref="BP103:CI103" si="40">IF(COUNTIF(BP4:BP100,"j")&gt;0,COUNTIF(BP4:BP100,"j"),"")</f>
        <v>3</v>
      </c>
      <c r="BQ103" s="237">
        <f t="shared" si="40"/>
        <v>9</v>
      </c>
      <c r="BR103" s="237" t="str">
        <f t="shared" si="40"/>
        <v/>
      </c>
      <c r="BS103" s="237">
        <f t="shared" si="40"/>
        <v>15</v>
      </c>
      <c r="BT103" s="237">
        <f t="shared" si="40"/>
        <v>8</v>
      </c>
      <c r="BU103" s="237">
        <f t="shared" si="40"/>
        <v>2</v>
      </c>
      <c r="BV103" s="243" t="str">
        <f t="shared" si="40"/>
        <v/>
      </c>
      <c r="BW103" s="236">
        <f t="shared" si="40"/>
        <v>9</v>
      </c>
      <c r="BX103" s="237">
        <f t="shared" si="40"/>
        <v>3</v>
      </c>
      <c r="BY103" s="237">
        <f t="shared" si="40"/>
        <v>12</v>
      </c>
      <c r="BZ103" s="237">
        <f t="shared" si="40"/>
        <v>7</v>
      </c>
      <c r="CA103" s="237">
        <f t="shared" si="40"/>
        <v>18</v>
      </c>
      <c r="CB103" s="243">
        <f t="shared" si="40"/>
        <v>15</v>
      </c>
      <c r="CC103" s="236">
        <f t="shared" si="40"/>
        <v>8</v>
      </c>
      <c r="CD103" s="237">
        <f t="shared" si="40"/>
        <v>18</v>
      </c>
      <c r="CE103" s="243" t="str">
        <f t="shared" si="40"/>
        <v/>
      </c>
      <c r="CF103" s="236" t="str">
        <f t="shared" si="40"/>
        <v/>
      </c>
      <c r="CG103" s="237" t="str">
        <f t="shared" si="40"/>
        <v/>
      </c>
      <c r="CH103" s="237" t="str">
        <f t="shared" si="40"/>
        <v/>
      </c>
      <c r="CI103" s="238" t="str">
        <f t="shared" si="40"/>
        <v/>
      </c>
    </row>
    <row r="104" spans="2:105" x14ac:dyDescent="0.25">
      <c r="B104" s="435"/>
      <c r="C104" s="300" t="s">
        <v>219</v>
      </c>
      <c r="D104" s="295" t="str">
        <f t="shared" ref="D104:AI104" si="41">IF(COUNTIF(D4:D100,"m")&gt;0,COUNTIF(D4:D100,"m"),"")</f>
        <v/>
      </c>
      <c r="E104" s="237" t="str">
        <f t="shared" si="41"/>
        <v/>
      </c>
      <c r="F104" s="237" t="str">
        <f t="shared" si="41"/>
        <v/>
      </c>
      <c r="G104" s="237" t="str">
        <f t="shared" si="41"/>
        <v/>
      </c>
      <c r="H104" s="237" t="str">
        <f t="shared" si="41"/>
        <v/>
      </c>
      <c r="I104" s="237" t="str">
        <f t="shared" si="41"/>
        <v/>
      </c>
      <c r="J104" s="237" t="str">
        <f t="shared" si="41"/>
        <v/>
      </c>
      <c r="K104" s="243" t="str">
        <f t="shared" si="41"/>
        <v/>
      </c>
      <c r="L104" s="236" t="str">
        <f t="shared" si="41"/>
        <v/>
      </c>
      <c r="M104" s="237" t="str">
        <f t="shared" si="41"/>
        <v/>
      </c>
      <c r="N104" s="237" t="str">
        <f t="shared" si="41"/>
        <v/>
      </c>
      <c r="O104" s="243" t="str">
        <f t="shared" si="41"/>
        <v/>
      </c>
      <c r="P104" s="236" t="str">
        <f t="shared" si="41"/>
        <v/>
      </c>
      <c r="Q104" s="237" t="str">
        <f t="shared" si="41"/>
        <v/>
      </c>
      <c r="R104" s="237" t="str">
        <f t="shared" si="41"/>
        <v/>
      </c>
      <c r="S104" s="237" t="str">
        <f t="shared" si="41"/>
        <v/>
      </c>
      <c r="T104" s="237" t="str">
        <f t="shared" si="41"/>
        <v/>
      </c>
      <c r="U104" s="237" t="str">
        <f t="shared" si="41"/>
        <v/>
      </c>
      <c r="V104" s="237" t="str">
        <f t="shared" si="41"/>
        <v/>
      </c>
      <c r="W104" s="237" t="str">
        <f t="shared" si="41"/>
        <v/>
      </c>
      <c r="X104" s="237" t="str">
        <f t="shared" si="41"/>
        <v/>
      </c>
      <c r="Y104" s="237" t="str">
        <f t="shared" si="41"/>
        <v/>
      </c>
      <c r="Z104" s="237" t="str">
        <f t="shared" si="41"/>
        <v/>
      </c>
      <c r="AA104" s="237" t="str">
        <f t="shared" si="41"/>
        <v/>
      </c>
      <c r="AB104" s="237" t="str">
        <f t="shared" si="41"/>
        <v/>
      </c>
      <c r="AC104" s="237" t="str">
        <f t="shared" si="41"/>
        <v/>
      </c>
      <c r="AD104" s="237" t="str">
        <f t="shared" si="41"/>
        <v/>
      </c>
      <c r="AE104" s="237" t="str">
        <f t="shared" si="41"/>
        <v/>
      </c>
      <c r="AF104" s="237" t="str">
        <f t="shared" si="41"/>
        <v/>
      </c>
      <c r="AG104" s="237" t="str">
        <f t="shared" si="41"/>
        <v/>
      </c>
      <c r="AH104" s="237" t="str">
        <f t="shared" si="41"/>
        <v/>
      </c>
      <c r="AI104" s="243" t="str">
        <f t="shared" si="41"/>
        <v/>
      </c>
      <c r="AJ104" s="236" t="str">
        <f t="shared" ref="AJ104:BO104" si="42">IF(COUNTIF(AJ4:AJ100,"m")&gt;0,COUNTIF(AJ4:AJ100,"m"),"")</f>
        <v/>
      </c>
      <c r="AK104" s="237" t="str">
        <f t="shared" si="42"/>
        <v/>
      </c>
      <c r="AL104" s="243" t="str">
        <f t="shared" si="42"/>
        <v/>
      </c>
      <c r="AM104" s="236" t="str">
        <f t="shared" si="42"/>
        <v/>
      </c>
      <c r="AN104" s="237" t="str">
        <f t="shared" si="42"/>
        <v/>
      </c>
      <c r="AO104" s="243" t="str">
        <f t="shared" si="42"/>
        <v/>
      </c>
      <c r="AP104" s="236" t="str">
        <f t="shared" si="42"/>
        <v/>
      </c>
      <c r="AQ104" s="237" t="str">
        <f t="shared" si="42"/>
        <v/>
      </c>
      <c r="AR104" s="237" t="str">
        <f t="shared" si="42"/>
        <v/>
      </c>
      <c r="AS104" s="237" t="str">
        <f t="shared" si="42"/>
        <v/>
      </c>
      <c r="AT104" s="243" t="str">
        <f t="shared" si="42"/>
        <v/>
      </c>
      <c r="AU104" s="236">
        <f t="shared" si="42"/>
        <v>28</v>
      </c>
      <c r="AV104" s="237">
        <f t="shared" si="42"/>
        <v>27</v>
      </c>
      <c r="AW104" s="237">
        <f t="shared" si="42"/>
        <v>14</v>
      </c>
      <c r="AX104" s="237">
        <f t="shared" si="42"/>
        <v>15</v>
      </c>
      <c r="AY104" s="237">
        <f t="shared" si="42"/>
        <v>22</v>
      </c>
      <c r="AZ104" s="237">
        <f t="shared" si="42"/>
        <v>6</v>
      </c>
      <c r="BA104" s="237">
        <f t="shared" si="42"/>
        <v>7</v>
      </c>
      <c r="BB104" s="243">
        <f t="shared" si="42"/>
        <v>24</v>
      </c>
      <c r="BC104" s="236">
        <f t="shared" si="42"/>
        <v>13</v>
      </c>
      <c r="BD104" s="237">
        <f t="shared" si="42"/>
        <v>22</v>
      </c>
      <c r="BE104" s="237" t="str">
        <f t="shared" si="42"/>
        <v/>
      </c>
      <c r="BF104" s="237">
        <f t="shared" si="42"/>
        <v>6</v>
      </c>
      <c r="BG104" s="243" t="str">
        <f t="shared" si="42"/>
        <v/>
      </c>
      <c r="BH104" s="236" t="str">
        <f t="shared" si="42"/>
        <v/>
      </c>
      <c r="BI104" s="237">
        <f t="shared" si="42"/>
        <v>16</v>
      </c>
      <c r="BJ104" s="243" t="str">
        <f t="shared" si="42"/>
        <v/>
      </c>
      <c r="BK104" s="236">
        <f t="shared" si="42"/>
        <v>13</v>
      </c>
      <c r="BL104" s="237">
        <f t="shared" si="42"/>
        <v>17</v>
      </c>
      <c r="BM104" s="237" t="str">
        <f t="shared" si="42"/>
        <v/>
      </c>
      <c r="BN104" s="243">
        <f t="shared" si="42"/>
        <v>8</v>
      </c>
      <c r="BO104" s="236">
        <f t="shared" si="42"/>
        <v>23</v>
      </c>
      <c r="BP104" s="237">
        <f t="shared" ref="BP104:CI104" si="43">IF(COUNTIF(BP4:BP100,"m")&gt;0,COUNTIF(BP4:BP100,"m"),"")</f>
        <v>14</v>
      </c>
      <c r="BQ104" s="237">
        <f t="shared" si="43"/>
        <v>17</v>
      </c>
      <c r="BR104" s="237" t="str">
        <f t="shared" si="43"/>
        <v/>
      </c>
      <c r="BS104" s="237">
        <f t="shared" si="43"/>
        <v>2</v>
      </c>
      <c r="BT104" s="237">
        <f t="shared" si="43"/>
        <v>15</v>
      </c>
      <c r="BU104" s="237">
        <f t="shared" si="43"/>
        <v>20</v>
      </c>
      <c r="BV104" s="243" t="str">
        <f t="shared" si="43"/>
        <v/>
      </c>
      <c r="BW104" s="236">
        <f t="shared" si="43"/>
        <v>30</v>
      </c>
      <c r="BX104" s="237">
        <f t="shared" si="43"/>
        <v>21</v>
      </c>
      <c r="BY104" s="237">
        <f t="shared" si="43"/>
        <v>7</v>
      </c>
      <c r="BZ104" s="237">
        <f t="shared" si="43"/>
        <v>16</v>
      </c>
      <c r="CA104" s="237">
        <f t="shared" si="43"/>
        <v>4</v>
      </c>
      <c r="CB104" s="243">
        <f t="shared" si="43"/>
        <v>8</v>
      </c>
      <c r="CC104" s="236">
        <f t="shared" si="43"/>
        <v>4</v>
      </c>
      <c r="CD104" s="237">
        <f t="shared" si="43"/>
        <v>18</v>
      </c>
      <c r="CE104" s="243" t="str">
        <f t="shared" si="43"/>
        <v/>
      </c>
      <c r="CF104" s="236" t="str">
        <f t="shared" si="43"/>
        <v/>
      </c>
      <c r="CG104" s="237" t="str">
        <f t="shared" si="43"/>
        <v/>
      </c>
      <c r="CH104" s="237" t="str">
        <f t="shared" si="43"/>
        <v/>
      </c>
      <c r="CI104" s="238" t="str">
        <f t="shared" si="43"/>
        <v/>
      </c>
    </row>
    <row r="105" spans="2:105" x14ac:dyDescent="0.25">
      <c r="B105" s="435"/>
      <c r="C105" s="301" t="s">
        <v>220</v>
      </c>
      <c r="D105" s="295" t="str">
        <f t="shared" ref="D105:AI105" si="44">IF(COUNTIF(D4:D100,"s")&gt;0,COUNTIF(D4:D100,"s"),"")</f>
        <v/>
      </c>
      <c r="E105" s="237" t="str">
        <f t="shared" si="44"/>
        <v/>
      </c>
      <c r="F105" s="237" t="str">
        <f t="shared" si="44"/>
        <v/>
      </c>
      <c r="G105" s="237" t="str">
        <f t="shared" si="44"/>
        <v/>
      </c>
      <c r="H105" s="237" t="str">
        <f t="shared" si="44"/>
        <v/>
      </c>
      <c r="I105" s="237" t="str">
        <f t="shared" si="44"/>
        <v/>
      </c>
      <c r="J105" s="237" t="str">
        <f t="shared" si="44"/>
        <v/>
      </c>
      <c r="K105" s="243" t="str">
        <f t="shared" si="44"/>
        <v/>
      </c>
      <c r="L105" s="236" t="str">
        <f t="shared" si="44"/>
        <v/>
      </c>
      <c r="M105" s="237" t="str">
        <f t="shared" si="44"/>
        <v/>
      </c>
      <c r="N105" s="237" t="str">
        <f t="shared" si="44"/>
        <v/>
      </c>
      <c r="O105" s="243" t="str">
        <f t="shared" si="44"/>
        <v/>
      </c>
      <c r="P105" s="236" t="str">
        <f t="shared" si="44"/>
        <v/>
      </c>
      <c r="Q105" s="237" t="str">
        <f t="shared" si="44"/>
        <v/>
      </c>
      <c r="R105" s="237" t="str">
        <f t="shared" si="44"/>
        <v/>
      </c>
      <c r="S105" s="237" t="str">
        <f t="shared" si="44"/>
        <v/>
      </c>
      <c r="T105" s="237" t="str">
        <f t="shared" si="44"/>
        <v/>
      </c>
      <c r="U105" s="237" t="str">
        <f t="shared" si="44"/>
        <v/>
      </c>
      <c r="V105" s="237" t="str">
        <f t="shared" si="44"/>
        <v/>
      </c>
      <c r="W105" s="237" t="str">
        <f t="shared" si="44"/>
        <v/>
      </c>
      <c r="X105" s="237" t="str">
        <f t="shared" si="44"/>
        <v/>
      </c>
      <c r="Y105" s="237" t="str">
        <f t="shared" si="44"/>
        <v/>
      </c>
      <c r="Z105" s="237" t="str">
        <f t="shared" si="44"/>
        <v/>
      </c>
      <c r="AA105" s="237" t="str">
        <f t="shared" si="44"/>
        <v/>
      </c>
      <c r="AB105" s="237" t="str">
        <f t="shared" si="44"/>
        <v/>
      </c>
      <c r="AC105" s="237" t="str">
        <f t="shared" si="44"/>
        <v/>
      </c>
      <c r="AD105" s="237" t="str">
        <f t="shared" si="44"/>
        <v/>
      </c>
      <c r="AE105" s="237" t="str">
        <f t="shared" si="44"/>
        <v/>
      </c>
      <c r="AF105" s="237" t="str">
        <f t="shared" si="44"/>
        <v/>
      </c>
      <c r="AG105" s="237" t="str">
        <f t="shared" si="44"/>
        <v/>
      </c>
      <c r="AH105" s="237" t="str">
        <f t="shared" si="44"/>
        <v/>
      </c>
      <c r="AI105" s="243" t="str">
        <f t="shared" si="44"/>
        <v/>
      </c>
      <c r="AJ105" s="236" t="str">
        <f t="shared" ref="AJ105:BO105" si="45">IF(COUNTIF(AJ4:AJ100,"s")&gt;0,COUNTIF(AJ4:AJ100,"s"),"")</f>
        <v/>
      </c>
      <c r="AK105" s="237" t="str">
        <f t="shared" si="45"/>
        <v/>
      </c>
      <c r="AL105" s="243" t="str">
        <f t="shared" si="45"/>
        <v/>
      </c>
      <c r="AM105" s="236" t="str">
        <f t="shared" si="45"/>
        <v/>
      </c>
      <c r="AN105" s="237" t="str">
        <f t="shared" si="45"/>
        <v/>
      </c>
      <c r="AO105" s="243" t="str">
        <f t="shared" si="45"/>
        <v/>
      </c>
      <c r="AP105" s="236" t="str">
        <f t="shared" si="45"/>
        <v/>
      </c>
      <c r="AQ105" s="237" t="str">
        <f t="shared" si="45"/>
        <v/>
      </c>
      <c r="AR105" s="237" t="str">
        <f t="shared" si="45"/>
        <v/>
      </c>
      <c r="AS105" s="237" t="str">
        <f t="shared" si="45"/>
        <v/>
      </c>
      <c r="AT105" s="243" t="str">
        <f t="shared" si="45"/>
        <v/>
      </c>
      <c r="AU105" s="236">
        <f t="shared" si="45"/>
        <v>16</v>
      </c>
      <c r="AV105" s="237">
        <f t="shared" si="45"/>
        <v>19</v>
      </c>
      <c r="AW105" s="237">
        <f t="shared" si="45"/>
        <v>27</v>
      </c>
      <c r="AX105" s="237">
        <f t="shared" si="45"/>
        <v>38</v>
      </c>
      <c r="AY105" s="237">
        <f t="shared" si="45"/>
        <v>25</v>
      </c>
      <c r="AZ105" s="237">
        <f t="shared" si="45"/>
        <v>11</v>
      </c>
      <c r="BA105" s="237">
        <f t="shared" si="45"/>
        <v>13</v>
      </c>
      <c r="BB105" s="243">
        <f t="shared" si="45"/>
        <v>19</v>
      </c>
      <c r="BC105" s="236">
        <f t="shared" si="45"/>
        <v>11</v>
      </c>
      <c r="BD105" s="237">
        <f t="shared" si="45"/>
        <v>4</v>
      </c>
      <c r="BE105" s="237" t="str">
        <f t="shared" si="45"/>
        <v/>
      </c>
      <c r="BF105" s="237">
        <f t="shared" si="45"/>
        <v>15</v>
      </c>
      <c r="BG105" s="243" t="str">
        <f t="shared" si="45"/>
        <v/>
      </c>
      <c r="BH105" s="236" t="str">
        <f t="shared" si="45"/>
        <v/>
      </c>
      <c r="BI105" s="237">
        <f t="shared" si="45"/>
        <v>2</v>
      </c>
      <c r="BJ105" s="243" t="str">
        <f t="shared" si="45"/>
        <v/>
      </c>
      <c r="BK105" s="236">
        <f t="shared" si="45"/>
        <v>2</v>
      </c>
      <c r="BL105" s="237">
        <f t="shared" si="45"/>
        <v>9</v>
      </c>
      <c r="BM105" s="237" t="str">
        <f t="shared" si="45"/>
        <v/>
      </c>
      <c r="BN105" s="243">
        <f t="shared" si="45"/>
        <v>5</v>
      </c>
      <c r="BO105" s="236">
        <f t="shared" si="45"/>
        <v>9</v>
      </c>
      <c r="BP105" s="237">
        <f t="shared" ref="BP105:CI105" si="46">IF(COUNTIF(BP4:BP100,"s")&gt;0,COUNTIF(BP4:BP100,"s"),"")</f>
        <v>22</v>
      </c>
      <c r="BQ105" s="237">
        <f t="shared" si="46"/>
        <v>10</v>
      </c>
      <c r="BR105" s="237" t="str">
        <f t="shared" si="46"/>
        <v/>
      </c>
      <c r="BS105" s="237" t="str">
        <f t="shared" si="46"/>
        <v/>
      </c>
      <c r="BT105" s="237">
        <f t="shared" si="46"/>
        <v>12</v>
      </c>
      <c r="BU105" s="237">
        <f t="shared" si="46"/>
        <v>42</v>
      </c>
      <c r="BV105" s="243" t="str">
        <f t="shared" si="46"/>
        <v/>
      </c>
      <c r="BW105" s="236">
        <f t="shared" si="46"/>
        <v>16</v>
      </c>
      <c r="BX105" s="237">
        <f t="shared" si="46"/>
        <v>4</v>
      </c>
      <c r="BY105" s="237">
        <f t="shared" si="46"/>
        <v>22</v>
      </c>
      <c r="BZ105" s="237">
        <f t="shared" si="46"/>
        <v>27</v>
      </c>
      <c r="CA105" s="237">
        <f t="shared" si="46"/>
        <v>25</v>
      </c>
      <c r="CB105" s="243">
        <f t="shared" si="46"/>
        <v>22</v>
      </c>
      <c r="CC105" s="236">
        <f t="shared" si="46"/>
        <v>3</v>
      </c>
      <c r="CD105" s="237">
        <f t="shared" si="46"/>
        <v>9</v>
      </c>
      <c r="CE105" s="243" t="str">
        <f t="shared" si="46"/>
        <v/>
      </c>
      <c r="CF105" s="236" t="str">
        <f t="shared" si="46"/>
        <v/>
      </c>
      <c r="CG105" s="237" t="str">
        <f t="shared" si="46"/>
        <v/>
      </c>
      <c r="CH105" s="237" t="str">
        <f t="shared" si="46"/>
        <v/>
      </c>
      <c r="CI105" s="238" t="str">
        <f t="shared" si="46"/>
        <v/>
      </c>
    </row>
    <row r="106" spans="2:105" ht="15.75" thickBot="1" x14ac:dyDescent="0.3">
      <c r="B106" s="435"/>
      <c r="C106" s="302" t="s">
        <v>221</v>
      </c>
      <c r="D106" s="296" t="str">
        <f t="shared" ref="D106:AI106" si="47">IF(COUNTIF(D4:D100,"e")&gt;0,COUNTIF(D4:D100,"e"),"")</f>
        <v/>
      </c>
      <c r="E106" s="240" t="str">
        <f t="shared" si="47"/>
        <v/>
      </c>
      <c r="F106" s="240" t="str">
        <f t="shared" si="47"/>
        <v/>
      </c>
      <c r="G106" s="240" t="str">
        <f t="shared" si="47"/>
        <v/>
      </c>
      <c r="H106" s="240" t="str">
        <f t="shared" si="47"/>
        <v/>
      </c>
      <c r="I106" s="240" t="str">
        <f t="shared" si="47"/>
        <v/>
      </c>
      <c r="J106" s="240" t="str">
        <f t="shared" si="47"/>
        <v/>
      </c>
      <c r="K106" s="250" t="str">
        <f t="shared" si="47"/>
        <v/>
      </c>
      <c r="L106" s="239" t="str">
        <f t="shared" si="47"/>
        <v/>
      </c>
      <c r="M106" s="240" t="str">
        <f t="shared" si="47"/>
        <v/>
      </c>
      <c r="N106" s="240" t="str">
        <f t="shared" si="47"/>
        <v/>
      </c>
      <c r="O106" s="250" t="str">
        <f t="shared" si="47"/>
        <v/>
      </c>
      <c r="P106" s="239" t="str">
        <f t="shared" si="47"/>
        <v/>
      </c>
      <c r="Q106" s="240" t="str">
        <f t="shared" si="47"/>
        <v/>
      </c>
      <c r="R106" s="240" t="str">
        <f t="shared" si="47"/>
        <v/>
      </c>
      <c r="S106" s="240" t="str">
        <f t="shared" si="47"/>
        <v/>
      </c>
      <c r="T106" s="240" t="str">
        <f t="shared" si="47"/>
        <v/>
      </c>
      <c r="U106" s="240" t="str">
        <f t="shared" si="47"/>
        <v/>
      </c>
      <c r="V106" s="240" t="str">
        <f t="shared" si="47"/>
        <v/>
      </c>
      <c r="W106" s="240" t="str">
        <f t="shared" si="47"/>
        <v/>
      </c>
      <c r="X106" s="240" t="str">
        <f t="shared" si="47"/>
        <v/>
      </c>
      <c r="Y106" s="240" t="str">
        <f t="shared" si="47"/>
        <v/>
      </c>
      <c r="Z106" s="240" t="str">
        <f t="shared" si="47"/>
        <v/>
      </c>
      <c r="AA106" s="240" t="str">
        <f t="shared" si="47"/>
        <v/>
      </c>
      <c r="AB106" s="240" t="str">
        <f t="shared" si="47"/>
        <v/>
      </c>
      <c r="AC106" s="240" t="str">
        <f t="shared" si="47"/>
        <v/>
      </c>
      <c r="AD106" s="240" t="str">
        <f t="shared" si="47"/>
        <v/>
      </c>
      <c r="AE106" s="240" t="str">
        <f t="shared" si="47"/>
        <v/>
      </c>
      <c r="AF106" s="240" t="str">
        <f t="shared" si="47"/>
        <v/>
      </c>
      <c r="AG106" s="240" t="str">
        <f t="shared" si="47"/>
        <v/>
      </c>
      <c r="AH106" s="240" t="str">
        <f t="shared" si="47"/>
        <v/>
      </c>
      <c r="AI106" s="250" t="str">
        <f t="shared" si="47"/>
        <v/>
      </c>
      <c r="AJ106" s="239" t="str">
        <f t="shared" ref="AJ106:BO106" si="48">IF(COUNTIF(AJ4:AJ100,"e")&gt;0,COUNTIF(AJ4:AJ100,"e"),"")</f>
        <v/>
      </c>
      <c r="AK106" s="240" t="str">
        <f t="shared" si="48"/>
        <v/>
      </c>
      <c r="AL106" s="250" t="str">
        <f t="shared" si="48"/>
        <v/>
      </c>
      <c r="AM106" s="239" t="str">
        <f t="shared" si="48"/>
        <v/>
      </c>
      <c r="AN106" s="240" t="str">
        <f t="shared" si="48"/>
        <v/>
      </c>
      <c r="AO106" s="250" t="str">
        <f t="shared" si="48"/>
        <v/>
      </c>
      <c r="AP106" s="239" t="str">
        <f t="shared" si="48"/>
        <v/>
      </c>
      <c r="AQ106" s="240" t="str">
        <f t="shared" si="48"/>
        <v/>
      </c>
      <c r="AR106" s="240" t="str">
        <f t="shared" si="48"/>
        <v/>
      </c>
      <c r="AS106" s="240" t="str">
        <f t="shared" si="48"/>
        <v/>
      </c>
      <c r="AT106" s="250" t="str">
        <f t="shared" si="48"/>
        <v/>
      </c>
      <c r="AU106" s="239">
        <f t="shared" si="48"/>
        <v>6</v>
      </c>
      <c r="AV106" s="240">
        <f t="shared" si="48"/>
        <v>7</v>
      </c>
      <c r="AW106" s="240" t="str">
        <f t="shared" si="48"/>
        <v/>
      </c>
      <c r="AX106" s="240">
        <f t="shared" si="48"/>
        <v>5</v>
      </c>
      <c r="AY106" s="240">
        <f t="shared" si="48"/>
        <v>4</v>
      </c>
      <c r="AZ106" s="240">
        <f t="shared" si="48"/>
        <v>2</v>
      </c>
      <c r="BA106" s="240">
        <f t="shared" si="48"/>
        <v>2</v>
      </c>
      <c r="BB106" s="250">
        <f t="shared" si="48"/>
        <v>2</v>
      </c>
      <c r="BC106" s="239">
        <f t="shared" si="48"/>
        <v>3</v>
      </c>
      <c r="BD106" s="240" t="str">
        <f t="shared" si="48"/>
        <v/>
      </c>
      <c r="BE106" s="240" t="str">
        <f t="shared" si="48"/>
        <v/>
      </c>
      <c r="BF106" s="240">
        <f t="shared" si="48"/>
        <v>2</v>
      </c>
      <c r="BG106" s="250" t="str">
        <f t="shared" si="48"/>
        <v/>
      </c>
      <c r="BH106" s="239" t="str">
        <f t="shared" si="48"/>
        <v/>
      </c>
      <c r="BI106" s="240">
        <f t="shared" si="48"/>
        <v>1</v>
      </c>
      <c r="BJ106" s="250" t="str">
        <f t="shared" si="48"/>
        <v/>
      </c>
      <c r="BK106" s="239">
        <f t="shared" si="48"/>
        <v>1</v>
      </c>
      <c r="BL106" s="240" t="str">
        <f t="shared" si="48"/>
        <v/>
      </c>
      <c r="BM106" s="240" t="str">
        <f t="shared" si="48"/>
        <v/>
      </c>
      <c r="BN106" s="250">
        <f t="shared" si="48"/>
        <v>1</v>
      </c>
      <c r="BO106" s="239" t="str">
        <f t="shared" si="48"/>
        <v/>
      </c>
      <c r="BP106" s="240">
        <f t="shared" ref="BP106:CI106" si="49">IF(COUNTIF(BP4:BP100,"e")&gt;0,COUNTIF(BP4:BP100,"e"),"")</f>
        <v>4</v>
      </c>
      <c r="BQ106" s="240" t="str">
        <f t="shared" si="49"/>
        <v/>
      </c>
      <c r="BR106" s="240" t="str">
        <f t="shared" si="49"/>
        <v/>
      </c>
      <c r="BS106" s="240" t="str">
        <f t="shared" si="49"/>
        <v/>
      </c>
      <c r="BT106" s="240">
        <f t="shared" si="49"/>
        <v>2</v>
      </c>
      <c r="BU106" s="240">
        <f t="shared" si="49"/>
        <v>1</v>
      </c>
      <c r="BV106" s="250" t="str">
        <f t="shared" si="49"/>
        <v/>
      </c>
      <c r="BW106" s="239">
        <f t="shared" si="49"/>
        <v>5</v>
      </c>
      <c r="BX106" s="240" t="str">
        <f t="shared" si="49"/>
        <v/>
      </c>
      <c r="BY106" s="240">
        <f t="shared" si="49"/>
        <v>7</v>
      </c>
      <c r="BZ106" s="240">
        <f t="shared" si="49"/>
        <v>5</v>
      </c>
      <c r="CA106" s="240">
        <f t="shared" si="49"/>
        <v>13</v>
      </c>
      <c r="CB106" s="250">
        <f t="shared" si="49"/>
        <v>9</v>
      </c>
      <c r="CC106" s="239" t="str">
        <f t="shared" si="49"/>
        <v/>
      </c>
      <c r="CD106" s="240">
        <f t="shared" si="49"/>
        <v>2</v>
      </c>
      <c r="CE106" s="250" t="str">
        <f t="shared" si="49"/>
        <v/>
      </c>
      <c r="CF106" s="239" t="str">
        <f t="shared" si="49"/>
        <v/>
      </c>
      <c r="CG106" s="240" t="str">
        <f t="shared" si="49"/>
        <v/>
      </c>
      <c r="CH106" s="240" t="str">
        <f t="shared" si="49"/>
        <v/>
      </c>
      <c r="CI106" s="241" t="str">
        <f t="shared" si="49"/>
        <v/>
      </c>
    </row>
    <row r="107" spans="2:105" ht="12.75" customHeight="1" thickTop="1" thickBot="1" x14ac:dyDescent="0.3">
      <c r="B107" s="437"/>
      <c r="C107" s="248"/>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c r="AD107" s="249"/>
      <c r="AE107" s="249"/>
      <c r="AF107" s="249"/>
      <c r="AG107" s="249"/>
      <c r="AH107" s="249"/>
      <c r="AI107" s="249"/>
      <c r="AJ107" s="249"/>
      <c r="AK107" s="249"/>
      <c r="AL107" s="249"/>
      <c r="AM107" s="249"/>
      <c r="AN107" s="249"/>
      <c r="AO107" s="249"/>
      <c r="AP107" s="249"/>
      <c r="AQ107" s="249"/>
      <c r="AR107" s="249"/>
      <c r="AS107" s="249"/>
      <c r="AT107" s="249"/>
      <c r="AU107" s="249"/>
      <c r="AV107" s="249"/>
      <c r="AW107" s="249"/>
      <c r="AX107" s="249"/>
      <c r="AY107" s="249"/>
      <c r="AZ107" s="249"/>
      <c r="BA107" s="249"/>
      <c r="BB107" s="249"/>
      <c r="BC107" s="249"/>
      <c r="BD107" s="249"/>
      <c r="BE107" s="249"/>
      <c r="BF107" s="249"/>
      <c r="BG107" s="249"/>
      <c r="BH107" s="249"/>
      <c r="BI107" s="249"/>
      <c r="BJ107" s="249"/>
      <c r="BK107" s="249"/>
      <c r="BL107" s="249"/>
      <c r="BM107" s="249"/>
      <c r="BN107" s="249"/>
      <c r="BO107" s="249"/>
      <c r="BP107" s="249"/>
      <c r="BQ107" s="249"/>
      <c r="BR107" s="249"/>
      <c r="BS107" s="249"/>
      <c r="BT107" s="249"/>
      <c r="BU107" s="249"/>
      <c r="BV107" s="249"/>
      <c r="BW107" s="249"/>
      <c r="BX107" s="249"/>
      <c r="BY107" s="249"/>
      <c r="BZ107" s="249"/>
      <c r="CA107" s="249"/>
      <c r="CB107" s="249"/>
      <c r="CC107" s="249"/>
      <c r="CD107" s="249"/>
      <c r="CE107" s="249"/>
      <c r="CF107" s="249"/>
      <c r="CG107" s="249"/>
      <c r="CH107" s="249"/>
      <c r="CI107" s="249"/>
    </row>
    <row r="108" spans="2:105" ht="16.5" thickTop="1" thickBot="1" x14ac:dyDescent="0.3"/>
    <row r="109" spans="2:105" ht="16.5" thickTop="1" thickBot="1" x14ac:dyDescent="0.3">
      <c r="C109" s="297" t="s">
        <v>222</v>
      </c>
      <c r="D109" s="232">
        <f t="shared" ref="D109:AI109" si="50">SUM(D102:D106)</f>
        <v>0</v>
      </c>
      <c r="E109" s="246">
        <f t="shared" si="50"/>
        <v>0</v>
      </c>
      <c r="F109" s="246">
        <f t="shared" si="50"/>
        <v>0</v>
      </c>
      <c r="G109" s="246">
        <f t="shared" si="50"/>
        <v>0</v>
      </c>
      <c r="H109" s="246">
        <f t="shared" si="50"/>
        <v>0</v>
      </c>
      <c r="I109" s="246">
        <f t="shared" si="50"/>
        <v>0</v>
      </c>
      <c r="J109" s="246">
        <f t="shared" si="50"/>
        <v>0</v>
      </c>
      <c r="K109" s="244">
        <f t="shared" si="50"/>
        <v>0</v>
      </c>
      <c r="L109" s="245">
        <f t="shared" si="50"/>
        <v>0</v>
      </c>
      <c r="M109" s="246">
        <f t="shared" si="50"/>
        <v>0</v>
      </c>
      <c r="N109" s="246">
        <f t="shared" si="50"/>
        <v>0</v>
      </c>
      <c r="O109" s="244">
        <f t="shared" si="50"/>
        <v>0</v>
      </c>
      <c r="P109" s="245">
        <f t="shared" si="50"/>
        <v>0</v>
      </c>
      <c r="Q109" s="246">
        <f t="shared" si="50"/>
        <v>0</v>
      </c>
      <c r="R109" s="246">
        <f t="shared" si="50"/>
        <v>0</v>
      </c>
      <c r="S109" s="246">
        <f t="shared" si="50"/>
        <v>0</v>
      </c>
      <c r="T109" s="246">
        <f t="shared" si="50"/>
        <v>0</v>
      </c>
      <c r="U109" s="246">
        <f t="shared" si="50"/>
        <v>0</v>
      </c>
      <c r="V109" s="246">
        <f t="shared" si="50"/>
        <v>0</v>
      </c>
      <c r="W109" s="246">
        <f t="shared" si="50"/>
        <v>0</v>
      </c>
      <c r="X109" s="246">
        <f t="shared" si="50"/>
        <v>0</v>
      </c>
      <c r="Y109" s="246">
        <f t="shared" si="50"/>
        <v>0</v>
      </c>
      <c r="Z109" s="246">
        <f t="shared" si="50"/>
        <v>0</v>
      </c>
      <c r="AA109" s="246">
        <f t="shared" si="50"/>
        <v>0</v>
      </c>
      <c r="AB109" s="246">
        <f t="shared" si="50"/>
        <v>0</v>
      </c>
      <c r="AC109" s="246">
        <f t="shared" si="50"/>
        <v>0</v>
      </c>
      <c r="AD109" s="246">
        <f t="shared" si="50"/>
        <v>0</v>
      </c>
      <c r="AE109" s="246">
        <f t="shared" si="50"/>
        <v>0</v>
      </c>
      <c r="AF109" s="246">
        <f t="shared" si="50"/>
        <v>0</v>
      </c>
      <c r="AG109" s="246">
        <f t="shared" si="50"/>
        <v>0</v>
      </c>
      <c r="AH109" s="246">
        <f t="shared" si="50"/>
        <v>0</v>
      </c>
      <c r="AI109" s="244">
        <f t="shared" si="50"/>
        <v>0</v>
      </c>
      <c r="AJ109" s="245">
        <f t="shared" ref="AJ109:BO109" si="51">SUM(AJ102:AJ106)</f>
        <v>0</v>
      </c>
      <c r="AK109" s="246">
        <f t="shared" si="51"/>
        <v>0</v>
      </c>
      <c r="AL109" s="244">
        <f t="shared" si="51"/>
        <v>0</v>
      </c>
      <c r="AM109" s="245">
        <f t="shared" si="51"/>
        <v>0</v>
      </c>
      <c r="AN109" s="246">
        <f t="shared" si="51"/>
        <v>0</v>
      </c>
      <c r="AO109" s="244">
        <f t="shared" si="51"/>
        <v>0</v>
      </c>
      <c r="AP109" s="245">
        <f t="shared" si="51"/>
        <v>0</v>
      </c>
      <c r="AQ109" s="246">
        <f t="shared" si="51"/>
        <v>0</v>
      </c>
      <c r="AR109" s="246">
        <f t="shared" si="51"/>
        <v>0</v>
      </c>
      <c r="AS109" s="246">
        <f t="shared" si="51"/>
        <v>0</v>
      </c>
      <c r="AT109" s="244">
        <f t="shared" si="51"/>
        <v>0</v>
      </c>
      <c r="AU109" s="245">
        <f t="shared" si="51"/>
        <v>62</v>
      </c>
      <c r="AV109" s="246">
        <f t="shared" si="51"/>
        <v>65</v>
      </c>
      <c r="AW109" s="246">
        <f t="shared" si="51"/>
        <v>65</v>
      </c>
      <c r="AX109" s="246">
        <f t="shared" si="51"/>
        <v>65</v>
      </c>
      <c r="AY109" s="246">
        <f t="shared" si="51"/>
        <v>65</v>
      </c>
      <c r="AZ109" s="246">
        <f t="shared" si="51"/>
        <v>27</v>
      </c>
      <c r="BA109" s="246">
        <f t="shared" si="51"/>
        <v>29</v>
      </c>
      <c r="BB109" s="244">
        <f t="shared" si="51"/>
        <v>59</v>
      </c>
      <c r="BC109" s="245">
        <f t="shared" si="51"/>
        <v>65</v>
      </c>
      <c r="BD109" s="246">
        <f t="shared" si="51"/>
        <v>60</v>
      </c>
      <c r="BE109" s="246">
        <f t="shared" si="51"/>
        <v>0</v>
      </c>
      <c r="BF109" s="246">
        <f t="shared" si="51"/>
        <v>40</v>
      </c>
      <c r="BG109" s="244">
        <f t="shared" si="51"/>
        <v>0</v>
      </c>
      <c r="BH109" s="245">
        <f t="shared" si="51"/>
        <v>0</v>
      </c>
      <c r="BI109" s="246">
        <f t="shared" si="51"/>
        <v>27</v>
      </c>
      <c r="BJ109" s="244">
        <f t="shared" si="51"/>
        <v>0</v>
      </c>
      <c r="BK109" s="245">
        <f t="shared" si="51"/>
        <v>30</v>
      </c>
      <c r="BL109" s="246">
        <f t="shared" si="51"/>
        <v>35</v>
      </c>
      <c r="BM109" s="246">
        <f t="shared" si="51"/>
        <v>0</v>
      </c>
      <c r="BN109" s="244">
        <f t="shared" si="51"/>
        <v>31</v>
      </c>
      <c r="BO109" s="245">
        <f t="shared" si="51"/>
        <v>45</v>
      </c>
      <c r="BP109" s="246">
        <f t="shared" ref="BP109:CI109" si="52">SUM(BP102:BP106)</f>
        <v>43</v>
      </c>
      <c r="BQ109" s="246">
        <f t="shared" si="52"/>
        <v>36</v>
      </c>
      <c r="BR109" s="246">
        <f t="shared" si="52"/>
        <v>0</v>
      </c>
      <c r="BS109" s="246">
        <f t="shared" si="52"/>
        <v>39</v>
      </c>
      <c r="BT109" s="246">
        <f t="shared" si="52"/>
        <v>38</v>
      </c>
      <c r="BU109" s="246">
        <f t="shared" si="52"/>
        <v>65</v>
      </c>
      <c r="BV109" s="244">
        <f t="shared" si="52"/>
        <v>0</v>
      </c>
      <c r="BW109" s="245">
        <f t="shared" si="52"/>
        <v>63</v>
      </c>
      <c r="BX109" s="246">
        <f t="shared" si="52"/>
        <v>28</v>
      </c>
      <c r="BY109" s="246">
        <f t="shared" si="52"/>
        <v>48</v>
      </c>
      <c r="BZ109" s="246">
        <f t="shared" si="52"/>
        <v>56</v>
      </c>
      <c r="CA109" s="246">
        <f t="shared" si="52"/>
        <v>60</v>
      </c>
      <c r="CB109" s="244">
        <f t="shared" si="52"/>
        <v>54</v>
      </c>
      <c r="CC109" s="245">
        <f t="shared" si="52"/>
        <v>15</v>
      </c>
      <c r="CD109" s="246">
        <f t="shared" si="52"/>
        <v>47</v>
      </c>
      <c r="CE109" s="244">
        <f t="shared" si="52"/>
        <v>0</v>
      </c>
      <c r="CF109" s="245">
        <f t="shared" si="52"/>
        <v>0</v>
      </c>
      <c r="CG109" s="246">
        <f t="shared" si="52"/>
        <v>0</v>
      </c>
      <c r="CH109" s="246">
        <f t="shared" si="52"/>
        <v>0</v>
      </c>
      <c r="CI109" s="247">
        <f t="shared" si="52"/>
        <v>0</v>
      </c>
    </row>
    <row r="110" spans="2:105" ht="15.75" thickTop="1" x14ac:dyDescent="0.25"/>
  </sheetData>
  <mergeCells count="27">
    <mergeCell ref="B80:B95"/>
    <mergeCell ref="B96:B100"/>
    <mergeCell ref="B102:B107"/>
    <mergeCell ref="CK1:CO1"/>
    <mergeCell ref="CC1:CE1"/>
    <mergeCell ref="CF1:CI1"/>
    <mergeCell ref="B4:B17"/>
    <mergeCell ref="B18:B27"/>
    <mergeCell ref="B28:B38"/>
    <mergeCell ref="B39:B51"/>
    <mergeCell ref="AU1:BB1"/>
    <mergeCell ref="BC1:BG1"/>
    <mergeCell ref="BH1:BJ1"/>
    <mergeCell ref="BK1:BN1"/>
    <mergeCell ref="BO1:BV1"/>
    <mergeCell ref="BW1:CB1"/>
    <mergeCell ref="CQ1:CU1"/>
    <mergeCell ref="CW1:DA1"/>
    <mergeCell ref="A1:C1"/>
    <mergeCell ref="B52:B60"/>
    <mergeCell ref="B61:B79"/>
    <mergeCell ref="D1:K1"/>
    <mergeCell ref="L1:O1"/>
    <mergeCell ref="P1:AI1"/>
    <mergeCell ref="AJ1:AL1"/>
    <mergeCell ref="AM1:AO1"/>
    <mergeCell ref="AP1:AT1"/>
  </mergeCells>
  <conditionalFormatting sqref="D4:K16">
    <cfRule type="cellIs" dxfId="2257" priority="1" stopIfTrue="1" operator="equal">
      <formula>"E"</formula>
    </cfRule>
    <cfRule type="cellIs" dxfId="2256" priority="2" stopIfTrue="1" operator="equal">
      <formula>"S"</formula>
    </cfRule>
    <cfRule type="cellIs" dxfId="2255" priority="3" stopIfTrue="1" operator="equal">
      <formula>"M"</formula>
    </cfRule>
    <cfRule type="cellIs" dxfId="2254" priority="4" stopIfTrue="1" operator="equal">
      <formula>"J"</formula>
    </cfRule>
    <cfRule type="cellIs" dxfId="2253" priority="5" stopIfTrue="1" operator="equal">
      <formula>"O"</formula>
    </cfRule>
    <cfRule type="expression" dxfId="2252" priority="6" stopIfTrue="1">
      <formula>LEN(TRIM(D4))=0</formula>
    </cfRule>
  </conditionalFormatting>
  <conditionalFormatting sqref="L4:O16">
    <cfRule type="cellIs" dxfId="2251" priority="7" stopIfTrue="1" operator="equal">
      <formula>"E"</formula>
    </cfRule>
    <cfRule type="cellIs" dxfId="2250" priority="8" stopIfTrue="1" operator="equal">
      <formula>"S"</formula>
    </cfRule>
    <cfRule type="cellIs" dxfId="2249" priority="9" stopIfTrue="1" operator="equal">
      <formula>"M"</formula>
    </cfRule>
    <cfRule type="cellIs" dxfId="2248" priority="10" stopIfTrue="1" operator="equal">
      <formula>"J"</formula>
    </cfRule>
    <cfRule type="cellIs" dxfId="2247" priority="11" stopIfTrue="1" operator="equal">
      <formula>"O"</formula>
    </cfRule>
    <cfRule type="expression" dxfId="2246" priority="12" stopIfTrue="1">
      <formula>LEN(TRIM(L4))=0</formula>
    </cfRule>
  </conditionalFormatting>
  <conditionalFormatting sqref="P4:AI16">
    <cfRule type="cellIs" dxfId="2245" priority="13" stopIfTrue="1" operator="equal">
      <formula>"E"</formula>
    </cfRule>
    <cfRule type="cellIs" dxfId="2244" priority="14" stopIfTrue="1" operator="equal">
      <formula>"S"</formula>
    </cfRule>
    <cfRule type="cellIs" dxfId="2243" priority="15" stopIfTrue="1" operator="equal">
      <formula>"M"</formula>
    </cfRule>
    <cfRule type="cellIs" dxfId="2242" priority="16" stopIfTrue="1" operator="equal">
      <formula>"J"</formula>
    </cfRule>
    <cfRule type="cellIs" dxfId="2241" priority="17" stopIfTrue="1" operator="equal">
      <formula>"O"</formula>
    </cfRule>
    <cfRule type="expression" dxfId="2240" priority="18" stopIfTrue="1">
      <formula>LEN(TRIM(P4))=0</formula>
    </cfRule>
  </conditionalFormatting>
  <conditionalFormatting sqref="AJ4:AL16">
    <cfRule type="cellIs" dxfId="2239" priority="19" stopIfTrue="1" operator="equal">
      <formula>"E"</formula>
    </cfRule>
    <cfRule type="cellIs" dxfId="2238" priority="20" stopIfTrue="1" operator="equal">
      <formula>"S"</formula>
    </cfRule>
    <cfRule type="cellIs" dxfId="2237" priority="21" stopIfTrue="1" operator="equal">
      <formula>"M"</formula>
    </cfRule>
    <cfRule type="cellIs" dxfId="2236" priority="22" stopIfTrue="1" operator="equal">
      <formula>"J"</formula>
    </cfRule>
    <cfRule type="cellIs" dxfId="2235" priority="23" stopIfTrue="1" operator="equal">
      <formula>"O"</formula>
    </cfRule>
    <cfRule type="expression" dxfId="2234" priority="24" stopIfTrue="1">
      <formula>LEN(TRIM(AJ4))=0</formula>
    </cfRule>
  </conditionalFormatting>
  <conditionalFormatting sqref="AM4:AO16">
    <cfRule type="cellIs" dxfId="2233" priority="25" stopIfTrue="1" operator="equal">
      <formula>"E"</formula>
    </cfRule>
    <cfRule type="cellIs" dxfId="2232" priority="26" stopIfTrue="1" operator="equal">
      <formula>"S"</formula>
    </cfRule>
    <cfRule type="cellIs" dxfId="2231" priority="27" stopIfTrue="1" operator="equal">
      <formula>"M"</formula>
    </cfRule>
    <cfRule type="cellIs" dxfId="2230" priority="28" stopIfTrue="1" operator="equal">
      <formula>"J"</formula>
    </cfRule>
    <cfRule type="cellIs" dxfId="2229" priority="29" stopIfTrue="1" operator="equal">
      <formula>"O"</formula>
    </cfRule>
    <cfRule type="expression" dxfId="2228" priority="30" stopIfTrue="1">
      <formula>LEN(TRIM(AM4))=0</formula>
    </cfRule>
  </conditionalFormatting>
  <conditionalFormatting sqref="AP4:AT16">
    <cfRule type="cellIs" dxfId="2227" priority="31" stopIfTrue="1" operator="equal">
      <formula>"E"</formula>
    </cfRule>
    <cfRule type="cellIs" dxfId="2226" priority="32" stopIfTrue="1" operator="equal">
      <formula>"S"</formula>
    </cfRule>
    <cfRule type="cellIs" dxfId="2225" priority="33" stopIfTrue="1" operator="equal">
      <formula>"M"</formula>
    </cfRule>
    <cfRule type="cellIs" dxfId="2224" priority="34" stopIfTrue="1" operator="equal">
      <formula>"J"</formula>
    </cfRule>
    <cfRule type="cellIs" dxfId="2223" priority="35" stopIfTrue="1" operator="equal">
      <formula>"O"</formula>
    </cfRule>
    <cfRule type="expression" dxfId="2222" priority="36" stopIfTrue="1">
      <formula>LEN(TRIM(AP4))=0</formula>
    </cfRule>
  </conditionalFormatting>
  <conditionalFormatting sqref="AU4:BB16">
    <cfRule type="cellIs" dxfId="2221" priority="37" stopIfTrue="1" operator="equal">
      <formula>"E"</formula>
    </cfRule>
    <cfRule type="cellIs" dxfId="2220" priority="38" stopIfTrue="1" operator="equal">
      <formula>"S"</formula>
    </cfRule>
    <cfRule type="cellIs" dxfId="2219" priority="39" stopIfTrue="1" operator="equal">
      <formula>"M"</formula>
    </cfRule>
    <cfRule type="cellIs" dxfId="2218" priority="40" stopIfTrue="1" operator="equal">
      <formula>"J"</formula>
    </cfRule>
    <cfRule type="cellIs" dxfId="2217" priority="41" stopIfTrue="1" operator="equal">
      <formula>"O"</formula>
    </cfRule>
    <cfRule type="expression" dxfId="2216" priority="42" stopIfTrue="1">
      <formula>LEN(TRIM(AU4))=0</formula>
    </cfRule>
  </conditionalFormatting>
  <conditionalFormatting sqref="BC4:BG16">
    <cfRule type="cellIs" dxfId="2215" priority="43" stopIfTrue="1" operator="equal">
      <formula>"E"</formula>
    </cfRule>
    <cfRule type="cellIs" dxfId="2214" priority="44" stopIfTrue="1" operator="equal">
      <formula>"S"</formula>
    </cfRule>
    <cfRule type="cellIs" dxfId="2213" priority="45" stopIfTrue="1" operator="equal">
      <formula>"M"</formula>
    </cfRule>
    <cfRule type="cellIs" dxfId="2212" priority="46" stopIfTrue="1" operator="equal">
      <formula>"J"</formula>
    </cfRule>
    <cfRule type="cellIs" dxfId="2211" priority="47" stopIfTrue="1" operator="equal">
      <formula>"O"</formula>
    </cfRule>
    <cfRule type="expression" dxfId="2210" priority="48" stopIfTrue="1">
      <formula>LEN(TRIM(BC4))=0</formula>
    </cfRule>
  </conditionalFormatting>
  <conditionalFormatting sqref="BH4:BJ16">
    <cfRule type="cellIs" dxfId="2209" priority="49" stopIfTrue="1" operator="equal">
      <formula>"E"</formula>
    </cfRule>
    <cfRule type="cellIs" dxfId="2208" priority="50" stopIfTrue="1" operator="equal">
      <formula>"S"</formula>
    </cfRule>
    <cfRule type="cellIs" dxfId="2207" priority="51" stopIfTrue="1" operator="equal">
      <formula>"M"</formula>
    </cfRule>
    <cfRule type="cellIs" dxfId="2206" priority="52" stopIfTrue="1" operator="equal">
      <formula>"J"</formula>
    </cfRule>
    <cfRule type="cellIs" dxfId="2205" priority="53" stopIfTrue="1" operator="equal">
      <formula>"O"</formula>
    </cfRule>
    <cfRule type="expression" dxfId="2204" priority="54" stopIfTrue="1">
      <formula>LEN(TRIM(BH4))=0</formula>
    </cfRule>
  </conditionalFormatting>
  <conditionalFormatting sqref="BK4:BN16">
    <cfRule type="cellIs" dxfId="2203" priority="55" stopIfTrue="1" operator="equal">
      <formula>"E"</formula>
    </cfRule>
    <cfRule type="cellIs" dxfId="2202" priority="56" stopIfTrue="1" operator="equal">
      <formula>"S"</formula>
    </cfRule>
    <cfRule type="cellIs" dxfId="2201" priority="57" stopIfTrue="1" operator="equal">
      <formula>"M"</formula>
    </cfRule>
    <cfRule type="cellIs" dxfId="2200" priority="58" stopIfTrue="1" operator="equal">
      <formula>"J"</formula>
    </cfRule>
    <cfRule type="cellIs" dxfId="2199" priority="59" stopIfTrue="1" operator="equal">
      <formula>"O"</formula>
    </cfRule>
    <cfRule type="expression" dxfId="2198" priority="60" stopIfTrue="1">
      <formula>LEN(TRIM(BK4))=0</formula>
    </cfRule>
  </conditionalFormatting>
  <conditionalFormatting sqref="BO4:BV16">
    <cfRule type="cellIs" dxfId="2197" priority="61" stopIfTrue="1" operator="equal">
      <formula>"E"</formula>
    </cfRule>
    <cfRule type="cellIs" dxfId="2196" priority="62" stopIfTrue="1" operator="equal">
      <formula>"S"</formula>
    </cfRule>
    <cfRule type="cellIs" dxfId="2195" priority="63" stopIfTrue="1" operator="equal">
      <formula>"M"</formula>
    </cfRule>
    <cfRule type="cellIs" dxfId="2194" priority="64" stopIfTrue="1" operator="equal">
      <formula>"J"</formula>
    </cfRule>
    <cfRule type="cellIs" dxfId="2193" priority="65" stopIfTrue="1" operator="equal">
      <formula>"O"</formula>
    </cfRule>
    <cfRule type="expression" dxfId="2192" priority="66" stopIfTrue="1">
      <formula>LEN(TRIM(BO4))=0</formula>
    </cfRule>
  </conditionalFormatting>
  <conditionalFormatting sqref="BW4:CB16">
    <cfRule type="cellIs" dxfId="2191" priority="67" stopIfTrue="1" operator="equal">
      <formula>"E"</formula>
    </cfRule>
    <cfRule type="cellIs" dxfId="2190" priority="68" stopIfTrue="1" operator="equal">
      <formula>"S"</formula>
    </cfRule>
    <cfRule type="cellIs" dxfId="2189" priority="69" stopIfTrue="1" operator="equal">
      <formula>"M"</formula>
    </cfRule>
    <cfRule type="cellIs" dxfId="2188" priority="70" stopIfTrue="1" operator="equal">
      <formula>"J"</formula>
    </cfRule>
    <cfRule type="cellIs" dxfId="2187" priority="71" stopIfTrue="1" operator="equal">
      <formula>"O"</formula>
    </cfRule>
    <cfRule type="expression" dxfId="2186" priority="72" stopIfTrue="1">
      <formula>LEN(TRIM(BW4))=0</formula>
    </cfRule>
  </conditionalFormatting>
  <conditionalFormatting sqref="CC4:CE16">
    <cfRule type="cellIs" dxfId="2185" priority="73" stopIfTrue="1" operator="equal">
      <formula>"E"</formula>
    </cfRule>
    <cfRule type="cellIs" dxfId="2184" priority="74" stopIfTrue="1" operator="equal">
      <formula>"S"</formula>
    </cfRule>
    <cfRule type="cellIs" dxfId="2183" priority="75" stopIfTrue="1" operator="equal">
      <formula>"M"</formula>
    </cfRule>
    <cfRule type="cellIs" dxfId="2182" priority="76" stopIfTrue="1" operator="equal">
      <formula>"J"</formula>
    </cfRule>
    <cfRule type="cellIs" dxfId="2181" priority="77" stopIfTrue="1" operator="equal">
      <formula>"O"</formula>
    </cfRule>
    <cfRule type="expression" dxfId="2180" priority="78" stopIfTrue="1">
      <formula>LEN(TRIM(CC4))=0</formula>
    </cfRule>
  </conditionalFormatting>
  <conditionalFormatting sqref="CF4:CI16">
    <cfRule type="cellIs" dxfId="2179" priority="79" stopIfTrue="1" operator="equal">
      <formula>"E"</formula>
    </cfRule>
    <cfRule type="cellIs" dxfId="2178" priority="80" stopIfTrue="1" operator="equal">
      <formula>"S"</formula>
    </cfRule>
    <cfRule type="cellIs" dxfId="2177" priority="81" stopIfTrue="1" operator="equal">
      <formula>"M"</formula>
    </cfRule>
    <cfRule type="cellIs" dxfId="2176" priority="82" stopIfTrue="1" operator="equal">
      <formula>"J"</formula>
    </cfRule>
    <cfRule type="cellIs" dxfId="2175" priority="83" stopIfTrue="1" operator="equal">
      <formula>"O"</formula>
    </cfRule>
    <cfRule type="expression" dxfId="2174" priority="84" stopIfTrue="1">
      <formula>LEN(TRIM(CF4))=0</formula>
    </cfRule>
  </conditionalFormatting>
  <conditionalFormatting sqref="CK4:CO16">
    <cfRule type="cellIs" dxfId="2173" priority="85" stopIfTrue="1" operator="equal">
      <formula>"E"</formula>
    </cfRule>
    <cfRule type="cellIs" dxfId="2172" priority="86" stopIfTrue="1" operator="equal">
      <formula>"S"</formula>
    </cfRule>
    <cfRule type="cellIs" dxfId="2171" priority="87" stopIfTrue="1" operator="equal">
      <formula>"M"</formula>
    </cfRule>
    <cfRule type="cellIs" dxfId="2170" priority="88" stopIfTrue="1" operator="equal">
      <formula>"J"</formula>
    </cfRule>
    <cfRule type="cellIs" dxfId="2169" priority="89" stopIfTrue="1" operator="equal">
      <formula>"O"</formula>
    </cfRule>
    <cfRule type="expression" dxfId="2168" priority="90" stopIfTrue="1">
      <formula>LEN(TRIM(CK4))=0</formula>
    </cfRule>
  </conditionalFormatting>
  <conditionalFormatting sqref="CQ4:CU16">
    <cfRule type="cellIs" dxfId="2167" priority="91" stopIfTrue="1" operator="equal">
      <formula>"E"</formula>
    </cfRule>
    <cfRule type="cellIs" dxfId="2166" priority="92" stopIfTrue="1" operator="equal">
      <formula>"S"</formula>
    </cfRule>
    <cfRule type="cellIs" dxfId="2165" priority="93" stopIfTrue="1" operator="equal">
      <formula>"M"</formula>
    </cfRule>
    <cfRule type="cellIs" dxfId="2164" priority="94" stopIfTrue="1" operator="equal">
      <formula>"J"</formula>
    </cfRule>
    <cfRule type="cellIs" dxfId="2163" priority="95" stopIfTrue="1" operator="equal">
      <formula>"O"</formula>
    </cfRule>
    <cfRule type="expression" dxfId="2162" priority="96" stopIfTrue="1">
      <formula>LEN(TRIM(CQ4))=0</formula>
    </cfRule>
  </conditionalFormatting>
  <conditionalFormatting sqref="CW4:DA16">
    <cfRule type="cellIs" dxfId="2161" priority="97" stopIfTrue="1" operator="equal">
      <formula>"E"</formula>
    </cfRule>
    <cfRule type="cellIs" dxfId="2160" priority="98" stopIfTrue="1" operator="equal">
      <formula>"S"</formula>
    </cfRule>
    <cfRule type="cellIs" dxfId="2159" priority="99" stopIfTrue="1" operator="equal">
      <formula>"M"</formula>
    </cfRule>
    <cfRule type="cellIs" dxfId="2158" priority="100" stopIfTrue="1" operator="equal">
      <formula>"J"</formula>
    </cfRule>
    <cfRule type="cellIs" dxfId="2157" priority="101" stopIfTrue="1" operator="equal">
      <formula>"O"</formula>
    </cfRule>
    <cfRule type="expression" dxfId="2156" priority="102" stopIfTrue="1">
      <formula>LEN(TRIM(CW4))=0</formula>
    </cfRule>
  </conditionalFormatting>
  <conditionalFormatting sqref="D18:K26">
    <cfRule type="cellIs" dxfId="2155" priority="103" stopIfTrue="1" operator="equal">
      <formula>"E"</formula>
    </cfRule>
    <cfRule type="cellIs" dxfId="2154" priority="104" stopIfTrue="1" operator="equal">
      <formula>"S"</formula>
    </cfRule>
    <cfRule type="cellIs" dxfId="2153" priority="105" stopIfTrue="1" operator="equal">
      <formula>"M"</formula>
    </cfRule>
    <cfRule type="cellIs" dxfId="2152" priority="106" stopIfTrue="1" operator="equal">
      <formula>"J"</formula>
    </cfRule>
    <cfRule type="cellIs" dxfId="2151" priority="107" stopIfTrue="1" operator="equal">
      <formula>"O"</formula>
    </cfRule>
    <cfRule type="expression" dxfId="2150" priority="108" stopIfTrue="1">
      <formula>LEN(TRIM(D18))=0</formula>
    </cfRule>
  </conditionalFormatting>
  <conditionalFormatting sqref="L18:O26">
    <cfRule type="cellIs" dxfId="2149" priority="109" stopIfTrue="1" operator="equal">
      <formula>"E"</formula>
    </cfRule>
    <cfRule type="cellIs" dxfId="2148" priority="110" stopIfTrue="1" operator="equal">
      <formula>"S"</formula>
    </cfRule>
    <cfRule type="cellIs" dxfId="2147" priority="111" stopIfTrue="1" operator="equal">
      <formula>"M"</formula>
    </cfRule>
    <cfRule type="cellIs" dxfId="2146" priority="112" stopIfTrue="1" operator="equal">
      <formula>"J"</formula>
    </cfRule>
    <cfRule type="cellIs" dxfId="2145" priority="113" stopIfTrue="1" operator="equal">
      <formula>"O"</formula>
    </cfRule>
    <cfRule type="expression" dxfId="2144" priority="114" stopIfTrue="1">
      <formula>LEN(TRIM(L18))=0</formula>
    </cfRule>
  </conditionalFormatting>
  <conditionalFormatting sqref="P18:AI26">
    <cfRule type="cellIs" dxfId="2143" priority="115" stopIfTrue="1" operator="equal">
      <formula>"E"</formula>
    </cfRule>
    <cfRule type="cellIs" dxfId="2142" priority="116" stopIfTrue="1" operator="equal">
      <formula>"S"</formula>
    </cfRule>
    <cfRule type="cellIs" dxfId="2141" priority="117" stopIfTrue="1" operator="equal">
      <formula>"M"</formula>
    </cfRule>
    <cfRule type="cellIs" dxfId="2140" priority="118" stopIfTrue="1" operator="equal">
      <formula>"J"</formula>
    </cfRule>
    <cfRule type="cellIs" dxfId="2139" priority="119" stopIfTrue="1" operator="equal">
      <formula>"O"</formula>
    </cfRule>
    <cfRule type="expression" dxfId="2138" priority="120" stopIfTrue="1">
      <formula>LEN(TRIM(P18))=0</formula>
    </cfRule>
  </conditionalFormatting>
  <conditionalFormatting sqref="AJ18:AL26">
    <cfRule type="cellIs" dxfId="2137" priority="121" stopIfTrue="1" operator="equal">
      <formula>"E"</formula>
    </cfRule>
    <cfRule type="cellIs" dxfId="2136" priority="122" stopIfTrue="1" operator="equal">
      <formula>"S"</formula>
    </cfRule>
    <cfRule type="cellIs" dxfId="2135" priority="123" stopIfTrue="1" operator="equal">
      <formula>"M"</formula>
    </cfRule>
    <cfRule type="cellIs" dxfId="2134" priority="124" stopIfTrue="1" operator="equal">
      <formula>"J"</formula>
    </cfRule>
    <cfRule type="cellIs" dxfId="2133" priority="125" stopIfTrue="1" operator="equal">
      <formula>"O"</formula>
    </cfRule>
    <cfRule type="expression" dxfId="2132" priority="126" stopIfTrue="1">
      <formula>LEN(TRIM(AJ18))=0</formula>
    </cfRule>
  </conditionalFormatting>
  <conditionalFormatting sqref="AM18:AO26">
    <cfRule type="cellIs" dxfId="2131" priority="127" stopIfTrue="1" operator="equal">
      <formula>"E"</formula>
    </cfRule>
    <cfRule type="cellIs" dxfId="2130" priority="128" stopIfTrue="1" operator="equal">
      <formula>"S"</formula>
    </cfRule>
    <cfRule type="cellIs" dxfId="2129" priority="129" stopIfTrue="1" operator="equal">
      <formula>"M"</formula>
    </cfRule>
    <cfRule type="cellIs" dxfId="2128" priority="130" stopIfTrue="1" operator="equal">
      <formula>"J"</formula>
    </cfRule>
    <cfRule type="cellIs" dxfId="2127" priority="131" stopIfTrue="1" operator="equal">
      <formula>"O"</formula>
    </cfRule>
    <cfRule type="expression" dxfId="2126" priority="132" stopIfTrue="1">
      <formula>LEN(TRIM(AM18))=0</formula>
    </cfRule>
  </conditionalFormatting>
  <conditionalFormatting sqref="AP18:AT26">
    <cfRule type="cellIs" dxfId="2125" priority="133" stopIfTrue="1" operator="equal">
      <formula>"E"</formula>
    </cfRule>
    <cfRule type="cellIs" dxfId="2124" priority="134" stopIfTrue="1" operator="equal">
      <formula>"S"</formula>
    </cfRule>
    <cfRule type="cellIs" dxfId="2123" priority="135" stopIfTrue="1" operator="equal">
      <formula>"M"</formula>
    </cfRule>
    <cfRule type="cellIs" dxfId="2122" priority="136" stopIfTrue="1" operator="equal">
      <formula>"J"</formula>
    </cfRule>
    <cfRule type="cellIs" dxfId="2121" priority="137" stopIfTrue="1" operator="equal">
      <formula>"O"</formula>
    </cfRule>
    <cfRule type="expression" dxfId="2120" priority="138" stopIfTrue="1">
      <formula>LEN(TRIM(AP18))=0</formula>
    </cfRule>
  </conditionalFormatting>
  <conditionalFormatting sqref="AU18:BB26">
    <cfRule type="cellIs" dxfId="2119" priority="139" stopIfTrue="1" operator="equal">
      <formula>"E"</formula>
    </cfRule>
  </conditionalFormatting>
  <conditionalFormatting sqref="AU18:BB26">
    <cfRule type="cellIs" dxfId="2118" priority="140" stopIfTrue="1" operator="equal">
      <formula>"S"</formula>
    </cfRule>
  </conditionalFormatting>
  <conditionalFormatting sqref="AU18:BB26">
    <cfRule type="cellIs" dxfId="2117" priority="141" stopIfTrue="1" operator="equal">
      <formula>"M"</formula>
    </cfRule>
  </conditionalFormatting>
  <conditionalFormatting sqref="AU18:BB26">
    <cfRule type="cellIs" dxfId="2116" priority="142" stopIfTrue="1" operator="equal">
      <formula>"J"</formula>
    </cfRule>
  </conditionalFormatting>
  <conditionalFormatting sqref="AU18:BB26">
    <cfRule type="cellIs" dxfId="2115" priority="143" stopIfTrue="1" operator="equal">
      <formula>"O"</formula>
    </cfRule>
  </conditionalFormatting>
  <conditionalFormatting sqref="AU18:BB26">
    <cfRule type="expression" dxfId="2114" priority="144" stopIfTrue="1">
      <formula>LEN(TRIM(AU18))=0</formula>
    </cfRule>
  </conditionalFormatting>
  <conditionalFormatting sqref="BC18:BG26">
    <cfRule type="cellIs" dxfId="2113" priority="145" stopIfTrue="1" operator="equal">
      <formula>"E"</formula>
    </cfRule>
  </conditionalFormatting>
  <conditionalFormatting sqref="BC18:BG26">
    <cfRule type="cellIs" dxfId="2112" priority="146" stopIfTrue="1" operator="equal">
      <formula>"S"</formula>
    </cfRule>
  </conditionalFormatting>
  <conditionalFormatting sqref="BC18:BG26">
    <cfRule type="cellIs" dxfId="2111" priority="147" stopIfTrue="1" operator="equal">
      <formula>"M"</formula>
    </cfRule>
  </conditionalFormatting>
  <conditionalFormatting sqref="BC18:BG26">
    <cfRule type="cellIs" dxfId="2110" priority="148" stopIfTrue="1" operator="equal">
      <formula>"J"</formula>
    </cfRule>
  </conditionalFormatting>
  <conditionalFormatting sqref="BC18:BG26">
    <cfRule type="cellIs" dxfId="2109" priority="149" stopIfTrue="1" operator="equal">
      <formula>"O"</formula>
    </cfRule>
  </conditionalFormatting>
  <conditionalFormatting sqref="BC18:BG26">
    <cfRule type="expression" dxfId="2108" priority="150" stopIfTrue="1">
      <formula>LEN(TRIM(BC18))=0</formula>
    </cfRule>
  </conditionalFormatting>
  <conditionalFormatting sqref="BH18:BJ26">
    <cfRule type="cellIs" dxfId="2107" priority="151" stopIfTrue="1" operator="equal">
      <formula>"E"</formula>
    </cfRule>
  </conditionalFormatting>
  <conditionalFormatting sqref="BH18:BJ26">
    <cfRule type="cellIs" dxfId="2106" priority="152" stopIfTrue="1" operator="equal">
      <formula>"S"</formula>
    </cfRule>
  </conditionalFormatting>
  <conditionalFormatting sqref="BH18:BJ26">
    <cfRule type="cellIs" dxfId="2105" priority="153" stopIfTrue="1" operator="equal">
      <formula>"M"</formula>
    </cfRule>
  </conditionalFormatting>
  <conditionalFormatting sqref="BH18:BJ26">
    <cfRule type="cellIs" dxfId="2104" priority="154" stopIfTrue="1" operator="equal">
      <formula>"J"</formula>
    </cfRule>
  </conditionalFormatting>
  <conditionalFormatting sqref="BH18:BJ26">
    <cfRule type="cellIs" dxfId="2103" priority="155" stopIfTrue="1" operator="equal">
      <formula>"O"</formula>
    </cfRule>
  </conditionalFormatting>
  <conditionalFormatting sqref="BH18:BJ26">
    <cfRule type="expression" dxfId="2102" priority="156" stopIfTrue="1">
      <formula>LEN(TRIM(BH18))=0</formula>
    </cfRule>
  </conditionalFormatting>
  <conditionalFormatting sqref="BK18:BN26">
    <cfRule type="cellIs" dxfId="2101" priority="157" stopIfTrue="1" operator="equal">
      <formula>"E"</formula>
    </cfRule>
  </conditionalFormatting>
  <conditionalFormatting sqref="BK18:BN26">
    <cfRule type="cellIs" dxfId="2100" priority="158" stopIfTrue="1" operator="equal">
      <formula>"S"</formula>
    </cfRule>
  </conditionalFormatting>
  <conditionalFormatting sqref="BK18:BN26">
    <cfRule type="cellIs" dxfId="2099" priority="159" stopIfTrue="1" operator="equal">
      <formula>"M"</formula>
    </cfRule>
  </conditionalFormatting>
  <conditionalFormatting sqref="BK18:BN26">
    <cfRule type="cellIs" dxfId="2098" priority="160" stopIfTrue="1" operator="equal">
      <formula>"J"</formula>
    </cfRule>
  </conditionalFormatting>
  <conditionalFormatting sqref="BK18:BN26">
    <cfRule type="cellIs" dxfId="2097" priority="161" stopIfTrue="1" operator="equal">
      <formula>"O"</formula>
    </cfRule>
  </conditionalFormatting>
  <conditionalFormatting sqref="BK18:BN26">
    <cfRule type="expression" dxfId="2096" priority="162" stopIfTrue="1">
      <formula>LEN(TRIM(BK18))=0</formula>
    </cfRule>
  </conditionalFormatting>
  <conditionalFormatting sqref="BO18:BV26">
    <cfRule type="cellIs" dxfId="2095" priority="163" stopIfTrue="1" operator="equal">
      <formula>"E"</formula>
    </cfRule>
  </conditionalFormatting>
  <conditionalFormatting sqref="BO18:BV26">
    <cfRule type="cellIs" dxfId="2094" priority="164" stopIfTrue="1" operator="equal">
      <formula>"S"</formula>
    </cfRule>
  </conditionalFormatting>
  <conditionalFormatting sqref="BO18:BV26">
    <cfRule type="cellIs" dxfId="2093" priority="165" stopIfTrue="1" operator="equal">
      <formula>"M"</formula>
    </cfRule>
  </conditionalFormatting>
  <conditionalFormatting sqref="BO18:BV26">
    <cfRule type="cellIs" dxfId="2092" priority="166" stopIfTrue="1" operator="equal">
      <formula>"J"</formula>
    </cfRule>
  </conditionalFormatting>
  <conditionalFormatting sqref="BO18:BV26">
    <cfRule type="cellIs" dxfId="2091" priority="167" stopIfTrue="1" operator="equal">
      <formula>"O"</formula>
    </cfRule>
  </conditionalFormatting>
  <conditionalFormatting sqref="BO18:BV26">
    <cfRule type="expression" dxfId="2090" priority="168" stopIfTrue="1">
      <formula>LEN(TRIM(BO18))=0</formula>
    </cfRule>
  </conditionalFormatting>
  <conditionalFormatting sqref="BW18:CB26">
    <cfRule type="cellIs" dxfId="2089" priority="169" stopIfTrue="1" operator="equal">
      <formula>"E"</formula>
    </cfRule>
  </conditionalFormatting>
  <conditionalFormatting sqref="BW18:CB26">
    <cfRule type="cellIs" dxfId="2088" priority="170" stopIfTrue="1" operator="equal">
      <formula>"S"</formula>
    </cfRule>
  </conditionalFormatting>
  <conditionalFormatting sqref="BW18:CB26">
    <cfRule type="cellIs" dxfId="2087" priority="171" stopIfTrue="1" operator="equal">
      <formula>"M"</formula>
    </cfRule>
  </conditionalFormatting>
  <conditionalFormatting sqref="BW18:CB26">
    <cfRule type="cellIs" dxfId="2086" priority="172" stopIfTrue="1" operator="equal">
      <formula>"J"</formula>
    </cfRule>
  </conditionalFormatting>
  <conditionalFormatting sqref="BW18:CB26">
    <cfRule type="cellIs" dxfId="2085" priority="173" stopIfTrue="1" operator="equal">
      <formula>"O"</formula>
    </cfRule>
  </conditionalFormatting>
  <conditionalFormatting sqref="BW18:CB26">
    <cfRule type="expression" dxfId="2084" priority="174" stopIfTrue="1">
      <formula>LEN(TRIM(BW18))=0</formula>
    </cfRule>
  </conditionalFormatting>
  <conditionalFormatting sqref="CC18:CE26">
    <cfRule type="cellIs" dxfId="2083" priority="175" stopIfTrue="1" operator="equal">
      <formula>"E"</formula>
    </cfRule>
  </conditionalFormatting>
  <conditionalFormatting sqref="CC18:CE26">
    <cfRule type="cellIs" dxfId="2082" priority="176" stopIfTrue="1" operator="equal">
      <formula>"S"</formula>
    </cfRule>
  </conditionalFormatting>
  <conditionalFormatting sqref="CC18:CE26">
    <cfRule type="cellIs" dxfId="2081" priority="177" stopIfTrue="1" operator="equal">
      <formula>"M"</formula>
    </cfRule>
  </conditionalFormatting>
  <conditionalFormatting sqref="CC18:CE26">
    <cfRule type="cellIs" dxfId="2080" priority="178" stopIfTrue="1" operator="equal">
      <formula>"J"</formula>
    </cfRule>
  </conditionalFormatting>
  <conditionalFormatting sqref="CC18:CE26">
    <cfRule type="cellIs" dxfId="2079" priority="179" stopIfTrue="1" operator="equal">
      <formula>"O"</formula>
    </cfRule>
  </conditionalFormatting>
  <conditionalFormatting sqref="CC18:CE26">
    <cfRule type="expression" dxfId="2078" priority="180" stopIfTrue="1">
      <formula>LEN(TRIM(CC18))=0</formula>
    </cfRule>
  </conditionalFormatting>
  <conditionalFormatting sqref="CF18:CI26">
    <cfRule type="cellIs" dxfId="2077" priority="181" stopIfTrue="1" operator="equal">
      <formula>"E"</formula>
    </cfRule>
  </conditionalFormatting>
  <conditionalFormatting sqref="CF18:CI26">
    <cfRule type="cellIs" dxfId="2076" priority="182" stopIfTrue="1" operator="equal">
      <formula>"S"</formula>
    </cfRule>
  </conditionalFormatting>
  <conditionalFormatting sqref="CF18:CI26">
    <cfRule type="cellIs" dxfId="2075" priority="183" stopIfTrue="1" operator="equal">
      <formula>"M"</formula>
    </cfRule>
  </conditionalFormatting>
  <conditionalFormatting sqref="CF18:CI26">
    <cfRule type="cellIs" dxfId="2074" priority="184" stopIfTrue="1" operator="equal">
      <formula>"J"</formula>
    </cfRule>
  </conditionalFormatting>
  <conditionalFormatting sqref="CF18:CI26">
    <cfRule type="cellIs" dxfId="2073" priority="185" stopIfTrue="1" operator="equal">
      <formula>"O"</formula>
    </cfRule>
  </conditionalFormatting>
  <conditionalFormatting sqref="CF18:CI26">
    <cfRule type="expression" dxfId="2072" priority="186" stopIfTrue="1">
      <formula>LEN(TRIM(CF18))=0</formula>
    </cfRule>
  </conditionalFormatting>
  <conditionalFormatting sqref="CK18:CO26">
    <cfRule type="cellIs" dxfId="2071" priority="187" stopIfTrue="1" operator="equal">
      <formula>"E"</formula>
    </cfRule>
  </conditionalFormatting>
  <conditionalFormatting sqref="CK18:CO26">
    <cfRule type="cellIs" dxfId="2070" priority="188" stopIfTrue="1" operator="equal">
      <formula>"S"</formula>
    </cfRule>
  </conditionalFormatting>
  <conditionalFormatting sqref="CK18:CO26">
    <cfRule type="cellIs" dxfId="2069" priority="189" stopIfTrue="1" operator="equal">
      <formula>"M"</formula>
    </cfRule>
  </conditionalFormatting>
  <conditionalFormatting sqref="CK18:CO26">
    <cfRule type="cellIs" dxfId="2068" priority="190" stopIfTrue="1" operator="equal">
      <formula>"J"</formula>
    </cfRule>
  </conditionalFormatting>
  <conditionalFormatting sqref="CK18:CO26">
    <cfRule type="cellIs" dxfId="2067" priority="191" stopIfTrue="1" operator="equal">
      <formula>"O"</formula>
    </cfRule>
  </conditionalFormatting>
  <conditionalFormatting sqref="CK18:CO26">
    <cfRule type="expression" dxfId="2066" priority="192" stopIfTrue="1">
      <formula>LEN(TRIM(CK18))=0</formula>
    </cfRule>
  </conditionalFormatting>
  <conditionalFormatting sqref="CQ18:CU26">
    <cfRule type="cellIs" dxfId="2065" priority="193" stopIfTrue="1" operator="equal">
      <formula>"E"</formula>
    </cfRule>
  </conditionalFormatting>
  <conditionalFormatting sqref="CQ18:CU26">
    <cfRule type="cellIs" dxfId="2064" priority="194" stopIfTrue="1" operator="equal">
      <formula>"S"</formula>
    </cfRule>
  </conditionalFormatting>
  <conditionalFormatting sqref="CQ18:CU26">
    <cfRule type="cellIs" dxfId="2063" priority="195" stopIfTrue="1" operator="equal">
      <formula>"M"</formula>
    </cfRule>
  </conditionalFormatting>
  <conditionalFormatting sqref="CQ18:CU26">
    <cfRule type="cellIs" dxfId="2062" priority="196" stopIfTrue="1" operator="equal">
      <formula>"J"</formula>
    </cfRule>
  </conditionalFormatting>
  <conditionalFormatting sqref="CQ18:CU26">
    <cfRule type="cellIs" dxfId="2061" priority="197" stopIfTrue="1" operator="equal">
      <formula>"O"</formula>
    </cfRule>
  </conditionalFormatting>
  <conditionalFormatting sqref="CQ18:CU26">
    <cfRule type="expression" dxfId="2060" priority="198" stopIfTrue="1">
      <formula>LEN(TRIM(CQ18))=0</formula>
    </cfRule>
  </conditionalFormatting>
  <conditionalFormatting sqref="CW18:DA26">
    <cfRule type="cellIs" dxfId="2059" priority="199" stopIfTrue="1" operator="equal">
      <formula>"E"</formula>
    </cfRule>
  </conditionalFormatting>
  <conditionalFormatting sqref="CW18:DA26">
    <cfRule type="cellIs" dxfId="2058" priority="200" stopIfTrue="1" operator="equal">
      <formula>"S"</formula>
    </cfRule>
  </conditionalFormatting>
  <conditionalFormatting sqref="CW18:DA26">
    <cfRule type="cellIs" dxfId="2057" priority="201" stopIfTrue="1" operator="equal">
      <formula>"M"</formula>
    </cfRule>
  </conditionalFormatting>
  <conditionalFormatting sqref="CW18:DA26">
    <cfRule type="cellIs" dxfId="2056" priority="202" stopIfTrue="1" operator="equal">
      <formula>"J"</formula>
    </cfRule>
  </conditionalFormatting>
  <conditionalFormatting sqref="CW18:DA26">
    <cfRule type="cellIs" dxfId="2055" priority="203" stopIfTrue="1" operator="equal">
      <formula>"O"</formula>
    </cfRule>
  </conditionalFormatting>
  <conditionalFormatting sqref="CW18:DA26">
    <cfRule type="expression" dxfId="2054" priority="204" stopIfTrue="1">
      <formula>LEN(TRIM(CW18))=0</formula>
    </cfRule>
  </conditionalFormatting>
  <conditionalFormatting sqref="D28:K37">
    <cfRule type="cellIs" dxfId="2053" priority="205" stopIfTrue="1" operator="equal">
      <formula>"E"</formula>
    </cfRule>
    <cfRule type="cellIs" dxfId="2052" priority="206" stopIfTrue="1" operator="equal">
      <formula>"S"</formula>
    </cfRule>
    <cfRule type="cellIs" dxfId="2051" priority="207" stopIfTrue="1" operator="equal">
      <formula>"M"</formula>
    </cfRule>
    <cfRule type="cellIs" dxfId="2050" priority="208" stopIfTrue="1" operator="equal">
      <formula>"J"</formula>
    </cfRule>
    <cfRule type="cellIs" dxfId="2049" priority="209" stopIfTrue="1" operator="equal">
      <formula>"O"</formula>
    </cfRule>
    <cfRule type="expression" dxfId="2048" priority="210" stopIfTrue="1">
      <formula>LEN(TRIM(D28))=0</formula>
    </cfRule>
  </conditionalFormatting>
  <conditionalFormatting sqref="L28:O37">
    <cfRule type="cellIs" dxfId="2047" priority="211" stopIfTrue="1" operator="equal">
      <formula>"E"</formula>
    </cfRule>
    <cfRule type="cellIs" dxfId="2046" priority="212" stopIfTrue="1" operator="equal">
      <formula>"S"</formula>
    </cfRule>
    <cfRule type="cellIs" dxfId="2045" priority="213" stopIfTrue="1" operator="equal">
      <formula>"M"</formula>
    </cfRule>
    <cfRule type="cellIs" dxfId="2044" priority="214" stopIfTrue="1" operator="equal">
      <formula>"J"</formula>
    </cfRule>
    <cfRule type="cellIs" dxfId="2043" priority="215" stopIfTrue="1" operator="equal">
      <formula>"O"</formula>
    </cfRule>
    <cfRule type="expression" dxfId="2042" priority="216" stopIfTrue="1">
      <formula>LEN(TRIM(L28))=0</formula>
    </cfRule>
  </conditionalFormatting>
  <conditionalFormatting sqref="P28:AI37">
    <cfRule type="cellIs" dxfId="2041" priority="217" stopIfTrue="1" operator="equal">
      <formula>"E"</formula>
    </cfRule>
    <cfRule type="cellIs" dxfId="2040" priority="218" stopIfTrue="1" operator="equal">
      <formula>"S"</formula>
    </cfRule>
    <cfRule type="cellIs" dxfId="2039" priority="219" stopIfTrue="1" operator="equal">
      <formula>"M"</formula>
    </cfRule>
    <cfRule type="cellIs" dxfId="2038" priority="220" stopIfTrue="1" operator="equal">
      <formula>"J"</formula>
    </cfRule>
    <cfRule type="cellIs" dxfId="2037" priority="221" stopIfTrue="1" operator="equal">
      <formula>"O"</formula>
    </cfRule>
    <cfRule type="expression" dxfId="2036" priority="222" stopIfTrue="1">
      <formula>LEN(TRIM(P28))=0</formula>
    </cfRule>
  </conditionalFormatting>
  <conditionalFormatting sqref="AJ28:AL37">
    <cfRule type="cellIs" dxfId="2035" priority="223" stopIfTrue="1" operator="equal">
      <formula>"E"</formula>
    </cfRule>
    <cfRule type="cellIs" dxfId="2034" priority="224" stopIfTrue="1" operator="equal">
      <formula>"S"</formula>
    </cfRule>
    <cfRule type="cellIs" dxfId="2033" priority="225" stopIfTrue="1" operator="equal">
      <formula>"M"</formula>
    </cfRule>
    <cfRule type="cellIs" dxfId="2032" priority="226" stopIfTrue="1" operator="equal">
      <formula>"J"</formula>
    </cfRule>
    <cfRule type="cellIs" dxfId="2031" priority="227" stopIfTrue="1" operator="equal">
      <formula>"O"</formula>
    </cfRule>
    <cfRule type="expression" dxfId="2030" priority="228" stopIfTrue="1">
      <formula>LEN(TRIM(AJ28))=0</formula>
    </cfRule>
  </conditionalFormatting>
  <conditionalFormatting sqref="AM28:AO37">
    <cfRule type="cellIs" dxfId="2029" priority="229" stopIfTrue="1" operator="equal">
      <formula>"E"</formula>
    </cfRule>
  </conditionalFormatting>
  <conditionalFormatting sqref="AM28:AO37">
    <cfRule type="cellIs" dxfId="2028" priority="230" stopIfTrue="1" operator="equal">
      <formula>"S"</formula>
    </cfRule>
  </conditionalFormatting>
  <conditionalFormatting sqref="AM28:AO37">
    <cfRule type="cellIs" dxfId="2027" priority="231" stopIfTrue="1" operator="equal">
      <formula>"M"</formula>
    </cfRule>
  </conditionalFormatting>
  <conditionalFormatting sqref="AM28:AO37">
    <cfRule type="cellIs" dxfId="2026" priority="232" stopIfTrue="1" operator="equal">
      <formula>"J"</formula>
    </cfRule>
  </conditionalFormatting>
  <conditionalFormatting sqref="AM28:AO37">
    <cfRule type="cellIs" dxfId="2025" priority="233" stopIfTrue="1" operator="equal">
      <formula>"O"</formula>
    </cfRule>
  </conditionalFormatting>
  <conditionalFormatting sqref="AM28:AO37">
    <cfRule type="expression" dxfId="2024" priority="234" stopIfTrue="1">
      <formula>LEN(TRIM(AM28))=0</formula>
    </cfRule>
  </conditionalFormatting>
  <conditionalFormatting sqref="AP28:AT37">
    <cfRule type="cellIs" dxfId="2023" priority="235" stopIfTrue="1" operator="equal">
      <formula>"E"</formula>
    </cfRule>
  </conditionalFormatting>
  <conditionalFormatting sqref="AP28:AT37">
    <cfRule type="cellIs" dxfId="2022" priority="236" stopIfTrue="1" operator="equal">
      <formula>"S"</formula>
    </cfRule>
  </conditionalFormatting>
  <conditionalFormatting sqref="AP28:AT37">
    <cfRule type="cellIs" dxfId="2021" priority="237" stopIfTrue="1" operator="equal">
      <formula>"M"</formula>
    </cfRule>
  </conditionalFormatting>
  <conditionalFormatting sqref="AP28:AT37">
    <cfRule type="cellIs" dxfId="2020" priority="238" stopIfTrue="1" operator="equal">
      <formula>"J"</formula>
    </cfRule>
  </conditionalFormatting>
  <conditionalFormatting sqref="AP28:AT37">
    <cfRule type="cellIs" dxfId="2019" priority="239" stopIfTrue="1" operator="equal">
      <formula>"O"</formula>
    </cfRule>
  </conditionalFormatting>
  <conditionalFormatting sqref="AP28:AT37">
    <cfRule type="expression" dxfId="2018" priority="240" stopIfTrue="1">
      <formula>LEN(TRIM(AP28))=0</formula>
    </cfRule>
  </conditionalFormatting>
  <conditionalFormatting sqref="AU28:BB37">
    <cfRule type="cellIs" dxfId="2017" priority="241" stopIfTrue="1" operator="equal">
      <formula>"E"</formula>
    </cfRule>
  </conditionalFormatting>
  <conditionalFormatting sqref="AU28:BB37">
    <cfRule type="cellIs" dxfId="2016" priority="242" stopIfTrue="1" operator="equal">
      <formula>"S"</formula>
    </cfRule>
  </conditionalFormatting>
  <conditionalFormatting sqref="AU28:BB37">
    <cfRule type="cellIs" dxfId="2015" priority="243" stopIfTrue="1" operator="equal">
      <formula>"M"</formula>
    </cfRule>
  </conditionalFormatting>
  <conditionalFormatting sqref="AU28:BB37">
    <cfRule type="cellIs" dxfId="2014" priority="244" stopIfTrue="1" operator="equal">
      <formula>"J"</formula>
    </cfRule>
  </conditionalFormatting>
  <conditionalFormatting sqref="AU28:BB37">
    <cfRule type="cellIs" dxfId="2013" priority="245" stopIfTrue="1" operator="equal">
      <formula>"O"</formula>
    </cfRule>
  </conditionalFormatting>
  <conditionalFormatting sqref="AU28:BB37">
    <cfRule type="expression" dxfId="2012" priority="246" stopIfTrue="1">
      <formula>LEN(TRIM(AU28))=0</formula>
    </cfRule>
  </conditionalFormatting>
  <conditionalFormatting sqref="BC28:BG37">
    <cfRule type="cellIs" dxfId="2011" priority="247" stopIfTrue="1" operator="equal">
      <formula>"E"</formula>
    </cfRule>
  </conditionalFormatting>
  <conditionalFormatting sqref="BC28:BG37">
    <cfRule type="cellIs" dxfId="2010" priority="248" stopIfTrue="1" operator="equal">
      <formula>"S"</formula>
    </cfRule>
  </conditionalFormatting>
  <conditionalFormatting sqref="BC28:BG37">
    <cfRule type="cellIs" dxfId="2009" priority="249" stopIfTrue="1" operator="equal">
      <formula>"M"</formula>
    </cfRule>
  </conditionalFormatting>
  <conditionalFormatting sqref="BC28:BG37">
    <cfRule type="cellIs" dxfId="2008" priority="250" stopIfTrue="1" operator="equal">
      <formula>"J"</formula>
    </cfRule>
  </conditionalFormatting>
  <conditionalFormatting sqref="BC28:BG37">
    <cfRule type="cellIs" dxfId="2007" priority="251" stopIfTrue="1" operator="equal">
      <formula>"O"</formula>
    </cfRule>
  </conditionalFormatting>
  <conditionalFormatting sqref="BC28:BG37">
    <cfRule type="expression" dxfId="2006" priority="252" stopIfTrue="1">
      <formula>LEN(TRIM(BC28))=0</formula>
    </cfRule>
  </conditionalFormatting>
  <conditionalFormatting sqref="BH28:BJ37">
    <cfRule type="cellIs" dxfId="2005" priority="253" stopIfTrue="1" operator="equal">
      <formula>"E"</formula>
    </cfRule>
  </conditionalFormatting>
  <conditionalFormatting sqref="BH28:BJ37">
    <cfRule type="cellIs" dxfId="2004" priority="254" stopIfTrue="1" operator="equal">
      <formula>"S"</formula>
    </cfRule>
  </conditionalFormatting>
  <conditionalFormatting sqref="BH28:BJ37">
    <cfRule type="cellIs" dxfId="2003" priority="255" stopIfTrue="1" operator="equal">
      <formula>"M"</formula>
    </cfRule>
  </conditionalFormatting>
  <conditionalFormatting sqref="BH28:BJ37">
    <cfRule type="cellIs" dxfId="2002" priority="256" stopIfTrue="1" operator="equal">
      <formula>"J"</formula>
    </cfRule>
  </conditionalFormatting>
  <conditionalFormatting sqref="BH28:BJ37">
    <cfRule type="cellIs" dxfId="2001" priority="257" stopIfTrue="1" operator="equal">
      <formula>"O"</formula>
    </cfRule>
  </conditionalFormatting>
  <conditionalFormatting sqref="BH28:BJ37">
    <cfRule type="expression" dxfId="2000" priority="258" stopIfTrue="1">
      <formula>LEN(TRIM(BH28))=0</formula>
    </cfRule>
  </conditionalFormatting>
  <conditionalFormatting sqref="BK28:BN37">
    <cfRule type="cellIs" dxfId="1999" priority="259" stopIfTrue="1" operator="equal">
      <formula>"E"</formula>
    </cfRule>
  </conditionalFormatting>
  <conditionalFormatting sqref="BK28:BN37">
    <cfRule type="cellIs" dxfId="1998" priority="260" stopIfTrue="1" operator="equal">
      <formula>"S"</formula>
    </cfRule>
  </conditionalFormatting>
  <conditionalFormatting sqref="BK28:BN37">
    <cfRule type="cellIs" dxfId="1997" priority="261" stopIfTrue="1" operator="equal">
      <formula>"M"</formula>
    </cfRule>
  </conditionalFormatting>
  <conditionalFormatting sqref="BK28:BN37">
    <cfRule type="cellIs" dxfId="1996" priority="262" stopIfTrue="1" operator="equal">
      <formula>"J"</formula>
    </cfRule>
  </conditionalFormatting>
  <conditionalFormatting sqref="BK28:BN37">
    <cfRule type="cellIs" dxfId="1995" priority="263" stopIfTrue="1" operator="equal">
      <formula>"O"</formula>
    </cfRule>
  </conditionalFormatting>
  <conditionalFormatting sqref="BK28:BN37">
    <cfRule type="expression" dxfId="1994" priority="264" stopIfTrue="1">
      <formula>LEN(TRIM(BK28))=0</formula>
    </cfRule>
  </conditionalFormatting>
  <conditionalFormatting sqref="BO28:BV37">
    <cfRule type="cellIs" dxfId="1993" priority="265" stopIfTrue="1" operator="equal">
      <formula>"E"</formula>
    </cfRule>
  </conditionalFormatting>
  <conditionalFormatting sqref="BO28:BV37">
    <cfRule type="cellIs" dxfId="1992" priority="266" stopIfTrue="1" operator="equal">
      <formula>"S"</formula>
    </cfRule>
  </conditionalFormatting>
  <conditionalFormatting sqref="BO28:BV37">
    <cfRule type="cellIs" dxfId="1991" priority="267" stopIfTrue="1" operator="equal">
      <formula>"M"</formula>
    </cfRule>
  </conditionalFormatting>
  <conditionalFormatting sqref="BO28:BV37">
    <cfRule type="cellIs" dxfId="1990" priority="268" stopIfTrue="1" operator="equal">
      <formula>"J"</formula>
    </cfRule>
  </conditionalFormatting>
  <conditionalFormatting sqref="BO28:BV37">
    <cfRule type="cellIs" dxfId="1989" priority="269" stopIfTrue="1" operator="equal">
      <formula>"O"</formula>
    </cfRule>
  </conditionalFormatting>
  <conditionalFormatting sqref="BO28:BV37">
    <cfRule type="expression" dxfId="1988" priority="270" stopIfTrue="1">
      <formula>LEN(TRIM(BO28))=0</formula>
    </cfRule>
  </conditionalFormatting>
  <conditionalFormatting sqref="BW28:CB37">
    <cfRule type="cellIs" dxfId="1987" priority="271" stopIfTrue="1" operator="equal">
      <formula>"E"</formula>
    </cfRule>
  </conditionalFormatting>
  <conditionalFormatting sqref="BW28:CB37">
    <cfRule type="cellIs" dxfId="1986" priority="272" stopIfTrue="1" operator="equal">
      <formula>"S"</formula>
    </cfRule>
  </conditionalFormatting>
  <conditionalFormatting sqref="BW28:CB37">
    <cfRule type="cellIs" dxfId="1985" priority="273" stopIfTrue="1" operator="equal">
      <formula>"M"</formula>
    </cfRule>
  </conditionalFormatting>
  <conditionalFormatting sqref="BW28:CB37">
    <cfRule type="cellIs" dxfId="1984" priority="274" stopIfTrue="1" operator="equal">
      <formula>"J"</formula>
    </cfRule>
  </conditionalFormatting>
  <conditionalFormatting sqref="BW28:CB37">
    <cfRule type="cellIs" dxfId="1983" priority="275" stopIfTrue="1" operator="equal">
      <formula>"O"</formula>
    </cfRule>
  </conditionalFormatting>
  <conditionalFormatting sqref="BW28:CB37">
    <cfRule type="expression" dxfId="1982" priority="276" stopIfTrue="1">
      <formula>LEN(TRIM(BW28))=0</formula>
    </cfRule>
  </conditionalFormatting>
  <conditionalFormatting sqref="CC28:CE37">
    <cfRule type="cellIs" dxfId="1981" priority="277" stopIfTrue="1" operator="equal">
      <formula>"E"</formula>
    </cfRule>
  </conditionalFormatting>
  <conditionalFormatting sqref="CC28:CE37">
    <cfRule type="cellIs" dxfId="1980" priority="278" stopIfTrue="1" operator="equal">
      <formula>"S"</formula>
    </cfRule>
  </conditionalFormatting>
  <conditionalFormatting sqref="CC28:CE37">
    <cfRule type="cellIs" dxfId="1979" priority="279" stopIfTrue="1" operator="equal">
      <formula>"M"</formula>
    </cfRule>
  </conditionalFormatting>
  <conditionalFormatting sqref="CC28:CE37">
    <cfRule type="cellIs" dxfId="1978" priority="280" stopIfTrue="1" operator="equal">
      <formula>"J"</formula>
    </cfRule>
  </conditionalFormatting>
  <conditionalFormatting sqref="CC28:CE37">
    <cfRule type="cellIs" dxfId="1977" priority="281" stopIfTrue="1" operator="equal">
      <formula>"O"</formula>
    </cfRule>
  </conditionalFormatting>
  <conditionalFormatting sqref="CC28:CE37">
    <cfRule type="expression" dxfId="1976" priority="282" stopIfTrue="1">
      <formula>LEN(TRIM(CC28))=0</formula>
    </cfRule>
  </conditionalFormatting>
  <conditionalFormatting sqref="CF28:CI37">
    <cfRule type="cellIs" dxfId="1975" priority="283" stopIfTrue="1" operator="equal">
      <formula>"E"</formula>
    </cfRule>
  </conditionalFormatting>
  <conditionalFormatting sqref="CF28:CI37">
    <cfRule type="cellIs" dxfId="1974" priority="284" stopIfTrue="1" operator="equal">
      <formula>"S"</formula>
    </cfRule>
  </conditionalFormatting>
  <conditionalFormatting sqref="CF28:CI37">
    <cfRule type="cellIs" dxfId="1973" priority="285" stopIfTrue="1" operator="equal">
      <formula>"M"</formula>
    </cfRule>
  </conditionalFormatting>
  <conditionalFormatting sqref="CF28:CI37">
    <cfRule type="cellIs" dxfId="1972" priority="286" stopIfTrue="1" operator="equal">
      <formula>"J"</formula>
    </cfRule>
  </conditionalFormatting>
  <conditionalFormatting sqref="CF28:CI37">
    <cfRule type="cellIs" dxfId="1971" priority="287" stopIfTrue="1" operator="equal">
      <formula>"O"</formula>
    </cfRule>
  </conditionalFormatting>
  <conditionalFormatting sqref="CF28:CI37">
    <cfRule type="expression" dxfId="1970" priority="288" stopIfTrue="1">
      <formula>LEN(TRIM(CF28))=0</formula>
    </cfRule>
  </conditionalFormatting>
  <conditionalFormatting sqref="CK28:CO37">
    <cfRule type="cellIs" dxfId="1969" priority="289" stopIfTrue="1" operator="equal">
      <formula>"E"</formula>
    </cfRule>
  </conditionalFormatting>
  <conditionalFormatting sqref="CK28:CO37">
    <cfRule type="cellIs" dxfId="1968" priority="290" stopIfTrue="1" operator="equal">
      <formula>"S"</formula>
    </cfRule>
  </conditionalFormatting>
  <conditionalFormatting sqref="CK28:CO37">
    <cfRule type="cellIs" dxfId="1967" priority="291" stopIfTrue="1" operator="equal">
      <formula>"M"</formula>
    </cfRule>
  </conditionalFormatting>
  <conditionalFormatting sqref="CK28:CO37">
    <cfRule type="cellIs" dxfId="1966" priority="292" stopIfTrue="1" operator="equal">
      <formula>"J"</formula>
    </cfRule>
  </conditionalFormatting>
  <conditionalFormatting sqref="CK28:CO37">
    <cfRule type="cellIs" dxfId="1965" priority="293" stopIfTrue="1" operator="equal">
      <formula>"O"</formula>
    </cfRule>
  </conditionalFormatting>
  <conditionalFormatting sqref="CK28:CO37">
    <cfRule type="expression" dxfId="1964" priority="294" stopIfTrue="1">
      <formula>LEN(TRIM(CK28))=0</formula>
    </cfRule>
  </conditionalFormatting>
  <conditionalFormatting sqref="CQ28:CU37">
    <cfRule type="cellIs" dxfId="1963" priority="295" stopIfTrue="1" operator="equal">
      <formula>"E"</formula>
    </cfRule>
  </conditionalFormatting>
  <conditionalFormatting sqref="CQ28:CU37">
    <cfRule type="cellIs" dxfId="1962" priority="296" stopIfTrue="1" operator="equal">
      <formula>"S"</formula>
    </cfRule>
  </conditionalFormatting>
  <conditionalFormatting sqref="CQ28:CU37">
    <cfRule type="cellIs" dxfId="1961" priority="297" stopIfTrue="1" operator="equal">
      <formula>"M"</formula>
    </cfRule>
  </conditionalFormatting>
  <conditionalFormatting sqref="CQ28:CU37">
    <cfRule type="cellIs" dxfId="1960" priority="298" stopIfTrue="1" operator="equal">
      <formula>"J"</formula>
    </cfRule>
  </conditionalFormatting>
  <conditionalFormatting sqref="CQ28:CU37">
    <cfRule type="cellIs" dxfId="1959" priority="299" stopIfTrue="1" operator="equal">
      <formula>"O"</formula>
    </cfRule>
  </conditionalFormatting>
  <conditionalFormatting sqref="CQ28:CU37">
    <cfRule type="expression" dxfId="1958" priority="300" stopIfTrue="1">
      <formula>LEN(TRIM(CQ28))=0</formula>
    </cfRule>
  </conditionalFormatting>
  <conditionalFormatting sqref="CW28:DA37">
    <cfRule type="cellIs" dxfId="1957" priority="301" stopIfTrue="1" operator="equal">
      <formula>"E"</formula>
    </cfRule>
  </conditionalFormatting>
  <conditionalFormatting sqref="CW28:DA37">
    <cfRule type="cellIs" dxfId="1956" priority="302" stopIfTrue="1" operator="equal">
      <formula>"S"</formula>
    </cfRule>
  </conditionalFormatting>
  <conditionalFormatting sqref="CW28:DA37">
    <cfRule type="cellIs" dxfId="1955" priority="303" stopIfTrue="1" operator="equal">
      <formula>"M"</formula>
    </cfRule>
  </conditionalFormatting>
  <conditionalFormatting sqref="CW28:DA37">
    <cfRule type="cellIs" dxfId="1954" priority="304" stopIfTrue="1" operator="equal">
      <formula>"J"</formula>
    </cfRule>
  </conditionalFormatting>
  <conditionalFormatting sqref="CW28:DA37">
    <cfRule type="cellIs" dxfId="1953" priority="305" stopIfTrue="1" operator="equal">
      <formula>"O"</formula>
    </cfRule>
  </conditionalFormatting>
  <conditionalFormatting sqref="CW28:DA37">
    <cfRule type="expression" dxfId="1952" priority="306" stopIfTrue="1">
      <formula>LEN(TRIM(CW28))=0</formula>
    </cfRule>
  </conditionalFormatting>
  <conditionalFormatting sqref="D39:K50">
    <cfRule type="cellIs" dxfId="1951" priority="307" stopIfTrue="1" operator="equal">
      <formula>"E"</formula>
    </cfRule>
    <cfRule type="cellIs" dxfId="1950" priority="308" stopIfTrue="1" operator="equal">
      <formula>"S"</formula>
    </cfRule>
    <cfRule type="cellIs" dxfId="1949" priority="309" stopIfTrue="1" operator="equal">
      <formula>"M"</formula>
    </cfRule>
    <cfRule type="cellIs" dxfId="1948" priority="310" stopIfTrue="1" operator="equal">
      <formula>"J"</formula>
    </cfRule>
    <cfRule type="cellIs" dxfId="1947" priority="311" stopIfTrue="1" operator="equal">
      <formula>"O"</formula>
    </cfRule>
    <cfRule type="expression" dxfId="1946" priority="312" stopIfTrue="1">
      <formula>LEN(TRIM(D39))=0</formula>
    </cfRule>
  </conditionalFormatting>
  <conditionalFormatting sqref="L39:O50">
    <cfRule type="cellIs" dxfId="1945" priority="313" stopIfTrue="1" operator="equal">
      <formula>"E"</formula>
    </cfRule>
    <cfRule type="cellIs" dxfId="1944" priority="314" stopIfTrue="1" operator="equal">
      <formula>"S"</formula>
    </cfRule>
    <cfRule type="cellIs" dxfId="1943" priority="315" stopIfTrue="1" operator="equal">
      <formula>"M"</formula>
    </cfRule>
    <cfRule type="cellIs" dxfId="1942" priority="316" stopIfTrue="1" operator="equal">
      <formula>"J"</formula>
    </cfRule>
    <cfRule type="cellIs" dxfId="1941" priority="317" stopIfTrue="1" operator="equal">
      <formula>"O"</formula>
    </cfRule>
    <cfRule type="expression" dxfId="1940" priority="318" stopIfTrue="1">
      <formula>LEN(TRIM(L39))=0</formula>
    </cfRule>
  </conditionalFormatting>
  <conditionalFormatting sqref="P39:AI50">
    <cfRule type="cellIs" dxfId="1939" priority="319" stopIfTrue="1" operator="equal">
      <formula>"E"</formula>
    </cfRule>
    <cfRule type="cellIs" dxfId="1938" priority="320" stopIfTrue="1" operator="equal">
      <formula>"S"</formula>
    </cfRule>
    <cfRule type="cellIs" dxfId="1937" priority="321" stopIfTrue="1" operator="equal">
      <formula>"M"</formula>
    </cfRule>
    <cfRule type="cellIs" dxfId="1936" priority="322" stopIfTrue="1" operator="equal">
      <formula>"J"</formula>
    </cfRule>
    <cfRule type="cellIs" dxfId="1935" priority="323" stopIfTrue="1" operator="equal">
      <formula>"O"</formula>
    </cfRule>
    <cfRule type="expression" dxfId="1934" priority="324" stopIfTrue="1">
      <formula>LEN(TRIM(P39))=0</formula>
    </cfRule>
  </conditionalFormatting>
  <conditionalFormatting sqref="AJ39:AL50">
    <cfRule type="cellIs" dxfId="1933" priority="325" stopIfTrue="1" operator="equal">
      <formula>"E"</formula>
    </cfRule>
    <cfRule type="cellIs" dxfId="1932" priority="326" stopIfTrue="1" operator="equal">
      <formula>"S"</formula>
    </cfRule>
    <cfRule type="cellIs" dxfId="1931" priority="327" stopIfTrue="1" operator="equal">
      <formula>"M"</formula>
    </cfRule>
    <cfRule type="cellIs" dxfId="1930" priority="328" stopIfTrue="1" operator="equal">
      <formula>"J"</formula>
    </cfRule>
    <cfRule type="cellIs" dxfId="1929" priority="329" stopIfTrue="1" operator="equal">
      <formula>"O"</formula>
    </cfRule>
    <cfRule type="expression" dxfId="1928" priority="330" stopIfTrue="1">
      <formula>LEN(TRIM(AJ39))=0</formula>
    </cfRule>
  </conditionalFormatting>
  <conditionalFormatting sqref="AM39:AO50">
    <cfRule type="cellIs" dxfId="1927" priority="331" stopIfTrue="1" operator="equal">
      <formula>"E"</formula>
    </cfRule>
  </conditionalFormatting>
  <conditionalFormatting sqref="AM39:AO50">
    <cfRule type="cellIs" dxfId="1926" priority="332" stopIfTrue="1" operator="equal">
      <formula>"S"</formula>
    </cfRule>
  </conditionalFormatting>
  <conditionalFormatting sqref="AM39:AO50">
    <cfRule type="cellIs" dxfId="1925" priority="333" stopIfTrue="1" operator="equal">
      <formula>"M"</formula>
    </cfRule>
  </conditionalFormatting>
  <conditionalFormatting sqref="AM39:AO50">
    <cfRule type="cellIs" dxfId="1924" priority="334" stopIfTrue="1" operator="equal">
      <formula>"J"</formula>
    </cfRule>
  </conditionalFormatting>
  <conditionalFormatting sqref="AM39:AO50">
    <cfRule type="cellIs" dxfId="1923" priority="335" stopIfTrue="1" operator="equal">
      <formula>"O"</formula>
    </cfRule>
  </conditionalFormatting>
  <conditionalFormatting sqref="AM39:AO50">
    <cfRule type="expression" dxfId="1922" priority="336" stopIfTrue="1">
      <formula>LEN(TRIM(AM39))=0</formula>
    </cfRule>
  </conditionalFormatting>
  <conditionalFormatting sqref="AP39:AT50">
    <cfRule type="cellIs" dxfId="1921" priority="337" stopIfTrue="1" operator="equal">
      <formula>"E"</formula>
    </cfRule>
  </conditionalFormatting>
  <conditionalFormatting sqref="AP39:AT50">
    <cfRule type="cellIs" dxfId="1920" priority="338" stopIfTrue="1" operator="equal">
      <formula>"S"</formula>
    </cfRule>
  </conditionalFormatting>
  <conditionalFormatting sqref="AP39:AT50">
    <cfRule type="cellIs" dxfId="1919" priority="339" stopIfTrue="1" operator="equal">
      <formula>"M"</formula>
    </cfRule>
  </conditionalFormatting>
  <conditionalFormatting sqref="AP39:AT50">
    <cfRule type="cellIs" dxfId="1918" priority="340" stopIfTrue="1" operator="equal">
      <formula>"J"</formula>
    </cfRule>
  </conditionalFormatting>
  <conditionalFormatting sqref="AP39:AT50">
    <cfRule type="cellIs" dxfId="1917" priority="341" stopIfTrue="1" operator="equal">
      <formula>"O"</formula>
    </cfRule>
  </conditionalFormatting>
  <conditionalFormatting sqref="AP39:AT50">
    <cfRule type="expression" dxfId="1916" priority="342" stopIfTrue="1">
      <formula>LEN(TRIM(AP39))=0</formula>
    </cfRule>
  </conditionalFormatting>
  <conditionalFormatting sqref="AU39:BB50">
    <cfRule type="cellIs" dxfId="1915" priority="343" stopIfTrue="1" operator="equal">
      <formula>"E"</formula>
    </cfRule>
  </conditionalFormatting>
  <conditionalFormatting sqref="AU39:BB50">
    <cfRule type="cellIs" dxfId="1914" priority="344" stopIfTrue="1" operator="equal">
      <formula>"S"</formula>
    </cfRule>
  </conditionalFormatting>
  <conditionalFormatting sqref="AU39:BB50">
    <cfRule type="cellIs" dxfId="1913" priority="345" stopIfTrue="1" operator="equal">
      <formula>"M"</formula>
    </cfRule>
  </conditionalFormatting>
  <conditionalFormatting sqref="AU39:BB50">
    <cfRule type="cellIs" dxfId="1912" priority="346" stopIfTrue="1" operator="equal">
      <formula>"J"</formula>
    </cfRule>
  </conditionalFormatting>
  <conditionalFormatting sqref="AU39:BB50">
    <cfRule type="cellIs" dxfId="1911" priority="347" stopIfTrue="1" operator="equal">
      <formula>"O"</formula>
    </cfRule>
  </conditionalFormatting>
  <conditionalFormatting sqref="AU39:BB50">
    <cfRule type="expression" dxfId="1910" priority="348" stopIfTrue="1">
      <formula>LEN(TRIM(AU39))=0</formula>
    </cfRule>
  </conditionalFormatting>
  <conditionalFormatting sqref="BC39:BG50">
    <cfRule type="cellIs" dxfId="1909" priority="349" stopIfTrue="1" operator="equal">
      <formula>"E"</formula>
    </cfRule>
  </conditionalFormatting>
  <conditionalFormatting sqref="BC39:BG50">
    <cfRule type="cellIs" dxfId="1908" priority="350" stopIfTrue="1" operator="equal">
      <formula>"S"</formula>
    </cfRule>
  </conditionalFormatting>
  <conditionalFormatting sqref="BC39:BG50">
    <cfRule type="cellIs" dxfId="1907" priority="351" stopIfTrue="1" operator="equal">
      <formula>"M"</formula>
    </cfRule>
  </conditionalFormatting>
  <conditionalFormatting sqref="BC39:BG50">
    <cfRule type="cellIs" dxfId="1906" priority="352" stopIfTrue="1" operator="equal">
      <formula>"J"</formula>
    </cfRule>
  </conditionalFormatting>
  <conditionalFormatting sqref="BC39:BG50">
    <cfRule type="cellIs" dxfId="1905" priority="353" stopIfTrue="1" operator="equal">
      <formula>"O"</formula>
    </cfRule>
  </conditionalFormatting>
  <conditionalFormatting sqref="BC39:BG50">
    <cfRule type="expression" dxfId="1904" priority="354" stopIfTrue="1">
      <formula>LEN(TRIM(BC39))=0</formula>
    </cfRule>
  </conditionalFormatting>
  <conditionalFormatting sqref="BH39:BJ50">
    <cfRule type="cellIs" dxfId="1903" priority="355" stopIfTrue="1" operator="equal">
      <formula>"E"</formula>
    </cfRule>
  </conditionalFormatting>
  <conditionalFormatting sqref="BH39:BJ50">
    <cfRule type="cellIs" dxfId="1902" priority="356" stopIfTrue="1" operator="equal">
      <formula>"S"</formula>
    </cfRule>
  </conditionalFormatting>
  <conditionalFormatting sqref="BH39:BJ50">
    <cfRule type="cellIs" dxfId="1901" priority="357" stopIfTrue="1" operator="equal">
      <formula>"M"</formula>
    </cfRule>
  </conditionalFormatting>
  <conditionalFormatting sqref="BH39:BJ50">
    <cfRule type="cellIs" dxfId="1900" priority="358" stopIfTrue="1" operator="equal">
      <formula>"J"</formula>
    </cfRule>
  </conditionalFormatting>
  <conditionalFormatting sqref="BH39:BJ50">
    <cfRule type="cellIs" dxfId="1899" priority="359" stopIfTrue="1" operator="equal">
      <formula>"O"</formula>
    </cfRule>
  </conditionalFormatting>
  <conditionalFormatting sqref="BH39:BJ50">
    <cfRule type="expression" dxfId="1898" priority="360" stopIfTrue="1">
      <formula>LEN(TRIM(BH39))=0</formula>
    </cfRule>
  </conditionalFormatting>
  <conditionalFormatting sqref="BK39:BN50">
    <cfRule type="cellIs" dxfId="1897" priority="361" stopIfTrue="1" operator="equal">
      <formula>"E"</formula>
    </cfRule>
  </conditionalFormatting>
  <conditionalFormatting sqref="BK39:BN50">
    <cfRule type="cellIs" dxfId="1896" priority="362" stopIfTrue="1" operator="equal">
      <formula>"S"</formula>
    </cfRule>
  </conditionalFormatting>
  <conditionalFormatting sqref="BK39:BN50">
    <cfRule type="cellIs" dxfId="1895" priority="363" stopIfTrue="1" operator="equal">
      <formula>"M"</formula>
    </cfRule>
  </conditionalFormatting>
  <conditionalFormatting sqref="BK39:BN50">
    <cfRule type="cellIs" dxfId="1894" priority="364" stopIfTrue="1" operator="equal">
      <formula>"J"</formula>
    </cfRule>
  </conditionalFormatting>
  <conditionalFormatting sqref="BK39:BN50">
    <cfRule type="cellIs" dxfId="1893" priority="365" stopIfTrue="1" operator="equal">
      <formula>"O"</formula>
    </cfRule>
  </conditionalFormatting>
  <conditionalFormatting sqref="BK39:BN50">
    <cfRule type="expression" dxfId="1892" priority="366" stopIfTrue="1">
      <formula>LEN(TRIM(BK39))=0</formula>
    </cfRule>
  </conditionalFormatting>
  <conditionalFormatting sqref="BO39:BV50">
    <cfRule type="cellIs" dxfId="1891" priority="367" stopIfTrue="1" operator="equal">
      <formula>"E"</formula>
    </cfRule>
  </conditionalFormatting>
  <conditionalFormatting sqref="BO39:BV50">
    <cfRule type="cellIs" dxfId="1890" priority="368" stopIfTrue="1" operator="equal">
      <formula>"S"</formula>
    </cfRule>
  </conditionalFormatting>
  <conditionalFormatting sqref="BO39:BV50">
    <cfRule type="cellIs" dxfId="1889" priority="369" stopIfTrue="1" operator="equal">
      <formula>"M"</formula>
    </cfRule>
  </conditionalFormatting>
  <conditionalFormatting sqref="BO39:BV50">
    <cfRule type="cellIs" dxfId="1888" priority="370" stopIfTrue="1" operator="equal">
      <formula>"J"</formula>
    </cfRule>
  </conditionalFormatting>
  <conditionalFormatting sqref="BO39:BV50">
    <cfRule type="cellIs" dxfId="1887" priority="371" stopIfTrue="1" operator="equal">
      <formula>"O"</formula>
    </cfRule>
  </conditionalFormatting>
  <conditionalFormatting sqref="BO39:BV50">
    <cfRule type="expression" dxfId="1886" priority="372" stopIfTrue="1">
      <formula>LEN(TRIM(BO39))=0</formula>
    </cfRule>
  </conditionalFormatting>
  <conditionalFormatting sqref="BW39:CB50">
    <cfRule type="cellIs" dxfId="1885" priority="373" stopIfTrue="1" operator="equal">
      <formula>"E"</formula>
    </cfRule>
  </conditionalFormatting>
  <conditionalFormatting sqref="BW39:CB50">
    <cfRule type="cellIs" dxfId="1884" priority="374" stopIfTrue="1" operator="equal">
      <formula>"S"</formula>
    </cfRule>
  </conditionalFormatting>
  <conditionalFormatting sqref="BW39:CB50">
    <cfRule type="cellIs" dxfId="1883" priority="375" stopIfTrue="1" operator="equal">
      <formula>"M"</formula>
    </cfRule>
  </conditionalFormatting>
  <conditionalFormatting sqref="BW39:CB50">
    <cfRule type="cellIs" dxfId="1882" priority="376" stopIfTrue="1" operator="equal">
      <formula>"J"</formula>
    </cfRule>
  </conditionalFormatting>
  <conditionalFormatting sqref="BW39:CB50">
    <cfRule type="cellIs" dxfId="1881" priority="377" stopIfTrue="1" operator="equal">
      <formula>"O"</formula>
    </cfRule>
  </conditionalFormatting>
  <conditionalFormatting sqref="BW39:CB50">
    <cfRule type="expression" dxfId="1880" priority="378" stopIfTrue="1">
      <formula>LEN(TRIM(BW39))=0</formula>
    </cfRule>
  </conditionalFormatting>
  <conditionalFormatting sqref="CC39:CE50">
    <cfRule type="cellIs" dxfId="1879" priority="379" stopIfTrue="1" operator="equal">
      <formula>"E"</formula>
    </cfRule>
  </conditionalFormatting>
  <conditionalFormatting sqref="CC39:CE50">
    <cfRule type="cellIs" dxfId="1878" priority="380" stopIfTrue="1" operator="equal">
      <formula>"S"</formula>
    </cfRule>
  </conditionalFormatting>
  <conditionalFormatting sqref="CC39:CE50">
    <cfRule type="cellIs" dxfId="1877" priority="381" stopIfTrue="1" operator="equal">
      <formula>"M"</formula>
    </cfRule>
  </conditionalFormatting>
  <conditionalFormatting sqref="CC39:CE50">
    <cfRule type="cellIs" dxfId="1876" priority="382" stopIfTrue="1" operator="equal">
      <formula>"J"</formula>
    </cfRule>
  </conditionalFormatting>
  <conditionalFormatting sqref="CC39:CE50">
    <cfRule type="cellIs" dxfId="1875" priority="383" stopIfTrue="1" operator="equal">
      <formula>"O"</formula>
    </cfRule>
  </conditionalFormatting>
  <conditionalFormatting sqref="CC39:CE50">
    <cfRule type="expression" dxfId="1874" priority="384" stopIfTrue="1">
      <formula>LEN(TRIM(CC39))=0</formula>
    </cfRule>
  </conditionalFormatting>
  <conditionalFormatting sqref="CF39:CI50">
    <cfRule type="cellIs" dxfId="1873" priority="385" stopIfTrue="1" operator="equal">
      <formula>"E"</formula>
    </cfRule>
  </conditionalFormatting>
  <conditionalFormatting sqref="CF39:CI50">
    <cfRule type="cellIs" dxfId="1872" priority="386" stopIfTrue="1" operator="equal">
      <formula>"S"</formula>
    </cfRule>
  </conditionalFormatting>
  <conditionalFormatting sqref="CF39:CI50">
    <cfRule type="cellIs" dxfId="1871" priority="387" stopIfTrue="1" operator="equal">
      <formula>"M"</formula>
    </cfRule>
  </conditionalFormatting>
  <conditionalFormatting sqref="CF39:CI50">
    <cfRule type="cellIs" dxfId="1870" priority="388" stopIfTrue="1" operator="equal">
      <formula>"J"</formula>
    </cfRule>
  </conditionalFormatting>
  <conditionalFormatting sqref="CF39:CI50">
    <cfRule type="cellIs" dxfId="1869" priority="389" stopIfTrue="1" operator="equal">
      <formula>"O"</formula>
    </cfRule>
  </conditionalFormatting>
  <conditionalFormatting sqref="CF39:CI50">
    <cfRule type="expression" dxfId="1868" priority="390" stopIfTrue="1">
      <formula>LEN(TRIM(CF39))=0</formula>
    </cfRule>
  </conditionalFormatting>
  <conditionalFormatting sqref="CK39:CO50">
    <cfRule type="cellIs" dxfId="1867" priority="391" stopIfTrue="1" operator="equal">
      <formula>"E"</formula>
    </cfRule>
  </conditionalFormatting>
  <conditionalFormatting sqref="CK39:CO50">
    <cfRule type="cellIs" dxfId="1866" priority="392" stopIfTrue="1" operator="equal">
      <formula>"S"</formula>
    </cfRule>
  </conditionalFormatting>
  <conditionalFormatting sqref="CK39:CO50">
    <cfRule type="cellIs" dxfId="1865" priority="393" stopIfTrue="1" operator="equal">
      <formula>"M"</formula>
    </cfRule>
  </conditionalFormatting>
  <conditionalFormatting sqref="CK39:CO50">
    <cfRule type="cellIs" dxfId="1864" priority="394" stopIfTrue="1" operator="equal">
      <formula>"J"</formula>
    </cfRule>
  </conditionalFormatting>
  <conditionalFormatting sqref="CK39:CO50">
    <cfRule type="cellIs" dxfId="1863" priority="395" stopIfTrue="1" operator="equal">
      <formula>"O"</formula>
    </cfRule>
  </conditionalFormatting>
  <conditionalFormatting sqref="CK39:CO50">
    <cfRule type="expression" dxfId="1862" priority="396" stopIfTrue="1">
      <formula>LEN(TRIM(CK39))=0</formula>
    </cfRule>
  </conditionalFormatting>
  <conditionalFormatting sqref="CQ39:CU50">
    <cfRule type="cellIs" dxfId="1861" priority="397" stopIfTrue="1" operator="equal">
      <formula>"E"</formula>
    </cfRule>
  </conditionalFormatting>
  <conditionalFormatting sqref="CQ39:CU50">
    <cfRule type="cellIs" dxfId="1860" priority="398" stopIfTrue="1" operator="equal">
      <formula>"S"</formula>
    </cfRule>
  </conditionalFormatting>
  <conditionalFormatting sqref="CQ39:CU50">
    <cfRule type="cellIs" dxfId="1859" priority="399" stopIfTrue="1" operator="equal">
      <formula>"M"</formula>
    </cfRule>
  </conditionalFormatting>
  <conditionalFormatting sqref="CQ39:CU50">
    <cfRule type="cellIs" dxfId="1858" priority="400" stopIfTrue="1" operator="equal">
      <formula>"J"</formula>
    </cfRule>
  </conditionalFormatting>
  <conditionalFormatting sqref="CQ39:CU50">
    <cfRule type="cellIs" dxfId="1857" priority="401" stopIfTrue="1" operator="equal">
      <formula>"O"</formula>
    </cfRule>
  </conditionalFormatting>
  <conditionalFormatting sqref="CQ39:CU50">
    <cfRule type="expression" dxfId="1856" priority="402" stopIfTrue="1">
      <formula>LEN(TRIM(CQ39))=0</formula>
    </cfRule>
  </conditionalFormatting>
  <conditionalFormatting sqref="CW39:DA50">
    <cfRule type="cellIs" dxfId="1855" priority="403" stopIfTrue="1" operator="equal">
      <formula>"E"</formula>
    </cfRule>
  </conditionalFormatting>
  <conditionalFormatting sqref="CW39:DA50">
    <cfRule type="cellIs" dxfId="1854" priority="404" stopIfTrue="1" operator="equal">
      <formula>"S"</formula>
    </cfRule>
  </conditionalFormatting>
  <conditionalFormatting sqref="CW39:DA50">
    <cfRule type="cellIs" dxfId="1853" priority="405" stopIfTrue="1" operator="equal">
      <formula>"M"</formula>
    </cfRule>
  </conditionalFormatting>
  <conditionalFormatting sqref="CW39:DA50">
    <cfRule type="cellIs" dxfId="1852" priority="406" stopIfTrue="1" operator="equal">
      <formula>"J"</formula>
    </cfRule>
  </conditionalFormatting>
  <conditionalFormatting sqref="CW39:DA50">
    <cfRule type="cellIs" dxfId="1851" priority="407" stopIfTrue="1" operator="equal">
      <formula>"O"</formula>
    </cfRule>
  </conditionalFormatting>
  <conditionalFormatting sqref="CW39:DA50">
    <cfRule type="expression" dxfId="1850" priority="408" stopIfTrue="1">
      <formula>LEN(TRIM(CW39))=0</formula>
    </cfRule>
  </conditionalFormatting>
  <conditionalFormatting sqref="D52:K59">
    <cfRule type="cellIs" dxfId="1849" priority="409" stopIfTrue="1" operator="equal">
      <formula>"E"</formula>
    </cfRule>
    <cfRule type="cellIs" dxfId="1848" priority="410" stopIfTrue="1" operator="equal">
      <formula>"S"</formula>
    </cfRule>
    <cfRule type="cellIs" dxfId="1847" priority="411" stopIfTrue="1" operator="equal">
      <formula>"M"</formula>
    </cfRule>
    <cfRule type="cellIs" dxfId="1846" priority="412" stopIfTrue="1" operator="equal">
      <formula>"J"</formula>
    </cfRule>
    <cfRule type="cellIs" dxfId="1845" priority="413" stopIfTrue="1" operator="equal">
      <formula>"O"</formula>
    </cfRule>
    <cfRule type="expression" dxfId="1844" priority="414" stopIfTrue="1">
      <formula>LEN(TRIM(D52))=0</formula>
    </cfRule>
  </conditionalFormatting>
  <conditionalFormatting sqref="L52:O59">
    <cfRule type="cellIs" dxfId="1843" priority="415" stopIfTrue="1" operator="equal">
      <formula>"E"</formula>
    </cfRule>
    <cfRule type="cellIs" dxfId="1842" priority="416" stopIfTrue="1" operator="equal">
      <formula>"S"</formula>
    </cfRule>
    <cfRule type="cellIs" dxfId="1841" priority="417" stopIfTrue="1" operator="equal">
      <formula>"M"</formula>
    </cfRule>
    <cfRule type="cellIs" dxfId="1840" priority="418" stopIfTrue="1" operator="equal">
      <formula>"J"</formula>
    </cfRule>
    <cfRule type="cellIs" dxfId="1839" priority="419" stopIfTrue="1" operator="equal">
      <formula>"O"</formula>
    </cfRule>
    <cfRule type="expression" dxfId="1838" priority="420" stopIfTrue="1">
      <formula>LEN(TRIM(L52))=0</formula>
    </cfRule>
  </conditionalFormatting>
  <conditionalFormatting sqref="P52:AI59">
    <cfRule type="cellIs" dxfId="1837" priority="421" stopIfTrue="1" operator="equal">
      <formula>"E"</formula>
    </cfRule>
    <cfRule type="cellIs" dxfId="1836" priority="422" stopIfTrue="1" operator="equal">
      <formula>"S"</formula>
    </cfRule>
    <cfRule type="cellIs" dxfId="1835" priority="423" stopIfTrue="1" operator="equal">
      <formula>"M"</formula>
    </cfRule>
    <cfRule type="cellIs" dxfId="1834" priority="424" stopIfTrue="1" operator="equal">
      <formula>"J"</formula>
    </cfRule>
    <cfRule type="cellIs" dxfId="1833" priority="425" stopIfTrue="1" operator="equal">
      <formula>"O"</formula>
    </cfRule>
    <cfRule type="expression" dxfId="1832" priority="426" stopIfTrue="1">
      <formula>LEN(TRIM(P52))=0</formula>
    </cfRule>
  </conditionalFormatting>
  <conditionalFormatting sqref="AJ52:AL59">
    <cfRule type="cellIs" dxfId="1831" priority="427" stopIfTrue="1" operator="equal">
      <formula>"E"</formula>
    </cfRule>
    <cfRule type="cellIs" dxfId="1830" priority="428" stopIfTrue="1" operator="equal">
      <formula>"S"</formula>
    </cfRule>
    <cfRule type="cellIs" dxfId="1829" priority="429" stopIfTrue="1" operator="equal">
      <formula>"M"</formula>
    </cfRule>
    <cfRule type="cellIs" dxfId="1828" priority="430" stopIfTrue="1" operator="equal">
      <formula>"J"</formula>
    </cfRule>
    <cfRule type="cellIs" dxfId="1827" priority="431" stopIfTrue="1" operator="equal">
      <formula>"O"</formula>
    </cfRule>
    <cfRule type="expression" dxfId="1826" priority="432" stopIfTrue="1">
      <formula>LEN(TRIM(AJ52))=0</formula>
    </cfRule>
  </conditionalFormatting>
  <conditionalFormatting sqref="AM52:AO59">
    <cfRule type="cellIs" dxfId="1825" priority="433" stopIfTrue="1" operator="equal">
      <formula>"E"</formula>
    </cfRule>
  </conditionalFormatting>
  <conditionalFormatting sqref="AM52:AO59">
    <cfRule type="cellIs" dxfId="1824" priority="434" stopIfTrue="1" operator="equal">
      <formula>"S"</formula>
    </cfRule>
  </conditionalFormatting>
  <conditionalFormatting sqref="AM52:AO59">
    <cfRule type="cellIs" dxfId="1823" priority="435" stopIfTrue="1" operator="equal">
      <formula>"M"</formula>
    </cfRule>
  </conditionalFormatting>
  <conditionalFormatting sqref="AM52:AO59">
    <cfRule type="cellIs" dxfId="1822" priority="436" stopIfTrue="1" operator="equal">
      <formula>"J"</formula>
    </cfRule>
  </conditionalFormatting>
  <conditionalFormatting sqref="AM52:AO59">
    <cfRule type="cellIs" dxfId="1821" priority="437" stopIfTrue="1" operator="equal">
      <formula>"O"</formula>
    </cfRule>
  </conditionalFormatting>
  <conditionalFormatting sqref="AM52:AO59">
    <cfRule type="expression" dxfId="1820" priority="438" stopIfTrue="1">
      <formula>LEN(TRIM(AM52))=0</formula>
    </cfRule>
  </conditionalFormatting>
  <conditionalFormatting sqref="AP52:AT59">
    <cfRule type="cellIs" dxfId="1819" priority="439" stopIfTrue="1" operator="equal">
      <formula>"E"</formula>
    </cfRule>
  </conditionalFormatting>
  <conditionalFormatting sqref="AP52:AT59">
    <cfRule type="cellIs" dxfId="1818" priority="440" stopIfTrue="1" operator="equal">
      <formula>"S"</formula>
    </cfRule>
  </conditionalFormatting>
  <conditionalFormatting sqref="AP52:AT59">
    <cfRule type="cellIs" dxfId="1817" priority="441" stopIfTrue="1" operator="equal">
      <formula>"M"</formula>
    </cfRule>
  </conditionalFormatting>
  <conditionalFormatting sqref="AP52:AT59">
    <cfRule type="cellIs" dxfId="1816" priority="442" stopIfTrue="1" operator="equal">
      <formula>"J"</formula>
    </cfRule>
  </conditionalFormatting>
  <conditionalFormatting sqref="AP52:AT59">
    <cfRule type="cellIs" dxfId="1815" priority="443" stopIfTrue="1" operator="equal">
      <formula>"O"</formula>
    </cfRule>
  </conditionalFormatting>
  <conditionalFormatting sqref="AP52:AT59">
    <cfRule type="expression" dxfId="1814" priority="444" stopIfTrue="1">
      <formula>LEN(TRIM(AP52))=0</formula>
    </cfRule>
  </conditionalFormatting>
  <conditionalFormatting sqref="AU52:BB59">
    <cfRule type="cellIs" dxfId="1813" priority="445" stopIfTrue="1" operator="equal">
      <formula>"E"</formula>
    </cfRule>
  </conditionalFormatting>
  <conditionalFormatting sqref="AU52:BB59">
    <cfRule type="cellIs" dxfId="1812" priority="446" stopIfTrue="1" operator="equal">
      <formula>"S"</formula>
    </cfRule>
  </conditionalFormatting>
  <conditionalFormatting sqref="AU52:BB59">
    <cfRule type="cellIs" dxfId="1811" priority="447" stopIfTrue="1" operator="equal">
      <formula>"M"</formula>
    </cfRule>
  </conditionalFormatting>
  <conditionalFormatting sqref="AU52:BB59">
    <cfRule type="cellIs" dxfId="1810" priority="448" stopIfTrue="1" operator="equal">
      <formula>"J"</formula>
    </cfRule>
  </conditionalFormatting>
  <conditionalFormatting sqref="AU52:BB59">
    <cfRule type="cellIs" dxfId="1809" priority="449" stopIfTrue="1" operator="equal">
      <formula>"O"</formula>
    </cfRule>
  </conditionalFormatting>
  <conditionalFormatting sqref="AU52:BB59">
    <cfRule type="expression" dxfId="1808" priority="450" stopIfTrue="1">
      <formula>LEN(TRIM(AU52))=0</formula>
    </cfRule>
  </conditionalFormatting>
  <conditionalFormatting sqref="BC52:BG59">
    <cfRule type="cellIs" dxfId="1807" priority="451" stopIfTrue="1" operator="equal">
      <formula>"E"</formula>
    </cfRule>
  </conditionalFormatting>
  <conditionalFormatting sqref="BC52:BG59">
    <cfRule type="cellIs" dxfId="1806" priority="452" stopIfTrue="1" operator="equal">
      <formula>"S"</formula>
    </cfRule>
  </conditionalFormatting>
  <conditionalFormatting sqref="BC52:BG59">
    <cfRule type="cellIs" dxfId="1805" priority="453" stopIfTrue="1" operator="equal">
      <formula>"M"</formula>
    </cfRule>
  </conditionalFormatting>
  <conditionalFormatting sqref="BC52:BG59">
    <cfRule type="cellIs" dxfId="1804" priority="454" stopIfTrue="1" operator="equal">
      <formula>"J"</formula>
    </cfRule>
  </conditionalFormatting>
  <conditionalFormatting sqref="BC52:BG59">
    <cfRule type="cellIs" dxfId="1803" priority="455" stopIfTrue="1" operator="equal">
      <formula>"O"</formula>
    </cfRule>
  </conditionalFormatting>
  <conditionalFormatting sqref="BC52:BG59">
    <cfRule type="expression" dxfId="1802" priority="456" stopIfTrue="1">
      <formula>LEN(TRIM(BC52))=0</formula>
    </cfRule>
  </conditionalFormatting>
  <conditionalFormatting sqref="BH52:BJ59">
    <cfRule type="cellIs" dxfId="1801" priority="457" stopIfTrue="1" operator="equal">
      <formula>"E"</formula>
    </cfRule>
  </conditionalFormatting>
  <conditionalFormatting sqref="BH52:BJ59">
    <cfRule type="cellIs" dxfId="1800" priority="458" stopIfTrue="1" operator="equal">
      <formula>"S"</formula>
    </cfRule>
  </conditionalFormatting>
  <conditionalFormatting sqref="BH52:BJ59">
    <cfRule type="cellIs" dxfId="1799" priority="459" stopIfTrue="1" operator="equal">
      <formula>"M"</formula>
    </cfRule>
  </conditionalFormatting>
  <conditionalFormatting sqref="BH52:BJ59">
    <cfRule type="cellIs" dxfId="1798" priority="460" stopIfTrue="1" operator="equal">
      <formula>"J"</formula>
    </cfRule>
  </conditionalFormatting>
  <conditionalFormatting sqref="BH52:BJ59">
    <cfRule type="cellIs" dxfId="1797" priority="461" stopIfTrue="1" operator="equal">
      <formula>"O"</formula>
    </cfRule>
  </conditionalFormatting>
  <conditionalFormatting sqref="BH52:BJ59">
    <cfRule type="expression" dxfId="1796" priority="462" stopIfTrue="1">
      <formula>LEN(TRIM(BH52))=0</formula>
    </cfRule>
  </conditionalFormatting>
  <conditionalFormatting sqref="BK52:BN59">
    <cfRule type="cellIs" dxfId="1795" priority="463" stopIfTrue="1" operator="equal">
      <formula>"E"</formula>
    </cfRule>
  </conditionalFormatting>
  <conditionalFormatting sqref="BK52:BN59">
    <cfRule type="cellIs" dxfId="1794" priority="464" stopIfTrue="1" operator="equal">
      <formula>"S"</formula>
    </cfRule>
  </conditionalFormatting>
  <conditionalFormatting sqref="BK52:BN59">
    <cfRule type="cellIs" dxfId="1793" priority="465" stopIfTrue="1" operator="equal">
      <formula>"M"</formula>
    </cfRule>
  </conditionalFormatting>
  <conditionalFormatting sqref="BK52:BN59">
    <cfRule type="cellIs" dxfId="1792" priority="466" stopIfTrue="1" operator="equal">
      <formula>"J"</formula>
    </cfRule>
  </conditionalFormatting>
  <conditionalFormatting sqref="BK52:BN59">
    <cfRule type="cellIs" dxfId="1791" priority="467" stopIfTrue="1" operator="equal">
      <formula>"O"</formula>
    </cfRule>
  </conditionalFormatting>
  <conditionalFormatting sqref="BK52:BN59">
    <cfRule type="expression" dxfId="1790" priority="468" stopIfTrue="1">
      <formula>LEN(TRIM(BK52))=0</formula>
    </cfRule>
  </conditionalFormatting>
  <conditionalFormatting sqref="BO52:BV59">
    <cfRule type="cellIs" dxfId="1789" priority="469" stopIfTrue="1" operator="equal">
      <formula>"E"</formula>
    </cfRule>
  </conditionalFormatting>
  <conditionalFormatting sqref="BO52:BV59">
    <cfRule type="cellIs" dxfId="1788" priority="470" stopIfTrue="1" operator="equal">
      <formula>"S"</formula>
    </cfRule>
  </conditionalFormatting>
  <conditionalFormatting sqref="BO52:BV59">
    <cfRule type="cellIs" dxfId="1787" priority="471" stopIfTrue="1" operator="equal">
      <formula>"M"</formula>
    </cfRule>
  </conditionalFormatting>
  <conditionalFormatting sqref="BO52:BV59">
    <cfRule type="cellIs" dxfId="1786" priority="472" stopIfTrue="1" operator="equal">
      <formula>"J"</formula>
    </cfRule>
  </conditionalFormatting>
  <conditionalFormatting sqref="BO52:BV59">
    <cfRule type="cellIs" dxfId="1785" priority="473" stopIfTrue="1" operator="equal">
      <formula>"O"</formula>
    </cfRule>
  </conditionalFormatting>
  <conditionalFormatting sqref="BO52:BV59">
    <cfRule type="expression" dxfId="1784" priority="474" stopIfTrue="1">
      <formula>LEN(TRIM(BO52))=0</formula>
    </cfRule>
  </conditionalFormatting>
  <conditionalFormatting sqref="BW52:CB59">
    <cfRule type="cellIs" dxfId="1783" priority="475" stopIfTrue="1" operator="equal">
      <formula>"E"</formula>
    </cfRule>
  </conditionalFormatting>
  <conditionalFormatting sqref="BW52:CB59">
    <cfRule type="cellIs" dxfId="1782" priority="476" stopIfTrue="1" operator="equal">
      <formula>"S"</formula>
    </cfRule>
  </conditionalFormatting>
  <conditionalFormatting sqref="BW52:CB59">
    <cfRule type="cellIs" dxfId="1781" priority="477" stopIfTrue="1" operator="equal">
      <formula>"M"</formula>
    </cfRule>
  </conditionalFormatting>
  <conditionalFormatting sqref="BW52:CB59">
    <cfRule type="cellIs" dxfId="1780" priority="478" stopIfTrue="1" operator="equal">
      <formula>"J"</formula>
    </cfRule>
  </conditionalFormatting>
  <conditionalFormatting sqref="BW52:CB59">
    <cfRule type="cellIs" dxfId="1779" priority="479" stopIfTrue="1" operator="equal">
      <formula>"O"</formula>
    </cfRule>
  </conditionalFormatting>
  <conditionalFormatting sqref="BW52:CB59">
    <cfRule type="expression" dxfId="1778" priority="480" stopIfTrue="1">
      <formula>LEN(TRIM(BW52))=0</formula>
    </cfRule>
  </conditionalFormatting>
  <conditionalFormatting sqref="CC52:CE59">
    <cfRule type="cellIs" dxfId="1777" priority="481" stopIfTrue="1" operator="equal">
      <formula>"E"</formula>
    </cfRule>
  </conditionalFormatting>
  <conditionalFormatting sqref="CC52:CE59">
    <cfRule type="cellIs" dxfId="1776" priority="482" stopIfTrue="1" operator="equal">
      <formula>"S"</formula>
    </cfRule>
  </conditionalFormatting>
  <conditionalFormatting sqref="CC52:CE59">
    <cfRule type="cellIs" dxfId="1775" priority="483" stopIfTrue="1" operator="equal">
      <formula>"M"</formula>
    </cfRule>
  </conditionalFormatting>
  <conditionalFormatting sqref="CC52:CE59">
    <cfRule type="cellIs" dxfId="1774" priority="484" stopIfTrue="1" operator="equal">
      <formula>"J"</formula>
    </cfRule>
  </conditionalFormatting>
  <conditionalFormatting sqref="CC52:CE59">
    <cfRule type="cellIs" dxfId="1773" priority="485" stopIfTrue="1" operator="equal">
      <formula>"O"</formula>
    </cfRule>
  </conditionalFormatting>
  <conditionalFormatting sqref="CC52:CE59">
    <cfRule type="expression" dxfId="1772" priority="486" stopIfTrue="1">
      <formula>LEN(TRIM(CC52))=0</formula>
    </cfRule>
  </conditionalFormatting>
  <conditionalFormatting sqref="CF52:CI59">
    <cfRule type="cellIs" dxfId="1771" priority="487" stopIfTrue="1" operator="equal">
      <formula>"E"</formula>
    </cfRule>
  </conditionalFormatting>
  <conditionalFormatting sqref="CF52:CI59">
    <cfRule type="cellIs" dxfId="1770" priority="488" stopIfTrue="1" operator="equal">
      <formula>"S"</formula>
    </cfRule>
  </conditionalFormatting>
  <conditionalFormatting sqref="CF52:CI59">
    <cfRule type="cellIs" dxfId="1769" priority="489" stopIfTrue="1" operator="equal">
      <formula>"M"</formula>
    </cfRule>
  </conditionalFormatting>
  <conditionalFormatting sqref="CF52:CI59">
    <cfRule type="cellIs" dxfId="1768" priority="490" stopIfTrue="1" operator="equal">
      <formula>"J"</formula>
    </cfRule>
  </conditionalFormatting>
  <conditionalFormatting sqref="CF52:CI59">
    <cfRule type="cellIs" dxfId="1767" priority="491" stopIfTrue="1" operator="equal">
      <formula>"O"</formula>
    </cfRule>
  </conditionalFormatting>
  <conditionalFormatting sqref="CF52:CI59">
    <cfRule type="expression" dxfId="1766" priority="492" stopIfTrue="1">
      <formula>LEN(TRIM(CF52))=0</formula>
    </cfRule>
  </conditionalFormatting>
  <conditionalFormatting sqref="CK52:CO59">
    <cfRule type="cellIs" dxfId="1765" priority="493" stopIfTrue="1" operator="equal">
      <formula>"E"</formula>
    </cfRule>
  </conditionalFormatting>
  <conditionalFormatting sqref="CK52:CO59">
    <cfRule type="cellIs" dxfId="1764" priority="494" stopIfTrue="1" operator="equal">
      <formula>"S"</formula>
    </cfRule>
  </conditionalFormatting>
  <conditionalFormatting sqref="CK52:CO59">
    <cfRule type="cellIs" dxfId="1763" priority="495" stopIfTrue="1" operator="equal">
      <formula>"M"</formula>
    </cfRule>
  </conditionalFormatting>
  <conditionalFormatting sqref="CK52:CO59">
    <cfRule type="cellIs" dxfId="1762" priority="496" stopIfTrue="1" operator="equal">
      <formula>"J"</formula>
    </cfRule>
  </conditionalFormatting>
  <conditionalFormatting sqref="CK52:CO59">
    <cfRule type="cellIs" dxfId="1761" priority="497" stopIfTrue="1" operator="equal">
      <formula>"O"</formula>
    </cfRule>
  </conditionalFormatting>
  <conditionalFormatting sqref="CK52:CO59">
    <cfRule type="expression" dxfId="1760" priority="498" stopIfTrue="1">
      <formula>LEN(TRIM(CK52))=0</formula>
    </cfRule>
  </conditionalFormatting>
  <conditionalFormatting sqref="CQ52:CU59">
    <cfRule type="cellIs" dxfId="1759" priority="499" stopIfTrue="1" operator="equal">
      <formula>"E"</formula>
    </cfRule>
  </conditionalFormatting>
  <conditionalFormatting sqref="CQ52:CU59">
    <cfRule type="cellIs" dxfId="1758" priority="500" stopIfTrue="1" operator="equal">
      <formula>"S"</formula>
    </cfRule>
  </conditionalFormatting>
  <conditionalFormatting sqref="CQ52:CU59">
    <cfRule type="cellIs" dxfId="1757" priority="501" stopIfTrue="1" operator="equal">
      <formula>"M"</formula>
    </cfRule>
  </conditionalFormatting>
  <conditionalFormatting sqref="CQ52:CU59">
    <cfRule type="cellIs" dxfId="1756" priority="502" stopIfTrue="1" operator="equal">
      <formula>"J"</formula>
    </cfRule>
  </conditionalFormatting>
  <conditionalFormatting sqref="CQ52:CU59">
    <cfRule type="cellIs" dxfId="1755" priority="503" stopIfTrue="1" operator="equal">
      <formula>"O"</formula>
    </cfRule>
  </conditionalFormatting>
  <conditionalFormatting sqref="CQ52:CU59">
    <cfRule type="expression" dxfId="1754" priority="504" stopIfTrue="1">
      <formula>LEN(TRIM(CQ52))=0</formula>
    </cfRule>
  </conditionalFormatting>
  <conditionalFormatting sqref="CW52:DA59">
    <cfRule type="cellIs" dxfId="1753" priority="505" stopIfTrue="1" operator="equal">
      <formula>"E"</formula>
    </cfRule>
  </conditionalFormatting>
  <conditionalFormatting sqref="CW52:DA59">
    <cfRule type="cellIs" dxfId="1752" priority="506" stopIfTrue="1" operator="equal">
      <formula>"S"</formula>
    </cfRule>
  </conditionalFormatting>
  <conditionalFormatting sqref="CW52:DA59">
    <cfRule type="cellIs" dxfId="1751" priority="507" stopIfTrue="1" operator="equal">
      <formula>"M"</formula>
    </cfRule>
  </conditionalFormatting>
  <conditionalFormatting sqref="CW52:DA59">
    <cfRule type="cellIs" dxfId="1750" priority="508" stopIfTrue="1" operator="equal">
      <formula>"J"</formula>
    </cfRule>
  </conditionalFormatting>
  <conditionalFormatting sqref="CW52:DA59">
    <cfRule type="cellIs" dxfId="1749" priority="509" stopIfTrue="1" operator="equal">
      <formula>"O"</formula>
    </cfRule>
  </conditionalFormatting>
  <conditionalFormatting sqref="CW52:DA59">
    <cfRule type="expression" dxfId="1748" priority="510" stopIfTrue="1">
      <formula>LEN(TRIM(CW52))=0</formula>
    </cfRule>
  </conditionalFormatting>
  <conditionalFormatting sqref="D61:K78">
    <cfRule type="cellIs" dxfId="1747" priority="511" stopIfTrue="1" operator="equal">
      <formula>"E"</formula>
    </cfRule>
  </conditionalFormatting>
  <conditionalFormatting sqref="D61:K78">
    <cfRule type="cellIs" dxfId="1746" priority="512" stopIfTrue="1" operator="equal">
      <formula>"S"</formula>
    </cfRule>
  </conditionalFormatting>
  <conditionalFormatting sqref="D61:K78">
    <cfRule type="cellIs" dxfId="1745" priority="513" stopIfTrue="1" operator="equal">
      <formula>"M"</formula>
    </cfRule>
  </conditionalFormatting>
  <conditionalFormatting sqref="D61:K78">
    <cfRule type="cellIs" dxfId="1744" priority="514" stopIfTrue="1" operator="equal">
      <formula>"J"</formula>
    </cfRule>
  </conditionalFormatting>
  <conditionalFormatting sqref="D61:K78">
    <cfRule type="cellIs" dxfId="1743" priority="515" stopIfTrue="1" operator="equal">
      <formula>"O"</formula>
    </cfRule>
  </conditionalFormatting>
  <conditionalFormatting sqref="D61:K78">
    <cfRule type="expression" dxfId="1742" priority="516" stopIfTrue="1">
      <formula>LEN(TRIM(D61))=0</formula>
    </cfRule>
  </conditionalFormatting>
  <conditionalFormatting sqref="L61:O78">
    <cfRule type="cellIs" dxfId="1741" priority="517" stopIfTrue="1" operator="equal">
      <formula>"E"</formula>
    </cfRule>
  </conditionalFormatting>
  <conditionalFormatting sqref="L61:O78">
    <cfRule type="cellIs" dxfId="1740" priority="518" stopIfTrue="1" operator="equal">
      <formula>"S"</formula>
    </cfRule>
  </conditionalFormatting>
  <conditionalFormatting sqref="L61:O78">
    <cfRule type="cellIs" dxfId="1739" priority="519" stopIfTrue="1" operator="equal">
      <formula>"M"</formula>
    </cfRule>
  </conditionalFormatting>
  <conditionalFormatting sqref="L61:O78">
    <cfRule type="cellIs" dxfId="1738" priority="520" stopIfTrue="1" operator="equal">
      <formula>"J"</formula>
    </cfRule>
  </conditionalFormatting>
  <conditionalFormatting sqref="L61:O78">
    <cfRule type="cellIs" dxfId="1737" priority="521" stopIfTrue="1" operator="equal">
      <formula>"O"</formula>
    </cfRule>
  </conditionalFormatting>
  <conditionalFormatting sqref="L61:O78">
    <cfRule type="expression" dxfId="1736" priority="522" stopIfTrue="1">
      <formula>LEN(TRIM(L61))=0</formula>
    </cfRule>
  </conditionalFormatting>
  <conditionalFormatting sqref="P61:AI78">
    <cfRule type="cellIs" dxfId="1735" priority="523" stopIfTrue="1" operator="equal">
      <formula>"E"</formula>
    </cfRule>
  </conditionalFormatting>
  <conditionalFormatting sqref="P61:AI78">
    <cfRule type="cellIs" dxfId="1734" priority="524" stopIfTrue="1" operator="equal">
      <formula>"S"</formula>
    </cfRule>
  </conditionalFormatting>
  <conditionalFormatting sqref="P61:AI78">
    <cfRule type="cellIs" dxfId="1733" priority="525" stopIfTrue="1" operator="equal">
      <formula>"M"</formula>
    </cfRule>
  </conditionalFormatting>
  <conditionalFormatting sqref="P61:AI78">
    <cfRule type="cellIs" dxfId="1732" priority="526" stopIfTrue="1" operator="equal">
      <formula>"J"</formula>
    </cfRule>
  </conditionalFormatting>
  <conditionalFormatting sqref="P61:AI78">
    <cfRule type="cellIs" dxfId="1731" priority="527" stopIfTrue="1" operator="equal">
      <formula>"O"</formula>
    </cfRule>
  </conditionalFormatting>
  <conditionalFormatting sqref="P61:AI78">
    <cfRule type="expression" dxfId="1730" priority="528" stopIfTrue="1">
      <formula>LEN(TRIM(P61))=0</formula>
    </cfRule>
  </conditionalFormatting>
  <conditionalFormatting sqref="AJ61:AL78">
    <cfRule type="cellIs" dxfId="1729" priority="529" stopIfTrue="1" operator="equal">
      <formula>"E"</formula>
    </cfRule>
  </conditionalFormatting>
  <conditionalFormatting sqref="AJ61:AL78">
    <cfRule type="cellIs" dxfId="1728" priority="530" stopIfTrue="1" operator="equal">
      <formula>"S"</formula>
    </cfRule>
  </conditionalFormatting>
  <conditionalFormatting sqref="AJ61:AL78">
    <cfRule type="cellIs" dxfId="1727" priority="531" stopIfTrue="1" operator="equal">
      <formula>"M"</formula>
    </cfRule>
  </conditionalFormatting>
  <conditionalFormatting sqref="AJ61:AL78">
    <cfRule type="cellIs" dxfId="1726" priority="532" stopIfTrue="1" operator="equal">
      <formula>"J"</formula>
    </cfRule>
  </conditionalFormatting>
  <conditionalFormatting sqref="AJ61:AL78">
    <cfRule type="cellIs" dxfId="1725" priority="533" stopIfTrue="1" operator="equal">
      <formula>"O"</formula>
    </cfRule>
  </conditionalFormatting>
  <conditionalFormatting sqref="AJ61:AL78">
    <cfRule type="expression" dxfId="1724" priority="534" stopIfTrue="1">
      <formula>LEN(TRIM(AJ61))=0</formula>
    </cfRule>
  </conditionalFormatting>
  <conditionalFormatting sqref="AM61:AO78">
    <cfRule type="cellIs" dxfId="1723" priority="535" stopIfTrue="1" operator="equal">
      <formula>"E"</formula>
    </cfRule>
  </conditionalFormatting>
  <conditionalFormatting sqref="AM61:AO78">
    <cfRule type="cellIs" dxfId="1722" priority="536" stopIfTrue="1" operator="equal">
      <formula>"S"</formula>
    </cfRule>
  </conditionalFormatting>
  <conditionalFormatting sqref="AM61:AO78">
    <cfRule type="cellIs" dxfId="1721" priority="537" stopIfTrue="1" operator="equal">
      <formula>"M"</formula>
    </cfRule>
  </conditionalFormatting>
  <conditionalFormatting sqref="AM61:AO78">
    <cfRule type="cellIs" dxfId="1720" priority="538" stopIfTrue="1" operator="equal">
      <formula>"J"</formula>
    </cfRule>
  </conditionalFormatting>
  <conditionalFormatting sqref="AM61:AO78">
    <cfRule type="cellIs" dxfId="1719" priority="539" stopIfTrue="1" operator="equal">
      <formula>"O"</formula>
    </cfRule>
  </conditionalFormatting>
  <conditionalFormatting sqref="AM61:AO78">
    <cfRule type="expression" dxfId="1718" priority="540" stopIfTrue="1">
      <formula>LEN(TRIM(AM61))=0</formula>
    </cfRule>
  </conditionalFormatting>
  <conditionalFormatting sqref="AP61:AT78">
    <cfRule type="cellIs" dxfId="1717" priority="541" stopIfTrue="1" operator="equal">
      <formula>"E"</formula>
    </cfRule>
  </conditionalFormatting>
  <conditionalFormatting sqref="AP61:AT78">
    <cfRule type="cellIs" dxfId="1716" priority="542" stopIfTrue="1" operator="equal">
      <formula>"S"</formula>
    </cfRule>
  </conditionalFormatting>
  <conditionalFormatting sqref="AP61:AT78">
    <cfRule type="cellIs" dxfId="1715" priority="543" stopIfTrue="1" operator="equal">
      <formula>"M"</formula>
    </cfRule>
  </conditionalFormatting>
  <conditionalFormatting sqref="AP61:AT78">
    <cfRule type="cellIs" dxfId="1714" priority="544" stopIfTrue="1" operator="equal">
      <formula>"J"</formula>
    </cfRule>
  </conditionalFormatting>
  <conditionalFormatting sqref="AP61:AT78">
    <cfRule type="cellIs" dxfId="1713" priority="545" stopIfTrue="1" operator="equal">
      <formula>"O"</formula>
    </cfRule>
  </conditionalFormatting>
  <conditionalFormatting sqref="AP61:AT78">
    <cfRule type="expression" dxfId="1712" priority="546" stopIfTrue="1">
      <formula>LEN(TRIM(AP61))=0</formula>
    </cfRule>
  </conditionalFormatting>
  <conditionalFormatting sqref="AU61:BB78">
    <cfRule type="cellIs" dxfId="1711" priority="547" stopIfTrue="1" operator="equal">
      <formula>"E"</formula>
    </cfRule>
  </conditionalFormatting>
  <conditionalFormatting sqref="AU61:BB78">
    <cfRule type="cellIs" dxfId="1710" priority="548" stopIfTrue="1" operator="equal">
      <formula>"S"</formula>
    </cfRule>
  </conditionalFormatting>
  <conditionalFormatting sqref="AU61:BB78">
    <cfRule type="cellIs" dxfId="1709" priority="549" stopIfTrue="1" operator="equal">
      <formula>"M"</formula>
    </cfRule>
  </conditionalFormatting>
  <conditionalFormatting sqref="AU61:BB78">
    <cfRule type="cellIs" dxfId="1708" priority="550" stopIfTrue="1" operator="equal">
      <formula>"J"</formula>
    </cfRule>
  </conditionalFormatting>
  <conditionalFormatting sqref="AU61:BB78">
    <cfRule type="cellIs" dxfId="1707" priority="551" stopIfTrue="1" operator="equal">
      <formula>"O"</formula>
    </cfRule>
  </conditionalFormatting>
  <conditionalFormatting sqref="AU61:BB78">
    <cfRule type="expression" dxfId="1706" priority="552" stopIfTrue="1">
      <formula>LEN(TRIM(AU61))=0</formula>
    </cfRule>
  </conditionalFormatting>
  <conditionalFormatting sqref="BC61:BG78">
    <cfRule type="cellIs" dxfId="1705" priority="553" stopIfTrue="1" operator="equal">
      <formula>"E"</formula>
    </cfRule>
  </conditionalFormatting>
  <conditionalFormatting sqref="BC61:BG78">
    <cfRule type="cellIs" dxfId="1704" priority="554" stopIfTrue="1" operator="equal">
      <formula>"S"</formula>
    </cfRule>
  </conditionalFormatting>
  <conditionalFormatting sqref="BC61:BG78">
    <cfRule type="cellIs" dxfId="1703" priority="555" stopIfTrue="1" operator="equal">
      <formula>"M"</formula>
    </cfRule>
  </conditionalFormatting>
  <conditionalFormatting sqref="BC61:BG78">
    <cfRule type="cellIs" dxfId="1702" priority="556" stopIfTrue="1" operator="equal">
      <formula>"J"</formula>
    </cfRule>
  </conditionalFormatting>
  <conditionalFormatting sqref="BC61:BG78">
    <cfRule type="cellIs" dxfId="1701" priority="557" stopIfTrue="1" operator="equal">
      <formula>"O"</formula>
    </cfRule>
  </conditionalFormatting>
  <conditionalFormatting sqref="BC61:BG78">
    <cfRule type="expression" dxfId="1700" priority="558" stopIfTrue="1">
      <formula>LEN(TRIM(BC61))=0</formula>
    </cfRule>
  </conditionalFormatting>
  <conditionalFormatting sqref="BH61:BJ78">
    <cfRule type="cellIs" dxfId="1699" priority="559" stopIfTrue="1" operator="equal">
      <formula>"E"</formula>
    </cfRule>
  </conditionalFormatting>
  <conditionalFormatting sqref="BH61:BJ78">
    <cfRule type="cellIs" dxfId="1698" priority="560" stopIfTrue="1" operator="equal">
      <formula>"S"</formula>
    </cfRule>
  </conditionalFormatting>
  <conditionalFormatting sqref="BH61:BJ78">
    <cfRule type="cellIs" dxfId="1697" priority="561" stopIfTrue="1" operator="equal">
      <formula>"M"</formula>
    </cfRule>
  </conditionalFormatting>
  <conditionalFormatting sqref="BH61:BJ78">
    <cfRule type="cellIs" dxfId="1696" priority="562" stopIfTrue="1" operator="equal">
      <formula>"J"</formula>
    </cfRule>
  </conditionalFormatting>
  <conditionalFormatting sqref="BH61:BJ78">
    <cfRule type="cellIs" dxfId="1695" priority="563" stopIfTrue="1" operator="equal">
      <formula>"O"</formula>
    </cfRule>
  </conditionalFormatting>
  <conditionalFormatting sqref="BH61:BJ78">
    <cfRule type="expression" dxfId="1694" priority="564" stopIfTrue="1">
      <formula>LEN(TRIM(BH61))=0</formula>
    </cfRule>
  </conditionalFormatting>
  <conditionalFormatting sqref="BK61:BN78">
    <cfRule type="cellIs" dxfId="1693" priority="565" stopIfTrue="1" operator="equal">
      <formula>"E"</formula>
    </cfRule>
  </conditionalFormatting>
  <conditionalFormatting sqref="BK61:BN78">
    <cfRule type="cellIs" dxfId="1692" priority="566" stopIfTrue="1" operator="equal">
      <formula>"S"</formula>
    </cfRule>
  </conditionalFormatting>
  <conditionalFormatting sqref="BK61:BN78">
    <cfRule type="cellIs" dxfId="1691" priority="567" stopIfTrue="1" operator="equal">
      <formula>"M"</formula>
    </cfRule>
  </conditionalFormatting>
  <conditionalFormatting sqref="BK61:BN78">
    <cfRule type="cellIs" dxfId="1690" priority="568" stopIfTrue="1" operator="equal">
      <formula>"J"</formula>
    </cfRule>
  </conditionalFormatting>
  <conditionalFormatting sqref="BK61:BN78">
    <cfRule type="cellIs" dxfId="1689" priority="569" stopIfTrue="1" operator="equal">
      <formula>"O"</formula>
    </cfRule>
  </conditionalFormatting>
  <conditionalFormatting sqref="BK61:BN78">
    <cfRule type="expression" dxfId="1688" priority="570" stopIfTrue="1">
      <formula>LEN(TRIM(BK61))=0</formula>
    </cfRule>
  </conditionalFormatting>
  <conditionalFormatting sqref="BO61:BV78">
    <cfRule type="cellIs" dxfId="1687" priority="571" stopIfTrue="1" operator="equal">
      <formula>"E"</formula>
    </cfRule>
  </conditionalFormatting>
  <conditionalFormatting sqref="BO61:BV78">
    <cfRule type="cellIs" dxfId="1686" priority="572" stopIfTrue="1" operator="equal">
      <formula>"S"</formula>
    </cfRule>
  </conditionalFormatting>
  <conditionalFormatting sqref="BO61:BV78">
    <cfRule type="cellIs" dxfId="1685" priority="573" stopIfTrue="1" operator="equal">
      <formula>"M"</formula>
    </cfRule>
  </conditionalFormatting>
  <conditionalFormatting sqref="BO61:BV78">
    <cfRule type="cellIs" dxfId="1684" priority="574" stopIfTrue="1" operator="equal">
      <formula>"J"</formula>
    </cfRule>
  </conditionalFormatting>
  <conditionalFormatting sqref="BO61:BV78">
    <cfRule type="cellIs" dxfId="1683" priority="575" stopIfTrue="1" operator="equal">
      <formula>"O"</formula>
    </cfRule>
  </conditionalFormatting>
  <conditionalFormatting sqref="BO61:BV78">
    <cfRule type="expression" dxfId="1682" priority="576" stopIfTrue="1">
      <formula>LEN(TRIM(BO61))=0</formula>
    </cfRule>
  </conditionalFormatting>
  <conditionalFormatting sqref="BW61:CB78">
    <cfRule type="cellIs" dxfId="1681" priority="577" stopIfTrue="1" operator="equal">
      <formula>"E"</formula>
    </cfRule>
  </conditionalFormatting>
  <conditionalFormatting sqref="BW61:CB78">
    <cfRule type="cellIs" dxfId="1680" priority="578" stopIfTrue="1" operator="equal">
      <formula>"S"</formula>
    </cfRule>
  </conditionalFormatting>
  <conditionalFormatting sqref="BW61:CB78">
    <cfRule type="cellIs" dxfId="1679" priority="579" stopIfTrue="1" operator="equal">
      <formula>"M"</formula>
    </cfRule>
  </conditionalFormatting>
  <conditionalFormatting sqref="BW61:CB78">
    <cfRule type="cellIs" dxfId="1678" priority="580" stopIfTrue="1" operator="equal">
      <formula>"J"</formula>
    </cfRule>
  </conditionalFormatting>
  <conditionalFormatting sqref="BW61:CB78">
    <cfRule type="cellIs" dxfId="1677" priority="581" stopIfTrue="1" operator="equal">
      <formula>"O"</formula>
    </cfRule>
  </conditionalFormatting>
  <conditionalFormatting sqref="BW61:CB78">
    <cfRule type="expression" dxfId="1676" priority="582" stopIfTrue="1">
      <formula>LEN(TRIM(BW61))=0</formula>
    </cfRule>
  </conditionalFormatting>
  <conditionalFormatting sqref="CC61:CE78">
    <cfRule type="cellIs" dxfId="1675" priority="583" stopIfTrue="1" operator="equal">
      <formula>"E"</formula>
    </cfRule>
  </conditionalFormatting>
  <conditionalFormatting sqref="CC61:CE78">
    <cfRule type="cellIs" dxfId="1674" priority="584" stopIfTrue="1" operator="equal">
      <formula>"S"</formula>
    </cfRule>
  </conditionalFormatting>
  <conditionalFormatting sqref="CC61:CE78">
    <cfRule type="cellIs" dxfId="1673" priority="585" stopIfTrue="1" operator="equal">
      <formula>"M"</formula>
    </cfRule>
  </conditionalFormatting>
  <conditionalFormatting sqref="CC61:CE78">
    <cfRule type="cellIs" dxfId="1672" priority="586" stopIfTrue="1" operator="equal">
      <formula>"J"</formula>
    </cfRule>
  </conditionalFormatting>
  <conditionalFormatting sqref="CC61:CE78">
    <cfRule type="cellIs" dxfId="1671" priority="587" stopIfTrue="1" operator="equal">
      <formula>"O"</formula>
    </cfRule>
  </conditionalFormatting>
  <conditionalFormatting sqref="CC61:CE78">
    <cfRule type="expression" dxfId="1670" priority="588" stopIfTrue="1">
      <formula>LEN(TRIM(CC61))=0</formula>
    </cfRule>
  </conditionalFormatting>
  <conditionalFormatting sqref="CF61:CI78">
    <cfRule type="cellIs" dxfId="1669" priority="589" stopIfTrue="1" operator="equal">
      <formula>"E"</formula>
    </cfRule>
  </conditionalFormatting>
  <conditionalFormatting sqref="CF61:CI78">
    <cfRule type="cellIs" dxfId="1668" priority="590" stopIfTrue="1" operator="equal">
      <formula>"S"</formula>
    </cfRule>
  </conditionalFormatting>
  <conditionalFormatting sqref="CF61:CI78">
    <cfRule type="cellIs" dxfId="1667" priority="591" stopIfTrue="1" operator="equal">
      <formula>"M"</formula>
    </cfRule>
  </conditionalFormatting>
  <conditionalFormatting sqref="CF61:CI78">
    <cfRule type="cellIs" dxfId="1666" priority="592" stopIfTrue="1" operator="equal">
      <formula>"J"</formula>
    </cfRule>
  </conditionalFormatting>
  <conditionalFormatting sqref="CF61:CI78">
    <cfRule type="cellIs" dxfId="1665" priority="593" stopIfTrue="1" operator="equal">
      <formula>"O"</formula>
    </cfRule>
  </conditionalFormatting>
  <conditionalFormatting sqref="CF61:CI78">
    <cfRule type="expression" dxfId="1664" priority="594" stopIfTrue="1">
      <formula>LEN(TRIM(CF61))=0</formula>
    </cfRule>
  </conditionalFormatting>
  <conditionalFormatting sqref="CK61:CO78">
    <cfRule type="cellIs" dxfId="1663" priority="595" stopIfTrue="1" operator="equal">
      <formula>"E"</formula>
    </cfRule>
  </conditionalFormatting>
  <conditionalFormatting sqref="CK61:CO78">
    <cfRule type="cellIs" dxfId="1662" priority="596" stopIfTrue="1" operator="equal">
      <formula>"S"</formula>
    </cfRule>
  </conditionalFormatting>
  <conditionalFormatting sqref="CK61:CO78">
    <cfRule type="cellIs" dxfId="1661" priority="597" stopIfTrue="1" operator="equal">
      <formula>"M"</formula>
    </cfRule>
  </conditionalFormatting>
  <conditionalFormatting sqref="CK61:CO78">
    <cfRule type="cellIs" dxfId="1660" priority="598" stopIfTrue="1" operator="equal">
      <formula>"J"</formula>
    </cfRule>
  </conditionalFormatting>
  <conditionalFormatting sqref="CK61:CO78">
    <cfRule type="cellIs" dxfId="1659" priority="599" stopIfTrue="1" operator="equal">
      <formula>"O"</formula>
    </cfRule>
  </conditionalFormatting>
  <conditionalFormatting sqref="CK61:CO78">
    <cfRule type="expression" dxfId="1658" priority="600" stopIfTrue="1">
      <formula>LEN(TRIM(CK61))=0</formula>
    </cfRule>
  </conditionalFormatting>
  <conditionalFormatting sqref="CQ61:CU78">
    <cfRule type="cellIs" dxfId="1657" priority="601" stopIfTrue="1" operator="equal">
      <formula>"E"</formula>
    </cfRule>
  </conditionalFormatting>
  <conditionalFormatting sqref="CQ61:CU78">
    <cfRule type="cellIs" dxfId="1656" priority="602" stopIfTrue="1" operator="equal">
      <formula>"S"</formula>
    </cfRule>
  </conditionalFormatting>
  <conditionalFormatting sqref="CQ61:CU78">
    <cfRule type="cellIs" dxfId="1655" priority="603" stopIfTrue="1" operator="equal">
      <formula>"M"</formula>
    </cfRule>
  </conditionalFormatting>
  <conditionalFormatting sqref="CQ61:CU78">
    <cfRule type="cellIs" dxfId="1654" priority="604" stopIfTrue="1" operator="equal">
      <formula>"J"</formula>
    </cfRule>
  </conditionalFormatting>
  <conditionalFormatting sqref="CQ61:CU78">
    <cfRule type="cellIs" dxfId="1653" priority="605" stopIfTrue="1" operator="equal">
      <formula>"O"</formula>
    </cfRule>
  </conditionalFormatting>
  <conditionalFormatting sqref="CQ61:CU78">
    <cfRule type="expression" dxfId="1652" priority="606" stopIfTrue="1">
      <formula>LEN(TRIM(CQ61))=0</formula>
    </cfRule>
  </conditionalFormatting>
  <conditionalFormatting sqref="CW61:DA78">
    <cfRule type="cellIs" dxfId="1651" priority="607" stopIfTrue="1" operator="equal">
      <formula>"E"</formula>
    </cfRule>
  </conditionalFormatting>
  <conditionalFormatting sqref="CW61:DA78">
    <cfRule type="cellIs" dxfId="1650" priority="608" stopIfTrue="1" operator="equal">
      <formula>"S"</formula>
    </cfRule>
  </conditionalFormatting>
  <conditionalFormatting sqref="CW61:DA78">
    <cfRule type="cellIs" dxfId="1649" priority="609" stopIfTrue="1" operator="equal">
      <formula>"M"</formula>
    </cfRule>
  </conditionalFormatting>
  <conditionalFormatting sqref="CW61:DA78">
    <cfRule type="cellIs" dxfId="1648" priority="610" stopIfTrue="1" operator="equal">
      <formula>"J"</formula>
    </cfRule>
  </conditionalFormatting>
  <conditionalFormatting sqref="CW61:DA78">
    <cfRule type="cellIs" dxfId="1647" priority="611" stopIfTrue="1" operator="equal">
      <formula>"O"</formula>
    </cfRule>
  </conditionalFormatting>
  <conditionalFormatting sqref="CW61:DA78">
    <cfRule type="expression" dxfId="1646" priority="612" stopIfTrue="1">
      <formula>LEN(TRIM(CW61))=0</formula>
    </cfRule>
  </conditionalFormatting>
  <conditionalFormatting sqref="D80:K94">
    <cfRule type="cellIs" dxfId="1645" priority="613" stopIfTrue="1" operator="equal">
      <formula>"E"</formula>
    </cfRule>
  </conditionalFormatting>
  <conditionalFormatting sqref="D80:K94">
    <cfRule type="cellIs" dxfId="1644" priority="614" stopIfTrue="1" operator="equal">
      <formula>"S"</formula>
    </cfRule>
  </conditionalFormatting>
  <conditionalFormatting sqref="D80:K94">
    <cfRule type="cellIs" dxfId="1643" priority="615" stopIfTrue="1" operator="equal">
      <formula>"M"</formula>
    </cfRule>
  </conditionalFormatting>
  <conditionalFormatting sqref="D80:K94">
    <cfRule type="cellIs" dxfId="1642" priority="616" stopIfTrue="1" operator="equal">
      <formula>"J"</formula>
    </cfRule>
  </conditionalFormatting>
  <conditionalFormatting sqref="D80:K94">
    <cfRule type="cellIs" dxfId="1641" priority="617" stopIfTrue="1" operator="equal">
      <formula>"O"</formula>
    </cfRule>
  </conditionalFormatting>
  <conditionalFormatting sqref="D80:K94">
    <cfRule type="expression" dxfId="1640" priority="618" stopIfTrue="1">
      <formula>LEN(TRIM(D80))=0</formula>
    </cfRule>
  </conditionalFormatting>
  <conditionalFormatting sqref="L80:O94">
    <cfRule type="cellIs" dxfId="1639" priority="619" stopIfTrue="1" operator="equal">
      <formula>"E"</formula>
    </cfRule>
  </conditionalFormatting>
  <conditionalFormatting sqref="L80:O94">
    <cfRule type="cellIs" dxfId="1638" priority="620" stopIfTrue="1" operator="equal">
      <formula>"S"</formula>
    </cfRule>
  </conditionalFormatting>
  <conditionalFormatting sqref="L80:O94">
    <cfRule type="cellIs" dxfId="1637" priority="621" stopIfTrue="1" operator="equal">
      <formula>"M"</formula>
    </cfRule>
  </conditionalFormatting>
  <conditionalFormatting sqref="L80:O94">
    <cfRule type="cellIs" dxfId="1636" priority="622" stopIfTrue="1" operator="equal">
      <formula>"J"</formula>
    </cfRule>
  </conditionalFormatting>
  <conditionalFormatting sqref="L80:O94">
    <cfRule type="cellIs" dxfId="1635" priority="623" stopIfTrue="1" operator="equal">
      <formula>"O"</formula>
    </cfRule>
  </conditionalFormatting>
  <conditionalFormatting sqref="L80:O94">
    <cfRule type="expression" dxfId="1634" priority="624" stopIfTrue="1">
      <formula>LEN(TRIM(L80))=0</formula>
    </cfRule>
  </conditionalFormatting>
  <conditionalFormatting sqref="P80:AI94">
    <cfRule type="cellIs" dxfId="1633" priority="625" stopIfTrue="1" operator="equal">
      <formula>"E"</formula>
    </cfRule>
  </conditionalFormatting>
  <conditionalFormatting sqref="P80:AI94">
    <cfRule type="cellIs" dxfId="1632" priority="626" stopIfTrue="1" operator="equal">
      <formula>"S"</formula>
    </cfRule>
  </conditionalFormatting>
  <conditionalFormatting sqref="P80:AI94">
    <cfRule type="cellIs" dxfId="1631" priority="627" stopIfTrue="1" operator="equal">
      <formula>"M"</formula>
    </cfRule>
  </conditionalFormatting>
  <conditionalFormatting sqref="P80:AI94">
    <cfRule type="cellIs" dxfId="1630" priority="628" stopIfTrue="1" operator="equal">
      <formula>"J"</formula>
    </cfRule>
  </conditionalFormatting>
  <conditionalFormatting sqref="P80:AI94">
    <cfRule type="cellIs" dxfId="1629" priority="629" stopIfTrue="1" operator="equal">
      <formula>"O"</formula>
    </cfRule>
  </conditionalFormatting>
  <conditionalFormatting sqref="P80:AI94">
    <cfRule type="expression" dxfId="1628" priority="630" stopIfTrue="1">
      <formula>LEN(TRIM(P80))=0</formula>
    </cfRule>
  </conditionalFormatting>
  <conditionalFormatting sqref="AJ80:AL94">
    <cfRule type="cellIs" dxfId="1627" priority="631" stopIfTrue="1" operator="equal">
      <formula>"E"</formula>
    </cfRule>
  </conditionalFormatting>
  <conditionalFormatting sqref="AJ80:AL94">
    <cfRule type="cellIs" dxfId="1626" priority="632" stopIfTrue="1" operator="equal">
      <formula>"S"</formula>
    </cfRule>
  </conditionalFormatting>
  <conditionalFormatting sqref="AJ80:AL94">
    <cfRule type="cellIs" dxfId="1625" priority="633" stopIfTrue="1" operator="equal">
      <formula>"M"</formula>
    </cfRule>
  </conditionalFormatting>
  <conditionalFormatting sqref="AJ80:AL94">
    <cfRule type="cellIs" dxfId="1624" priority="634" stopIfTrue="1" operator="equal">
      <formula>"J"</formula>
    </cfRule>
  </conditionalFormatting>
  <conditionalFormatting sqref="AJ80:AL94">
    <cfRule type="cellIs" dxfId="1623" priority="635" stopIfTrue="1" operator="equal">
      <formula>"O"</formula>
    </cfRule>
  </conditionalFormatting>
  <conditionalFormatting sqref="AJ80:AL94">
    <cfRule type="expression" dxfId="1622" priority="636" stopIfTrue="1">
      <formula>LEN(TRIM(AJ80))=0</formula>
    </cfRule>
  </conditionalFormatting>
  <conditionalFormatting sqref="AM80:AO94">
    <cfRule type="cellIs" dxfId="1621" priority="637" stopIfTrue="1" operator="equal">
      <formula>"E"</formula>
    </cfRule>
  </conditionalFormatting>
  <conditionalFormatting sqref="AM80:AO94">
    <cfRule type="cellIs" dxfId="1620" priority="638" stopIfTrue="1" operator="equal">
      <formula>"S"</formula>
    </cfRule>
  </conditionalFormatting>
  <conditionalFormatting sqref="AM80:AO94">
    <cfRule type="cellIs" dxfId="1619" priority="639" stopIfTrue="1" operator="equal">
      <formula>"M"</formula>
    </cfRule>
  </conditionalFormatting>
  <conditionalFormatting sqref="AM80:AO94">
    <cfRule type="cellIs" dxfId="1618" priority="640" stopIfTrue="1" operator="equal">
      <formula>"J"</formula>
    </cfRule>
  </conditionalFormatting>
  <conditionalFormatting sqref="AM80:AO94">
    <cfRule type="cellIs" dxfId="1617" priority="641" stopIfTrue="1" operator="equal">
      <formula>"O"</formula>
    </cfRule>
  </conditionalFormatting>
  <conditionalFormatting sqref="AM80:AO94">
    <cfRule type="expression" dxfId="1616" priority="642" stopIfTrue="1">
      <formula>LEN(TRIM(AM80))=0</formula>
    </cfRule>
  </conditionalFormatting>
  <conditionalFormatting sqref="AP80:AT94">
    <cfRule type="cellIs" dxfId="1615" priority="643" stopIfTrue="1" operator="equal">
      <formula>"E"</formula>
    </cfRule>
  </conditionalFormatting>
  <conditionalFormatting sqref="AP80:AT94">
    <cfRule type="cellIs" dxfId="1614" priority="644" stopIfTrue="1" operator="equal">
      <formula>"S"</formula>
    </cfRule>
  </conditionalFormatting>
  <conditionalFormatting sqref="AP80:AT94">
    <cfRule type="cellIs" dxfId="1613" priority="645" stopIfTrue="1" operator="equal">
      <formula>"M"</formula>
    </cfRule>
  </conditionalFormatting>
  <conditionalFormatting sqref="AP80:AT94">
    <cfRule type="cellIs" dxfId="1612" priority="646" stopIfTrue="1" operator="equal">
      <formula>"J"</formula>
    </cfRule>
  </conditionalFormatting>
  <conditionalFormatting sqref="AP80:AT94">
    <cfRule type="cellIs" dxfId="1611" priority="647" stopIfTrue="1" operator="equal">
      <formula>"O"</formula>
    </cfRule>
  </conditionalFormatting>
  <conditionalFormatting sqref="AP80:AT94">
    <cfRule type="expression" dxfId="1610" priority="648" stopIfTrue="1">
      <formula>LEN(TRIM(AP80))=0</formula>
    </cfRule>
  </conditionalFormatting>
  <conditionalFormatting sqref="AU80:BB94">
    <cfRule type="cellIs" dxfId="1609" priority="649" stopIfTrue="1" operator="equal">
      <formula>"E"</formula>
    </cfRule>
  </conditionalFormatting>
  <conditionalFormatting sqref="AU80:BB94">
    <cfRule type="cellIs" dxfId="1608" priority="650" stopIfTrue="1" operator="equal">
      <formula>"S"</formula>
    </cfRule>
  </conditionalFormatting>
  <conditionalFormatting sqref="AU80:BB94">
    <cfRule type="cellIs" dxfId="1607" priority="651" stopIfTrue="1" operator="equal">
      <formula>"M"</formula>
    </cfRule>
  </conditionalFormatting>
  <conditionalFormatting sqref="AU80:BB94">
    <cfRule type="cellIs" dxfId="1606" priority="652" stopIfTrue="1" operator="equal">
      <formula>"J"</formula>
    </cfRule>
  </conditionalFormatting>
  <conditionalFormatting sqref="AU80:BB94">
    <cfRule type="cellIs" dxfId="1605" priority="653" stopIfTrue="1" operator="equal">
      <formula>"O"</formula>
    </cfRule>
  </conditionalFormatting>
  <conditionalFormatting sqref="AU80:BB94">
    <cfRule type="expression" dxfId="1604" priority="654" stopIfTrue="1">
      <formula>LEN(TRIM(AU80))=0</formula>
    </cfRule>
  </conditionalFormatting>
  <conditionalFormatting sqref="BC80:BG94">
    <cfRule type="cellIs" dxfId="1603" priority="655" stopIfTrue="1" operator="equal">
      <formula>"E"</formula>
    </cfRule>
  </conditionalFormatting>
  <conditionalFormatting sqref="BC80:BG94">
    <cfRule type="cellIs" dxfId="1602" priority="656" stopIfTrue="1" operator="equal">
      <formula>"S"</formula>
    </cfRule>
  </conditionalFormatting>
  <conditionalFormatting sqref="BC80:BG94">
    <cfRule type="cellIs" dxfId="1601" priority="657" stopIfTrue="1" operator="equal">
      <formula>"M"</formula>
    </cfRule>
  </conditionalFormatting>
  <conditionalFormatting sqref="BC80:BG94">
    <cfRule type="cellIs" dxfId="1600" priority="658" stopIfTrue="1" operator="equal">
      <formula>"J"</formula>
    </cfRule>
  </conditionalFormatting>
  <conditionalFormatting sqref="BC80:BG94">
    <cfRule type="cellIs" dxfId="1599" priority="659" stopIfTrue="1" operator="equal">
      <formula>"O"</formula>
    </cfRule>
  </conditionalFormatting>
  <conditionalFormatting sqref="BC80:BG94">
    <cfRule type="expression" dxfId="1598" priority="660" stopIfTrue="1">
      <formula>LEN(TRIM(BC80))=0</formula>
    </cfRule>
  </conditionalFormatting>
  <conditionalFormatting sqref="BH80:BJ94">
    <cfRule type="cellIs" dxfId="1597" priority="661" stopIfTrue="1" operator="equal">
      <formula>"E"</formula>
    </cfRule>
  </conditionalFormatting>
  <conditionalFormatting sqref="BH80:BJ94">
    <cfRule type="cellIs" dxfId="1596" priority="662" stopIfTrue="1" operator="equal">
      <formula>"S"</formula>
    </cfRule>
  </conditionalFormatting>
  <conditionalFormatting sqref="BH80:BJ94">
    <cfRule type="cellIs" dxfId="1595" priority="663" stopIfTrue="1" operator="equal">
      <formula>"M"</formula>
    </cfRule>
  </conditionalFormatting>
  <conditionalFormatting sqref="BH80:BJ94">
    <cfRule type="cellIs" dxfId="1594" priority="664" stopIfTrue="1" operator="equal">
      <formula>"J"</formula>
    </cfRule>
  </conditionalFormatting>
  <conditionalFormatting sqref="BH80:BJ94">
    <cfRule type="cellIs" dxfId="1593" priority="665" stopIfTrue="1" operator="equal">
      <formula>"O"</formula>
    </cfRule>
  </conditionalFormatting>
  <conditionalFormatting sqref="BH80:BJ94">
    <cfRule type="expression" dxfId="1592" priority="666" stopIfTrue="1">
      <formula>LEN(TRIM(BH80))=0</formula>
    </cfRule>
  </conditionalFormatting>
  <conditionalFormatting sqref="BK80:BN94">
    <cfRule type="cellIs" dxfId="1591" priority="667" stopIfTrue="1" operator="equal">
      <formula>"E"</formula>
    </cfRule>
  </conditionalFormatting>
  <conditionalFormatting sqref="BK80:BN94">
    <cfRule type="cellIs" dxfId="1590" priority="668" stopIfTrue="1" operator="equal">
      <formula>"S"</formula>
    </cfRule>
  </conditionalFormatting>
  <conditionalFormatting sqref="BK80:BN94">
    <cfRule type="cellIs" dxfId="1589" priority="669" stopIfTrue="1" operator="equal">
      <formula>"M"</formula>
    </cfRule>
  </conditionalFormatting>
  <conditionalFormatting sqref="BK80:BN94">
    <cfRule type="cellIs" dxfId="1588" priority="670" stopIfTrue="1" operator="equal">
      <formula>"J"</formula>
    </cfRule>
  </conditionalFormatting>
  <conditionalFormatting sqref="BK80:BN94">
    <cfRule type="cellIs" dxfId="1587" priority="671" stopIfTrue="1" operator="equal">
      <formula>"O"</formula>
    </cfRule>
  </conditionalFormatting>
  <conditionalFormatting sqref="BK80:BN94">
    <cfRule type="expression" dxfId="1586" priority="672" stopIfTrue="1">
      <formula>LEN(TRIM(BK80))=0</formula>
    </cfRule>
  </conditionalFormatting>
  <conditionalFormatting sqref="BO80:BV94">
    <cfRule type="cellIs" dxfId="1585" priority="673" stopIfTrue="1" operator="equal">
      <formula>"E"</formula>
    </cfRule>
  </conditionalFormatting>
  <conditionalFormatting sqref="BO80:BV94">
    <cfRule type="cellIs" dxfId="1584" priority="674" stopIfTrue="1" operator="equal">
      <formula>"S"</formula>
    </cfRule>
  </conditionalFormatting>
  <conditionalFormatting sqref="BO80:BV94">
    <cfRule type="cellIs" dxfId="1583" priority="675" stopIfTrue="1" operator="equal">
      <formula>"M"</formula>
    </cfRule>
  </conditionalFormatting>
  <conditionalFormatting sqref="BO80:BV94">
    <cfRule type="cellIs" dxfId="1582" priority="676" stopIfTrue="1" operator="equal">
      <formula>"J"</formula>
    </cfRule>
  </conditionalFormatting>
  <conditionalFormatting sqref="BO80:BV94">
    <cfRule type="cellIs" dxfId="1581" priority="677" stopIfTrue="1" operator="equal">
      <formula>"O"</formula>
    </cfRule>
  </conditionalFormatting>
  <conditionalFormatting sqref="BO80:BV94">
    <cfRule type="expression" dxfId="1580" priority="678" stopIfTrue="1">
      <formula>LEN(TRIM(BO80))=0</formula>
    </cfRule>
  </conditionalFormatting>
  <conditionalFormatting sqref="BW80:CB94">
    <cfRule type="cellIs" dxfId="1579" priority="679" stopIfTrue="1" operator="equal">
      <formula>"E"</formula>
    </cfRule>
  </conditionalFormatting>
  <conditionalFormatting sqref="BW80:CB94">
    <cfRule type="cellIs" dxfId="1578" priority="680" stopIfTrue="1" operator="equal">
      <formula>"S"</formula>
    </cfRule>
  </conditionalFormatting>
  <conditionalFormatting sqref="BW80:CB94">
    <cfRule type="cellIs" dxfId="1577" priority="681" stopIfTrue="1" operator="equal">
      <formula>"M"</formula>
    </cfRule>
  </conditionalFormatting>
  <conditionalFormatting sqref="BW80:CB94">
    <cfRule type="cellIs" dxfId="1576" priority="682" stopIfTrue="1" operator="equal">
      <formula>"J"</formula>
    </cfRule>
  </conditionalFormatting>
  <conditionalFormatting sqref="BW80:CB94">
    <cfRule type="cellIs" dxfId="1575" priority="683" stopIfTrue="1" operator="equal">
      <formula>"O"</formula>
    </cfRule>
  </conditionalFormatting>
  <conditionalFormatting sqref="BW80:CB94">
    <cfRule type="expression" dxfId="1574" priority="684" stopIfTrue="1">
      <formula>LEN(TRIM(BW80))=0</formula>
    </cfRule>
  </conditionalFormatting>
  <conditionalFormatting sqref="CC80:CE94">
    <cfRule type="cellIs" dxfId="1573" priority="685" stopIfTrue="1" operator="equal">
      <formula>"E"</formula>
    </cfRule>
  </conditionalFormatting>
  <conditionalFormatting sqref="CC80:CE94">
    <cfRule type="cellIs" dxfId="1572" priority="686" stopIfTrue="1" operator="equal">
      <formula>"S"</formula>
    </cfRule>
  </conditionalFormatting>
  <conditionalFormatting sqref="CC80:CE94">
    <cfRule type="cellIs" dxfId="1571" priority="687" stopIfTrue="1" operator="equal">
      <formula>"M"</formula>
    </cfRule>
  </conditionalFormatting>
  <conditionalFormatting sqref="CC80:CE94">
    <cfRule type="cellIs" dxfId="1570" priority="688" stopIfTrue="1" operator="equal">
      <formula>"J"</formula>
    </cfRule>
  </conditionalFormatting>
  <conditionalFormatting sqref="CC80:CE94">
    <cfRule type="cellIs" dxfId="1569" priority="689" stopIfTrue="1" operator="equal">
      <formula>"O"</formula>
    </cfRule>
  </conditionalFormatting>
  <conditionalFormatting sqref="CC80:CE94">
    <cfRule type="expression" dxfId="1568" priority="690" stopIfTrue="1">
      <formula>LEN(TRIM(CC80))=0</formula>
    </cfRule>
  </conditionalFormatting>
  <conditionalFormatting sqref="CF80:CI94">
    <cfRule type="cellIs" dxfId="1567" priority="691" stopIfTrue="1" operator="equal">
      <formula>"E"</formula>
    </cfRule>
  </conditionalFormatting>
  <conditionalFormatting sqref="CF80:CI94">
    <cfRule type="cellIs" dxfId="1566" priority="692" stopIfTrue="1" operator="equal">
      <formula>"S"</formula>
    </cfRule>
  </conditionalFormatting>
  <conditionalFormatting sqref="CF80:CI94">
    <cfRule type="cellIs" dxfId="1565" priority="693" stopIfTrue="1" operator="equal">
      <formula>"M"</formula>
    </cfRule>
  </conditionalFormatting>
  <conditionalFormatting sqref="CF80:CI94">
    <cfRule type="cellIs" dxfId="1564" priority="694" stopIfTrue="1" operator="equal">
      <formula>"J"</formula>
    </cfRule>
  </conditionalFormatting>
  <conditionalFormatting sqref="CF80:CI94">
    <cfRule type="cellIs" dxfId="1563" priority="695" stopIfTrue="1" operator="equal">
      <formula>"O"</formula>
    </cfRule>
  </conditionalFormatting>
  <conditionalFormatting sqref="CF80:CI94">
    <cfRule type="expression" dxfId="1562" priority="696" stopIfTrue="1">
      <formula>LEN(TRIM(CF80))=0</formula>
    </cfRule>
  </conditionalFormatting>
  <conditionalFormatting sqref="CK80:CO94">
    <cfRule type="cellIs" dxfId="1561" priority="697" stopIfTrue="1" operator="equal">
      <formula>"E"</formula>
    </cfRule>
  </conditionalFormatting>
  <conditionalFormatting sqref="CK80:CO94">
    <cfRule type="cellIs" dxfId="1560" priority="698" stopIfTrue="1" operator="equal">
      <formula>"S"</formula>
    </cfRule>
  </conditionalFormatting>
  <conditionalFormatting sqref="CK80:CO94">
    <cfRule type="cellIs" dxfId="1559" priority="699" stopIfTrue="1" operator="equal">
      <formula>"M"</formula>
    </cfRule>
  </conditionalFormatting>
  <conditionalFormatting sqref="CK80:CO94">
    <cfRule type="cellIs" dxfId="1558" priority="700" stopIfTrue="1" operator="equal">
      <formula>"J"</formula>
    </cfRule>
  </conditionalFormatting>
  <conditionalFormatting sqref="CK80:CO94">
    <cfRule type="cellIs" dxfId="1557" priority="701" stopIfTrue="1" operator="equal">
      <formula>"O"</formula>
    </cfRule>
  </conditionalFormatting>
  <conditionalFormatting sqref="CK80:CO94">
    <cfRule type="expression" dxfId="1556" priority="702" stopIfTrue="1">
      <formula>LEN(TRIM(CK80))=0</formula>
    </cfRule>
  </conditionalFormatting>
  <conditionalFormatting sqref="CQ80:CU94">
    <cfRule type="cellIs" dxfId="1555" priority="703" stopIfTrue="1" operator="equal">
      <formula>"E"</formula>
    </cfRule>
  </conditionalFormatting>
  <conditionalFormatting sqref="CQ80:CU94">
    <cfRule type="cellIs" dxfId="1554" priority="704" stopIfTrue="1" operator="equal">
      <formula>"S"</formula>
    </cfRule>
  </conditionalFormatting>
  <conditionalFormatting sqref="CQ80:CU94">
    <cfRule type="cellIs" dxfId="1553" priority="705" stopIfTrue="1" operator="equal">
      <formula>"M"</formula>
    </cfRule>
  </conditionalFormatting>
  <conditionalFormatting sqref="CQ80:CU94">
    <cfRule type="cellIs" dxfId="1552" priority="706" stopIfTrue="1" operator="equal">
      <formula>"J"</formula>
    </cfRule>
  </conditionalFormatting>
  <conditionalFormatting sqref="CQ80:CU94">
    <cfRule type="cellIs" dxfId="1551" priority="707" stopIfTrue="1" operator="equal">
      <formula>"O"</formula>
    </cfRule>
  </conditionalFormatting>
  <conditionalFormatting sqref="CQ80:CU94">
    <cfRule type="expression" dxfId="1550" priority="708" stopIfTrue="1">
      <formula>LEN(TRIM(CQ80))=0</formula>
    </cfRule>
  </conditionalFormatting>
  <conditionalFormatting sqref="CW80:DA94">
    <cfRule type="cellIs" dxfId="1549" priority="709" stopIfTrue="1" operator="equal">
      <formula>"E"</formula>
    </cfRule>
  </conditionalFormatting>
  <conditionalFormatting sqref="CW80:DA94">
    <cfRule type="cellIs" dxfId="1548" priority="710" stopIfTrue="1" operator="equal">
      <formula>"S"</formula>
    </cfRule>
  </conditionalFormatting>
  <conditionalFormatting sqref="CW80:DA94">
    <cfRule type="cellIs" dxfId="1547" priority="711" stopIfTrue="1" operator="equal">
      <formula>"M"</formula>
    </cfRule>
  </conditionalFormatting>
  <conditionalFormatting sqref="CW80:DA94">
    <cfRule type="cellIs" dxfId="1546" priority="712" stopIfTrue="1" operator="equal">
      <formula>"J"</formula>
    </cfRule>
  </conditionalFormatting>
  <conditionalFormatting sqref="CW80:DA94">
    <cfRule type="cellIs" dxfId="1545" priority="713" stopIfTrue="1" operator="equal">
      <formula>"O"</formula>
    </cfRule>
  </conditionalFormatting>
  <conditionalFormatting sqref="CW80:DA94">
    <cfRule type="expression" dxfId="1544" priority="714" stopIfTrue="1">
      <formula>LEN(TRIM(CW80))=0</formula>
    </cfRule>
  </conditionalFormatting>
  <conditionalFormatting sqref="D96:K99">
    <cfRule type="cellIs" dxfId="1543" priority="715" stopIfTrue="1" operator="equal">
      <formula>"E"</formula>
    </cfRule>
  </conditionalFormatting>
  <conditionalFormatting sqref="D96:K99">
    <cfRule type="cellIs" dxfId="1542" priority="716" stopIfTrue="1" operator="equal">
      <formula>"S"</formula>
    </cfRule>
  </conditionalFormatting>
  <conditionalFormatting sqref="D96:K99">
    <cfRule type="cellIs" dxfId="1541" priority="717" stopIfTrue="1" operator="equal">
      <formula>"M"</formula>
    </cfRule>
  </conditionalFormatting>
  <conditionalFormatting sqref="D96:K99">
    <cfRule type="cellIs" dxfId="1540" priority="718" stopIfTrue="1" operator="equal">
      <formula>"J"</formula>
    </cfRule>
  </conditionalFormatting>
  <conditionalFormatting sqref="D96:K99">
    <cfRule type="cellIs" dxfId="1539" priority="719" stopIfTrue="1" operator="equal">
      <formula>"O"</formula>
    </cfRule>
  </conditionalFormatting>
  <conditionalFormatting sqref="D96:K99">
    <cfRule type="expression" dxfId="1538" priority="720" stopIfTrue="1">
      <formula>LEN(TRIM(D96))=0</formula>
    </cfRule>
  </conditionalFormatting>
  <conditionalFormatting sqref="L96:O99">
    <cfRule type="cellIs" dxfId="1537" priority="721" stopIfTrue="1" operator="equal">
      <formula>"E"</formula>
    </cfRule>
  </conditionalFormatting>
  <conditionalFormatting sqref="L96:O99">
    <cfRule type="cellIs" dxfId="1536" priority="722" stopIfTrue="1" operator="equal">
      <formula>"S"</formula>
    </cfRule>
  </conditionalFormatting>
  <conditionalFormatting sqref="L96:O99">
    <cfRule type="cellIs" dxfId="1535" priority="723" stopIfTrue="1" operator="equal">
      <formula>"M"</formula>
    </cfRule>
  </conditionalFormatting>
  <conditionalFormatting sqref="L96:O99">
    <cfRule type="cellIs" dxfId="1534" priority="724" stopIfTrue="1" operator="equal">
      <formula>"J"</formula>
    </cfRule>
  </conditionalFormatting>
  <conditionalFormatting sqref="L96:O99">
    <cfRule type="cellIs" dxfId="1533" priority="725" stopIfTrue="1" operator="equal">
      <formula>"O"</formula>
    </cfRule>
  </conditionalFormatting>
  <conditionalFormatting sqref="L96:O99">
    <cfRule type="expression" dxfId="1532" priority="726" stopIfTrue="1">
      <formula>LEN(TRIM(L96))=0</formula>
    </cfRule>
  </conditionalFormatting>
  <conditionalFormatting sqref="P96:AI99">
    <cfRule type="cellIs" dxfId="1531" priority="727" stopIfTrue="1" operator="equal">
      <formula>"E"</formula>
    </cfRule>
  </conditionalFormatting>
  <conditionalFormatting sqref="P96:AI99">
    <cfRule type="cellIs" dxfId="1530" priority="728" stopIfTrue="1" operator="equal">
      <formula>"S"</formula>
    </cfRule>
  </conditionalFormatting>
  <conditionalFormatting sqref="P96:AI99">
    <cfRule type="cellIs" dxfId="1529" priority="729" stopIfTrue="1" operator="equal">
      <formula>"M"</formula>
    </cfRule>
  </conditionalFormatting>
  <conditionalFormatting sqref="P96:AI99">
    <cfRule type="cellIs" dxfId="1528" priority="730" stopIfTrue="1" operator="equal">
      <formula>"J"</formula>
    </cfRule>
  </conditionalFormatting>
  <conditionalFormatting sqref="P96:AI99">
    <cfRule type="cellIs" dxfId="1527" priority="731" stopIfTrue="1" operator="equal">
      <formula>"O"</formula>
    </cfRule>
  </conditionalFormatting>
  <conditionalFormatting sqref="P96:AI99">
    <cfRule type="expression" dxfId="1526" priority="732" stopIfTrue="1">
      <formula>LEN(TRIM(P96))=0</formula>
    </cfRule>
  </conditionalFormatting>
  <conditionalFormatting sqref="AJ96:AL99">
    <cfRule type="cellIs" dxfId="1525" priority="733" stopIfTrue="1" operator="equal">
      <formula>"E"</formula>
    </cfRule>
  </conditionalFormatting>
  <conditionalFormatting sqref="AJ96:AL99">
    <cfRule type="cellIs" dxfId="1524" priority="734" stopIfTrue="1" operator="equal">
      <formula>"S"</formula>
    </cfRule>
  </conditionalFormatting>
  <conditionalFormatting sqref="AJ96:AL99">
    <cfRule type="cellIs" dxfId="1523" priority="735" stopIfTrue="1" operator="equal">
      <formula>"M"</formula>
    </cfRule>
  </conditionalFormatting>
  <conditionalFormatting sqref="AJ96:AL99">
    <cfRule type="cellIs" dxfId="1522" priority="736" stopIfTrue="1" operator="equal">
      <formula>"J"</formula>
    </cfRule>
  </conditionalFormatting>
  <conditionalFormatting sqref="AJ96:AL99">
    <cfRule type="cellIs" dxfId="1521" priority="737" stopIfTrue="1" operator="equal">
      <formula>"O"</formula>
    </cfRule>
  </conditionalFormatting>
  <conditionalFormatting sqref="AJ96:AL99">
    <cfRule type="expression" dxfId="1520" priority="738" stopIfTrue="1">
      <formula>LEN(TRIM(AJ96))=0</formula>
    </cfRule>
  </conditionalFormatting>
  <conditionalFormatting sqref="AM96:AO99">
    <cfRule type="cellIs" dxfId="1519" priority="739" stopIfTrue="1" operator="equal">
      <formula>"E"</formula>
    </cfRule>
  </conditionalFormatting>
  <conditionalFormatting sqref="AM96:AO99">
    <cfRule type="cellIs" dxfId="1518" priority="740" stopIfTrue="1" operator="equal">
      <formula>"S"</formula>
    </cfRule>
  </conditionalFormatting>
  <conditionalFormatting sqref="AM96:AO99">
    <cfRule type="cellIs" dxfId="1517" priority="741" stopIfTrue="1" operator="equal">
      <formula>"M"</formula>
    </cfRule>
  </conditionalFormatting>
  <conditionalFormatting sqref="AM96:AO99">
    <cfRule type="cellIs" dxfId="1516" priority="742" stopIfTrue="1" operator="equal">
      <formula>"J"</formula>
    </cfRule>
  </conditionalFormatting>
  <conditionalFormatting sqref="AM96:AO99">
    <cfRule type="cellIs" dxfId="1515" priority="743" stopIfTrue="1" operator="equal">
      <formula>"O"</formula>
    </cfRule>
  </conditionalFormatting>
  <conditionalFormatting sqref="AM96:AO99">
    <cfRule type="expression" dxfId="1514" priority="744" stopIfTrue="1">
      <formula>LEN(TRIM(AM96))=0</formula>
    </cfRule>
  </conditionalFormatting>
  <conditionalFormatting sqref="AP96:AT99">
    <cfRule type="cellIs" dxfId="1513" priority="745" stopIfTrue="1" operator="equal">
      <formula>"E"</formula>
    </cfRule>
  </conditionalFormatting>
  <conditionalFormatting sqref="AP96:AT99">
    <cfRule type="cellIs" dxfId="1512" priority="746" stopIfTrue="1" operator="equal">
      <formula>"S"</formula>
    </cfRule>
  </conditionalFormatting>
  <conditionalFormatting sqref="AP96:AT99">
    <cfRule type="cellIs" dxfId="1511" priority="747" stopIfTrue="1" operator="equal">
      <formula>"M"</formula>
    </cfRule>
  </conditionalFormatting>
  <conditionalFormatting sqref="AP96:AT99">
    <cfRule type="cellIs" dxfId="1510" priority="748" stopIfTrue="1" operator="equal">
      <formula>"J"</formula>
    </cfRule>
  </conditionalFormatting>
  <conditionalFormatting sqref="AP96:AT99">
    <cfRule type="cellIs" dxfId="1509" priority="749" stopIfTrue="1" operator="equal">
      <formula>"O"</formula>
    </cfRule>
  </conditionalFormatting>
  <conditionalFormatting sqref="AP96:AT99">
    <cfRule type="expression" dxfId="1508" priority="750" stopIfTrue="1">
      <formula>LEN(TRIM(AP96))=0</formula>
    </cfRule>
  </conditionalFormatting>
  <conditionalFormatting sqref="AU96:BB99">
    <cfRule type="cellIs" dxfId="1507" priority="751" stopIfTrue="1" operator="equal">
      <formula>"E"</formula>
    </cfRule>
  </conditionalFormatting>
  <conditionalFormatting sqref="AU96:BB99">
    <cfRule type="cellIs" dxfId="1506" priority="752" stopIfTrue="1" operator="equal">
      <formula>"S"</formula>
    </cfRule>
  </conditionalFormatting>
  <conditionalFormatting sqref="AU96:BB99">
    <cfRule type="cellIs" dxfId="1505" priority="753" stopIfTrue="1" operator="equal">
      <formula>"M"</formula>
    </cfRule>
  </conditionalFormatting>
  <conditionalFormatting sqref="AU96:BB99">
    <cfRule type="cellIs" dxfId="1504" priority="754" stopIfTrue="1" operator="equal">
      <formula>"J"</formula>
    </cfRule>
  </conditionalFormatting>
  <conditionalFormatting sqref="AU96:BB99">
    <cfRule type="cellIs" dxfId="1503" priority="755" stopIfTrue="1" operator="equal">
      <formula>"O"</formula>
    </cfRule>
  </conditionalFormatting>
  <conditionalFormatting sqref="AU96:BB99">
    <cfRule type="expression" dxfId="1502" priority="756" stopIfTrue="1">
      <formula>LEN(TRIM(AU96))=0</formula>
    </cfRule>
  </conditionalFormatting>
  <conditionalFormatting sqref="BC96:BG99">
    <cfRule type="cellIs" dxfId="1501" priority="757" stopIfTrue="1" operator="equal">
      <formula>"E"</formula>
    </cfRule>
  </conditionalFormatting>
  <conditionalFormatting sqref="BC96:BG99">
    <cfRule type="cellIs" dxfId="1500" priority="758" stopIfTrue="1" operator="equal">
      <formula>"S"</formula>
    </cfRule>
  </conditionalFormatting>
  <conditionalFormatting sqref="BC96:BG99">
    <cfRule type="cellIs" dxfId="1499" priority="759" stopIfTrue="1" operator="equal">
      <formula>"M"</formula>
    </cfRule>
  </conditionalFormatting>
  <conditionalFormatting sqref="BC96:BG99">
    <cfRule type="cellIs" dxfId="1498" priority="760" stopIfTrue="1" operator="equal">
      <formula>"J"</formula>
    </cfRule>
  </conditionalFormatting>
  <conditionalFormatting sqref="BC96:BG99">
    <cfRule type="cellIs" dxfId="1497" priority="761" stopIfTrue="1" operator="equal">
      <formula>"O"</formula>
    </cfRule>
  </conditionalFormatting>
  <conditionalFormatting sqref="BC96:BG99">
    <cfRule type="expression" dxfId="1496" priority="762" stopIfTrue="1">
      <formula>LEN(TRIM(BC96))=0</formula>
    </cfRule>
  </conditionalFormatting>
  <conditionalFormatting sqref="BH96:BJ99">
    <cfRule type="cellIs" dxfId="1495" priority="763" stopIfTrue="1" operator="equal">
      <formula>"E"</formula>
    </cfRule>
  </conditionalFormatting>
  <conditionalFormatting sqref="BH96:BJ99">
    <cfRule type="cellIs" dxfId="1494" priority="764" stopIfTrue="1" operator="equal">
      <formula>"S"</formula>
    </cfRule>
  </conditionalFormatting>
  <conditionalFormatting sqref="BH96:BJ99">
    <cfRule type="cellIs" dxfId="1493" priority="765" stopIfTrue="1" operator="equal">
      <formula>"M"</formula>
    </cfRule>
  </conditionalFormatting>
  <conditionalFormatting sqref="BH96:BJ99">
    <cfRule type="cellIs" dxfId="1492" priority="766" stopIfTrue="1" operator="equal">
      <formula>"J"</formula>
    </cfRule>
  </conditionalFormatting>
  <conditionalFormatting sqref="BH96:BJ99">
    <cfRule type="cellIs" dxfId="1491" priority="767" stopIfTrue="1" operator="equal">
      <formula>"O"</formula>
    </cfRule>
  </conditionalFormatting>
  <conditionalFormatting sqref="BH96:BJ99">
    <cfRule type="expression" dxfId="1490" priority="768" stopIfTrue="1">
      <formula>LEN(TRIM(BH96))=0</formula>
    </cfRule>
  </conditionalFormatting>
  <conditionalFormatting sqref="BK96:BN99">
    <cfRule type="cellIs" dxfId="1489" priority="769" stopIfTrue="1" operator="equal">
      <formula>"E"</formula>
    </cfRule>
  </conditionalFormatting>
  <conditionalFormatting sqref="BK96:BN99">
    <cfRule type="cellIs" dxfId="1488" priority="770" stopIfTrue="1" operator="equal">
      <formula>"S"</formula>
    </cfRule>
  </conditionalFormatting>
  <conditionalFormatting sqref="BK96:BN99">
    <cfRule type="cellIs" dxfId="1487" priority="771" stopIfTrue="1" operator="equal">
      <formula>"M"</formula>
    </cfRule>
  </conditionalFormatting>
  <conditionalFormatting sqref="BK96:BN99">
    <cfRule type="cellIs" dxfId="1486" priority="772" stopIfTrue="1" operator="equal">
      <formula>"J"</formula>
    </cfRule>
  </conditionalFormatting>
  <conditionalFormatting sqref="BK96:BN99">
    <cfRule type="cellIs" dxfId="1485" priority="773" stopIfTrue="1" operator="equal">
      <formula>"O"</formula>
    </cfRule>
  </conditionalFormatting>
  <conditionalFormatting sqref="BK96:BN99">
    <cfRule type="expression" dxfId="1484" priority="774" stopIfTrue="1">
      <formula>LEN(TRIM(BK96))=0</formula>
    </cfRule>
  </conditionalFormatting>
  <conditionalFormatting sqref="BO96:BV99">
    <cfRule type="cellIs" dxfId="1483" priority="775" stopIfTrue="1" operator="equal">
      <formula>"E"</formula>
    </cfRule>
  </conditionalFormatting>
  <conditionalFormatting sqref="BO96:BV99">
    <cfRule type="cellIs" dxfId="1482" priority="776" stopIfTrue="1" operator="equal">
      <formula>"S"</formula>
    </cfRule>
  </conditionalFormatting>
  <conditionalFormatting sqref="BO96:BV99">
    <cfRule type="cellIs" dxfId="1481" priority="777" stopIfTrue="1" operator="equal">
      <formula>"M"</formula>
    </cfRule>
  </conditionalFormatting>
  <conditionalFormatting sqref="BO96:BV99">
    <cfRule type="cellIs" dxfId="1480" priority="778" stopIfTrue="1" operator="equal">
      <formula>"J"</formula>
    </cfRule>
  </conditionalFormatting>
  <conditionalFormatting sqref="BO96:BV99">
    <cfRule type="cellIs" dxfId="1479" priority="779" stopIfTrue="1" operator="equal">
      <formula>"O"</formula>
    </cfRule>
  </conditionalFormatting>
  <conditionalFormatting sqref="BO96:BV99">
    <cfRule type="expression" dxfId="1478" priority="780" stopIfTrue="1">
      <formula>LEN(TRIM(BO96))=0</formula>
    </cfRule>
  </conditionalFormatting>
  <conditionalFormatting sqref="BW96:CB99">
    <cfRule type="cellIs" dxfId="1477" priority="781" stopIfTrue="1" operator="equal">
      <formula>"E"</formula>
    </cfRule>
  </conditionalFormatting>
  <conditionalFormatting sqref="BW96:CB99">
    <cfRule type="cellIs" dxfId="1476" priority="782" stopIfTrue="1" operator="equal">
      <formula>"S"</formula>
    </cfRule>
  </conditionalFormatting>
  <conditionalFormatting sqref="BW96:CB99">
    <cfRule type="cellIs" dxfId="1475" priority="783" stopIfTrue="1" operator="equal">
      <formula>"M"</formula>
    </cfRule>
  </conditionalFormatting>
  <conditionalFormatting sqref="BW96:CB99">
    <cfRule type="cellIs" dxfId="1474" priority="784" stopIfTrue="1" operator="equal">
      <formula>"J"</formula>
    </cfRule>
  </conditionalFormatting>
  <conditionalFormatting sqref="BW96:CB99">
    <cfRule type="cellIs" dxfId="1473" priority="785" stopIfTrue="1" operator="equal">
      <formula>"O"</formula>
    </cfRule>
  </conditionalFormatting>
  <conditionalFormatting sqref="BW96:CB99">
    <cfRule type="expression" dxfId="1472" priority="786" stopIfTrue="1">
      <formula>LEN(TRIM(BW96))=0</formula>
    </cfRule>
  </conditionalFormatting>
  <conditionalFormatting sqref="CC96:CE99">
    <cfRule type="cellIs" dxfId="1471" priority="787" stopIfTrue="1" operator="equal">
      <formula>"E"</formula>
    </cfRule>
  </conditionalFormatting>
  <conditionalFormatting sqref="CC96:CE99">
    <cfRule type="cellIs" dxfId="1470" priority="788" stopIfTrue="1" operator="equal">
      <formula>"S"</formula>
    </cfRule>
  </conditionalFormatting>
  <conditionalFormatting sqref="CC96:CE99">
    <cfRule type="cellIs" dxfId="1469" priority="789" stopIfTrue="1" operator="equal">
      <formula>"M"</formula>
    </cfRule>
  </conditionalFormatting>
  <conditionalFormatting sqref="CC96:CE99">
    <cfRule type="cellIs" dxfId="1468" priority="790" stopIfTrue="1" operator="equal">
      <formula>"J"</formula>
    </cfRule>
  </conditionalFormatting>
  <conditionalFormatting sqref="CC96:CE99">
    <cfRule type="cellIs" dxfId="1467" priority="791" stopIfTrue="1" operator="equal">
      <formula>"O"</formula>
    </cfRule>
  </conditionalFormatting>
  <conditionalFormatting sqref="CC96:CE99">
    <cfRule type="expression" dxfId="1466" priority="792" stopIfTrue="1">
      <formula>LEN(TRIM(CC96))=0</formula>
    </cfRule>
  </conditionalFormatting>
  <conditionalFormatting sqref="CF96:CI99">
    <cfRule type="cellIs" dxfId="1465" priority="793" stopIfTrue="1" operator="equal">
      <formula>"E"</formula>
    </cfRule>
  </conditionalFormatting>
  <conditionalFormatting sqref="CF96:CI99">
    <cfRule type="cellIs" dxfId="1464" priority="794" stopIfTrue="1" operator="equal">
      <formula>"S"</formula>
    </cfRule>
  </conditionalFormatting>
  <conditionalFormatting sqref="CF96:CI99">
    <cfRule type="cellIs" dxfId="1463" priority="795" stopIfTrue="1" operator="equal">
      <formula>"M"</formula>
    </cfRule>
  </conditionalFormatting>
  <conditionalFormatting sqref="CF96:CI99">
    <cfRule type="cellIs" dxfId="1462" priority="796" stopIfTrue="1" operator="equal">
      <formula>"J"</formula>
    </cfRule>
  </conditionalFormatting>
  <conditionalFormatting sqref="CF96:CI99">
    <cfRule type="cellIs" dxfId="1461" priority="797" stopIfTrue="1" operator="equal">
      <formula>"O"</formula>
    </cfRule>
  </conditionalFormatting>
  <conditionalFormatting sqref="CF96:CI99">
    <cfRule type="expression" dxfId="1460" priority="798" stopIfTrue="1">
      <formula>LEN(TRIM(CF96))=0</formula>
    </cfRule>
  </conditionalFormatting>
  <conditionalFormatting sqref="CK96:CO99">
    <cfRule type="cellIs" dxfId="1459" priority="799" stopIfTrue="1" operator="equal">
      <formula>"E"</formula>
    </cfRule>
  </conditionalFormatting>
  <conditionalFormatting sqref="CK96:CO99">
    <cfRule type="cellIs" dxfId="1458" priority="800" stopIfTrue="1" operator="equal">
      <formula>"S"</formula>
    </cfRule>
  </conditionalFormatting>
  <conditionalFormatting sqref="CK96:CO99">
    <cfRule type="cellIs" dxfId="1457" priority="801" stopIfTrue="1" operator="equal">
      <formula>"M"</formula>
    </cfRule>
  </conditionalFormatting>
  <conditionalFormatting sqref="CK96:CO99">
    <cfRule type="cellIs" dxfId="1456" priority="802" stopIfTrue="1" operator="equal">
      <formula>"J"</formula>
    </cfRule>
  </conditionalFormatting>
  <conditionalFormatting sqref="CK96:CO99">
    <cfRule type="cellIs" dxfId="1455" priority="803" stopIfTrue="1" operator="equal">
      <formula>"O"</formula>
    </cfRule>
  </conditionalFormatting>
  <conditionalFormatting sqref="CK96:CO99">
    <cfRule type="expression" dxfId="1454" priority="804" stopIfTrue="1">
      <formula>LEN(TRIM(CK96))=0</formula>
    </cfRule>
  </conditionalFormatting>
  <conditionalFormatting sqref="CQ96:CU99">
    <cfRule type="cellIs" dxfId="1453" priority="805" stopIfTrue="1" operator="equal">
      <formula>"E"</formula>
    </cfRule>
  </conditionalFormatting>
  <conditionalFormatting sqref="CQ96:CU99">
    <cfRule type="cellIs" dxfId="1452" priority="806" stopIfTrue="1" operator="equal">
      <formula>"S"</formula>
    </cfRule>
  </conditionalFormatting>
  <conditionalFormatting sqref="CQ96:CU99">
    <cfRule type="cellIs" dxfId="1451" priority="807" stopIfTrue="1" operator="equal">
      <formula>"M"</formula>
    </cfRule>
  </conditionalFormatting>
  <conditionalFormatting sqref="CQ96:CU99">
    <cfRule type="cellIs" dxfId="1450" priority="808" stopIfTrue="1" operator="equal">
      <formula>"J"</formula>
    </cfRule>
  </conditionalFormatting>
  <conditionalFormatting sqref="CQ96:CU99">
    <cfRule type="cellIs" dxfId="1449" priority="809" stopIfTrue="1" operator="equal">
      <formula>"O"</formula>
    </cfRule>
  </conditionalFormatting>
  <conditionalFormatting sqref="CQ96:CU99">
    <cfRule type="expression" dxfId="1448" priority="810" stopIfTrue="1">
      <formula>LEN(TRIM(CQ96))=0</formula>
    </cfRule>
  </conditionalFormatting>
  <conditionalFormatting sqref="CW96:DA99">
    <cfRule type="cellIs" dxfId="1447" priority="811" stopIfTrue="1" operator="equal">
      <formula>"E"</formula>
    </cfRule>
  </conditionalFormatting>
  <conditionalFormatting sqref="CW96:DA99">
    <cfRule type="cellIs" dxfId="1446" priority="812" stopIfTrue="1" operator="equal">
      <formula>"S"</formula>
    </cfRule>
  </conditionalFormatting>
  <conditionalFormatting sqref="CW96:DA99">
    <cfRule type="cellIs" dxfId="1445" priority="813" stopIfTrue="1" operator="equal">
      <formula>"M"</formula>
    </cfRule>
  </conditionalFormatting>
  <conditionalFormatting sqref="CW96:DA99">
    <cfRule type="cellIs" dxfId="1444" priority="814" stopIfTrue="1" operator="equal">
      <formula>"J"</formula>
    </cfRule>
  </conditionalFormatting>
  <conditionalFormatting sqref="CW96:DA99">
    <cfRule type="cellIs" dxfId="1443" priority="815" stopIfTrue="1" operator="equal">
      <formula>"O"</formula>
    </cfRule>
  </conditionalFormatting>
  <conditionalFormatting sqref="CW96:DA99">
    <cfRule type="expression" dxfId="1442" priority="816" stopIfTrue="1">
      <formula>LEN(TRIM(CW96))=0</formula>
    </cfRule>
  </conditionalFormatting>
  <conditionalFormatting sqref="D102:K106">
    <cfRule type="cellIs" dxfId="1441" priority="817" stopIfTrue="1" operator="equal">
      <formula>"E"</formula>
    </cfRule>
  </conditionalFormatting>
  <conditionalFormatting sqref="D102:K106">
    <cfRule type="cellIs" dxfId="1440" priority="818" stopIfTrue="1" operator="equal">
      <formula>"S"</formula>
    </cfRule>
  </conditionalFormatting>
  <conditionalFormatting sqref="D102:K106">
    <cfRule type="cellIs" dxfId="1439" priority="819" stopIfTrue="1" operator="equal">
      <formula>"M"</formula>
    </cfRule>
  </conditionalFormatting>
  <conditionalFormatting sqref="D102:K106">
    <cfRule type="cellIs" dxfId="1438" priority="820" stopIfTrue="1" operator="equal">
      <formula>"J"</formula>
    </cfRule>
  </conditionalFormatting>
  <conditionalFormatting sqref="D102:K106">
    <cfRule type="cellIs" dxfId="1437" priority="821" stopIfTrue="1" operator="equal">
      <formula>"O"</formula>
    </cfRule>
  </conditionalFormatting>
  <conditionalFormatting sqref="D102:K106">
    <cfRule type="expression" dxfId="1436" priority="822" stopIfTrue="1">
      <formula>LEN(TRIM(D102))=0</formula>
    </cfRule>
  </conditionalFormatting>
  <conditionalFormatting sqref="D109:K109">
    <cfRule type="cellIs" dxfId="1435" priority="823" stopIfTrue="1" operator="equal">
      <formula>"E"</formula>
    </cfRule>
  </conditionalFormatting>
  <conditionalFormatting sqref="D109:K109">
    <cfRule type="cellIs" dxfId="1434" priority="824" stopIfTrue="1" operator="equal">
      <formula>"S"</formula>
    </cfRule>
  </conditionalFormatting>
  <conditionalFormatting sqref="D109:K109">
    <cfRule type="cellIs" dxfId="1433" priority="825" stopIfTrue="1" operator="equal">
      <formula>"M"</formula>
    </cfRule>
  </conditionalFormatting>
  <conditionalFormatting sqref="D109:K109">
    <cfRule type="cellIs" dxfId="1432" priority="826" stopIfTrue="1" operator="equal">
      <formula>"J"</formula>
    </cfRule>
  </conditionalFormatting>
  <conditionalFormatting sqref="D109:K109">
    <cfRule type="cellIs" dxfId="1431" priority="827" stopIfTrue="1" operator="equal">
      <formula>"O"</formula>
    </cfRule>
  </conditionalFormatting>
  <conditionalFormatting sqref="D109:K109">
    <cfRule type="expression" dxfId="1430" priority="828" stopIfTrue="1">
      <formula>LEN(TRIM(D109))=0</formula>
    </cfRule>
  </conditionalFormatting>
  <conditionalFormatting sqref="L102:O106">
    <cfRule type="cellIs" dxfId="1429" priority="829" stopIfTrue="1" operator="equal">
      <formula>"E"</formula>
    </cfRule>
  </conditionalFormatting>
  <conditionalFormatting sqref="L102:O106">
    <cfRule type="cellIs" dxfId="1428" priority="830" stopIfTrue="1" operator="equal">
      <formula>"S"</formula>
    </cfRule>
  </conditionalFormatting>
  <conditionalFormatting sqref="L102:O106">
    <cfRule type="cellIs" dxfId="1427" priority="831" stopIfTrue="1" operator="equal">
      <formula>"M"</formula>
    </cfRule>
  </conditionalFormatting>
  <conditionalFormatting sqref="L102:O106">
    <cfRule type="cellIs" dxfId="1426" priority="832" stopIfTrue="1" operator="equal">
      <formula>"J"</formula>
    </cfRule>
  </conditionalFormatting>
  <conditionalFormatting sqref="L102:O106">
    <cfRule type="cellIs" dxfId="1425" priority="833" stopIfTrue="1" operator="equal">
      <formula>"O"</formula>
    </cfRule>
  </conditionalFormatting>
  <conditionalFormatting sqref="L102:O106">
    <cfRule type="expression" dxfId="1424" priority="834" stopIfTrue="1">
      <formula>LEN(TRIM(L102))=0</formula>
    </cfRule>
  </conditionalFormatting>
  <conditionalFormatting sqref="L109:O109">
    <cfRule type="cellIs" dxfId="1423" priority="835" stopIfTrue="1" operator="equal">
      <formula>"E"</formula>
    </cfRule>
  </conditionalFormatting>
  <conditionalFormatting sqref="L109:O109">
    <cfRule type="cellIs" dxfId="1422" priority="836" stopIfTrue="1" operator="equal">
      <formula>"S"</formula>
    </cfRule>
  </conditionalFormatting>
  <conditionalFormatting sqref="L109:O109">
    <cfRule type="cellIs" dxfId="1421" priority="837" stopIfTrue="1" operator="equal">
      <formula>"M"</formula>
    </cfRule>
  </conditionalFormatting>
  <conditionalFormatting sqref="L109:O109">
    <cfRule type="cellIs" dxfId="1420" priority="838" stopIfTrue="1" operator="equal">
      <formula>"J"</formula>
    </cfRule>
  </conditionalFormatting>
  <conditionalFormatting sqref="L109:O109">
    <cfRule type="cellIs" dxfId="1419" priority="839" stopIfTrue="1" operator="equal">
      <formula>"O"</formula>
    </cfRule>
  </conditionalFormatting>
  <conditionalFormatting sqref="L109:O109">
    <cfRule type="expression" dxfId="1418" priority="840" stopIfTrue="1">
      <formula>LEN(TRIM(L109))=0</formula>
    </cfRule>
  </conditionalFormatting>
  <conditionalFormatting sqref="P102:AI106">
    <cfRule type="cellIs" dxfId="1417" priority="841" stopIfTrue="1" operator="equal">
      <formula>"E"</formula>
    </cfRule>
  </conditionalFormatting>
  <conditionalFormatting sqref="P102:AI106">
    <cfRule type="cellIs" dxfId="1416" priority="842" stopIfTrue="1" operator="equal">
      <formula>"S"</formula>
    </cfRule>
  </conditionalFormatting>
  <conditionalFormatting sqref="P102:AI106">
    <cfRule type="cellIs" dxfId="1415" priority="843" stopIfTrue="1" operator="equal">
      <formula>"M"</formula>
    </cfRule>
  </conditionalFormatting>
  <conditionalFormatting sqref="P102:AI106">
    <cfRule type="cellIs" dxfId="1414" priority="844" stopIfTrue="1" operator="equal">
      <formula>"J"</formula>
    </cfRule>
  </conditionalFormatting>
  <conditionalFormatting sqref="P102:AI106">
    <cfRule type="cellIs" dxfId="1413" priority="845" stopIfTrue="1" operator="equal">
      <formula>"O"</formula>
    </cfRule>
  </conditionalFormatting>
  <conditionalFormatting sqref="P102:AI106">
    <cfRule type="expression" dxfId="1412" priority="846" stopIfTrue="1">
      <formula>LEN(TRIM(P102))=0</formula>
    </cfRule>
  </conditionalFormatting>
  <conditionalFormatting sqref="P109:AI109">
    <cfRule type="cellIs" dxfId="1411" priority="847" stopIfTrue="1" operator="equal">
      <formula>"E"</formula>
    </cfRule>
  </conditionalFormatting>
  <conditionalFormatting sqref="P109:AI109">
    <cfRule type="cellIs" dxfId="1410" priority="848" stopIfTrue="1" operator="equal">
      <formula>"S"</formula>
    </cfRule>
  </conditionalFormatting>
  <conditionalFormatting sqref="P109:AI109">
    <cfRule type="cellIs" dxfId="1409" priority="849" stopIfTrue="1" operator="equal">
      <formula>"M"</formula>
    </cfRule>
  </conditionalFormatting>
  <conditionalFormatting sqref="P109:AI109">
    <cfRule type="cellIs" dxfId="1408" priority="850" stopIfTrue="1" operator="equal">
      <formula>"J"</formula>
    </cfRule>
  </conditionalFormatting>
  <conditionalFormatting sqref="P109:AI109">
    <cfRule type="cellIs" dxfId="1407" priority="851" stopIfTrue="1" operator="equal">
      <formula>"O"</formula>
    </cfRule>
  </conditionalFormatting>
  <conditionalFormatting sqref="P109:AI109">
    <cfRule type="expression" dxfId="1406" priority="852" stopIfTrue="1">
      <formula>LEN(TRIM(P109))=0</formula>
    </cfRule>
  </conditionalFormatting>
  <conditionalFormatting sqref="AJ102:AL106">
    <cfRule type="cellIs" dxfId="1405" priority="853" stopIfTrue="1" operator="equal">
      <formula>"E"</formula>
    </cfRule>
  </conditionalFormatting>
  <conditionalFormatting sqref="AJ102:AL106">
    <cfRule type="cellIs" dxfId="1404" priority="854" stopIfTrue="1" operator="equal">
      <formula>"S"</formula>
    </cfRule>
  </conditionalFormatting>
  <conditionalFormatting sqref="AJ102:AL106">
    <cfRule type="cellIs" dxfId="1403" priority="855" stopIfTrue="1" operator="equal">
      <formula>"M"</formula>
    </cfRule>
  </conditionalFormatting>
  <conditionalFormatting sqref="AJ102:AL106">
    <cfRule type="cellIs" dxfId="1402" priority="856" stopIfTrue="1" operator="equal">
      <formula>"J"</formula>
    </cfRule>
  </conditionalFormatting>
  <conditionalFormatting sqref="AJ102:AL106">
    <cfRule type="cellIs" dxfId="1401" priority="857" stopIfTrue="1" operator="equal">
      <formula>"O"</formula>
    </cfRule>
  </conditionalFormatting>
  <conditionalFormatting sqref="AJ102:AL106">
    <cfRule type="expression" dxfId="1400" priority="858" stopIfTrue="1">
      <formula>LEN(TRIM(AJ102))=0</formula>
    </cfRule>
  </conditionalFormatting>
  <conditionalFormatting sqref="AJ109:AL109">
    <cfRule type="cellIs" dxfId="1399" priority="859" stopIfTrue="1" operator="equal">
      <formula>"E"</formula>
    </cfRule>
  </conditionalFormatting>
  <conditionalFormatting sqref="AJ109:AL109">
    <cfRule type="cellIs" dxfId="1398" priority="860" stopIfTrue="1" operator="equal">
      <formula>"S"</formula>
    </cfRule>
  </conditionalFormatting>
  <conditionalFormatting sqref="AJ109:AL109">
    <cfRule type="cellIs" dxfId="1397" priority="861" stopIfTrue="1" operator="equal">
      <formula>"M"</formula>
    </cfRule>
  </conditionalFormatting>
  <conditionalFormatting sqref="AJ109:AL109">
    <cfRule type="cellIs" dxfId="1396" priority="862" stopIfTrue="1" operator="equal">
      <formula>"J"</formula>
    </cfRule>
  </conditionalFormatting>
  <conditionalFormatting sqref="AJ109:AL109">
    <cfRule type="cellIs" dxfId="1395" priority="863" stopIfTrue="1" operator="equal">
      <formula>"O"</formula>
    </cfRule>
  </conditionalFormatting>
  <conditionalFormatting sqref="AJ109:AL109">
    <cfRule type="expression" dxfId="1394" priority="864" stopIfTrue="1">
      <formula>LEN(TRIM(AJ109))=0</formula>
    </cfRule>
  </conditionalFormatting>
  <conditionalFormatting sqref="AM102:AO106">
    <cfRule type="cellIs" dxfId="1393" priority="865" stopIfTrue="1" operator="equal">
      <formula>"E"</formula>
    </cfRule>
  </conditionalFormatting>
  <conditionalFormatting sqref="AM102:AO106">
    <cfRule type="cellIs" dxfId="1392" priority="866" stopIfTrue="1" operator="equal">
      <formula>"S"</formula>
    </cfRule>
  </conditionalFormatting>
  <conditionalFormatting sqref="AM102:AO106">
    <cfRule type="cellIs" dxfId="1391" priority="867" stopIfTrue="1" operator="equal">
      <formula>"M"</formula>
    </cfRule>
  </conditionalFormatting>
  <conditionalFormatting sqref="AM102:AO106">
    <cfRule type="cellIs" dxfId="1390" priority="868" stopIfTrue="1" operator="equal">
      <formula>"J"</formula>
    </cfRule>
  </conditionalFormatting>
  <conditionalFormatting sqref="AM102:AO106">
    <cfRule type="cellIs" dxfId="1389" priority="869" stopIfTrue="1" operator="equal">
      <formula>"O"</formula>
    </cfRule>
  </conditionalFormatting>
  <conditionalFormatting sqref="AM102:AO106">
    <cfRule type="expression" dxfId="1388" priority="870" stopIfTrue="1">
      <formula>LEN(TRIM(AM102))=0</formula>
    </cfRule>
  </conditionalFormatting>
  <conditionalFormatting sqref="AM109:AO109">
    <cfRule type="cellIs" dxfId="1387" priority="871" stopIfTrue="1" operator="equal">
      <formula>"E"</formula>
    </cfRule>
  </conditionalFormatting>
  <conditionalFormatting sqref="AM109:AO109">
    <cfRule type="cellIs" dxfId="1386" priority="872" stopIfTrue="1" operator="equal">
      <formula>"S"</formula>
    </cfRule>
  </conditionalFormatting>
  <conditionalFormatting sqref="AM109:AO109">
    <cfRule type="cellIs" dxfId="1385" priority="873" stopIfTrue="1" operator="equal">
      <formula>"M"</formula>
    </cfRule>
  </conditionalFormatting>
  <conditionalFormatting sqref="AM109:AO109">
    <cfRule type="cellIs" dxfId="1384" priority="874" stopIfTrue="1" operator="equal">
      <formula>"J"</formula>
    </cfRule>
  </conditionalFormatting>
  <conditionalFormatting sqref="AM109:AO109">
    <cfRule type="cellIs" dxfId="1383" priority="875" stopIfTrue="1" operator="equal">
      <formula>"O"</formula>
    </cfRule>
  </conditionalFormatting>
  <conditionalFormatting sqref="AM109:AO109">
    <cfRule type="expression" dxfId="1382" priority="876" stopIfTrue="1">
      <formula>LEN(TRIM(AM109))=0</formula>
    </cfRule>
  </conditionalFormatting>
  <conditionalFormatting sqref="AP102:AT106">
    <cfRule type="cellIs" dxfId="1381" priority="877" stopIfTrue="1" operator="equal">
      <formula>"E"</formula>
    </cfRule>
  </conditionalFormatting>
  <conditionalFormatting sqref="AP102:AT106">
    <cfRule type="cellIs" dxfId="1380" priority="878" stopIfTrue="1" operator="equal">
      <formula>"S"</formula>
    </cfRule>
  </conditionalFormatting>
  <conditionalFormatting sqref="AP102:AT106">
    <cfRule type="cellIs" dxfId="1379" priority="879" stopIfTrue="1" operator="equal">
      <formula>"M"</formula>
    </cfRule>
  </conditionalFormatting>
  <conditionalFormatting sqref="AP102:AT106">
    <cfRule type="cellIs" dxfId="1378" priority="880" stopIfTrue="1" operator="equal">
      <formula>"J"</formula>
    </cfRule>
  </conditionalFormatting>
  <conditionalFormatting sqref="AP102:AT106">
    <cfRule type="cellIs" dxfId="1377" priority="881" stopIfTrue="1" operator="equal">
      <formula>"O"</formula>
    </cfRule>
  </conditionalFormatting>
  <conditionalFormatting sqref="AP102:AT106">
    <cfRule type="expression" dxfId="1376" priority="882" stopIfTrue="1">
      <formula>LEN(TRIM(AP102))=0</formula>
    </cfRule>
  </conditionalFormatting>
  <conditionalFormatting sqref="AP109:AT109">
    <cfRule type="cellIs" dxfId="1375" priority="883" stopIfTrue="1" operator="equal">
      <formula>"E"</formula>
    </cfRule>
  </conditionalFormatting>
  <conditionalFormatting sqref="AP109:AT109">
    <cfRule type="cellIs" dxfId="1374" priority="884" stopIfTrue="1" operator="equal">
      <formula>"S"</formula>
    </cfRule>
  </conditionalFormatting>
  <conditionalFormatting sqref="AP109:AT109">
    <cfRule type="cellIs" dxfId="1373" priority="885" stopIfTrue="1" operator="equal">
      <formula>"M"</formula>
    </cfRule>
  </conditionalFormatting>
  <conditionalFormatting sqref="AP109:AT109">
    <cfRule type="cellIs" dxfId="1372" priority="886" stopIfTrue="1" operator="equal">
      <formula>"J"</formula>
    </cfRule>
  </conditionalFormatting>
  <conditionalFormatting sqref="AP109:AT109">
    <cfRule type="cellIs" dxfId="1371" priority="887" stopIfTrue="1" operator="equal">
      <formula>"O"</formula>
    </cfRule>
  </conditionalFormatting>
  <conditionalFormatting sqref="AP109:AT109">
    <cfRule type="expression" dxfId="1370" priority="888" stopIfTrue="1">
      <formula>LEN(TRIM(AP109))=0</formula>
    </cfRule>
  </conditionalFormatting>
  <conditionalFormatting sqref="AU102:BB106">
    <cfRule type="cellIs" dxfId="1369" priority="889" stopIfTrue="1" operator="equal">
      <formula>"E"</formula>
    </cfRule>
  </conditionalFormatting>
  <conditionalFormatting sqref="AU102:BB106">
    <cfRule type="cellIs" dxfId="1368" priority="890" stopIfTrue="1" operator="equal">
      <formula>"S"</formula>
    </cfRule>
  </conditionalFormatting>
  <conditionalFormatting sqref="AU102:BB106">
    <cfRule type="cellIs" dxfId="1367" priority="891" stopIfTrue="1" operator="equal">
      <formula>"M"</formula>
    </cfRule>
  </conditionalFormatting>
  <conditionalFormatting sqref="AU102:BB106">
    <cfRule type="cellIs" dxfId="1366" priority="892" stopIfTrue="1" operator="equal">
      <formula>"J"</formula>
    </cfRule>
  </conditionalFormatting>
  <conditionalFormatting sqref="AU102:BB106">
    <cfRule type="cellIs" dxfId="1365" priority="893" stopIfTrue="1" operator="equal">
      <formula>"O"</formula>
    </cfRule>
  </conditionalFormatting>
  <conditionalFormatting sqref="AU102:BB106">
    <cfRule type="expression" dxfId="1364" priority="894" stopIfTrue="1">
      <formula>LEN(TRIM(AU102))=0</formula>
    </cfRule>
  </conditionalFormatting>
  <conditionalFormatting sqref="AU109:BB109">
    <cfRule type="cellIs" dxfId="1363" priority="895" stopIfTrue="1" operator="equal">
      <formula>"E"</formula>
    </cfRule>
  </conditionalFormatting>
  <conditionalFormatting sqref="AU109:BB109">
    <cfRule type="cellIs" dxfId="1362" priority="896" stopIfTrue="1" operator="equal">
      <formula>"S"</formula>
    </cfRule>
  </conditionalFormatting>
  <conditionalFormatting sqref="AU109:BB109">
    <cfRule type="cellIs" dxfId="1361" priority="897" stopIfTrue="1" operator="equal">
      <formula>"M"</formula>
    </cfRule>
  </conditionalFormatting>
  <conditionalFormatting sqref="AU109:BB109">
    <cfRule type="cellIs" dxfId="1360" priority="898" stopIfTrue="1" operator="equal">
      <formula>"J"</formula>
    </cfRule>
  </conditionalFormatting>
  <conditionalFormatting sqref="AU109:BB109">
    <cfRule type="cellIs" dxfId="1359" priority="899" stopIfTrue="1" operator="equal">
      <formula>"O"</formula>
    </cfRule>
  </conditionalFormatting>
  <conditionalFormatting sqref="AU109:BB109">
    <cfRule type="expression" dxfId="1358" priority="900" stopIfTrue="1">
      <formula>LEN(TRIM(AU109))=0</formula>
    </cfRule>
  </conditionalFormatting>
  <conditionalFormatting sqref="BC102:BG106">
    <cfRule type="cellIs" dxfId="1357" priority="901" stopIfTrue="1" operator="equal">
      <formula>"E"</formula>
    </cfRule>
  </conditionalFormatting>
  <conditionalFormatting sqref="BC102:BG106">
    <cfRule type="cellIs" dxfId="1356" priority="902" stopIfTrue="1" operator="equal">
      <formula>"S"</formula>
    </cfRule>
  </conditionalFormatting>
  <conditionalFormatting sqref="BC102:BG106">
    <cfRule type="cellIs" dxfId="1355" priority="903" stopIfTrue="1" operator="equal">
      <formula>"M"</formula>
    </cfRule>
  </conditionalFormatting>
  <conditionalFormatting sqref="BC102:BG106">
    <cfRule type="cellIs" dxfId="1354" priority="904" stopIfTrue="1" operator="equal">
      <formula>"J"</formula>
    </cfRule>
  </conditionalFormatting>
  <conditionalFormatting sqref="BC102:BG106">
    <cfRule type="cellIs" dxfId="1353" priority="905" stopIfTrue="1" operator="equal">
      <formula>"O"</formula>
    </cfRule>
  </conditionalFormatting>
  <conditionalFormatting sqref="BC102:BG106">
    <cfRule type="expression" dxfId="1352" priority="906" stopIfTrue="1">
      <formula>LEN(TRIM(BC102))=0</formula>
    </cfRule>
  </conditionalFormatting>
  <conditionalFormatting sqref="BC109:BG109">
    <cfRule type="cellIs" dxfId="1351" priority="907" stopIfTrue="1" operator="equal">
      <formula>"E"</formula>
    </cfRule>
  </conditionalFormatting>
  <conditionalFormatting sqref="BC109:BG109">
    <cfRule type="cellIs" dxfId="1350" priority="908" stopIfTrue="1" operator="equal">
      <formula>"S"</formula>
    </cfRule>
  </conditionalFormatting>
  <conditionalFormatting sqref="BC109:BG109">
    <cfRule type="cellIs" dxfId="1349" priority="909" stopIfTrue="1" operator="equal">
      <formula>"M"</formula>
    </cfRule>
  </conditionalFormatting>
  <conditionalFormatting sqref="BC109:BG109">
    <cfRule type="cellIs" dxfId="1348" priority="910" stopIfTrue="1" operator="equal">
      <formula>"J"</formula>
    </cfRule>
  </conditionalFormatting>
  <conditionalFormatting sqref="BC109:BG109">
    <cfRule type="cellIs" dxfId="1347" priority="911" stopIfTrue="1" operator="equal">
      <formula>"O"</formula>
    </cfRule>
  </conditionalFormatting>
  <conditionalFormatting sqref="BC109:BG109">
    <cfRule type="expression" dxfId="1346" priority="912" stopIfTrue="1">
      <formula>LEN(TRIM(BC109))=0</formula>
    </cfRule>
  </conditionalFormatting>
  <conditionalFormatting sqref="BH102:BJ106">
    <cfRule type="cellIs" dxfId="1345" priority="913" stopIfTrue="1" operator="equal">
      <formula>"E"</formula>
    </cfRule>
  </conditionalFormatting>
  <conditionalFormatting sqref="BH102:BJ106">
    <cfRule type="cellIs" dxfId="1344" priority="914" stopIfTrue="1" operator="equal">
      <formula>"S"</formula>
    </cfRule>
  </conditionalFormatting>
  <conditionalFormatting sqref="BH102:BJ106">
    <cfRule type="cellIs" dxfId="1343" priority="915" stopIfTrue="1" operator="equal">
      <formula>"M"</formula>
    </cfRule>
  </conditionalFormatting>
  <conditionalFormatting sqref="BH102:BJ106">
    <cfRule type="cellIs" dxfId="1342" priority="916" stopIfTrue="1" operator="equal">
      <formula>"J"</formula>
    </cfRule>
  </conditionalFormatting>
  <conditionalFormatting sqref="BH102:BJ106">
    <cfRule type="cellIs" dxfId="1341" priority="917" stopIfTrue="1" operator="equal">
      <formula>"O"</formula>
    </cfRule>
  </conditionalFormatting>
  <conditionalFormatting sqref="BH102:BJ106">
    <cfRule type="expression" dxfId="1340" priority="918" stopIfTrue="1">
      <formula>LEN(TRIM(BH102))=0</formula>
    </cfRule>
  </conditionalFormatting>
  <conditionalFormatting sqref="BH109:BJ109">
    <cfRule type="cellIs" dxfId="1339" priority="919" stopIfTrue="1" operator="equal">
      <formula>"E"</formula>
    </cfRule>
  </conditionalFormatting>
  <conditionalFormatting sqref="BH109:BJ109">
    <cfRule type="cellIs" dxfId="1338" priority="920" stopIfTrue="1" operator="equal">
      <formula>"S"</formula>
    </cfRule>
  </conditionalFormatting>
  <conditionalFormatting sqref="BH109:BJ109">
    <cfRule type="cellIs" dxfId="1337" priority="921" stopIfTrue="1" operator="equal">
      <formula>"M"</formula>
    </cfRule>
  </conditionalFormatting>
  <conditionalFormatting sqref="BH109:BJ109">
    <cfRule type="cellIs" dxfId="1336" priority="922" stopIfTrue="1" operator="equal">
      <formula>"J"</formula>
    </cfRule>
  </conditionalFormatting>
  <conditionalFormatting sqref="BH109:BJ109">
    <cfRule type="cellIs" dxfId="1335" priority="923" stopIfTrue="1" operator="equal">
      <formula>"O"</formula>
    </cfRule>
  </conditionalFormatting>
  <conditionalFormatting sqref="BH109:BJ109">
    <cfRule type="expression" dxfId="1334" priority="924" stopIfTrue="1">
      <formula>LEN(TRIM(BH109))=0</formula>
    </cfRule>
  </conditionalFormatting>
  <conditionalFormatting sqref="BK102:BN106">
    <cfRule type="cellIs" dxfId="1333" priority="925" stopIfTrue="1" operator="equal">
      <formula>"E"</formula>
    </cfRule>
  </conditionalFormatting>
  <conditionalFormatting sqref="BK102:BN106">
    <cfRule type="cellIs" dxfId="1332" priority="926" stopIfTrue="1" operator="equal">
      <formula>"S"</formula>
    </cfRule>
  </conditionalFormatting>
  <conditionalFormatting sqref="BK102:BN106">
    <cfRule type="cellIs" dxfId="1331" priority="927" stopIfTrue="1" operator="equal">
      <formula>"M"</formula>
    </cfRule>
  </conditionalFormatting>
  <conditionalFormatting sqref="BK102:BN106">
    <cfRule type="cellIs" dxfId="1330" priority="928" stopIfTrue="1" operator="equal">
      <formula>"J"</formula>
    </cfRule>
  </conditionalFormatting>
  <conditionalFormatting sqref="BK102:BN106">
    <cfRule type="cellIs" dxfId="1329" priority="929" stopIfTrue="1" operator="equal">
      <formula>"O"</formula>
    </cfRule>
  </conditionalFormatting>
  <conditionalFormatting sqref="BK102:BN106">
    <cfRule type="expression" dxfId="1328" priority="930" stopIfTrue="1">
      <formula>LEN(TRIM(BK102))=0</formula>
    </cfRule>
  </conditionalFormatting>
  <conditionalFormatting sqref="BK109:BN109">
    <cfRule type="cellIs" dxfId="1327" priority="931" stopIfTrue="1" operator="equal">
      <formula>"E"</formula>
    </cfRule>
  </conditionalFormatting>
  <conditionalFormatting sqref="BK109:BN109">
    <cfRule type="cellIs" dxfId="1326" priority="932" stopIfTrue="1" operator="equal">
      <formula>"S"</formula>
    </cfRule>
  </conditionalFormatting>
  <conditionalFormatting sqref="BK109:BN109">
    <cfRule type="cellIs" dxfId="1325" priority="933" stopIfTrue="1" operator="equal">
      <formula>"M"</formula>
    </cfRule>
  </conditionalFormatting>
  <conditionalFormatting sqref="BK109:BN109">
    <cfRule type="cellIs" dxfId="1324" priority="934" stopIfTrue="1" operator="equal">
      <formula>"J"</formula>
    </cfRule>
  </conditionalFormatting>
  <conditionalFormatting sqref="BK109:BN109">
    <cfRule type="cellIs" dxfId="1323" priority="935" stopIfTrue="1" operator="equal">
      <formula>"O"</formula>
    </cfRule>
  </conditionalFormatting>
  <conditionalFormatting sqref="BK109:BN109">
    <cfRule type="expression" dxfId="1322" priority="936" stopIfTrue="1">
      <formula>LEN(TRIM(BK109))=0</formula>
    </cfRule>
  </conditionalFormatting>
  <conditionalFormatting sqref="BO102:BV106">
    <cfRule type="cellIs" dxfId="1321" priority="937" stopIfTrue="1" operator="equal">
      <formula>"E"</formula>
    </cfRule>
  </conditionalFormatting>
  <conditionalFormatting sqref="BO102:BV106">
    <cfRule type="cellIs" dxfId="1320" priority="938" stopIfTrue="1" operator="equal">
      <formula>"S"</formula>
    </cfRule>
  </conditionalFormatting>
  <conditionalFormatting sqref="BO102:BV106">
    <cfRule type="cellIs" dxfId="1319" priority="939" stopIfTrue="1" operator="equal">
      <formula>"M"</formula>
    </cfRule>
  </conditionalFormatting>
  <conditionalFormatting sqref="BO102:BV106">
    <cfRule type="cellIs" dxfId="1318" priority="940" stopIfTrue="1" operator="equal">
      <formula>"J"</formula>
    </cfRule>
  </conditionalFormatting>
  <conditionalFormatting sqref="BO102:BV106">
    <cfRule type="cellIs" dxfId="1317" priority="941" stopIfTrue="1" operator="equal">
      <formula>"O"</formula>
    </cfRule>
  </conditionalFormatting>
  <conditionalFormatting sqref="BO102:BV106">
    <cfRule type="expression" dxfId="1316" priority="942" stopIfTrue="1">
      <formula>LEN(TRIM(BO102))=0</formula>
    </cfRule>
  </conditionalFormatting>
  <conditionalFormatting sqref="BO109:BV109">
    <cfRule type="cellIs" dxfId="1315" priority="943" stopIfTrue="1" operator="equal">
      <formula>"E"</formula>
    </cfRule>
  </conditionalFormatting>
  <conditionalFormatting sqref="BO109:BV109">
    <cfRule type="cellIs" dxfId="1314" priority="944" stopIfTrue="1" operator="equal">
      <formula>"S"</formula>
    </cfRule>
  </conditionalFormatting>
  <conditionalFormatting sqref="BO109:BV109">
    <cfRule type="cellIs" dxfId="1313" priority="945" stopIfTrue="1" operator="equal">
      <formula>"M"</formula>
    </cfRule>
  </conditionalFormatting>
  <conditionalFormatting sqref="BO109:BV109">
    <cfRule type="cellIs" dxfId="1312" priority="946" stopIfTrue="1" operator="equal">
      <formula>"J"</formula>
    </cfRule>
  </conditionalFormatting>
  <conditionalFormatting sqref="BO109:BV109">
    <cfRule type="cellIs" dxfId="1311" priority="947" stopIfTrue="1" operator="equal">
      <formula>"O"</formula>
    </cfRule>
  </conditionalFormatting>
  <conditionalFormatting sqref="BO109:BV109">
    <cfRule type="expression" dxfId="1310" priority="948" stopIfTrue="1">
      <formula>LEN(TRIM(BO109))=0</formula>
    </cfRule>
  </conditionalFormatting>
  <conditionalFormatting sqref="BW102:CB106">
    <cfRule type="cellIs" dxfId="1309" priority="949" stopIfTrue="1" operator="equal">
      <formula>"E"</formula>
    </cfRule>
  </conditionalFormatting>
  <conditionalFormatting sqref="BW102:CB106">
    <cfRule type="cellIs" dxfId="1308" priority="950" stopIfTrue="1" operator="equal">
      <formula>"S"</formula>
    </cfRule>
  </conditionalFormatting>
  <conditionalFormatting sqref="BW102:CB106">
    <cfRule type="cellIs" dxfId="1307" priority="951" stopIfTrue="1" operator="equal">
      <formula>"M"</formula>
    </cfRule>
  </conditionalFormatting>
  <conditionalFormatting sqref="BW102:CB106">
    <cfRule type="cellIs" dxfId="1306" priority="952" stopIfTrue="1" operator="equal">
      <formula>"J"</formula>
    </cfRule>
  </conditionalFormatting>
  <conditionalFormatting sqref="BW102:CB106">
    <cfRule type="cellIs" dxfId="1305" priority="953" stopIfTrue="1" operator="equal">
      <formula>"O"</formula>
    </cfRule>
  </conditionalFormatting>
  <conditionalFormatting sqref="BW102:CB106">
    <cfRule type="expression" dxfId="1304" priority="954" stopIfTrue="1">
      <formula>LEN(TRIM(BW102))=0</formula>
    </cfRule>
  </conditionalFormatting>
  <conditionalFormatting sqref="BW109:CB109">
    <cfRule type="cellIs" dxfId="1303" priority="955" stopIfTrue="1" operator="equal">
      <formula>"E"</formula>
    </cfRule>
  </conditionalFormatting>
  <conditionalFormatting sqref="BW109:CB109">
    <cfRule type="cellIs" dxfId="1302" priority="956" stopIfTrue="1" operator="equal">
      <formula>"S"</formula>
    </cfRule>
  </conditionalFormatting>
  <conditionalFormatting sqref="BW109:CB109">
    <cfRule type="cellIs" dxfId="1301" priority="957" stopIfTrue="1" operator="equal">
      <formula>"M"</formula>
    </cfRule>
  </conditionalFormatting>
  <conditionalFormatting sqref="BW109:CB109">
    <cfRule type="cellIs" dxfId="1300" priority="958" stopIfTrue="1" operator="equal">
      <formula>"J"</formula>
    </cfRule>
  </conditionalFormatting>
  <conditionalFormatting sqref="BW109:CB109">
    <cfRule type="cellIs" dxfId="1299" priority="959" stopIfTrue="1" operator="equal">
      <formula>"O"</formula>
    </cfRule>
  </conditionalFormatting>
  <conditionalFormatting sqref="BW109:CB109">
    <cfRule type="expression" dxfId="1298" priority="960" stopIfTrue="1">
      <formula>LEN(TRIM(BW109))=0</formula>
    </cfRule>
  </conditionalFormatting>
  <conditionalFormatting sqref="CC102:CE106">
    <cfRule type="cellIs" dxfId="1297" priority="961" stopIfTrue="1" operator="equal">
      <formula>"E"</formula>
    </cfRule>
  </conditionalFormatting>
  <conditionalFormatting sqref="CC102:CE106">
    <cfRule type="cellIs" dxfId="1296" priority="962" stopIfTrue="1" operator="equal">
      <formula>"S"</formula>
    </cfRule>
  </conditionalFormatting>
  <conditionalFormatting sqref="CC102:CE106">
    <cfRule type="cellIs" dxfId="1295" priority="963" stopIfTrue="1" operator="equal">
      <formula>"M"</formula>
    </cfRule>
  </conditionalFormatting>
  <conditionalFormatting sqref="CC102:CE106">
    <cfRule type="cellIs" dxfId="1294" priority="964" stopIfTrue="1" operator="equal">
      <formula>"J"</formula>
    </cfRule>
  </conditionalFormatting>
  <conditionalFormatting sqref="CC102:CE106">
    <cfRule type="cellIs" dxfId="1293" priority="965" stopIfTrue="1" operator="equal">
      <formula>"O"</formula>
    </cfRule>
  </conditionalFormatting>
  <conditionalFormatting sqref="CC102:CE106">
    <cfRule type="expression" dxfId="1292" priority="966" stopIfTrue="1">
      <formula>LEN(TRIM(CC102))=0</formula>
    </cfRule>
  </conditionalFormatting>
  <conditionalFormatting sqref="CC109:CE109">
    <cfRule type="cellIs" dxfId="1291" priority="967" stopIfTrue="1" operator="equal">
      <formula>"E"</formula>
    </cfRule>
  </conditionalFormatting>
  <conditionalFormatting sqref="CC109:CE109">
    <cfRule type="cellIs" dxfId="1290" priority="968" stopIfTrue="1" operator="equal">
      <formula>"S"</formula>
    </cfRule>
  </conditionalFormatting>
  <conditionalFormatting sqref="CC109:CE109">
    <cfRule type="cellIs" dxfId="1289" priority="969" stopIfTrue="1" operator="equal">
      <formula>"M"</formula>
    </cfRule>
  </conditionalFormatting>
  <conditionalFormatting sqref="CC109:CE109">
    <cfRule type="cellIs" dxfId="1288" priority="970" stopIfTrue="1" operator="equal">
      <formula>"J"</formula>
    </cfRule>
  </conditionalFormatting>
  <conditionalFormatting sqref="CC109:CE109">
    <cfRule type="cellIs" dxfId="1287" priority="971" stopIfTrue="1" operator="equal">
      <formula>"O"</formula>
    </cfRule>
  </conditionalFormatting>
  <conditionalFormatting sqref="CC109:CE109">
    <cfRule type="expression" dxfId="1286" priority="972" stopIfTrue="1">
      <formula>LEN(TRIM(CC109))=0</formula>
    </cfRule>
  </conditionalFormatting>
  <conditionalFormatting sqref="CF102:CI106">
    <cfRule type="cellIs" dxfId="1285" priority="973" stopIfTrue="1" operator="equal">
      <formula>"E"</formula>
    </cfRule>
  </conditionalFormatting>
  <conditionalFormatting sqref="CF102:CI106">
    <cfRule type="cellIs" dxfId="1284" priority="974" stopIfTrue="1" operator="equal">
      <formula>"S"</formula>
    </cfRule>
  </conditionalFormatting>
  <conditionalFormatting sqref="CF102:CI106">
    <cfRule type="cellIs" dxfId="1283" priority="975" stopIfTrue="1" operator="equal">
      <formula>"M"</formula>
    </cfRule>
  </conditionalFormatting>
  <conditionalFormatting sqref="CF102:CI106">
    <cfRule type="cellIs" dxfId="1282" priority="976" stopIfTrue="1" operator="equal">
      <formula>"J"</formula>
    </cfRule>
  </conditionalFormatting>
  <conditionalFormatting sqref="CF102:CI106">
    <cfRule type="cellIs" dxfId="1281" priority="977" stopIfTrue="1" operator="equal">
      <formula>"O"</formula>
    </cfRule>
  </conditionalFormatting>
  <conditionalFormatting sqref="CF102:CI106">
    <cfRule type="expression" dxfId="1280" priority="978" stopIfTrue="1">
      <formula>LEN(TRIM(CF102))=0</formula>
    </cfRule>
  </conditionalFormatting>
  <conditionalFormatting sqref="CF109:CI109">
    <cfRule type="cellIs" dxfId="1279" priority="979" stopIfTrue="1" operator="equal">
      <formula>"E"</formula>
    </cfRule>
  </conditionalFormatting>
  <conditionalFormatting sqref="CF109:CI109">
    <cfRule type="cellIs" dxfId="1278" priority="980" stopIfTrue="1" operator="equal">
      <formula>"S"</formula>
    </cfRule>
  </conditionalFormatting>
  <conditionalFormatting sqref="CF109:CI109">
    <cfRule type="cellIs" dxfId="1277" priority="981" stopIfTrue="1" operator="equal">
      <formula>"M"</formula>
    </cfRule>
  </conditionalFormatting>
  <conditionalFormatting sqref="CF109:CI109">
    <cfRule type="cellIs" dxfId="1276" priority="982" stopIfTrue="1" operator="equal">
      <formula>"J"</formula>
    </cfRule>
  </conditionalFormatting>
  <conditionalFormatting sqref="CF109:CI109">
    <cfRule type="cellIs" dxfId="1275" priority="983" stopIfTrue="1" operator="equal">
      <formula>"O"</formula>
    </cfRule>
  </conditionalFormatting>
  <conditionalFormatting sqref="CF109:CI109">
    <cfRule type="expression" dxfId="1274" priority="984" stopIfTrue="1">
      <formula>LEN(TRIM(CF109))=0</formula>
    </cfRule>
  </conditionalFormatting>
  <conditionalFormatting sqref="D3:CI3">
    <cfRule type="cellIs" dxfId="1273" priority="985" stopIfTrue="1" operator="equal">
      <formula>"e"</formula>
    </cfRule>
  </conditionalFormatting>
  <conditionalFormatting sqref="D3:CI3">
    <cfRule type="cellIs" dxfId="1272" priority="986" stopIfTrue="1" operator="equal">
      <formula>"i"</formula>
    </cfRule>
  </conditionalFormatting>
  <pageMargins left="0.7" right="0.7" top="0.75" bottom="0.75" header="0.3" footer="0.3"/>
  <drawing r:id="rId1"/>
  <legacyDrawing r:id="rId2"/>
  <controls>
    <mc:AlternateContent xmlns:mc="http://schemas.openxmlformats.org/markup-compatibility/2006">
      <mc:Choice Requires="x14">
        <control shapeId="36865" r:id="rId3" name="butEdit">
          <controlPr defaultSize="0" autoLine="0" r:id="rId4">
            <anchor moveWithCells="1">
              <from>
                <xdr:col>2</xdr:col>
                <xdr:colOff>66675</xdr:colOff>
                <xdr:row>1</xdr:row>
                <xdr:rowOff>1143000</xdr:rowOff>
              </from>
              <to>
                <xdr:col>2</xdr:col>
                <xdr:colOff>1714500</xdr:colOff>
                <xdr:row>1</xdr:row>
                <xdr:rowOff>1600200</xdr:rowOff>
              </to>
            </anchor>
          </controlPr>
        </control>
      </mc:Choice>
      <mc:Fallback>
        <control shapeId="36865" r:id="rId3" name="butEdit"/>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A102"/>
  <sheetViews>
    <sheetView showGridLines="0" zoomScale="110" zoomScaleNormal="110" workbookViewId="0">
      <pane xSplit="3" ySplit="2" topLeftCell="D3" activePane="bottomRight" state="frozenSplit"/>
      <selection pane="topRight" activeCell="D1" sqref="D1"/>
      <selection pane="bottomLeft" activeCell="A3" sqref="A3"/>
      <selection pane="bottomRight" activeCell="D3" sqref="D3"/>
    </sheetView>
  </sheetViews>
  <sheetFormatPr defaultRowHeight="15" x14ac:dyDescent="0.25"/>
  <cols>
    <col min="2" max="2" width="6.5703125" customWidth="1"/>
    <col min="3" max="3" width="31.7109375" customWidth="1"/>
    <col min="4" max="73" width="3.85546875" customWidth="1"/>
    <col min="74" max="74" width="2.5703125" customWidth="1"/>
    <col min="75" max="79" width="3.85546875" customWidth="1"/>
  </cols>
  <sheetData>
    <row r="1" spans="1:79" ht="37.5" customHeight="1" thickTop="1" thickBot="1" x14ac:dyDescent="0.3">
      <c r="A1" s="424" t="s">
        <v>224</v>
      </c>
      <c r="B1" s="424"/>
      <c r="C1" s="425"/>
      <c r="D1" s="431" t="s">
        <v>230</v>
      </c>
      <c r="E1" s="432"/>
      <c r="F1" s="432"/>
      <c r="G1" s="432"/>
      <c r="H1" s="432"/>
      <c r="I1" s="431" t="s">
        <v>231</v>
      </c>
      <c r="J1" s="432"/>
      <c r="K1" s="432"/>
      <c r="L1" s="432"/>
      <c r="M1" s="432"/>
      <c r="N1" s="431" t="s">
        <v>232</v>
      </c>
      <c r="O1" s="432"/>
      <c r="P1" s="432"/>
      <c r="Q1" s="432"/>
      <c r="R1" s="432"/>
      <c r="S1" s="431" t="s">
        <v>233</v>
      </c>
      <c r="T1" s="432"/>
      <c r="U1" s="432"/>
      <c r="V1" s="432"/>
      <c r="W1" s="432"/>
      <c r="X1" s="431" t="s">
        <v>234</v>
      </c>
      <c r="Y1" s="432"/>
      <c r="Z1" s="432"/>
      <c r="AA1" s="432"/>
      <c r="AB1" s="432"/>
      <c r="AC1" s="431" t="s">
        <v>235</v>
      </c>
      <c r="AD1" s="432"/>
      <c r="AE1" s="432"/>
      <c r="AF1" s="432"/>
      <c r="AG1" s="432"/>
      <c r="AH1" s="431" t="s">
        <v>1</v>
      </c>
      <c r="AI1" s="432"/>
      <c r="AJ1" s="432"/>
      <c r="AK1" s="432"/>
      <c r="AL1" s="432"/>
      <c r="AM1" s="431" t="s">
        <v>131</v>
      </c>
      <c r="AN1" s="432"/>
      <c r="AO1" s="432"/>
      <c r="AP1" s="432"/>
      <c r="AQ1" s="432"/>
      <c r="AR1" s="431" t="s">
        <v>3</v>
      </c>
      <c r="AS1" s="432"/>
      <c r="AT1" s="432"/>
      <c r="AU1" s="432"/>
      <c r="AV1" s="432"/>
      <c r="AW1" s="431" t="s">
        <v>4</v>
      </c>
      <c r="AX1" s="432"/>
      <c r="AY1" s="432"/>
      <c r="AZ1" s="432"/>
      <c r="BA1" s="432"/>
      <c r="BB1" s="431" t="s">
        <v>5</v>
      </c>
      <c r="BC1" s="432"/>
      <c r="BD1" s="432"/>
      <c r="BE1" s="432"/>
      <c r="BF1" s="432"/>
      <c r="BG1" s="431" t="s">
        <v>6</v>
      </c>
      <c r="BH1" s="432"/>
      <c r="BI1" s="432"/>
      <c r="BJ1" s="432"/>
      <c r="BK1" s="432"/>
      <c r="BL1" s="431" t="s">
        <v>135</v>
      </c>
      <c r="BM1" s="432"/>
      <c r="BN1" s="432"/>
      <c r="BO1" s="432"/>
      <c r="BP1" s="432"/>
      <c r="BQ1" s="431" t="s">
        <v>236</v>
      </c>
      <c r="BR1" s="432"/>
      <c r="BS1" s="432"/>
      <c r="BT1" s="432"/>
      <c r="BU1" s="433"/>
      <c r="BW1" s="431" t="s">
        <v>306</v>
      </c>
      <c r="BX1" s="432"/>
      <c r="BY1" s="432"/>
      <c r="BZ1" s="432"/>
      <c r="CA1" s="433"/>
    </row>
    <row r="2" spans="1:79" ht="128.1" customHeight="1" thickTop="1" thickBot="1" x14ac:dyDescent="0.3">
      <c r="A2" s="124"/>
      <c r="B2" s="5"/>
      <c r="C2" s="231" t="s">
        <v>216</v>
      </c>
      <c r="D2" s="323" t="s">
        <v>217</v>
      </c>
      <c r="E2" s="324" t="s">
        <v>218</v>
      </c>
      <c r="F2" s="325" t="s">
        <v>219</v>
      </c>
      <c r="G2" s="326" t="s">
        <v>220</v>
      </c>
      <c r="H2" s="328" t="s">
        <v>221</v>
      </c>
      <c r="I2" s="323" t="s">
        <v>217</v>
      </c>
      <c r="J2" s="324" t="s">
        <v>218</v>
      </c>
      <c r="K2" s="325" t="s">
        <v>219</v>
      </c>
      <c r="L2" s="326" t="s">
        <v>220</v>
      </c>
      <c r="M2" s="328" t="s">
        <v>221</v>
      </c>
      <c r="N2" s="323" t="s">
        <v>217</v>
      </c>
      <c r="O2" s="324" t="s">
        <v>218</v>
      </c>
      <c r="P2" s="325" t="s">
        <v>219</v>
      </c>
      <c r="Q2" s="326" t="s">
        <v>220</v>
      </c>
      <c r="R2" s="328" t="s">
        <v>221</v>
      </c>
      <c r="S2" s="323" t="s">
        <v>217</v>
      </c>
      <c r="T2" s="324" t="s">
        <v>218</v>
      </c>
      <c r="U2" s="325" t="s">
        <v>219</v>
      </c>
      <c r="V2" s="326" t="s">
        <v>220</v>
      </c>
      <c r="W2" s="328" t="s">
        <v>221</v>
      </c>
      <c r="X2" s="323" t="s">
        <v>217</v>
      </c>
      <c r="Y2" s="324" t="s">
        <v>218</v>
      </c>
      <c r="Z2" s="325" t="s">
        <v>219</v>
      </c>
      <c r="AA2" s="326" t="s">
        <v>220</v>
      </c>
      <c r="AB2" s="328" t="s">
        <v>221</v>
      </c>
      <c r="AC2" s="323" t="s">
        <v>217</v>
      </c>
      <c r="AD2" s="324" t="s">
        <v>218</v>
      </c>
      <c r="AE2" s="325" t="s">
        <v>219</v>
      </c>
      <c r="AF2" s="326" t="s">
        <v>220</v>
      </c>
      <c r="AG2" s="328" t="s">
        <v>221</v>
      </c>
      <c r="AH2" s="323" t="s">
        <v>217</v>
      </c>
      <c r="AI2" s="324" t="s">
        <v>218</v>
      </c>
      <c r="AJ2" s="325" t="s">
        <v>219</v>
      </c>
      <c r="AK2" s="326" t="s">
        <v>220</v>
      </c>
      <c r="AL2" s="328" t="s">
        <v>221</v>
      </c>
      <c r="AM2" s="323" t="s">
        <v>217</v>
      </c>
      <c r="AN2" s="324" t="s">
        <v>218</v>
      </c>
      <c r="AO2" s="325" t="s">
        <v>219</v>
      </c>
      <c r="AP2" s="326" t="s">
        <v>220</v>
      </c>
      <c r="AQ2" s="328" t="s">
        <v>221</v>
      </c>
      <c r="AR2" s="323" t="s">
        <v>217</v>
      </c>
      <c r="AS2" s="324" t="s">
        <v>218</v>
      </c>
      <c r="AT2" s="325" t="s">
        <v>219</v>
      </c>
      <c r="AU2" s="326" t="s">
        <v>220</v>
      </c>
      <c r="AV2" s="328" t="s">
        <v>221</v>
      </c>
      <c r="AW2" s="323" t="s">
        <v>217</v>
      </c>
      <c r="AX2" s="324" t="s">
        <v>218</v>
      </c>
      <c r="AY2" s="325" t="s">
        <v>219</v>
      </c>
      <c r="AZ2" s="326" t="s">
        <v>220</v>
      </c>
      <c r="BA2" s="328" t="s">
        <v>221</v>
      </c>
      <c r="BB2" s="323" t="s">
        <v>217</v>
      </c>
      <c r="BC2" s="324" t="s">
        <v>218</v>
      </c>
      <c r="BD2" s="325" t="s">
        <v>219</v>
      </c>
      <c r="BE2" s="326" t="s">
        <v>220</v>
      </c>
      <c r="BF2" s="328" t="s">
        <v>221</v>
      </c>
      <c r="BG2" s="323" t="s">
        <v>217</v>
      </c>
      <c r="BH2" s="324" t="s">
        <v>218</v>
      </c>
      <c r="BI2" s="325" t="s">
        <v>219</v>
      </c>
      <c r="BJ2" s="326" t="s">
        <v>220</v>
      </c>
      <c r="BK2" s="328" t="s">
        <v>221</v>
      </c>
      <c r="BL2" s="323" t="s">
        <v>217</v>
      </c>
      <c r="BM2" s="324" t="s">
        <v>218</v>
      </c>
      <c r="BN2" s="325" t="s">
        <v>219</v>
      </c>
      <c r="BO2" s="326" t="s">
        <v>220</v>
      </c>
      <c r="BP2" s="328" t="s">
        <v>221</v>
      </c>
      <c r="BQ2" s="323" t="s">
        <v>217</v>
      </c>
      <c r="BR2" s="324" t="s">
        <v>218</v>
      </c>
      <c r="BS2" s="325" t="s">
        <v>219</v>
      </c>
      <c r="BT2" s="326" t="s">
        <v>220</v>
      </c>
      <c r="BU2" s="327" t="s">
        <v>221</v>
      </c>
      <c r="BW2" s="323" t="s">
        <v>217</v>
      </c>
      <c r="BX2" s="324" t="s">
        <v>218</v>
      </c>
      <c r="BY2" s="325" t="s">
        <v>219</v>
      </c>
      <c r="BZ2" s="326" t="s">
        <v>220</v>
      </c>
      <c r="CA2" s="327" t="s">
        <v>221</v>
      </c>
    </row>
    <row r="3" spans="1:79" ht="15.75" thickTop="1" x14ac:dyDescent="0.25">
      <c r="B3" s="434" t="s">
        <v>48</v>
      </c>
      <c r="C3" s="290" t="s">
        <v>49</v>
      </c>
      <c r="D3" s="332"/>
      <c r="E3" s="333"/>
      <c r="F3" s="333"/>
      <c r="G3" s="333"/>
      <c r="H3" s="334"/>
      <c r="I3" s="332"/>
      <c r="J3" s="333"/>
      <c r="K3" s="333"/>
      <c r="L3" s="333"/>
      <c r="M3" s="334"/>
      <c r="N3" s="332"/>
      <c r="O3" s="333"/>
      <c r="P3" s="333"/>
      <c r="Q3" s="333"/>
      <c r="R3" s="334"/>
      <c r="S3" s="332"/>
      <c r="T3" s="333"/>
      <c r="U3" s="333"/>
      <c r="V3" s="333"/>
      <c r="W3" s="334"/>
      <c r="X3" s="332"/>
      <c r="Y3" s="333"/>
      <c r="Z3" s="333"/>
      <c r="AA3" s="333"/>
      <c r="AB3" s="334"/>
      <c r="AC3" s="332"/>
      <c r="AD3" s="333"/>
      <c r="AE3" s="333"/>
      <c r="AF3" s="333"/>
      <c r="AG3" s="334"/>
      <c r="AH3" s="332">
        <v>1</v>
      </c>
      <c r="AI3" s="333"/>
      <c r="AJ3" s="333"/>
      <c r="AK3" s="333"/>
      <c r="AL3" s="334"/>
      <c r="AM3" s="332"/>
      <c r="AN3" s="333"/>
      <c r="AO3" s="333"/>
      <c r="AP3" s="333"/>
      <c r="AQ3" s="334"/>
      <c r="AR3" s="332"/>
      <c r="AS3" s="333"/>
      <c r="AT3" s="333"/>
      <c r="AU3" s="333"/>
      <c r="AV3" s="334"/>
      <c r="AW3" s="332"/>
      <c r="AX3" s="333"/>
      <c r="AY3" s="333"/>
      <c r="AZ3" s="333"/>
      <c r="BA3" s="334"/>
      <c r="BB3" s="332"/>
      <c r="BC3" s="333"/>
      <c r="BD3" s="333"/>
      <c r="BE3" s="333"/>
      <c r="BF3" s="334"/>
      <c r="BG3" s="332"/>
      <c r="BH3" s="333"/>
      <c r="BI3" s="333"/>
      <c r="BJ3" s="333"/>
      <c r="BK3" s="334"/>
      <c r="BL3" s="332"/>
      <c r="BM3" s="333"/>
      <c r="BN3" s="333"/>
      <c r="BO3" s="333"/>
      <c r="BP3" s="334"/>
      <c r="BQ3" s="332"/>
      <c r="BR3" s="333"/>
      <c r="BS3" s="333"/>
      <c r="BT3" s="333"/>
      <c r="BU3" s="335"/>
      <c r="BW3" s="233" t="str">
        <f>sum_level("o",'Needs 171007_1810'!D3:BU3)</f>
        <v>1</v>
      </c>
      <c r="BX3" s="234" t="str">
        <f>sum_level("j",'Needs 171007_1810'!D3:BU3)</f>
        <v/>
      </c>
      <c r="BY3" s="234" t="str">
        <f>sum_level("m",'Needs 171007_1810'!D3:BU3)</f>
        <v/>
      </c>
      <c r="BZ3" s="234" t="str">
        <f>sum_level("s",'Needs 171007_1810'!D3:BU3)</f>
        <v/>
      </c>
      <c r="CA3" s="235" t="str">
        <f>sum_level("e",'Needs 171007_1810'!D3:BU3)</f>
        <v/>
      </c>
    </row>
    <row r="4" spans="1:79" x14ac:dyDescent="0.25">
      <c r="B4" s="435"/>
      <c r="C4" s="291" t="s">
        <v>54</v>
      </c>
      <c r="D4" s="336"/>
      <c r="E4" s="337"/>
      <c r="F4" s="337"/>
      <c r="G4" s="337"/>
      <c r="H4" s="338"/>
      <c r="I4" s="336"/>
      <c r="J4" s="337"/>
      <c r="K4" s="337"/>
      <c r="L4" s="337"/>
      <c r="M4" s="338"/>
      <c r="N4" s="336"/>
      <c r="O4" s="337"/>
      <c r="P4" s="337"/>
      <c r="Q4" s="337"/>
      <c r="R4" s="338"/>
      <c r="S4" s="336"/>
      <c r="T4" s="337"/>
      <c r="U4" s="337"/>
      <c r="V4" s="337"/>
      <c r="W4" s="338"/>
      <c r="X4" s="336"/>
      <c r="Y4" s="337"/>
      <c r="Z4" s="337"/>
      <c r="AA4" s="337"/>
      <c r="AB4" s="338"/>
      <c r="AC4" s="336"/>
      <c r="AD4" s="337"/>
      <c r="AE4" s="337"/>
      <c r="AF4" s="337"/>
      <c r="AG4" s="338"/>
      <c r="AH4" s="336"/>
      <c r="AI4" s="337">
        <v>2</v>
      </c>
      <c r="AJ4" s="337"/>
      <c r="AK4" s="337"/>
      <c r="AL4" s="338"/>
      <c r="AM4" s="336"/>
      <c r="AN4" s="337"/>
      <c r="AO4" s="337"/>
      <c r="AP4" s="337"/>
      <c r="AQ4" s="338"/>
      <c r="AR4" s="336"/>
      <c r="AS4" s="337"/>
      <c r="AT4" s="337"/>
      <c r="AU4" s="337"/>
      <c r="AV4" s="338"/>
      <c r="AW4" s="336"/>
      <c r="AX4" s="337"/>
      <c r="AY4" s="337"/>
      <c r="AZ4" s="337"/>
      <c r="BA4" s="338"/>
      <c r="BB4" s="336"/>
      <c r="BC4" s="337"/>
      <c r="BD4" s="337"/>
      <c r="BE4" s="337"/>
      <c r="BF4" s="338"/>
      <c r="BG4" s="336"/>
      <c r="BH4" s="337"/>
      <c r="BI4" s="337"/>
      <c r="BJ4" s="337"/>
      <c r="BK4" s="338"/>
      <c r="BL4" s="336"/>
      <c r="BM4" s="337"/>
      <c r="BN4" s="337"/>
      <c r="BO4" s="337"/>
      <c r="BP4" s="338"/>
      <c r="BQ4" s="336"/>
      <c r="BR4" s="337"/>
      <c r="BS4" s="337"/>
      <c r="BT4" s="337"/>
      <c r="BU4" s="339"/>
      <c r="BW4" s="236" t="str">
        <f>sum_level("o",'Needs 171007_1810'!D4:BU4)</f>
        <v/>
      </c>
      <c r="BX4" s="237" t="str">
        <f>sum_level("j",'Needs 171007_1810'!D4:BU4)</f>
        <v>2</v>
      </c>
      <c r="BY4" s="237" t="str">
        <f>sum_level("m",'Needs 171007_1810'!D4:BU4)</f>
        <v/>
      </c>
      <c r="BZ4" s="237" t="str">
        <f>sum_level("s",'Needs 171007_1810'!D4:BU4)</f>
        <v/>
      </c>
      <c r="CA4" s="238" t="str">
        <f>sum_level("e",'Needs 171007_1810'!D4:BU4)</f>
        <v/>
      </c>
    </row>
    <row r="5" spans="1:79" x14ac:dyDescent="0.25">
      <c r="B5" s="435"/>
      <c r="C5" s="291" t="s">
        <v>51</v>
      </c>
      <c r="D5" s="336"/>
      <c r="E5" s="337"/>
      <c r="F5" s="337"/>
      <c r="G5" s="337"/>
      <c r="H5" s="338"/>
      <c r="I5" s="336"/>
      <c r="J5" s="337"/>
      <c r="K5" s="337"/>
      <c r="L5" s="337"/>
      <c r="M5" s="338"/>
      <c r="N5" s="336"/>
      <c r="O5" s="337"/>
      <c r="P5" s="337"/>
      <c r="Q5" s="337"/>
      <c r="R5" s="338"/>
      <c r="S5" s="336"/>
      <c r="T5" s="337"/>
      <c r="U5" s="337"/>
      <c r="V5" s="337"/>
      <c r="W5" s="338"/>
      <c r="X5" s="336"/>
      <c r="Y5" s="337"/>
      <c r="Z5" s="337"/>
      <c r="AA5" s="337"/>
      <c r="AB5" s="338"/>
      <c r="AC5" s="336"/>
      <c r="AD5" s="337"/>
      <c r="AE5" s="337"/>
      <c r="AF5" s="337"/>
      <c r="AG5" s="338"/>
      <c r="AH5" s="336"/>
      <c r="AI5" s="337"/>
      <c r="AJ5" s="337">
        <v>3</v>
      </c>
      <c r="AK5" s="337"/>
      <c r="AL5" s="338"/>
      <c r="AM5" s="336"/>
      <c r="AN5" s="337"/>
      <c r="AO5" s="337"/>
      <c r="AP5" s="337"/>
      <c r="AQ5" s="338"/>
      <c r="AR5" s="336"/>
      <c r="AS5" s="337"/>
      <c r="AT5" s="337"/>
      <c r="AU5" s="337"/>
      <c r="AV5" s="338"/>
      <c r="AW5" s="336"/>
      <c r="AX5" s="337"/>
      <c r="AY5" s="337"/>
      <c r="AZ5" s="337"/>
      <c r="BA5" s="338"/>
      <c r="BB5" s="336"/>
      <c r="BC5" s="337"/>
      <c r="BD5" s="337"/>
      <c r="BE5" s="337"/>
      <c r="BF5" s="338"/>
      <c r="BG5" s="336"/>
      <c r="BH5" s="337"/>
      <c r="BI5" s="337"/>
      <c r="BJ5" s="337"/>
      <c r="BK5" s="338"/>
      <c r="BL5" s="336"/>
      <c r="BM5" s="337"/>
      <c r="BN5" s="337"/>
      <c r="BO5" s="337"/>
      <c r="BP5" s="338"/>
      <c r="BQ5" s="336"/>
      <c r="BR5" s="337"/>
      <c r="BS5" s="337"/>
      <c r="BT5" s="337"/>
      <c r="BU5" s="339"/>
      <c r="BW5" s="236" t="str">
        <f>sum_level("o",'Needs 171007_1810'!D5:BU5)</f>
        <v/>
      </c>
      <c r="BX5" s="237" t="str">
        <f>sum_level("j",'Needs 171007_1810'!D5:BU5)</f>
        <v/>
      </c>
      <c r="BY5" s="237" t="str">
        <f>sum_level("m",'Needs 171007_1810'!D5:BU5)</f>
        <v>3</v>
      </c>
      <c r="BZ5" s="237" t="str">
        <f>sum_level("s",'Needs 171007_1810'!D5:BU5)</f>
        <v/>
      </c>
      <c r="CA5" s="238" t="str">
        <f>sum_level("e",'Needs 171007_1810'!D5:BU5)</f>
        <v/>
      </c>
    </row>
    <row r="6" spans="1:79" x14ac:dyDescent="0.25">
      <c r="B6" s="435"/>
      <c r="C6" s="291" t="s">
        <v>52</v>
      </c>
      <c r="D6" s="336"/>
      <c r="E6" s="337"/>
      <c r="F6" s="337"/>
      <c r="G6" s="337"/>
      <c r="H6" s="338"/>
      <c r="I6" s="336"/>
      <c r="J6" s="337"/>
      <c r="K6" s="337"/>
      <c r="L6" s="337"/>
      <c r="M6" s="338"/>
      <c r="N6" s="336"/>
      <c r="O6" s="337"/>
      <c r="P6" s="337"/>
      <c r="Q6" s="337"/>
      <c r="R6" s="338"/>
      <c r="S6" s="336"/>
      <c r="T6" s="337"/>
      <c r="U6" s="337"/>
      <c r="V6" s="337"/>
      <c r="W6" s="338"/>
      <c r="X6" s="336"/>
      <c r="Y6" s="337"/>
      <c r="Z6" s="337"/>
      <c r="AA6" s="337"/>
      <c r="AB6" s="338"/>
      <c r="AC6" s="336"/>
      <c r="AD6" s="337"/>
      <c r="AE6" s="337"/>
      <c r="AF6" s="337"/>
      <c r="AG6" s="338"/>
      <c r="AH6" s="336"/>
      <c r="AI6" s="337"/>
      <c r="AJ6" s="337"/>
      <c r="AK6" s="337">
        <v>4</v>
      </c>
      <c r="AL6" s="338"/>
      <c r="AM6" s="336"/>
      <c r="AN6" s="337"/>
      <c r="AO6" s="337"/>
      <c r="AP6" s="337"/>
      <c r="AQ6" s="338"/>
      <c r="AR6" s="336"/>
      <c r="AS6" s="337"/>
      <c r="AT6" s="337"/>
      <c r="AU6" s="337"/>
      <c r="AV6" s="338"/>
      <c r="AW6" s="336"/>
      <c r="AX6" s="337"/>
      <c r="AY6" s="337"/>
      <c r="AZ6" s="337"/>
      <c r="BA6" s="338"/>
      <c r="BB6" s="336"/>
      <c r="BC6" s="337"/>
      <c r="BD6" s="337"/>
      <c r="BE6" s="337"/>
      <c r="BF6" s="338"/>
      <c r="BG6" s="336"/>
      <c r="BH6" s="337"/>
      <c r="BI6" s="337"/>
      <c r="BJ6" s="337"/>
      <c r="BK6" s="338"/>
      <c r="BL6" s="336"/>
      <c r="BM6" s="337"/>
      <c r="BN6" s="337"/>
      <c r="BO6" s="337"/>
      <c r="BP6" s="338"/>
      <c r="BQ6" s="336"/>
      <c r="BR6" s="337"/>
      <c r="BS6" s="337"/>
      <c r="BT6" s="337"/>
      <c r="BU6" s="339"/>
      <c r="BW6" s="236" t="str">
        <f>sum_level("o",'Needs 171007_1810'!D6:BU6)</f>
        <v/>
      </c>
      <c r="BX6" s="237" t="str">
        <f>sum_level("j",'Needs 171007_1810'!D6:BU6)</f>
        <v/>
      </c>
      <c r="BY6" s="237" t="str">
        <f>sum_level("m",'Needs 171007_1810'!D6:BU6)</f>
        <v/>
      </c>
      <c r="BZ6" s="237" t="str">
        <f>sum_level("s",'Needs 171007_1810'!D6:BU6)</f>
        <v>4</v>
      </c>
      <c r="CA6" s="238" t="str">
        <f>sum_level("e",'Needs 171007_1810'!D6:BU6)</f>
        <v/>
      </c>
    </row>
    <row r="7" spans="1:79" x14ac:dyDescent="0.25">
      <c r="B7" s="435"/>
      <c r="C7" s="291" t="s">
        <v>53</v>
      </c>
      <c r="D7" s="336"/>
      <c r="E7" s="337"/>
      <c r="F7" s="337"/>
      <c r="G7" s="337"/>
      <c r="H7" s="338"/>
      <c r="I7" s="336"/>
      <c r="J7" s="337"/>
      <c r="K7" s="337"/>
      <c r="L7" s="337"/>
      <c r="M7" s="338"/>
      <c r="N7" s="336"/>
      <c r="O7" s="337"/>
      <c r="P7" s="337"/>
      <c r="Q7" s="337"/>
      <c r="R7" s="338"/>
      <c r="S7" s="336"/>
      <c r="T7" s="337"/>
      <c r="U7" s="337"/>
      <c r="V7" s="337"/>
      <c r="W7" s="338"/>
      <c r="X7" s="336"/>
      <c r="Y7" s="337"/>
      <c r="Z7" s="337"/>
      <c r="AA7" s="337"/>
      <c r="AB7" s="338"/>
      <c r="AC7" s="336"/>
      <c r="AD7" s="337"/>
      <c r="AE7" s="337"/>
      <c r="AF7" s="337"/>
      <c r="AG7" s="338"/>
      <c r="AH7" s="336"/>
      <c r="AI7" s="337"/>
      <c r="AJ7" s="337"/>
      <c r="AK7" s="337"/>
      <c r="AL7" s="338">
        <v>5</v>
      </c>
      <c r="AM7" s="336"/>
      <c r="AN7" s="337"/>
      <c r="AO7" s="337"/>
      <c r="AP7" s="337"/>
      <c r="AQ7" s="338"/>
      <c r="AR7" s="336"/>
      <c r="AS7" s="337"/>
      <c r="AT7" s="337"/>
      <c r="AU7" s="337"/>
      <c r="AV7" s="338"/>
      <c r="AW7" s="336"/>
      <c r="AX7" s="337"/>
      <c r="AY7" s="337"/>
      <c r="AZ7" s="337"/>
      <c r="BA7" s="338"/>
      <c r="BB7" s="336"/>
      <c r="BC7" s="337"/>
      <c r="BD7" s="337"/>
      <c r="BE7" s="337"/>
      <c r="BF7" s="338"/>
      <c r="BG7" s="336"/>
      <c r="BH7" s="337"/>
      <c r="BI7" s="337"/>
      <c r="BJ7" s="337"/>
      <c r="BK7" s="338"/>
      <c r="BL7" s="336"/>
      <c r="BM7" s="337"/>
      <c r="BN7" s="337"/>
      <c r="BO7" s="337"/>
      <c r="BP7" s="338"/>
      <c r="BQ7" s="336"/>
      <c r="BR7" s="337"/>
      <c r="BS7" s="337"/>
      <c r="BT7" s="337"/>
      <c r="BU7" s="339"/>
      <c r="BW7" s="236" t="str">
        <f>sum_level("o",'Needs 171007_1810'!D7:BU7)</f>
        <v/>
      </c>
      <c r="BX7" s="237" t="str">
        <f>sum_level("j",'Needs 171007_1810'!D7:BU7)</f>
        <v/>
      </c>
      <c r="BY7" s="237" t="str">
        <f>sum_level("m",'Needs 171007_1810'!D7:BU7)</f>
        <v/>
      </c>
      <c r="BZ7" s="237" t="str">
        <f>sum_level("s",'Needs 171007_1810'!D7:BU7)</f>
        <v/>
      </c>
      <c r="CA7" s="238" t="str">
        <f>sum_level("e",'Needs 171007_1810'!D7:BU7)</f>
        <v>5</v>
      </c>
    </row>
    <row r="8" spans="1:79" x14ac:dyDescent="0.25">
      <c r="B8" s="435"/>
      <c r="C8" s="291" t="s">
        <v>50</v>
      </c>
      <c r="D8" s="336"/>
      <c r="E8" s="337"/>
      <c r="F8" s="337"/>
      <c r="G8" s="337"/>
      <c r="H8" s="338"/>
      <c r="I8" s="336"/>
      <c r="J8" s="337"/>
      <c r="K8" s="337"/>
      <c r="L8" s="337"/>
      <c r="M8" s="338"/>
      <c r="N8" s="336"/>
      <c r="O8" s="337"/>
      <c r="P8" s="337"/>
      <c r="Q8" s="337"/>
      <c r="R8" s="338"/>
      <c r="S8" s="336"/>
      <c r="T8" s="337"/>
      <c r="U8" s="337"/>
      <c r="V8" s="337"/>
      <c r="W8" s="338"/>
      <c r="X8" s="336"/>
      <c r="Y8" s="337"/>
      <c r="Z8" s="337"/>
      <c r="AA8" s="337"/>
      <c r="AB8" s="338"/>
      <c r="AC8" s="336"/>
      <c r="AD8" s="337"/>
      <c r="AE8" s="337"/>
      <c r="AF8" s="337"/>
      <c r="AG8" s="338"/>
      <c r="AH8" s="336"/>
      <c r="AI8" s="337"/>
      <c r="AJ8" s="337"/>
      <c r="AK8" s="337"/>
      <c r="AL8" s="338"/>
      <c r="AM8" s="336"/>
      <c r="AN8" s="337"/>
      <c r="AO8" s="337"/>
      <c r="AP8" s="337"/>
      <c r="AQ8" s="338"/>
      <c r="AR8" s="336"/>
      <c r="AS8" s="337"/>
      <c r="AT8" s="337"/>
      <c r="AU8" s="337"/>
      <c r="AV8" s="338"/>
      <c r="AW8" s="336"/>
      <c r="AX8" s="337"/>
      <c r="AY8" s="337"/>
      <c r="AZ8" s="337"/>
      <c r="BA8" s="338"/>
      <c r="BB8" s="336"/>
      <c r="BC8" s="337"/>
      <c r="BD8" s="337"/>
      <c r="BE8" s="337"/>
      <c r="BF8" s="338"/>
      <c r="BG8" s="336"/>
      <c r="BH8" s="337"/>
      <c r="BI8" s="337"/>
      <c r="BJ8" s="337"/>
      <c r="BK8" s="338"/>
      <c r="BL8" s="336"/>
      <c r="BM8" s="337"/>
      <c r="BN8" s="337"/>
      <c r="BO8" s="337"/>
      <c r="BP8" s="338"/>
      <c r="BQ8" s="336"/>
      <c r="BR8" s="337"/>
      <c r="BS8" s="337"/>
      <c r="BT8" s="337"/>
      <c r="BU8" s="339"/>
      <c r="BW8" s="236" t="str">
        <f>sum_level("o",'Needs 171007_1810'!D8:BU8)</f>
        <v/>
      </c>
      <c r="BX8" s="237" t="str">
        <f>sum_level("j",'Needs 171007_1810'!D8:BU8)</f>
        <v/>
      </c>
      <c r="BY8" s="237" t="str">
        <f>sum_level("m",'Needs 171007_1810'!D8:BU8)</f>
        <v/>
      </c>
      <c r="BZ8" s="237" t="str">
        <f>sum_level("s",'Needs 171007_1810'!D8:BU8)</f>
        <v/>
      </c>
      <c r="CA8" s="238" t="str">
        <f>sum_level("e",'Needs 171007_1810'!D8:BU8)</f>
        <v/>
      </c>
    </row>
    <row r="9" spans="1:79" x14ac:dyDescent="0.25">
      <c r="B9" s="435"/>
      <c r="C9" s="291" t="s">
        <v>55</v>
      </c>
      <c r="D9" s="336"/>
      <c r="E9" s="337"/>
      <c r="F9" s="337"/>
      <c r="G9" s="337"/>
      <c r="H9" s="338"/>
      <c r="I9" s="336"/>
      <c r="J9" s="337"/>
      <c r="K9" s="337"/>
      <c r="L9" s="337"/>
      <c r="M9" s="338"/>
      <c r="N9" s="336"/>
      <c r="O9" s="337"/>
      <c r="P9" s="337"/>
      <c r="Q9" s="337"/>
      <c r="R9" s="338"/>
      <c r="S9" s="336"/>
      <c r="T9" s="337"/>
      <c r="U9" s="337"/>
      <c r="V9" s="337"/>
      <c r="W9" s="338"/>
      <c r="X9" s="336"/>
      <c r="Y9" s="337"/>
      <c r="Z9" s="337"/>
      <c r="AA9" s="337"/>
      <c r="AB9" s="338"/>
      <c r="AC9" s="336"/>
      <c r="AD9" s="337"/>
      <c r="AE9" s="337"/>
      <c r="AF9" s="337"/>
      <c r="AG9" s="338"/>
      <c r="AH9" s="336"/>
      <c r="AI9" s="337"/>
      <c r="AJ9" s="337"/>
      <c r="AK9" s="337"/>
      <c r="AL9" s="338"/>
      <c r="AM9" s="336">
        <v>6</v>
      </c>
      <c r="AN9" s="337"/>
      <c r="AO9" s="337"/>
      <c r="AP9" s="337"/>
      <c r="AQ9" s="338"/>
      <c r="AR9" s="336"/>
      <c r="AS9" s="337"/>
      <c r="AT9" s="337"/>
      <c r="AU9" s="337"/>
      <c r="AV9" s="338"/>
      <c r="AW9" s="336"/>
      <c r="AX9" s="337"/>
      <c r="AY9" s="337"/>
      <c r="AZ9" s="337"/>
      <c r="BA9" s="338"/>
      <c r="BB9" s="336"/>
      <c r="BC9" s="337"/>
      <c r="BD9" s="337"/>
      <c r="BE9" s="337"/>
      <c r="BF9" s="338"/>
      <c r="BG9" s="336"/>
      <c r="BH9" s="337"/>
      <c r="BI9" s="337"/>
      <c r="BJ9" s="337"/>
      <c r="BK9" s="338"/>
      <c r="BL9" s="336"/>
      <c r="BM9" s="337"/>
      <c r="BN9" s="337"/>
      <c r="BO9" s="337"/>
      <c r="BP9" s="338"/>
      <c r="BQ9" s="336"/>
      <c r="BR9" s="337"/>
      <c r="BS9" s="337"/>
      <c r="BT9" s="337"/>
      <c r="BU9" s="339"/>
      <c r="BW9" s="236" t="str">
        <f>sum_level("o",'Needs 171007_1810'!D9:BU9)</f>
        <v>6</v>
      </c>
      <c r="BX9" s="237" t="str">
        <f>sum_level("j",'Needs 171007_1810'!D9:BU9)</f>
        <v/>
      </c>
      <c r="BY9" s="237" t="str">
        <f>sum_level("m",'Needs 171007_1810'!D9:BU9)</f>
        <v/>
      </c>
      <c r="BZ9" s="237" t="str">
        <f>sum_level("s",'Needs 171007_1810'!D9:BU9)</f>
        <v/>
      </c>
      <c r="CA9" s="238" t="str">
        <f>sum_level("e",'Needs 171007_1810'!D9:BU9)</f>
        <v/>
      </c>
    </row>
    <row r="10" spans="1:79" x14ac:dyDescent="0.25">
      <c r="B10" s="435"/>
      <c r="C10" s="291" t="s">
        <v>56</v>
      </c>
      <c r="D10" s="336"/>
      <c r="E10" s="337"/>
      <c r="F10" s="337"/>
      <c r="G10" s="337"/>
      <c r="H10" s="338"/>
      <c r="I10" s="336"/>
      <c r="J10" s="337"/>
      <c r="K10" s="337"/>
      <c r="L10" s="337"/>
      <c r="M10" s="338"/>
      <c r="N10" s="336"/>
      <c r="O10" s="337"/>
      <c r="P10" s="337"/>
      <c r="Q10" s="337"/>
      <c r="R10" s="338"/>
      <c r="S10" s="336"/>
      <c r="T10" s="337"/>
      <c r="U10" s="337"/>
      <c r="V10" s="337"/>
      <c r="W10" s="338"/>
      <c r="X10" s="336"/>
      <c r="Y10" s="337"/>
      <c r="Z10" s="337"/>
      <c r="AA10" s="337"/>
      <c r="AB10" s="338"/>
      <c r="AC10" s="336"/>
      <c r="AD10" s="337"/>
      <c r="AE10" s="337"/>
      <c r="AF10" s="337"/>
      <c r="AG10" s="338"/>
      <c r="AH10" s="336"/>
      <c r="AI10" s="337"/>
      <c r="AJ10" s="337"/>
      <c r="AK10" s="337"/>
      <c r="AL10" s="338"/>
      <c r="AM10" s="336"/>
      <c r="AN10" s="337">
        <v>7</v>
      </c>
      <c r="AO10" s="337"/>
      <c r="AP10" s="337"/>
      <c r="AQ10" s="338"/>
      <c r="AR10" s="336"/>
      <c r="AS10" s="337"/>
      <c r="AT10" s="337"/>
      <c r="AU10" s="337"/>
      <c r="AV10" s="338"/>
      <c r="AW10" s="336"/>
      <c r="AX10" s="337"/>
      <c r="AY10" s="337"/>
      <c r="AZ10" s="337"/>
      <c r="BA10" s="338"/>
      <c r="BB10" s="336"/>
      <c r="BC10" s="337"/>
      <c r="BD10" s="337"/>
      <c r="BE10" s="337"/>
      <c r="BF10" s="338"/>
      <c r="BG10" s="336"/>
      <c r="BH10" s="337"/>
      <c r="BI10" s="337"/>
      <c r="BJ10" s="337"/>
      <c r="BK10" s="338"/>
      <c r="BL10" s="336"/>
      <c r="BM10" s="337"/>
      <c r="BN10" s="337"/>
      <c r="BO10" s="337"/>
      <c r="BP10" s="338"/>
      <c r="BQ10" s="336"/>
      <c r="BR10" s="337"/>
      <c r="BS10" s="337"/>
      <c r="BT10" s="337"/>
      <c r="BU10" s="339"/>
      <c r="BW10" s="236" t="str">
        <f>sum_level("o",'Needs 171007_1810'!D10:BU10)</f>
        <v/>
      </c>
      <c r="BX10" s="237" t="str">
        <f>sum_level("j",'Needs 171007_1810'!D10:BU10)</f>
        <v>7</v>
      </c>
      <c r="BY10" s="237" t="str">
        <f>sum_level("m",'Needs 171007_1810'!D10:BU10)</f>
        <v/>
      </c>
      <c r="BZ10" s="237" t="str">
        <f>sum_level("s",'Needs 171007_1810'!D10:BU10)</f>
        <v/>
      </c>
      <c r="CA10" s="238" t="str">
        <f>sum_level("e",'Needs 171007_1810'!D10:BU10)</f>
        <v/>
      </c>
    </row>
    <row r="11" spans="1:79" x14ac:dyDescent="0.25">
      <c r="B11" s="435"/>
      <c r="C11" s="291" t="s">
        <v>57</v>
      </c>
      <c r="D11" s="336"/>
      <c r="E11" s="337"/>
      <c r="F11" s="337"/>
      <c r="G11" s="337"/>
      <c r="H11" s="338"/>
      <c r="I11" s="336"/>
      <c r="J11" s="337"/>
      <c r="K11" s="337"/>
      <c r="L11" s="337"/>
      <c r="M11" s="338"/>
      <c r="N11" s="336"/>
      <c r="O11" s="337"/>
      <c r="P11" s="337"/>
      <c r="Q11" s="337"/>
      <c r="R11" s="338"/>
      <c r="S11" s="336"/>
      <c r="T11" s="337"/>
      <c r="U11" s="337"/>
      <c r="V11" s="337"/>
      <c r="W11" s="338"/>
      <c r="X11" s="336"/>
      <c r="Y11" s="337"/>
      <c r="Z11" s="337"/>
      <c r="AA11" s="337"/>
      <c r="AB11" s="338"/>
      <c r="AC11" s="336"/>
      <c r="AD11" s="337"/>
      <c r="AE11" s="337"/>
      <c r="AF11" s="337"/>
      <c r="AG11" s="338"/>
      <c r="AH11" s="336"/>
      <c r="AI11" s="337"/>
      <c r="AJ11" s="337"/>
      <c r="AK11" s="337"/>
      <c r="AL11" s="338"/>
      <c r="AM11" s="336"/>
      <c r="AN11" s="337"/>
      <c r="AO11" s="337">
        <v>8</v>
      </c>
      <c r="AP11" s="337"/>
      <c r="AQ11" s="338"/>
      <c r="AR11" s="336"/>
      <c r="AS11" s="337"/>
      <c r="AT11" s="337"/>
      <c r="AU11" s="337"/>
      <c r="AV11" s="338"/>
      <c r="AW11" s="336"/>
      <c r="AX11" s="337"/>
      <c r="AY11" s="337"/>
      <c r="AZ11" s="337"/>
      <c r="BA11" s="338"/>
      <c r="BB11" s="336"/>
      <c r="BC11" s="337"/>
      <c r="BD11" s="337"/>
      <c r="BE11" s="337"/>
      <c r="BF11" s="338"/>
      <c r="BG11" s="336"/>
      <c r="BH11" s="337"/>
      <c r="BI11" s="337"/>
      <c r="BJ11" s="337"/>
      <c r="BK11" s="338"/>
      <c r="BL11" s="336"/>
      <c r="BM11" s="337"/>
      <c r="BN11" s="337"/>
      <c r="BO11" s="337"/>
      <c r="BP11" s="338"/>
      <c r="BQ11" s="336"/>
      <c r="BR11" s="337"/>
      <c r="BS11" s="337"/>
      <c r="BT11" s="337"/>
      <c r="BU11" s="339"/>
      <c r="BW11" s="236" t="str">
        <f>sum_level("o",'Needs 171007_1810'!D11:BU11)</f>
        <v/>
      </c>
      <c r="BX11" s="237" t="str">
        <f>sum_level("j",'Needs 171007_1810'!D11:BU11)</f>
        <v/>
      </c>
      <c r="BY11" s="237" t="str">
        <f>sum_level("m",'Needs 171007_1810'!D11:BU11)</f>
        <v>8</v>
      </c>
      <c r="BZ11" s="237" t="str">
        <f>sum_level("s",'Needs 171007_1810'!D11:BU11)</f>
        <v/>
      </c>
      <c r="CA11" s="238" t="str">
        <f>sum_level("e",'Needs 171007_1810'!D11:BU11)</f>
        <v/>
      </c>
    </row>
    <row r="12" spans="1:79" x14ac:dyDescent="0.25">
      <c r="B12" s="435"/>
      <c r="C12" s="291" t="s">
        <v>58</v>
      </c>
      <c r="D12" s="336"/>
      <c r="E12" s="337"/>
      <c r="F12" s="337"/>
      <c r="G12" s="337"/>
      <c r="H12" s="338"/>
      <c r="I12" s="336"/>
      <c r="J12" s="337"/>
      <c r="K12" s="337"/>
      <c r="L12" s="337"/>
      <c r="M12" s="338"/>
      <c r="N12" s="336"/>
      <c r="O12" s="337"/>
      <c r="P12" s="337"/>
      <c r="Q12" s="337"/>
      <c r="R12" s="338"/>
      <c r="S12" s="336"/>
      <c r="T12" s="337"/>
      <c r="U12" s="337"/>
      <c r="V12" s="337"/>
      <c r="W12" s="338"/>
      <c r="X12" s="336"/>
      <c r="Y12" s="337"/>
      <c r="Z12" s="337"/>
      <c r="AA12" s="337"/>
      <c r="AB12" s="338"/>
      <c r="AC12" s="336"/>
      <c r="AD12" s="337"/>
      <c r="AE12" s="337"/>
      <c r="AF12" s="337"/>
      <c r="AG12" s="338"/>
      <c r="AH12" s="336"/>
      <c r="AI12" s="337"/>
      <c r="AJ12" s="337"/>
      <c r="AK12" s="337"/>
      <c r="AL12" s="338"/>
      <c r="AM12" s="336"/>
      <c r="AN12" s="337"/>
      <c r="AO12" s="337"/>
      <c r="AP12" s="337">
        <v>9</v>
      </c>
      <c r="AQ12" s="338"/>
      <c r="AR12" s="336"/>
      <c r="AS12" s="337"/>
      <c r="AT12" s="337"/>
      <c r="AU12" s="337"/>
      <c r="AV12" s="338"/>
      <c r="AW12" s="336"/>
      <c r="AX12" s="337"/>
      <c r="AY12" s="337"/>
      <c r="AZ12" s="337"/>
      <c r="BA12" s="338"/>
      <c r="BB12" s="336"/>
      <c r="BC12" s="337"/>
      <c r="BD12" s="337"/>
      <c r="BE12" s="337"/>
      <c r="BF12" s="338"/>
      <c r="BG12" s="336"/>
      <c r="BH12" s="337"/>
      <c r="BI12" s="337"/>
      <c r="BJ12" s="337"/>
      <c r="BK12" s="338"/>
      <c r="BL12" s="336"/>
      <c r="BM12" s="337"/>
      <c r="BN12" s="337"/>
      <c r="BO12" s="337"/>
      <c r="BP12" s="338"/>
      <c r="BQ12" s="336"/>
      <c r="BR12" s="337"/>
      <c r="BS12" s="337"/>
      <c r="BT12" s="337"/>
      <c r="BU12" s="339"/>
      <c r="BW12" s="236" t="str">
        <f>sum_level("o",'Needs 171007_1810'!D12:BU12)</f>
        <v/>
      </c>
      <c r="BX12" s="237" t="str">
        <f>sum_level("j",'Needs 171007_1810'!D12:BU12)</f>
        <v/>
      </c>
      <c r="BY12" s="237" t="str">
        <f>sum_level("m",'Needs 171007_1810'!D12:BU12)</f>
        <v/>
      </c>
      <c r="BZ12" s="237" t="str">
        <f>sum_level("s",'Needs 171007_1810'!D12:BU12)</f>
        <v>9</v>
      </c>
      <c r="CA12" s="238" t="str">
        <f>sum_level("e",'Needs 171007_1810'!D12:BU12)</f>
        <v/>
      </c>
    </row>
    <row r="13" spans="1:79" x14ac:dyDescent="0.25">
      <c r="B13" s="435"/>
      <c r="C13" s="291" t="s">
        <v>59</v>
      </c>
      <c r="D13" s="336"/>
      <c r="E13" s="337"/>
      <c r="F13" s="337"/>
      <c r="G13" s="337"/>
      <c r="H13" s="338"/>
      <c r="I13" s="336"/>
      <c r="J13" s="337"/>
      <c r="K13" s="337"/>
      <c r="L13" s="337"/>
      <c r="M13" s="338"/>
      <c r="N13" s="336"/>
      <c r="O13" s="337"/>
      <c r="P13" s="337"/>
      <c r="Q13" s="337"/>
      <c r="R13" s="338"/>
      <c r="S13" s="336"/>
      <c r="T13" s="337"/>
      <c r="U13" s="337"/>
      <c r="V13" s="337"/>
      <c r="W13" s="338"/>
      <c r="X13" s="336"/>
      <c r="Y13" s="337"/>
      <c r="Z13" s="337"/>
      <c r="AA13" s="337"/>
      <c r="AB13" s="338"/>
      <c r="AC13" s="336"/>
      <c r="AD13" s="337"/>
      <c r="AE13" s="337"/>
      <c r="AF13" s="337"/>
      <c r="AG13" s="338"/>
      <c r="AH13" s="336"/>
      <c r="AI13" s="337"/>
      <c r="AJ13" s="337"/>
      <c r="AK13" s="337"/>
      <c r="AL13" s="338"/>
      <c r="AM13" s="336"/>
      <c r="AN13" s="337"/>
      <c r="AO13" s="337"/>
      <c r="AP13" s="337"/>
      <c r="AQ13" s="338">
        <v>10</v>
      </c>
      <c r="AR13" s="336"/>
      <c r="AS13" s="337"/>
      <c r="AT13" s="337"/>
      <c r="AU13" s="337"/>
      <c r="AV13" s="338"/>
      <c r="AW13" s="336"/>
      <c r="AX13" s="337"/>
      <c r="AY13" s="337"/>
      <c r="AZ13" s="337"/>
      <c r="BA13" s="338"/>
      <c r="BB13" s="336"/>
      <c r="BC13" s="337"/>
      <c r="BD13" s="337"/>
      <c r="BE13" s="337"/>
      <c r="BF13" s="338"/>
      <c r="BG13" s="336"/>
      <c r="BH13" s="337"/>
      <c r="BI13" s="337"/>
      <c r="BJ13" s="337"/>
      <c r="BK13" s="338"/>
      <c r="BL13" s="336"/>
      <c r="BM13" s="337"/>
      <c r="BN13" s="337"/>
      <c r="BO13" s="337"/>
      <c r="BP13" s="338"/>
      <c r="BQ13" s="336"/>
      <c r="BR13" s="337"/>
      <c r="BS13" s="337"/>
      <c r="BT13" s="337"/>
      <c r="BU13" s="339"/>
      <c r="BW13" s="236" t="str">
        <f>sum_level("o",'Needs 171007_1810'!D13:BU13)</f>
        <v/>
      </c>
      <c r="BX13" s="237" t="str">
        <f>sum_level("j",'Needs 171007_1810'!D13:BU13)</f>
        <v/>
      </c>
      <c r="BY13" s="237" t="str">
        <f>sum_level("m",'Needs 171007_1810'!D13:BU13)</f>
        <v/>
      </c>
      <c r="BZ13" s="237" t="str">
        <f>sum_level("s",'Needs 171007_1810'!D13:BU13)</f>
        <v/>
      </c>
      <c r="CA13" s="238" t="str">
        <f>sum_level("e",'Needs 171007_1810'!D13:BU13)</f>
        <v>10</v>
      </c>
    </row>
    <row r="14" spans="1:79" x14ac:dyDescent="0.25">
      <c r="B14" s="435"/>
      <c r="C14" s="291" t="s">
        <v>60</v>
      </c>
      <c r="D14" s="336"/>
      <c r="E14" s="337"/>
      <c r="F14" s="337"/>
      <c r="G14" s="337"/>
      <c r="H14" s="338"/>
      <c r="I14" s="336"/>
      <c r="J14" s="337"/>
      <c r="K14" s="337"/>
      <c r="L14" s="337"/>
      <c r="M14" s="338"/>
      <c r="N14" s="336"/>
      <c r="O14" s="337"/>
      <c r="P14" s="337"/>
      <c r="Q14" s="337"/>
      <c r="R14" s="338"/>
      <c r="S14" s="336"/>
      <c r="T14" s="337"/>
      <c r="U14" s="337"/>
      <c r="V14" s="337"/>
      <c r="W14" s="338"/>
      <c r="X14" s="336"/>
      <c r="Y14" s="337"/>
      <c r="Z14" s="337"/>
      <c r="AA14" s="337"/>
      <c r="AB14" s="338"/>
      <c r="AC14" s="336"/>
      <c r="AD14" s="337"/>
      <c r="AE14" s="337"/>
      <c r="AF14" s="337"/>
      <c r="AG14" s="338"/>
      <c r="AH14" s="336"/>
      <c r="AI14" s="337"/>
      <c r="AJ14" s="337"/>
      <c r="AK14" s="337"/>
      <c r="AL14" s="338"/>
      <c r="AM14" s="336"/>
      <c r="AN14" s="337"/>
      <c r="AO14" s="337"/>
      <c r="AP14" s="337"/>
      <c r="AQ14" s="338"/>
      <c r="AR14" s="336"/>
      <c r="AS14" s="337"/>
      <c r="AT14" s="337"/>
      <c r="AU14" s="337"/>
      <c r="AV14" s="338"/>
      <c r="AW14" s="336"/>
      <c r="AX14" s="337"/>
      <c r="AY14" s="337"/>
      <c r="AZ14" s="337"/>
      <c r="BA14" s="338"/>
      <c r="BB14" s="336"/>
      <c r="BC14" s="337"/>
      <c r="BD14" s="337"/>
      <c r="BE14" s="337"/>
      <c r="BF14" s="338"/>
      <c r="BG14" s="336"/>
      <c r="BH14" s="337"/>
      <c r="BI14" s="337"/>
      <c r="BJ14" s="337"/>
      <c r="BK14" s="338"/>
      <c r="BL14" s="336"/>
      <c r="BM14" s="337"/>
      <c r="BN14" s="337"/>
      <c r="BO14" s="337"/>
      <c r="BP14" s="338"/>
      <c r="BQ14" s="336"/>
      <c r="BR14" s="337"/>
      <c r="BS14" s="337"/>
      <c r="BT14" s="337"/>
      <c r="BU14" s="339"/>
      <c r="BW14" s="236" t="str">
        <f>sum_level("o",'Needs 171007_1810'!D14:BU14)</f>
        <v/>
      </c>
      <c r="BX14" s="237" t="str">
        <f>sum_level("j",'Needs 171007_1810'!D14:BU14)</f>
        <v/>
      </c>
      <c r="BY14" s="237" t="str">
        <f>sum_level("m",'Needs 171007_1810'!D14:BU14)</f>
        <v/>
      </c>
      <c r="BZ14" s="237" t="str">
        <f>sum_level("s",'Needs 171007_1810'!D14:BU14)</f>
        <v/>
      </c>
      <c r="CA14" s="238" t="str">
        <f>sum_level("e",'Needs 171007_1810'!D14:BU14)</f>
        <v/>
      </c>
    </row>
    <row r="15" spans="1:79" ht="15.75" thickBot="1" x14ac:dyDescent="0.3">
      <c r="B15" s="435"/>
      <c r="C15" s="292" t="s">
        <v>61</v>
      </c>
      <c r="D15" s="340"/>
      <c r="E15" s="341"/>
      <c r="F15" s="341"/>
      <c r="G15" s="341"/>
      <c r="H15" s="342"/>
      <c r="I15" s="340"/>
      <c r="J15" s="341"/>
      <c r="K15" s="341"/>
      <c r="L15" s="341"/>
      <c r="M15" s="342"/>
      <c r="N15" s="340"/>
      <c r="O15" s="341"/>
      <c r="P15" s="341"/>
      <c r="Q15" s="341"/>
      <c r="R15" s="342"/>
      <c r="S15" s="340"/>
      <c r="T15" s="341"/>
      <c r="U15" s="341"/>
      <c r="V15" s="341"/>
      <c r="W15" s="342"/>
      <c r="X15" s="340"/>
      <c r="Y15" s="341"/>
      <c r="Z15" s="341"/>
      <c r="AA15" s="341"/>
      <c r="AB15" s="342"/>
      <c r="AC15" s="340"/>
      <c r="AD15" s="341"/>
      <c r="AE15" s="341"/>
      <c r="AF15" s="341"/>
      <c r="AG15" s="342"/>
      <c r="AH15" s="340"/>
      <c r="AI15" s="341"/>
      <c r="AJ15" s="341"/>
      <c r="AK15" s="341"/>
      <c r="AL15" s="342"/>
      <c r="AM15" s="340"/>
      <c r="AN15" s="341"/>
      <c r="AO15" s="341"/>
      <c r="AP15" s="341"/>
      <c r="AQ15" s="342"/>
      <c r="AR15" s="340"/>
      <c r="AS15" s="341"/>
      <c r="AT15" s="341"/>
      <c r="AU15" s="341"/>
      <c r="AV15" s="342"/>
      <c r="AW15" s="340"/>
      <c r="AX15" s="341"/>
      <c r="AY15" s="341"/>
      <c r="AZ15" s="341"/>
      <c r="BA15" s="342"/>
      <c r="BB15" s="340"/>
      <c r="BC15" s="341"/>
      <c r="BD15" s="341"/>
      <c r="BE15" s="341"/>
      <c r="BF15" s="342"/>
      <c r="BG15" s="340"/>
      <c r="BH15" s="341"/>
      <c r="BI15" s="341"/>
      <c r="BJ15" s="341"/>
      <c r="BK15" s="342"/>
      <c r="BL15" s="340"/>
      <c r="BM15" s="341"/>
      <c r="BN15" s="341"/>
      <c r="BO15" s="341"/>
      <c r="BP15" s="342"/>
      <c r="BQ15" s="340"/>
      <c r="BR15" s="341"/>
      <c r="BS15" s="341"/>
      <c r="BT15" s="341"/>
      <c r="BU15" s="343"/>
      <c r="BW15" s="239" t="str">
        <f>sum_level("o",'Needs 171007_1810'!D15:BU15)</f>
        <v/>
      </c>
      <c r="BX15" s="240" t="str">
        <f>sum_level("j",'Needs 171007_1810'!D15:BU15)</f>
        <v/>
      </c>
      <c r="BY15" s="240" t="str">
        <f>sum_level("m",'Needs 171007_1810'!D15:BU15)</f>
        <v/>
      </c>
      <c r="BZ15" s="240" t="str">
        <f>sum_level("s",'Needs 171007_1810'!D15:BU15)</f>
        <v/>
      </c>
      <c r="CA15" s="241" t="str">
        <f>sum_level("e",'Needs 171007_1810'!D15:BU15)</f>
        <v/>
      </c>
    </row>
    <row r="16" spans="1:79" ht="12.75" customHeight="1" thickTop="1" thickBot="1" x14ac:dyDescent="0.3">
      <c r="B16" s="436"/>
      <c r="C16" s="248"/>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W16" s="249"/>
      <c r="BX16" s="249"/>
      <c r="BY16" s="249"/>
      <c r="BZ16" s="249"/>
      <c r="CA16" s="249"/>
    </row>
    <row r="17" spans="2:79" ht="15.75" thickTop="1" x14ac:dyDescent="0.25">
      <c r="B17" s="434" t="s">
        <v>62</v>
      </c>
      <c r="C17" s="290" t="s">
        <v>63</v>
      </c>
      <c r="D17" s="332"/>
      <c r="E17" s="333"/>
      <c r="F17" s="333"/>
      <c r="G17" s="333"/>
      <c r="H17" s="334"/>
      <c r="I17" s="332"/>
      <c r="J17" s="333"/>
      <c r="K17" s="333"/>
      <c r="L17" s="333"/>
      <c r="M17" s="334"/>
      <c r="N17" s="332"/>
      <c r="O17" s="333"/>
      <c r="P17" s="333"/>
      <c r="Q17" s="333"/>
      <c r="R17" s="334"/>
      <c r="S17" s="332"/>
      <c r="T17" s="333"/>
      <c r="U17" s="333"/>
      <c r="V17" s="333"/>
      <c r="W17" s="334"/>
      <c r="X17" s="332"/>
      <c r="Y17" s="333"/>
      <c r="Z17" s="333"/>
      <c r="AA17" s="333"/>
      <c r="AB17" s="334"/>
      <c r="AC17" s="332"/>
      <c r="AD17" s="333"/>
      <c r="AE17" s="333"/>
      <c r="AF17" s="333"/>
      <c r="AG17" s="334"/>
      <c r="AH17" s="332"/>
      <c r="AI17" s="333"/>
      <c r="AJ17" s="333"/>
      <c r="AK17" s="333"/>
      <c r="AL17" s="334"/>
      <c r="AM17" s="332"/>
      <c r="AN17" s="333"/>
      <c r="AO17" s="333"/>
      <c r="AP17" s="333"/>
      <c r="AQ17" s="334"/>
      <c r="AR17" s="332">
        <v>11</v>
      </c>
      <c r="AS17" s="333"/>
      <c r="AT17" s="333"/>
      <c r="AU17" s="333"/>
      <c r="AV17" s="334"/>
      <c r="AW17" s="332"/>
      <c r="AX17" s="333"/>
      <c r="AY17" s="333"/>
      <c r="AZ17" s="333"/>
      <c r="BA17" s="334"/>
      <c r="BB17" s="332"/>
      <c r="BC17" s="333"/>
      <c r="BD17" s="333"/>
      <c r="BE17" s="333"/>
      <c r="BF17" s="334"/>
      <c r="BG17" s="332"/>
      <c r="BH17" s="333"/>
      <c r="BI17" s="333"/>
      <c r="BJ17" s="333"/>
      <c r="BK17" s="334"/>
      <c r="BL17" s="332"/>
      <c r="BM17" s="333"/>
      <c r="BN17" s="333"/>
      <c r="BO17" s="333"/>
      <c r="BP17" s="334"/>
      <c r="BQ17" s="332"/>
      <c r="BR17" s="333"/>
      <c r="BS17" s="333"/>
      <c r="BT17" s="333"/>
      <c r="BU17" s="335"/>
      <c r="BW17" s="233" t="str">
        <f>sum_level("o",'Needs 171007_1810'!D17:BU17)</f>
        <v>11</v>
      </c>
      <c r="BX17" s="234" t="str">
        <f>sum_level("j",'Needs 171007_1810'!D17:BU17)</f>
        <v/>
      </c>
      <c r="BY17" s="234" t="str">
        <f>sum_level("m",'Needs 171007_1810'!D17:BU17)</f>
        <v/>
      </c>
      <c r="BZ17" s="234" t="str">
        <f>sum_level("s",'Needs 171007_1810'!D17:BU17)</f>
        <v/>
      </c>
      <c r="CA17" s="235" t="str">
        <f>sum_level("e",'Needs 171007_1810'!D17:BU17)</f>
        <v/>
      </c>
    </row>
    <row r="18" spans="2:79" x14ac:dyDescent="0.25">
      <c r="B18" s="435"/>
      <c r="C18" s="291" t="s">
        <v>118</v>
      </c>
      <c r="D18" s="336"/>
      <c r="E18" s="337"/>
      <c r="F18" s="337"/>
      <c r="G18" s="337"/>
      <c r="H18" s="338"/>
      <c r="I18" s="336"/>
      <c r="J18" s="337"/>
      <c r="K18" s="337"/>
      <c r="L18" s="337"/>
      <c r="M18" s="338"/>
      <c r="N18" s="336"/>
      <c r="O18" s="337"/>
      <c r="P18" s="337"/>
      <c r="Q18" s="337"/>
      <c r="R18" s="338"/>
      <c r="S18" s="336"/>
      <c r="T18" s="337"/>
      <c r="U18" s="337"/>
      <c r="V18" s="337"/>
      <c r="W18" s="338"/>
      <c r="X18" s="336"/>
      <c r="Y18" s="337"/>
      <c r="Z18" s="337"/>
      <c r="AA18" s="337"/>
      <c r="AB18" s="338"/>
      <c r="AC18" s="336"/>
      <c r="AD18" s="337"/>
      <c r="AE18" s="337"/>
      <c r="AF18" s="337"/>
      <c r="AG18" s="338"/>
      <c r="AH18" s="336"/>
      <c r="AI18" s="337"/>
      <c r="AJ18" s="337"/>
      <c r="AK18" s="337"/>
      <c r="AL18" s="338"/>
      <c r="AM18" s="336"/>
      <c r="AN18" s="337"/>
      <c r="AO18" s="337"/>
      <c r="AP18" s="337"/>
      <c r="AQ18" s="338"/>
      <c r="AR18" s="336"/>
      <c r="AS18" s="337">
        <v>12</v>
      </c>
      <c r="AT18" s="337"/>
      <c r="AU18" s="337"/>
      <c r="AV18" s="338"/>
      <c r="AW18" s="336"/>
      <c r="AX18" s="337"/>
      <c r="AY18" s="337"/>
      <c r="AZ18" s="337"/>
      <c r="BA18" s="338"/>
      <c r="BB18" s="336"/>
      <c r="BC18" s="337"/>
      <c r="BD18" s="337"/>
      <c r="BE18" s="337"/>
      <c r="BF18" s="338"/>
      <c r="BG18" s="336"/>
      <c r="BH18" s="337"/>
      <c r="BI18" s="337"/>
      <c r="BJ18" s="337"/>
      <c r="BK18" s="338"/>
      <c r="BL18" s="336"/>
      <c r="BM18" s="337"/>
      <c r="BN18" s="337"/>
      <c r="BO18" s="337"/>
      <c r="BP18" s="338"/>
      <c r="BQ18" s="336"/>
      <c r="BR18" s="337"/>
      <c r="BS18" s="337"/>
      <c r="BT18" s="337"/>
      <c r="BU18" s="339"/>
      <c r="BW18" s="236" t="str">
        <f>sum_level("o",'Needs 171007_1810'!D18:BU18)</f>
        <v/>
      </c>
      <c r="BX18" s="237" t="str">
        <f>sum_level("j",'Needs 171007_1810'!D18:BU18)</f>
        <v>12</v>
      </c>
      <c r="BY18" s="237" t="str">
        <f>sum_level("m",'Needs 171007_1810'!D18:BU18)</f>
        <v/>
      </c>
      <c r="BZ18" s="237" t="str">
        <f>sum_level("s",'Needs 171007_1810'!D18:BU18)</f>
        <v/>
      </c>
      <c r="CA18" s="238" t="str">
        <f>sum_level("e",'Needs 171007_1810'!D18:BU18)</f>
        <v/>
      </c>
    </row>
    <row r="19" spans="2:79" x14ac:dyDescent="0.25">
      <c r="B19" s="435"/>
      <c r="C19" s="291" t="s">
        <v>64</v>
      </c>
      <c r="D19" s="336"/>
      <c r="E19" s="337"/>
      <c r="F19" s="337"/>
      <c r="G19" s="337"/>
      <c r="H19" s="338"/>
      <c r="I19" s="336"/>
      <c r="J19" s="337"/>
      <c r="K19" s="337"/>
      <c r="L19" s="337"/>
      <c r="M19" s="338"/>
      <c r="N19" s="336"/>
      <c r="O19" s="337"/>
      <c r="P19" s="337"/>
      <c r="Q19" s="337"/>
      <c r="R19" s="338"/>
      <c r="S19" s="336"/>
      <c r="T19" s="337"/>
      <c r="U19" s="337"/>
      <c r="V19" s="337"/>
      <c r="W19" s="338"/>
      <c r="X19" s="336"/>
      <c r="Y19" s="337"/>
      <c r="Z19" s="337"/>
      <c r="AA19" s="337"/>
      <c r="AB19" s="338"/>
      <c r="AC19" s="336"/>
      <c r="AD19" s="337"/>
      <c r="AE19" s="337"/>
      <c r="AF19" s="337"/>
      <c r="AG19" s="338"/>
      <c r="AH19" s="336"/>
      <c r="AI19" s="337"/>
      <c r="AJ19" s="337"/>
      <c r="AK19" s="337"/>
      <c r="AL19" s="338"/>
      <c r="AM19" s="336"/>
      <c r="AN19" s="337"/>
      <c r="AO19" s="337"/>
      <c r="AP19" s="337"/>
      <c r="AQ19" s="338"/>
      <c r="AR19" s="336"/>
      <c r="AS19" s="337"/>
      <c r="AT19" s="337">
        <v>13</v>
      </c>
      <c r="AU19" s="337"/>
      <c r="AV19" s="338"/>
      <c r="AW19" s="336"/>
      <c r="AX19" s="337"/>
      <c r="AY19" s="337"/>
      <c r="AZ19" s="337"/>
      <c r="BA19" s="338"/>
      <c r="BB19" s="336"/>
      <c r="BC19" s="337"/>
      <c r="BD19" s="337"/>
      <c r="BE19" s="337"/>
      <c r="BF19" s="338"/>
      <c r="BG19" s="336"/>
      <c r="BH19" s="337"/>
      <c r="BI19" s="337"/>
      <c r="BJ19" s="337"/>
      <c r="BK19" s="338"/>
      <c r="BL19" s="336"/>
      <c r="BM19" s="337"/>
      <c r="BN19" s="337"/>
      <c r="BO19" s="337"/>
      <c r="BP19" s="338"/>
      <c r="BQ19" s="336"/>
      <c r="BR19" s="337"/>
      <c r="BS19" s="337"/>
      <c r="BT19" s="337"/>
      <c r="BU19" s="339"/>
      <c r="BW19" s="236" t="str">
        <f>sum_level("o",'Needs 171007_1810'!D19:BU19)</f>
        <v/>
      </c>
      <c r="BX19" s="237" t="str">
        <f>sum_level("j",'Needs 171007_1810'!D19:BU19)</f>
        <v/>
      </c>
      <c r="BY19" s="237" t="str">
        <f>sum_level("m",'Needs 171007_1810'!D19:BU19)</f>
        <v>13</v>
      </c>
      <c r="BZ19" s="237" t="str">
        <f>sum_level("s",'Needs 171007_1810'!D19:BU19)</f>
        <v/>
      </c>
      <c r="CA19" s="238" t="str">
        <f>sum_level("e",'Needs 171007_1810'!D19:BU19)</f>
        <v/>
      </c>
    </row>
    <row r="20" spans="2:79" x14ac:dyDescent="0.25">
      <c r="B20" s="435"/>
      <c r="C20" s="291" t="s">
        <v>65</v>
      </c>
      <c r="D20" s="336"/>
      <c r="E20" s="337"/>
      <c r="F20" s="337"/>
      <c r="G20" s="337"/>
      <c r="H20" s="338"/>
      <c r="I20" s="336"/>
      <c r="J20" s="337"/>
      <c r="K20" s="337"/>
      <c r="L20" s="337"/>
      <c r="M20" s="338"/>
      <c r="N20" s="336"/>
      <c r="O20" s="337"/>
      <c r="P20" s="337"/>
      <c r="Q20" s="337"/>
      <c r="R20" s="338"/>
      <c r="S20" s="336"/>
      <c r="T20" s="337"/>
      <c r="U20" s="337"/>
      <c r="V20" s="337"/>
      <c r="W20" s="338"/>
      <c r="X20" s="336"/>
      <c r="Y20" s="337"/>
      <c r="Z20" s="337"/>
      <c r="AA20" s="337"/>
      <c r="AB20" s="338"/>
      <c r="AC20" s="336"/>
      <c r="AD20" s="337"/>
      <c r="AE20" s="337"/>
      <c r="AF20" s="337"/>
      <c r="AG20" s="338"/>
      <c r="AH20" s="336"/>
      <c r="AI20" s="337"/>
      <c r="AJ20" s="337"/>
      <c r="AK20" s="337"/>
      <c r="AL20" s="338"/>
      <c r="AM20" s="336"/>
      <c r="AN20" s="337"/>
      <c r="AO20" s="337"/>
      <c r="AP20" s="337"/>
      <c r="AQ20" s="338"/>
      <c r="AR20" s="336"/>
      <c r="AS20" s="337"/>
      <c r="AT20" s="337"/>
      <c r="AU20" s="337">
        <v>14</v>
      </c>
      <c r="AV20" s="338"/>
      <c r="AW20" s="336"/>
      <c r="AX20" s="337"/>
      <c r="AY20" s="337"/>
      <c r="AZ20" s="337"/>
      <c r="BA20" s="338"/>
      <c r="BB20" s="336"/>
      <c r="BC20" s="337"/>
      <c r="BD20" s="337"/>
      <c r="BE20" s="337"/>
      <c r="BF20" s="338"/>
      <c r="BG20" s="336"/>
      <c r="BH20" s="337"/>
      <c r="BI20" s="337"/>
      <c r="BJ20" s="337"/>
      <c r="BK20" s="338"/>
      <c r="BL20" s="336"/>
      <c r="BM20" s="337"/>
      <c r="BN20" s="337"/>
      <c r="BO20" s="337"/>
      <c r="BP20" s="338"/>
      <c r="BQ20" s="336"/>
      <c r="BR20" s="337"/>
      <c r="BS20" s="337"/>
      <c r="BT20" s="337"/>
      <c r="BU20" s="339"/>
      <c r="BW20" s="236" t="str">
        <f>sum_level("o",'Needs 171007_1810'!D20:BU20)</f>
        <v/>
      </c>
      <c r="BX20" s="237" t="str">
        <f>sum_level("j",'Needs 171007_1810'!D20:BU20)</f>
        <v/>
      </c>
      <c r="BY20" s="237" t="str">
        <f>sum_level("m",'Needs 171007_1810'!D20:BU20)</f>
        <v/>
      </c>
      <c r="BZ20" s="237" t="str">
        <f>sum_level("s",'Needs 171007_1810'!D20:BU20)</f>
        <v>14</v>
      </c>
      <c r="CA20" s="238" t="str">
        <f>sum_level("e",'Needs 171007_1810'!D20:BU20)</f>
        <v/>
      </c>
    </row>
    <row r="21" spans="2:79" x14ac:dyDescent="0.25">
      <c r="B21" s="435"/>
      <c r="C21" s="291" t="s">
        <v>66</v>
      </c>
      <c r="D21" s="336"/>
      <c r="E21" s="337"/>
      <c r="F21" s="337"/>
      <c r="G21" s="337"/>
      <c r="H21" s="338"/>
      <c r="I21" s="336"/>
      <c r="J21" s="337"/>
      <c r="K21" s="337"/>
      <c r="L21" s="337"/>
      <c r="M21" s="338"/>
      <c r="N21" s="336"/>
      <c r="O21" s="337"/>
      <c r="P21" s="337"/>
      <c r="Q21" s="337"/>
      <c r="R21" s="338"/>
      <c r="S21" s="336"/>
      <c r="T21" s="337"/>
      <c r="U21" s="337"/>
      <c r="V21" s="337"/>
      <c r="W21" s="338"/>
      <c r="X21" s="336"/>
      <c r="Y21" s="337"/>
      <c r="Z21" s="337"/>
      <c r="AA21" s="337"/>
      <c r="AB21" s="338"/>
      <c r="AC21" s="336"/>
      <c r="AD21" s="337"/>
      <c r="AE21" s="337"/>
      <c r="AF21" s="337"/>
      <c r="AG21" s="338"/>
      <c r="AH21" s="336"/>
      <c r="AI21" s="337"/>
      <c r="AJ21" s="337"/>
      <c r="AK21" s="337"/>
      <c r="AL21" s="338"/>
      <c r="AM21" s="336"/>
      <c r="AN21" s="337"/>
      <c r="AO21" s="337"/>
      <c r="AP21" s="337"/>
      <c r="AQ21" s="338"/>
      <c r="AR21" s="336"/>
      <c r="AS21" s="337"/>
      <c r="AT21" s="337"/>
      <c r="AU21" s="337"/>
      <c r="AV21" s="338">
        <v>15</v>
      </c>
      <c r="AW21" s="336"/>
      <c r="AX21" s="337"/>
      <c r="AY21" s="337"/>
      <c r="AZ21" s="337"/>
      <c r="BA21" s="338"/>
      <c r="BB21" s="336"/>
      <c r="BC21" s="337"/>
      <c r="BD21" s="337"/>
      <c r="BE21" s="337"/>
      <c r="BF21" s="338"/>
      <c r="BG21" s="336"/>
      <c r="BH21" s="337"/>
      <c r="BI21" s="337"/>
      <c r="BJ21" s="337"/>
      <c r="BK21" s="338"/>
      <c r="BL21" s="336"/>
      <c r="BM21" s="337"/>
      <c r="BN21" s="337"/>
      <c r="BO21" s="337"/>
      <c r="BP21" s="338"/>
      <c r="BQ21" s="336"/>
      <c r="BR21" s="337"/>
      <c r="BS21" s="337"/>
      <c r="BT21" s="337"/>
      <c r="BU21" s="339"/>
      <c r="BW21" s="236" t="str">
        <f>sum_level("o",'Needs 171007_1810'!D21:BU21)</f>
        <v/>
      </c>
      <c r="BX21" s="237" t="str">
        <f>sum_level("j",'Needs 171007_1810'!D21:BU21)</f>
        <v/>
      </c>
      <c r="BY21" s="237" t="str">
        <f>sum_level("m",'Needs 171007_1810'!D21:BU21)</f>
        <v/>
      </c>
      <c r="BZ21" s="237" t="str">
        <f>sum_level("s",'Needs 171007_1810'!D21:BU21)</f>
        <v/>
      </c>
      <c r="CA21" s="238" t="str">
        <f>sum_level("e",'Needs 171007_1810'!D21:BU21)</f>
        <v>15</v>
      </c>
    </row>
    <row r="22" spans="2:79" x14ac:dyDescent="0.25">
      <c r="B22" s="435"/>
      <c r="C22" s="291" t="s">
        <v>67</v>
      </c>
      <c r="D22" s="336"/>
      <c r="E22" s="337"/>
      <c r="F22" s="337"/>
      <c r="G22" s="337"/>
      <c r="H22" s="338"/>
      <c r="I22" s="336"/>
      <c r="J22" s="337"/>
      <c r="K22" s="337"/>
      <c r="L22" s="337"/>
      <c r="M22" s="338"/>
      <c r="N22" s="336"/>
      <c r="O22" s="337"/>
      <c r="P22" s="337"/>
      <c r="Q22" s="337"/>
      <c r="R22" s="338"/>
      <c r="S22" s="336"/>
      <c r="T22" s="337"/>
      <c r="U22" s="337"/>
      <c r="V22" s="337"/>
      <c r="W22" s="338"/>
      <c r="X22" s="336"/>
      <c r="Y22" s="337"/>
      <c r="Z22" s="337"/>
      <c r="AA22" s="337"/>
      <c r="AB22" s="338"/>
      <c r="AC22" s="336"/>
      <c r="AD22" s="337"/>
      <c r="AE22" s="337"/>
      <c r="AF22" s="337"/>
      <c r="AG22" s="338"/>
      <c r="AH22" s="336"/>
      <c r="AI22" s="337"/>
      <c r="AJ22" s="337"/>
      <c r="AK22" s="337"/>
      <c r="AL22" s="338"/>
      <c r="AM22" s="336"/>
      <c r="AN22" s="337"/>
      <c r="AO22" s="337"/>
      <c r="AP22" s="337"/>
      <c r="AQ22" s="338"/>
      <c r="AR22" s="336"/>
      <c r="AS22" s="337"/>
      <c r="AT22" s="337"/>
      <c r="AU22" s="337"/>
      <c r="AV22" s="338"/>
      <c r="AW22" s="336"/>
      <c r="AX22" s="337"/>
      <c r="AY22" s="337"/>
      <c r="AZ22" s="337"/>
      <c r="BA22" s="338"/>
      <c r="BB22" s="336"/>
      <c r="BC22" s="337"/>
      <c r="BD22" s="337"/>
      <c r="BE22" s="337"/>
      <c r="BF22" s="338"/>
      <c r="BG22" s="336"/>
      <c r="BH22" s="337"/>
      <c r="BI22" s="337"/>
      <c r="BJ22" s="337"/>
      <c r="BK22" s="338"/>
      <c r="BL22" s="336"/>
      <c r="BM22" s="337"/>
      <c r="BN22" s="337"/>
      <c r="BO22" s="337"/>
      <c r="BP22" s="338"/>
      <c r="BQ22" s="336"/>
      <c r="BR22" s="337"/>
      <c r="BS22" s="337"/>
      <c r="BT22" s="337"/>
      <c r="BU22" s="339"/>
      <c r="BW22" s="236" t="str">
        <f>sum_level("o",'Needs 171007_1810'!D22:BU22)</f>
        <v/>
      </c>
      <c r="BX22" s="237" t="str">
        <f>sum_level("j",'Needs 171007_1810'!D22:BU22)</f>
        <v/>
      </c>
      <c r="BY22" s="237" t="str">
        <f>sum_level("m",'Needs 171007_1810'!D22:BU22)</f>
        <v/>
      </c>
      <c r="BZ22" s="237" t="str">
        <f>sum_level("s",'Needs 171007_1810'!D22:BU22)</f>
        <v/>
      </c>
      <c r="CA22" s="238" t="str">
        <f>sum_level("e",'Needs 171007_1810'!D22:BU22)</f>
        <v/>
      </c>
    </row>
    <row r="23" spans="2:79" x14ac:dyDescent="0.25">
      <c r="B23" s="435"/>
      <c r="C23" s="291" t="s">
        <v>68</v>
      </c>
      <c r="D23" s="336"/>
      <c r="E23" s="337"/>
      <c r="F23" s="337"/>
      <c r="G23" s="337"/>
      <c r="H23" s="338"/>
      <c r="I23" s="336"/>
      <c r="J23" s="337"/>
      <c r="K23" s="337"/>
      <c r="L23" s="337"/>
      <c r="M23" s="338"/>
      <c r="N23" s="336"/>
      <c r="O23" s="337"/>
      <c r="P23" s="337"/>
      <c r="Q23" s="337"/>
      <c r="R23" s="338"/>
      <c r="S23" s="336"/>
      <c r="T23" s="337"/>
      <c r="U23" s="337"/>
      <c r="V23" s="337"/>
      <c r="W23" s="338"/>
      <c r="X23" s="336"/>
      <c r="Y23" s="337"/>
      <c r="Z23" s="337"/>
      <c r="AA23" s="337"/>
      <c r="AB23" s="338"/>
      <c r="AC23" s="336"/>
      <c r="AD23" s="337"/>
      <c r="AE23" s="337"/>
      <c r="AF23" s="337"/>
      <c r="AG23" s="338"/>
      <c r="AH23" s="336"/>
      <c r="AI23" s="337"/>
      <c r="AJ23" s="337"/>
      <c r="AK23" s="337"/>
      <c r="AL23" s="338"/>
      <c r="AM23" s="336"/>
      <c r="AN23" s="337"/>
      <c r="AO23" s="337"/>
      <c r="AP23" s="337"/>
      <c r="AQ23" s="338"/>
      <c r="AR23" s="336"/>
      <c r="AS23" s="337"/>
      <c r="AT23" s="337"/>
      <c r="AU23" s="337"/>
      <c r="AV23" s="338"/>
      <c r="AW23" s="336"/>
      <c r="AX23" s="337"/>
      <c r="AY23" s="337"/>
      <c r="AZ23" s="337"/>
      <c r="BA23" s="338"/>
      <c r="BB23" s="336"/>
      <c r="BC23" s="337"/>
      <c r="BD23" s="337"/>
      <c r="BE23" s="337"/>
      <c r="BF23" s="338"/>
      <c r="BG23" s="336"/>
      <c r="BH23" s="337"/>
      <c r="BI23" s="337"/>
      <c r="BJ23" s="337"/>
      <c r="BK23" s="338"/>
      <c r="BL23" s="336"/>
      <c r="BM23" s="337"/>
      <c r="BN23" s="337"/>
      <c r="BO23" s="337"/>
      <c r="BP23" s="338"/>
      <c r="BQ23" s="336"/>
      <c r="BR23" s="337"/>
      <c r="BS23" s="337"/>
      <c r="BT23" s="337"/>
      <c r="BU23" s="339"/>
      <c r="BW23" s="236" t="str">
        <f>sum_level("o",'Needs 171007_1810'!D23:BU23)</f>
        <v/>
      </c>
      <c r="BX23" s="237" t="str">
        <f>sum_level("j",'Needs 171007_1810'!D23:BU23)</f>
        <v/>
      </c>
      <c r="BY23" s="237" t="str">
        <f>sum_level("m",'Needs 171007_1810'!D23:BU23)</f>
        <v/>
      </c>
      <c r="BZ23" s="237" t="str">
        <f>sum_level("s",'Needs 171007_1810'!D23:BU23)</f>
        <v/>
      </c>
      <c r="CA23" s="238" t="str">
        <f>sum_level("e",'Needs 171007_1810'!D23:BU23)</f>
        <v/>
      </c>
    </row>
    <row r="24" spans="2:79" x14ac:dyDescent="0.25">
      <c r="B24" s="435"/>
      <c r="C24" s="291" t="s">
        <v>69</v>
      </c>
      <c r="D24" s="336"/>
      <c r="E24" s="337"/>
      <c r="F24" s="337"/>
      <c r="G24" s="337"/>
      <c r="H24" s="338"/>
      <c r="I24" s="336"/>
      <c r="J24" s="337"/>
      <c r="K24" s="337"/>
      <c r="L24" s="337"/>
      <c r="M24" s="338"/>
      <c r="N24" s="336"/>
      <c r="O24" s="337"/>
      <c r="P24" s="337"/>
      <c r="Q24" s="337"/>
      <c r="R24" s="338"/>
      <c r="S24" s="336"/>
      <c r="T24" s="337"/>
      <c r="U24" s="337"/>
      <c r="V24" s="337"/>
      <c r="W24" s="338"/>
      <c r="X24" s="336"/>
      <c r="Y24" s="337"/>
      <c r="Z24" s="337"/>
      <c r="AA24" s="337"/>
      <c r="AB24" s="338"/>
      <c r="AC24" s="336"/>
      <c r="AD24" s="337"/>
      <c r="AE24" s="337"/>
      <c r="AF24" s="337"/>
      <c r="AG24" s="338"/>
      <c r="AH24" s="336"/>
      <c r="AI24" s="337"/>
      <c r="AJ24" s="337"/>
      <c r="AK24" s="337"/>
      <c r="AL24" s="338"/>
      <c r="AM24" s="336"/>
      <c r="AN24" s="337"/>
      <c r="AO24" s="337"/>
      <c r="AP24" s="337"/>
      <c r="AQ24" s="338"/>
      <c r="AR24" s="336"/>
      <c r="AS24" s="337"/>
      <c r="AT24" s="337"/>
      <c r="AU24" s="337"/>
      <c r="AV24" s="338"/>
      <c r="AW24" s="336"/>
      <c r="AX24" s="337"/>
      <c r="AY24" s="337"/>
      <c r="AZ24" s="337"/>
      <c r="BA24" s="338"/>
      <c r="BB24" s="336"/>
      <c r="BC24" s="337"/>
      <c r="BD24" s="337"/>
      <c r="BE24" s="337"/>
      <c r="BF24" s="338"/>
      <c r="BG24" s="336"/>
      <c r="BH24" s="337"/>
      <c r="BI24" s="337"/>
      <c r="BJ24" s="337"/>
      <c r="BK24" s="338"/>
      <c r="BL24" s="336"/>
      <c r="BM24" s="337"/>
      <c r="BN24" s="337"/>
      <c r="BO24" s="337"/>
      <c r="BP24" s="338"/>
      <c r="BQ24" s="336"/>
      <c r="BR24" s="337"/>
      <c r="BS24" s="337"/>
      <c r="BT24" s="337"/>
      <c r="BU24" s="339"/>
      <c r="BW24" s="236" t="str">
        <f>sum_level("o",'Needs 171007_1810'!D24:BU24)</f>
        <v/>
      </c>
      <c r="BX24" s="237" t="str">
        <f>sum_level("j",'Needs 171007_1810'!D24:BU24)</f>
        <v/>
      </c>
      <c r="BY24" s="237" t="str">
        <f>sum_level("m",'Needs 171007_1810'!D24:BU24)</f>
        <v/>
      </c>
      <c r="BZ24" s="237" t="str">
        <f>sum_level("s",'Needs 171007_1810'!D24:BU24)</f>
        <v/>
      </c>
      <c r="CA24" s="238" t="str">
        <f>sum_level("e",'Needs 171007_1810'!D24:BU24)</f>
        <v/>
      </c>
    </row>
    <row r="25" spans="2:79" ht="15.75" thickBot="1" x14ac:dyDescent="0.3">
      <c r="B25" s="435"/>
      <c r="C25" s="292" t="s">
        <v>75</v>
      </c>
      <c r="D25" s="340"/>
      <c r="E25" s="341"/>
      <c r="F25" s="341"/>
      <c r="G25" s="341"/>
      <c r="H25" s="342"/>
      <c r="I25" s="340"/>
      <c r="J25" s="341"/>
      <c r="K25" s="341"/>
      <c r="L25" s="341"/>
      <c r="M25" s="342"/>
      <c r="N25" s="340"/>
      <c r="O25" s="341"/>
      <c r="P25" s="341"/>
      <c r="Q25" s="341"/>
      <c r="R25" s="342"/>
      <c r="S25" s="340"/>
      <c r="T25" s="341"/>
      <c r="U25" s="341"/>
      <c r="V25" s="341"/>
      <c r="W25" s="342"/>
      <c r="X25" s="340"/>
      <c r="Y25" s="341"/>
      <c r="Z25" s="341"/>
      <c r="AA25" s="341"/>
      <c r="AB25" s="342"/>
      <c r="AC25" s="340"/>
      <c r="AD25" s="341"/>
      <c r="AE25" s="341"/>
      <c r="AF25" s="341"/>
      <c r="AG25" s="342"/>
      <c r="AH25" s="340"/>
      <c r="AI25" s="341"/>
      <c r="AJ25" s="341"/>
      <c r="AK25" s="341"/>
      <c r="AL25" s="342"/>
      <c r="AM25" s="340"/>
      <c r="AN25" s="341"/>
      <c r="AO25" s="341"/>
      <c r="AP25" s="341"/>
      <c r="AQ25" s="342"/>
      <c r="AR25" s="340"/>
      <c r="AS25" s="341"/>
      <c r="AT25" s="341"/>
      <c r="AU25" s="341"/>
      <c r="AV25" s="342"/>
      <c r="AW25" s="340"/>
      <c r="AX25" s="341"/>
      <c r="AY25" s="341"/>
      <c r="AZ25" s="341"/>
      <c r="BA25" s="342"/>
      <c r="BB25" s="340"/>
      <c r="BC25" s="341"/>
      <c r="BD25" s="341"/>
      <c r="BE25" s="341"/>
      <c r="BF25" s="342"/>
      <c r="BG25" s="340"/>
      <c r="BH25" s="341"/>
      <c r="BI25" s="341"/>
      <c r="BJ25" s="341"/>
      <c r="BK25" s="342"/>
      <c r="BL25" s="340"/>
      <c r="BM25" s="341"/>
      <c r="BN25" s="341"/>
      <c r="BO25" s="341"/>
      <c r="BP25" s="342"/>
      <c r="BQ25" s="340"/>
      <c r="BR25" s="341"/>
      <c r="BS25" s="341"/>
      <c r="BT25" s="341"/>
      <c r="BU25" s="343"/>
      <c r="BW25" s="239" t="str">
        <f>sum_level("o",'Needs 171007_1810'!D25:BU25)</f>
        <v/>
      </c>
      <c r="BX25" s="240" t="str">
        <f>sum_level("j",'Needs 171007_1810'!D25:BU25)</f>
        <v/>
      </c>
      <c r="BY25" s="240" t="str">
        <f>sum_level("m",'Needs 171007_1810'!D25:BU25)</f>
        <v/>
      </c>
      <c r="BZ25" s="240" t="str">
        <f>sum_level("s",'Needs 171007_1810'!D25:BU25)</f>
        <v/>
      </c>
      <c r="CA25" s="241" t="str">
        <f>sum_level("e",'Needs 171007_1810'!D25:BU25)</f>
        <v/>
      </c>
    </row>
    <row r="26" spans="2:79" ht="12.75" customHeight="1" thickTop="1" thickBot="1" x14ac:dyDescent="0.3">
      <c r="B26" s="436"/>
      <c r="C26" s="248"/>
      <c r="D26" s="344"/>
      <c r="E26" s="344"/>
      <c r="F26" s="344"/>
      <c r="G26" s="344"/>
      <c r="H26" s="344"/>
      <c r="I26" s="344"/>
      <c r="J26" s="344"/>
      <c r="K26" s="344"/>
      <c r="L26" s="344"/>
      <c r="M26" s="344"/>
      <c r="N26" s="344"/>
      <c r="O26" s="344"/>
      <c r="P26" s="344"/>
      <c r="Q26" s="344"/>
      <c r="R26" s="344"/>
      <c r="S26" s="344"/>
      <c r="T26" s="344"/>
      <c r="U26" s="344"/>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344"/>
      <c r="AW26" s="344"/>
      <c r="AX26" s="344"/>
      <c r="AY26" s="344"/>
      <c r="AZ26" s="344"/>
      <c r="BA26" s="344"/>
      <c r="BB26" s="344"/>
      <c r="BC26" s="344"/>
      <c r="BD26" s="344"/>
      <c r="BE26" s="344"/>
      <c r="BF26" s="344"/>
      <c r="BG26" s="344"/>
      <c r="BH26" s="344"/>
      <c r="BI26" s="344"/>
      <c r="BJ26" s="344"/>
      <c r="BK26" s="344"/>
      <c r="BL26" s="344"/>
      <c r="BM26" s="344"/>
      <c r="BN26" s="344"/>
      <c r="BO26" s="344"/>
      <c r="BP26" s="344"/>
      <c r="BQ26" s="344"/>
      <c r="BR26" s="344"/>
      <c r="BS26" s="344"/>
      <c r="BT26" s="344"/>
      <c r="BU26" s="344"/>
      <c r="BW26" s="249"/>
      <c r="BX26" s="249"/>
      <c r="BY26" s="249"/>
      <c r="BZ26" s="249"/>
      <c r="CA26" s="249"/>
    </row>
    <row r="27" spans="2:79" ht="15.75" thickTop="1" x14ac:dyDescent="0.25">
      <c r="B27" s="434" t="s">
        <v>70</v>
      </c>
      <c r="C27" s="290" t="s">
        <v>71</v>
      </c>
      <c r="D27" s="332"/>
      <c r="E27" s="333"/>
      <c r="F27" s="333"/>
      <c r="G27" s="333"/>
      <c r="H27" s="334"/>
      <c r="I27" s="332"/>
      <c r="J27" s="333"/>
      <c r="K27" s="333"/>
      <c r="L27" s="333"/>
      <c r="M27" s="334"/>
      <c r="N27" s="332"/>
      <c r="O27" s="333"/>
      <c r="P27" s="333"/>
      <c r="Q27" s="333"/>
      <c r="R27" s="334"/>
      <c r="S27" s="332"/>
      <c r="T27" s="333"/>
      <c r="U27" s="333"/>
      <c r="V27" s="333"/>
      <c r="W27" s="334"/>
      <c r="X27" s="332"/>
      <c r="Y27" s="333"/>
      <c r="Z27" s="333"/>
      <c r="AA27" s="333"/>
      <c r="AB27" s="334"/>
      <c r="AC27" s="332"/>
      <c r="AD27" s="333"/>
      <c r="AE27" s="333"/>
      <c r="AF27" s="333"/>
      <c r="AG27" s="334"/>
      <c r="AH27" s="332"/>
      <c r="AI27" s="333"/>
      <c r="AJ27" s="333"/>
      <c r="AK27" s="333"/>
      <c r="AL27" s="334"/>
      <c r="AM27" s="332"/>
      <c r="AN27" s="333"/>
      <c r="AO27" s="333"/>
      <c r="AP27" s="333"/>
      <c r="AQ27" s="334"/>
      <c r="AR27" s="332"/>
      <c r="AS27" s="333"/>
      <c r="AT27" s="333"/>
      <c r="AU27" s="333"/>
      <c r="AV27" s="334"/>
      <c r="AW27" s="332">
        <v>16</v>
      </c>
      <c r="AX27" s="333"/>
      <c r="AY27" s="333"/>
      <c r="AZ27" s="333"/>
      <c r="BA27" s="334"/>
      <c r="BB27" s="332"/>
      <c r="BC27" s="333"/>
      <c r="BD27" s="333"/>
      <c r="BE27" s="333"/>
      <c r="BF27" s="334"/>
      <c r="BG27" s="332"/>
      <c r="BH27" s="333"/>
      <c r="BI27" s="333"/>
      <c r="BJ27" s="333"/>
      <c r="BK27" s="334"/>
      <c r="BL27" s="332"/>
      <c r="BM27" s="333"/>
      <c r="BN27" s="333"/>
      <c r="BO27" s="333"/>
      <c r="BP27" s="334"/>
      <c r="BQ27" s="332"/>
      <c r="BR27" s="333"/>
      <c r="BS27" s="333"/>
      <c r="BT27" s="333"/>
      <c r="BU27" s="335"/>
      <c r="BW27" s="233" t="str">
        <f>sum_level("o",'Needs 171007_1810'!D27:BU27)</f>
        <v>16</v>
      </c>
      <c r="BX27" s="234" t="str">
        <f>sum_level("j",'Needs 171007_1810'!D27:BU27)</f>
        <v/>
      </c>
      <c r="BY27" s="234" t="str">
        <f>sum_level("m",'Needs 171007_1810'!D27:BU27)</f>
        <v/>
      </c>
      <c r="BZ27" s="234" t="str">
        <f>sum_level("s",'Needs 171007_1810'!D27:BU27)</f>
        <v/>
      </c>
      <c r="CA27" s="235" t="str">
        <f>sum_level("e",'Needs 171007_1810'!D27:BU27)</f>
        <v/>
      </c>
    </row>
    <row r="28" spans="2:79" x14ac:dyDescent="0.25">
      <c r="B28" s="435"/>
      <c r="C28" s="291" t="s">
        <v>72</v>
      </c>
      <c r="D28" s="336"/>
      <c r="E28" s="337"/>
      <c r="F28" s="337"/>
      <c r="G28" s="337"/>
      <c r="H28" s="338"/>
      <c r="I28" s="336"/>
      <c r="J28" s="337"/>
      <c r="K28" s="337"/>
      <c r="L28" s="337"/>
      <c r="M28" s="338"/>
      <c r="N28" s="336"/>
      <c r="O28" s="337"/>
      <c r="P28" s="337"/>
      <c r="Q28" s="337"/>
      <c r="R28" s="338"/>
      <c r="S28" s="336"/>
      <c r="T28" s="337"/>
      <c r="U28" s="337"/>
      <c r="V28" s="337"/>
      <c r="W28" s="338"/>
      <c r="X28" s="336"/>
      <c r="Y28" s="337"/>
      <c r="Z28" s="337"/>
      <c r="AA28" s="337"/>
      <c r="AB28" s="338"/>
      <c r="AC28" s="336"/>
      <c r="AD28" s="337"/>
      <c r="AE28" s="337"/>
      <c r="AF28" s="337"/>
      <c r="AG28" s="338"/>
      <c r="AH28" s="336"/>
      <c r="AI28" s="337"/>
      <c r="AJ28" s="337"/>
      <c r="AK28" s="337"/>
      <c r="AL28" s="338"/>
      <c r="AM28" s="336"/>
      <c r="AN28" s="337"/>
      <c r="AO28" s="337"/>
      <c r="AP28" s="337"/>
      <c r="AQ28" s="338"/>
      <c r="AR28" s="336"/>
      <c r="AS28" s="337"/>
      <c r="AT28" s="337"/>
      <c r="AU28" s="337"/>
      <c r="AV28" s="338"/>
      <c r="AW28" s="336"/>
      <c r="AX28" s="337">
        <v>17</v>
      </c>
      <c r="AY28" s="337"/>
      <c r="AZ28" s="337"/>
      <c r="BA28" s="338"/>
      <c r="BB28" s="336"/>
      <c r="BC28" s="337"/>
      <c r="BD28" s="337"/>
      <c r="BE28" s="337"/>
      <c r="BF28" s="338"/>
      <c r="BG28" s="336"/>
      <c r="BH28" s="337"/>
      <c r="BI28" s="337"/>
      <c r="BJ28" s="337"/>
      <c r="BK28" s="338"/>
      <c r="BL28" s="336"/>
      <c r="BM28" s="337"/>
      <c r="BN28" s="337"/>
      <c r="BO28" s="337"/>
      <c r="BP28" s="338"/>
      <c r="BQ28" s="336"/>
      <c r="BR28" s="337"/>
      <c r="BS28" s="337"/>
      <c r="BT28" s="337"/>
      <c r="BU28" s="339"/>
      <c r="BW28" s="236" t="str">
        <f>sum_level("o",'Needs 171007_1810'!D28:BU28)</f>
        <v/>
      </c>
      <c r="BX28" s="237" t="str">
        <f>sum_level("j",'Needs 171007_1810'!D28:BU28)</f>
        <v>17</v>
      </c>
      <c r="BY28" s="237" t="str">
        <f>sum_level("m",'Needs 171007_1810'!D28:BU28)</f>
        <v/>
      </c>
      <c r="BZ28" s="237" t="str">
        <f>sum_level("s",'Needs 171007_1810'!D28:BU28)</f>
        <v/>
      </c>
      <c r="CA28" s="238" t="str">
        <f>sum_level("e",'Needs 171007_1810'!D28:BU28)</f>
        <v/>
      </c>
    </row>
    <row r="29" spans="2:79" x14ac:dyDescent="0.25">
      <c r="B29" s="435"/>
      <c r="C29" s="291" t="s">
        <v>73</v>
      </c>
      <c r="D29" s="336"/>
      <c r="E29" s="337"/>
      <c r="F29" s="337"/>
      <c r="G29" s="337"/>
      <c r="H29" s="338"/>
      <c r="I29" s="336"/>
      <c r="J29" s="337"/>
      <c r="K29" s="337"/>
      <c r="L29" s="337"/>
      <c r="M29" s="338"/>
      <c r="N29" s="336"/>
      <c r="O29" s="337"/>
      <c r="P29" s="337"/>
      <c r="Q29" s="337"/>
      <c r="R29" s="338"/>
      <c r="S29" s="336"/>
      <c r="T29" s="337"/>
      <c r="U29" s="337"/>
      <c r="V29" s="337"/>
      <c r="W29" s="338"/>
      <c r="X29" s="336"/>
      <c r="Y29" s="337"/>
      <c r="Z29" s="337"/>
      <c r="AA29" s="337"/>
      <c r="AB29" s="338"/>
      <c r="AC29" s="336"/>
      <c r="AD29" s="337"/>
      <c r="AE29" s="337"/>
      <c r="AF29" s="337"/>
      <c r="AG29" s="338"/>
      <c r="AH29" s="336"/>
      <c r="AI29" s="337"/>
      <c r="AJ29" s="337"/>
      <c r="AK29" s="337"/>
      <c r="AL29" s="338"/>
      <c r="AM29" s="336"/>
      <c r="AN29" s="337"/>
      <c r="AO29" s="337"/>
      <c r="AP29" s="337"/>
      <c r="AQ29" s="338"/>
      <c r="AR29" s="336"/>
      <c r="AS29" s="337"/>
      <c r="AT29" s="337"/>
      <c r="AU29" s="337"/>
      <c r="AV29" s="338"/>
      <c r="AW29" s="336"/>
      <c r="AX29" s="337"/>
      <c r="AY29" s="337">
        <v>18</v>
      </c>
      <c r="AZ29" s="337"/>
      <c r="BA29" s="338"/>
      <c r="BB29" s="336"/>
      <c r="BC29" s="337"/>
      <c r="BD29" s="337"/>
      <c r="BE29" s="337"/>
      <c r="BF29" s="338"/>
      <c r="BG29" s="336"/>
      <c r="BH29" s="337"/>
      <c r="BI29" s="337"/>
      <c r="BJ29" s="337"/>
      <c r="BK29" s="338"/>
      <c r="BL29" s="336"/>
      <c r="BM29" s="337"/>
      <c r="BN29" s="337"/>
      <c r="BO29" s="337"/>
      <c r="BP29" s="338"/>
      <c r="BQ29" s="336"/>
      <c r="BR29" s="337"/>
      <c r="BS29" s="337"/>
      <c r="BT29" s="337"/>
      <c r="BU29" s="339"/>
      <c r="BW29" s="236" t="str">
        <f>sum_level("o",'Needs 171007_1810'!D29:BU29)</f>
        <v/>
      </c>
      <c r="BX29" s="237" t="str">
        <f>sum_level("j",'Needs 171007_1810'!D29:BU29)</f>
        <v/>
      </c>
      <c r="BY29" s="237" t="str">
        <f>sum_level("m",'Needs 171007_1810'!D29:BU29)</f>
        <v>18</v>
      </c>
      <c r="BZ29" s="237" t="str">
        <f>sum_level("s",'Needs 171007_1810'!D29:BU29)</f>
        <v/>
      </c>
      <c r="CA29" s="238" t="str">
        <f>sum_level("e",'Needs 171007_1810'!D29:BU29)</f>
        <v/>
      </c>
    </row>
    <row r="30" spans="2:79" x14ac:dyDescent="0.25">
      <c r="B30" s="435"/>
      <c r="C30" s="291" t="s">
        <v>74</v>
      </c>
      <c r="D30" s="336"/>
      <c r="E30" s="337"/>
      <c r="F30" s="337"/>
      <c r="G30" s="337"/>
      <c r="H30" s="338"/>
      <c r="I30" s="336"/>
      <c r="J30" s="337"/>
      <c r="K30" s="337"/>
      <c r="L30" s="337"/>
      <c r="M30" s="338"/>
      <c r="N30" s="336"/>
      <c r="O30" s="337"/>
      <c r="P30" s="337"/>
      <c r="Q30" s="337"/>
      <c r="R30" s="338"/>
      <c r="S30" s="336"/>
      <c r="T30" s="337"/>
      <c r="U30" s="337"/>
      <c r="V30" s="337"/>
      <c r="W30" s="338"/>
      <c r="X30" s="336"/>
      <c r="Y30" s="337"/>
      <c r="Z30" s="337"/>
      <c r="AA30" s="337"/>
      <c r="AB30" s="338"/>
      <c r="AC30" s="336"/>
      <c r="AD30" s="337"/>
      <c r="AE30" s="337"/>
      <c r="AF30" s="337"/>
      <c r="AG30" s="338"/>
      <c r="AH30" s="336"/>
      <c r="AI30" s="337"/>
      <c r="AJ30" s="337"/>
      <c r="AK30" s="337"/>
      <c r="AL30" s="338"/>
      <c r="AM30" s="336"/>
      <c r="AN30" s="337"/>
      <c r="AO30" s="337"/>
      <c r="AP30" s="337"/>
      <c r="AQ30" s="338"/>
      <c r="AR30" s="336"/>
      <c r="AS30" s="337"/>
      <c r="AT30" s="337"/>
      <c r="AU30" s="337"/>
      <c r="AV30" s="338"/>
      <c r="AW30" s="336"/>
      <c r="AX30" s="337"/>
      <c r="AY30" s="337"/>
      <c r="AZ30" s="337">
        <v>19</v>
      </c>
      <c r="BA30" s="338"/>
      <c r="BB30" s="336"/>
      <c r="BC30" s="337"/>
      <c r="BD30" s="337"/>
      <c r="BE30" s="337"/>
      <c r="BF30" s="338"/>
      <c r="BG30" s="336"/>
      <c r="BH30" s="337"/>
      <c r="BI30" s="337"/>
      <c r="BJ30" s="337"/>
      <c r="BK30" s="338"/>
      <c r="BL30" s="336"/>
      <c r="BM30" s="337"/>
      <c r="BN30" s="337"/>
      <c r="BO30" s="337"/>
      <c r="BP30" s="338"/>
      <c r="BQ30" s="336"/>
      <c r="BR30" s="337"/>
      <c r="BS30" s="337"/>
      <c r="BT30" s="337"/>
      <c r="BU30" s="339"/>
      <c r="BW30" s="236" t="str">
        <f>sum_level("o",'Needs 171007_1810'!D30:BU30)</f>
        <v/>
      </c>
      <c r="BX30" s="237" t="str">
        <f>sum_level("j",'Needs 171007_1810'!D30:BU30)</f>
        <v/>
      </c>
      <c r="BY30" s="237" t="str">
        <f>sum_level("m",'Needs 171007_1810'!D30:BU30)</f>
        <v/>
      </c>
      <c r="BZ30" s="237" t="str">
        <f>sum_level("s",'Needs 171007_1810'!D30:BU30)</f>
        <v>19</v>
      </c>
      <c r="CA30" s="238" t="str">
        <f>sum_level("e",'Needs 171007_1810'!D30:BU30)</f>
        <v/>
      </c>
    </row>
    <row r="31" spans="2:79" x14ac:dyDescent="0.25">
      <c r="B31" s="435"/>
      <c r="C31" s="291" t="s">
        <v>76</v>
      </c>
      <c r="D31" s="336"/>
      <c r="E31" s="337"/>
      <c r="F31" s="337"/>
      <c r="G31" s="337"/>
      <c r="H31" s="338"/>
      <c r="I31" s="336"/>
      <c r="J31" s="337"/>
      <c r="K31" s="337"/>
      <c r="L31" s="337"/>
      <c r="M31" s="338"/>
      <c r="N31" s="336"/>
      <c r="O31" s="337"/>
      <c r="P31" s="337"/>
      <c r="Q31" s="337"/>
      <c r="R31" s="338"/>
      <c r="S31" s="336"/>
      <c r="T31" s="337"/>
      <c r="U31" s="337"/>
      <c r="V31" s="337"/>
      <c r="W31" s="338"/>
      <c r="X31" s="336"/>
      <c r="Y31" s="337"/>
      <c r="Z31" s="337"/>
      <c r="AA31" s="337"/>
      <c r="AB31" s="338"/>
      <c r="AC31" s="336"/>
      <c r="AD31" s="337"/>
      <c r="AE31" s="337"/>
      <c r="AF31" s="337"/>
      <c r="AG31" s="338"/>
      <c r="AH31" s="336"/>
      <c r="AI31" s="337"/>
      <c r="AJ31" s="337"/>
      <c r="AK31" s="337"/>
      <c r="AL31" s="338"/>
      <c r="AM31" s="336"/>
      <c r="AN31" s="337"/>
      <c r="AO31" s="337"/>
      <c r="AP31" s="337"/>
      <c r="AQ31" s="338"/>
      <c r="AR31" s="336"/>
      <c r="AS31" s="337"/>
      <c r="AT31" s="337"/>
      <c r="AU31" s="337"/>
      <c r="AV31" s="338"/>
      <c r="AW31" s="336"/>
      <c r="AX31" s="337"/>
      <c r="AY31" s="337"/>
      <c r="AZ31" s="337"/>
      <c r="BA31" s="338">
        <v>20</v>
      </c>
      <c r="BB31" s="336"/>
      <c r="BC31" s="337"/>
      <c r="BD31" s="337"/>
      <c r="BE31" s="337"/>
      <c r="BF31" s="338"/>
      <c r="BG31" s="336"/>
      <c r="BH31" s="337"/>
      <c r="BI31" s="337"/>
      <c r="BJ31" s="337"/>
      <c r="BK31" s="338"/>
      <c r="BL31" s="336"/>
      <c r="BM31" s="337"/>
      <c r="BN31" s="337"/>
      <c r="BO31" s="337"/>
      <c r="BP31" s="338"/>
      <c r="BQ31" s="336"/>
      <c r="BR31" s="337"/>
      <c r="BS31" s="337"/>
      <c r="BT31" s="337"/>
      <c r="BU31" s="339"/>
      <c r="BW31" s="236" t="str">
        <f>sum_level("o",'Needs 171007_1810'!D31:BU31)</f>
        <v/>
      </c>
      <c r="BX31" s="237" t="str">
        <f>sum_level("j",'Needs 171007_1810'!D31:BU31)</f>
        <v/>
      </c>
      <c r="BY31" s="237" t="str">
        <f>sum_level("m",'Needs 171007_1810'!D31:BU31)</f>
        <v/>
      </c>
      <c r="BZ31" s="237" t="str">
        <f>sum_level("s",'Needs 171007_1810'!D31:BU31)</f>
        <v/>
      </c>
      <c r="CA31" s="238" t="str">
        <f>sum_level("e",'Needs 171007_1810'!D31:BU31)</f>
        <v>20</v>
      </c>
    </row>
    <row r="32" spans="2:79" x14ac:dyDescent="0.25">
      <c r="B32" s="435"/>
      <c r="C32" s="291" t="s">
        <v>77</v>
      </c>
      <c r="D32" s="336"/>
      <c r="E32" s="337"/>
      <c r="F32" s="337"/>
      <c r="G32" s="337"/>
      <c r="H32" s="338"/>
      <c r="I32" s="336"/>
      <c r="J32" s="337"/>
      <c r="K32" s="337"/>
      <c r="L32" s="337"/>
      <c r="M32" s="338"/>
      <c r="N32" s="336"/>
      <c r="O32" s="337"/>
      <c r="P32" s="337"/>
      <c r="Q32" s="337"/>
      <c r="R32" s="338"/>
      <c r="S32" s="336"/>
      <c r="T32" s="337"/>
      <c r="U32" s="337"/>
      <c r="V32" s="337"/>
      <c r="W32" s="338"/>
      <c r="X32" s="336"/>
      <c r="Y32" s="337"/>
      <c r="Z32" s="337"/>
      <c r="AA32" s="337"/>
      <c r="AB32" s="338"/>
      <c r="AC32" s="336"/>
      <c r="AD32" s="337"/>
      <c r="AE32" s="337"/>
      <c r="AF32" s="337"/>
      <c r="AG32" s="338"/>
      <c r="AH32" s="336"/>
      <c r="AI32" s="337"/>
      <c r="AJ32" s="337"/>
      <c r="AK32" s="337"/>
      <c r="AL32" s="338"/>
      <c r="AM32" s="336"/>
      <c r="AN32" s="337"/>
      <c r="AO32" s="337"/>
      <c r="AP32" s="337"/>
      <c r="AQ32" s="338"/>
      <c r="AR32" s="336"/>
      <c r="AS32" s="337"/>
      <c r="AT32" s="337"/>
      <c r="AU32" s="337"/>
      <c r="AV32" s="338"/>
      <c r="AW32" s="336"/>
      <c r="AX32" s="337"/>
      <c r="AY32" s="337"/>
      <c r="AZ32" s="337"/>
      <c r="BA32" s="338"/>
      <c r="BB32" s="336"/>
      <c r="BC32" s="337"/>
      <c r="BD32" s="337"/>
      <c r="BE32" s="337"/>
      <c r="BF32" s="338"/>
      <c r="BG32" s="336"/>
      <c r="BH32" s="337"/>
      <c r="BI32" s="337"/>
      <c r="BJ32" s="337"/>
      <c r="BK32" s="338"/>
      <c r="BL32" s="336"/>
      <c r="BM32" s="337"/>
      <c r="BN32" s="337"/>
      <c r="BO32" s="337"/>
      <c r="BP32" s="338"/>
      <c r="BQ32" s="336"/>
      <c r="BR32" s="337"/>
      <c r="BS32" s="337"/>
      <c r="BT32" s="337"/>
      <c r="BU32" s="339"/>
      <c r="BW32" s="236" t="str">
        <f>sum_level("o",'Needs 171007_1810'!D32:BU32)</f>
        <v/>
      </c>
      <c r="BX32" s="237" t="str">
        <f>sum_level("j",'Needs 171007_1810'!D32:BU32)</f>
        <v/>
      </c>
      <c r="BY32" s="237" t="str">
        <f>sum_level("m",'Needs 171007_1810'!D32:BU32)</f>
        <v/>
      </c>
      <c r="BZ32" s="237" t="str">
        <f>sum_level("s",'Needs 171007_1810'!D32:BU32)</f>
        <v/>
      </c>
      <c r="CA32" s="238" t="str">
        <f>sum_level("e",'Needs 171007_1810'!D32:BU32)</f>
        <v/>
      </c>
    </row>
    <row r="33" spans="2:79" x14ac:dyDescent="0.25">
      <c r="B33" s="435"/>
      <c r="C33" s="291" t="s">
        <v>78</v>
      </c>
      <c r="D33" s="336"/>
      <c r="E33" s="337"/>
      <c r="F33" s="337"/>
      <c r="G33" s="337"/>
      <c r="H33" s="338"/>
      <c r="I33" s="336"/>
      <c r="J33" s="337"/>
      <c r="K33" s="337"/>
      <c r="L33" s="337"/>
      <c r="M33" s="338"/>
      <c r="N33" s="336"/>
      <c r="O33" s="337"/>
      <c r="P33" s="337"/>
      <c r="Q33" s="337"/>
      <c r="R33" s="338"/>
      <c r="S33" s="336"/>
      <c r="T33" s="337"/>
      <c r="U33" s="337"/>
      <c r="V33" s="337"/>
      <c r="W33" s="338"/>
      <c r="X33" s="336"/>
      <c r="Y33" s="337"/>
      <c r="Z33" s="337"/>
      <c r="AA33" s="337"/>
      <c r="AB33" s="338"/>
      <c r="AC33" s="336"/>
      <c r="AD33" s="337"/>
      <c r="AE33" s="337"/>
      <c r="AF33" s="337"/>
      <c r="AG33" s="338"/>
      <c r="AH33" s="336"/>
      <c r="AI33" s="337"/>
      <c r="AJ33" s="337"/>
      <c r="AK33" s="337"/>
      <c r="AL33" s="338"/>
      <c r="AM33" s="336"/>
      <c r="AN33" s="337"/>
      <c r="AO33" s="337"/>
      <c r="AP33" s="337"/>
      <c r="AQ33" s="338"/>
      <c r="AR33" s="336"/>
      <c r="AS33" s="337"/>
      <c r="AT33" s="337"/>
      <c r="AU33" s="337"/>
      <c r="AV33" s="338"/>
      <c r="AW33" s="336"/>
      <c r="AX33" s="337"/>
      <c r="AY33" s="337"/>
      <c r="AZ33" s="337"/>
      <c r="BA33" s="338"/>
      <c r="BB33" s="336"/>
      <c r="BC33" s="337"/>
      <c r="BD33" s="337"/>
      <c r="BE33" s="337"/>
      <c r="BF33" s="338"/>
      <c r="BG33" s="336"/>
      <c r="BH33" s="337"/>
      <c r="BI33" s="337"/>
      <c r="BJ33" s="337"/>
      <c r="BK33" s="338"/>
      <c r="BL33" s="336"/>
      <c r="BM33" s="337"/>
      <c r="BN33" s="337"/>
      <c r="BO33" s="337"/>
      <c r="BP33" s="338"/>
      <c r="BQ33" s="336"/>
      <c r="BR33" s="337"/>
      <c r="BS33" s="337"/>
      <c r="BT33" s="337"/>
      <c r="BU33" s="339"/>
      <c r="BW33" s="236" t="str">
        <f>sum_level("o",'Needs 171007_1810'!D33:BU33)</f>
        <v/>
      </c>
      <c r="BX33" s="237" t="str">
        <f>sum_level("j",'Needs 171007_1810'!D33:BU33)</f>
        <v/>
      </c>
      <c r="BY33" s="237" t="str">
        <f>sum_level("m",'Needs 171007_1810'!D33:BU33)</f>
        <v/>
      </c>
      <c r="BZ33" s="237" t="str">
        <f>sum_level("s",'Needs 171007_1810'!D33:BU33)</f>
        <v/>
      </c>
      <c r="CA33" s="238" t="str">
        <f>sum_level("e",'Needs 171007_1810'!D33:BU33)</f>
        <v/>
      </c>
    </row>
    <row r="34" spans="2:79" x14ac:dyDescent="0.25">
      <c r="B34" s="435"/>
      <c r="C34" s="291" t="s">
        <v>79</v>
      </c>
      <c r="D34" s="336"/>
      <c r="E34" s="337"/>
      <c r="F34" s="337"/>
      <c r="G34" s="337"/>
      <c r="H34" s="338"/>
      <c r="I34" s="336"/>
      <c r="J34" s="337"/>
      <c r="K34" s="337"/>
      <c r="L34" s="337"/>
      <c r="M34" s="338"/>
      <c r="N34" s="336"/>
      <c r="O34" s="337"/>
      <c r="P34" s="337"/>
      <c r="Q34" s="337"/>
      <c r="R34" s="338"/>
      <c r="S34" s="336"/>
      <c r="T34" s="337"/>
      <c r="U34" s="337"/>
      <c r="V34" s="337"/>
      <c r="W34" s="338"/>
      <c r="X34" s="336"/>
      <c r="Y34" s="337"/>
      <c r="Z34" s="337"/>
      <c r="AA34" s="337"/>
      <c r="AB34" s="338"/>
      <c r="AC34" s="336"/>
      <c r="AD34" s="337"/>
      <c r="AE34" s="337"/>
      <c r="AF34" s="337"/>
      <c r="AG34" s="338"/>
      <c r="AH34" s="336"/>
      <c r="AI34" s="337"/>
      <c r="AJ34" s="337"/>
      <c r="AK34" s="337"/>
      <c r="AL34" s="338"/>
      <c r="AM34" s="336"/>
      <c r="AN34" s="337"/>
      <c r="AO34" s="337"/>
      <c r="AP34" s="337"/>
      <c r="AQ34" s="338"/>
      <c r="AR34" s="336"/>
      <c r="AS34" s="337"/>
      <c r="AT34" s="337"/>
      <c r="AU34" s="337"/>
      <c r="AV34" s="338"/>
      <c r="AW34" s="336"/>
      <c r="AX34" s="337"/>
      <c r="AY34" s="337"/>
      <c r="AZ34" s="337"/>
      <c r="BA34" s="338"/>
      <c r="BB34" s="336"/>
      <c r="BC34" s="337"/>
      <c r="BD34" s="337"/>
      <c r="BE34" s="337"/>
      <c r="BF34" s="338"/>
      <c r="BG34" s="336"/>
      <c r="BH34" s="337"/>
      <c r="BI34" s="337"/>
      <c r="BJ34" s="337"/>
      <c r="BK34" s="338"/>
      <c r="BL34" s="336"/>
      <c r="BM34" s="337"/>
      <c r="BN34" s="337"/>
      <c r="BO34" s="337"/>
      <c r="BP34" s="338"/>
      <c r="BQ34" s="336"/>
      <c r="BR34" s="337"/>
      <c r="BS34" s="337"/>
      <c r="BT34" s="337"/>
      <c r="BU34" s="339"/>
      <c r="BW34" s="236" t="str">
        <f>sum_level("o",'Needs 171007_1810'!D34:BU34)</f>
        <v/>
      </c>
      <c r="BX34" s="237" t="str">
        <f>sum_level("j",'Needs 171007_1810'!D34:BU34)</f>
        <v/>
      </c>
      <c r="BY34" s="237" t="str">
        <f>sum_level("m",'Needs 171007_1810'!D34:BU34)</f>
        <v/>
      </c>
      <c r="BZ34" s="237" t="str">
        <f>sum_level("s",'Needs 171007_1810'!D34:BU34)</f>
        <v/>
      </c>
      <c r="CA34" s="238" t="str">
        <f>sum_level("e",'Needs 171007_1810'!D34:BU34)</f>
        <v/>
      </c>
    </row>
    <row r="35" spans="2:79" x14ac:dyDescent="0.25">
      <c r="B35" s="435"/>
      <c r="C35" s="291" t="s">
        <v>80</v>
      </c>
      <c r="D35" s="336"/>
      <c r="E35" s="337"/>
      <c r="F35" s="337"/>
      <c r="G35" s="337"/>
      <c r="H35" s="338"/>
      <c r="I35" s="336"/>
      <c r="J35" s="337"/>
      <c r="K35" s="337"/>
      <c r="L35" s="337"/>
      <c r="M35" s="338"/>
      <c r="N35" s="336"/>
      <c r="O35" s="337"/>
      <c r="P35" s="337"/>
      <c r="Q35" s="337"/>
      <c r="R35" s="338"/>
      <c r="S35" s="336"/>
      <c r="T35" s="337"/>
      <c r="U35" s="337"/>
      <c r="V35" s="337"/>
      <c r="W35" s="338"/>
      <c r="X35" s="336"/>
      <c r="Y35" s="337"/>
      <c r="Z35" s="337"/>
      <c r="AA35" s="337"/>
      <c r="AB35" s="338"/>
      <c r="AC35" s="336"/>
      <c r="AD35" s="337"/>
      <c r="AE35" s="337"/>
      <c r="AF35" s="337"/>
      <c r="AG35" s="338"/>
      <c r="AH35" s="336"/>
      <c r="AI35" s="337"/>
      <c r="AJ35" s="337"/>
      <c r="AK35" s="337"/>
      <c r="AL35" s="338"/>
      <c r="AM35" s="336"/>
      <c r="AN35" s="337"/>
      <c r="AO35" s="337"/>
      <c r="AP35" s="337"/>
      <c r="AQ35" s="338"/>
      <c r="AR35" s="336"/>
      <c r="AS35" s="337"/>
      <c r="AT35" s="337"/>
      <c r="AU35" s="337"/>
      <c r="AV35" s="338"/>
      <c r="AW35" s="336"/>
      <c r="AX35" s="337"/>
      <c r="AY35" s="337"/>
      <c r="AZ35" s="337"/>
      <c r="BA35" s="338"/>
      <c r="BB35" s="336"/>
      <c r="BC35" s="337"/>
      <c r="BD35" s="337"/>
      <c r="BE35" s="337"/>
      <c r="BF35" s="338"/>
      <c r="BG35" s="336"/>
      <c r="BH35" s="337"/>
      <c r="BI35" s="337"/>
      <c r="BJ35" s="337"/>
      <c r="BK35" s="338"/>
      <c r="BL35" s="336"/>
      <c r="BM35" s="337"/>
      <c r="BN35" s="337"/>
      <c r="BO35" s="337"/>
      <c r="BP35" s="338"/>
      <c r="BQ35" s="336"/>
      <c r="BR35" s="337"/>
      <c r="BS35" s="337"/>
      <c r="BT35" s="337"/>
      <c r="BU35" s="339"/>
      <c r="BW35" s="236" t="str">
        <f>sum_level("o",'Needs 171007_1810'!D35:BU35)</f>
        <v/>
      </c>
      <c r="BX35" s="237" t="str">
        <f>sum_level("j",'Needs 171007_1810'!D35:BU35)</f>
        <v/>
      </c>
      <c r="BY35" s="237" t="str">
        <f>sum_level("m",'Needs 171007_1810'!D35:BU35)</f>
        <v/>
      </c>
      <c r="BZ35" s="237" t="str">
        <f>sum_level("s",'Needs 171007_1810'!D35:BU35)</f>
        <v/>
      </c>
      <c r="CA35" s="238" t="str">
        <f>sum_level("e",'Needs 171007_1810'!D35:BU35)</f>
        <v/>
      </c>
    </row>
    <row r="36" spans="2:79" ht="15.75" thickBot="1" x14ac:dyDescent="0.3">
      <c r="B36" s="435"/>
      <c r="C36" s="292" t="s">
        <v>225</v>
      </c>
      <c r="D36" s="340"/>
      <c r="E36" s="341"/>
      <c r="F36" s="341"/>
      <c r="G36" s="341"/>
      <c r="H36" s="342"/>
      <c r="I36" s="340"/>
      <c r="J36" s="341"/>
      <c r="K36" s="341"/>
      <c r="L36" s="341"/>
      <c r="M36" s="342"/>
      <c r="N36" s="340"/>
      <c r="O36" s="341"/>
      <c r="P36" s="341"/>
      <c r="Q36" s="341"/>
      <c r="R36" s="342"/>
      <c r="S36" s="340"/>
      <c r="T36" s="341"/>
      <c r="U36" s="341"/>
      <c r="V36" s="341"/>
      <c r="W36" s="342"/>
      <c r="X36" s="340"/>
      <c r="Y36" s="341"/>
      <c r="Z36" s="341"/>
      <c r="AA36" s="341"/>
      <c r="AB36" s="342"/>
      <c r="AC36" s="340"/>
      <c r="AD36" s="341"/>
      <c r="AE36" s="341"/>
      <c r="AF36" s="341"/>
      <c r="AG36" s="342"/>
      <c r="AH36" s="340"/>
      <c r="AI36" s="341"/>
      <c r="AJ36" s="341"/>
      <c r="AK36" s="341"/>
      <c r="AL36" s="342"/>
      <c r="AM36" s="340"/>
      <c r="AN36" s="341"/>
      <c r="AO36" s="341"/>
      <c r="AP36" s="341"/>
      <c r="AQ36" s="342"/>
      <c r="AR36" s="340"/>
      <c r="AS36" s="341"/>
      <c r="AT36" s="341"/>
      <c r="AU36" s="341"/>
      <c r="AV36" s="342"/>
      <c r="AW36" s="340"/>
      <c r="AX36" s="341"/>
      <c r="AY36" s="341"/>
      <c r="AZ36" s="341"/>
      <c r="BA36" s="342"/>
      <c r="BB36" s="340"/>
      <c r="BC36" s="341"/>
      <c r="BD36" s="341"/>
      <c r="BE36" s="341"/>
      <c r="BF36" s="342"/>
      <c r="BG36" s="340"/>
      <c r="BH36" s="341"/>
      <c r="BI36" s="341"/>
      <c r="BJ36" s="341"/>
      <c r="BK36" s="342"/>
      <c r="BL36" s="340"/>
      <c r="BM36" s="341"/>
      <c r="BN36" s="341"/>
      <c r="BO36" s="341"/>
      <c r="BP36" s="342"/>
      <c r="BQ36" s="340"/>
      <c r="BR36" s="341"/>
      <c r="BS36" s="341"/>
      <c r="BT36" s="341"/>
      <c r="BU36" s="343"/>
      <c r="BW36" s="239" t="str">
        <f>sum_level("o",'Needs 171007_1810'!D36:BU36)</f>
        <v/>
      </c>
      <c r="BX36" s="240" t="str">
        <f>sum_level("j",'Needs 171007_1810'!D36:BU36)</f>
        <v/>
      </c>
      <c r="BY36" s="240" t="str">
        <f>sum_level("m",'Needs 171007_1810'!D36:BU36)</f>
        <v/>
      </c>
      <c r="BZ36" s="240" t="str">
        <f>sum_level("s",'Needs 171007_1810'!D36:BU36)</f>
        <v/>
      </c>
      <c r="CA36" s="241" t="str">
        <f>sum_level("e",'Needs 171007_1810'!D36:BU36)</f>
        <v/>
      </c>
    </row>
    <row r="37" spans="2:79" ht="12.75" customHeight="1" thickTop="1" thickBot="1" x14ac:dyDescent="0.3">
      <c r="B37" s="436"/>
      <c r="C37" s="248"/>
      <c r="D37" s="344"/>
      <c r="E37" s="344"/>
      <c r="F37" s="344"/>
      <c r="G37" s="344"/>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W37" s="249"/>
      <c r="BX37" s="249"/>
      <c r="BY37" s="249"/>
      <c r="BZ37" s="249"/>
      <c r="CA37" s="249"/>
    </row>
    <row r="38" spans="2:79" ht="15.75" thickTop="1" x14ac:dyDescent="0.25">
      <c r="B38" s="434" t="s">
        <v>81</v>
      </c>
      <c r="C38" s="290" t="s">
        <v>82</v>
      </c>
      <c r="D38" s="332"/>
      <c r="E38" s="333"/>
      <c r="F38" s="333"/>
      <c r="G38" s="333"/>
      <c r="H38" s="334"/>
      <c r="I38" s="332"/>
      <c r="J38" s="333"/>
      <c r="K38" s="333"/>
      <c r="L38" s="333"/>
      <c r="M38" s="334"/>
      <c r="N38" s="332"/>
      <c r="O38" s="333"/>
      <c r="P38" s="333"/>
      <c r="Q38" s="333"/>
      <c r="R38" s="334"/>
      <c r="S38" s="332"/>
      <c r="T38" s="333"/>
      <c r="U38" s="333"/>
      <c r="V38" s="333"/>
      <c r="W38" s="334"/>
      <c r="X38" s="332"/>
      <c r="Y38" s="333"/>
      <c r="Z38" s="333"/>
      <c r="AA38" s="333"/>
      <c r="AB38" s="334"/>
      <c r="AC38" s="332"/>
      <c r="AD38" s="333"/>
      <c r="AE38" s="333"/>
      <c r="AF38" s="333"/>
      <c r="AG38" s="334"/>
      <c r="AH38" s="332"/>
      <c r="AI38" s="333"/>
      <c r="AJ38" s="333"/>
      <c r="AK38" s="333"/>
      <c r="AL38" s="334"/>
      <c r="AM38" s="332"/>
      <c r="AN38" s="333"/>
      <c r="AO38" s="333"/>
      <c r="AP38" s="333"/>
      <c r="AQ38" s="334"/>
      <c r="AR38" s="332"/>
      <c r="AS38" s="333"/>
      <c r="AT38" s="333"/>
      <c r="AU38" s="333"/>
      <c r="AV38" s="334"/>
      <c r="AW38" s="332"/>
      <c r="AX38" s="333"/>
      <c r="AY38" s="333"/>
      <c r="AZ38" s="333"/>
      <c r="BA38" s="334"/>
      <c r="BB38" s="332">
        <v>21</v>
      </c>
      <c r="BC38" s="333"/>
      <c r="BD38" s="333"/>
      <c r="BE38" s="333"/>
      <c r="BF38" s="334"/>
      <c r="BG38" s="332"/>
      <c r="BH38" s="333"/>
      <c r="BI38" s="333"/>
      <c r="BJ38" s="333"/>
      <c r="BK38" s="334"/>
      <c r="BL38" s="332"/>
      <c r="BM38" s="333"/>
      <c r="BN38" s="333"/>
      <c r="BO38" s="333"/>
      <c r="BP38" s="334"/>
      <c r="BQ38" s="332"/>
      <c r="BR38" s="333"/>
      <c r="BS38" s="333"/>
      <c r="BT38" s="333"/>
      <c r="BU38" s="335"/>
      <c r="BW38" s="233" t="str">
        <f>sum_level("o",'Needs 171007_1810'!D38:BU38)</f>
        <v>21</v>
      </c>
      <c r="BX38" s="234" t="str">
        <f>sum_level("j",'Needs 171007_1810'!D38:BU38)</f>
        <v/>
      </c>
      <c r="BY38" s="234" t="str">
        <f>sum_level("m",'Needs 171007_1810'!D38:BU38)</f>
        <v/>
      </c>
      <c r="BZ38" s="234" t="str">
        <f>sum_level("s",'Needs 171007_1810'!D38:BU38)</f>
        <v/>
      </c>
      <c r="CA38" s="235" t="str">
        <f>sum_level("e",'Needs 171007_1810'!D38:BU38)</f>
        <v/>
      </c>
    </row>
    <row r="39" spans="2:79" x14ac:dyDescent="0.25">
      <c r="B39" s="435"/>
      <c r="C39" s="291" t="s">
        <v>83</v>
      </c>
      <c r="D39" s="336"/>
      <c r="E39" s="337"/>
      <c r="F39" s="337"/>
      <c r="G39" s="337"/>
      <c r="H39" s="338"/>
      <c r="I39" s="336"/>
      <c r="J39" s="337"/>
      <c r="K39" s="337"/>
      <c r="L39" s="337"/>
      <c r="M39" s="338"/>
      <c r="N39" s="336"/>
      <c r="O39" s="337"/>
      <c r="P39" s="337"/>
      <c r="Q39" s="337"/>
      <c r="R39" s="338"/>
      <c r="S39" s="336"/>
      <c r="T39" s="337"/>
      <c r="U39" s="337"/>
      <c r="V39" s="337"/>
      <c r="W39" s="338"/>
      <c r="X39" s="336"/>
      <c r="Y39" s="337"/>
      <c r="Z39" s="337"/>
      <c r="AA39" s="337"/>
      <c r="AB39" s="338"/>
      <c r="AC39" s="336"/>
      <c r="AD39" s="337"/>
      <c r="AE39" s="337"/>
      <c r="AF39" s="337"/>
      <c r="AG39" s="338"/>
      <c r="AH39" s="336"/>
      <c r="AI39" s="337"/>
      <c r="AJ39" s="337"/>
      <c r="AK39" s="337"/>
      <c r="AL39" s="338"/>
      <c r="AM39" s="336"/>
      <c r="AN39" s="337"/>
      <c r="AO39" s="337"/>
      <c r="AP39" s="337"/>
      <c r="AQ39" s="338"/>
      <c r="AR39" s="336"/>
      <c r="AS39" s="337"/>
      <c r="AT39" s="337"/>
      <c r="AU39" s="337"/>
      <c r="AV39" s="338"/>
      <c r="AW39" s="336"/>
      <c r="AX39" s="337"/>
      <c r="AY39" s="337"/>
      <c r="AZ39" s="337"/>
      <c r="BA39" s="338"/>
      <c r="BB39" s="336"/>
      <c r="BC39" s="337">
        <v>22</v>
      </c>
      <c r="BD39" s="337"/>
      <c r="BE39" s="337"/>
      <c r="BF39" s="338"/>
      <c r="BG39" s="336"/>
      <c r="BH39" s="337"/>
      <c r="BI39" s="337"/>
      <c r="BJ39" s="337"/>
      <c r="BK39" s="338"/>
      <c r="BL39" s="336"/>
      <c r="BM39" s="337"/>
      <c r="BN39" s="337"/>
      <c r="BO39" s="337"/>
      <c r="BP39" s="338"/>
      <c r="BQ39" s="336"/>
      <c r="BR39" s="337"/>
      <c r="BS39" s="337"/>
      <c r="BT39" s="337"/>
      <c r="BU39" s="339"/>
      <c r="BW39" s="236" t="str">
        <f>sum_level("o",'Needs 171007_1810'!D39:BU39)</f>
        <v/>
      </c>
      <c r="BX39" s="237" t="str">
        <f>sum_level("j",'Needs 171007_1810'!D39:BU39)</f>
        <v>22</v>
      </c>
      <c r="BY39" s="237" t="str">
        <f>sum_level("m",'Needs 171007_1810'!D39:BU39)</f>
        <v/>
      </c>
      <c r="BZ39" s="237" t="str">
        <f>sum_level("s",'Needs 171007_1810'!D39:BU39)</f>
        <v/>
      </c>
      <c r="CA39" s="238" t="str">
        <f>sum_level("e",'Needs 171007_1810'!D39:BU39)</f>
        <v/>
      </c>
    </row>
    <row r="40" spans="2:79" x14ac:dyDescent="0.25">
      <c r="B40" s="435"/>
      <c r="C40" s="291" t="s">
        <v>84</v>
      </c>
      <c r="D40" s="336"/>
      <c r="E40" s="337"/>
      <c r="F40" s="337"/>
      <c r="G40" s="337"/>
      <c r="H40" s="338"/>
      <c r="I40" s="336"/>
      <c r="J40" s="337"/>
      <c r="K40" s="337"/>
      <c r="L40" s="337"/>
      <c r="M40" s="338"/>
      <c r="N40" s="336"/>
      <c r="O40" s="337"/>
      <c r="P40" s="337"/>
      <c r="Q40" s="337"/>
      <c r="R40" s="338"/>
      <c r="S40" s="336"/>
      <c r="T40" s="337"/>
      <c r="U40" s="337"/>
      <c r="V40" s="337"/>
      <c r="W40" s="338"/>
      <c r="X40" s="336"/>
      <c r="Y40" s="337"/>
      <c r="Z40" s="337"/>
      <c r="AA40" s="337"/>
      <c r="AB40" s="338"/>
      <c r="AC40" s="336"/>
      <c r="AD40" s="337"/>
      <c r="AE40" s="337"/>
      <c r="AF40" s="337"/>
      <c r="AG40" s="338"/>
      <c r="AH40" s="336"/>
      <c r="AI40" s="337"/>
      <c r="AJ40" s="337"/>
      <c r="AK40" s="337"/>
      <c r="AL40" s="338"/>
      <c r="AM40" s="336"/>
      <c r="AN40" s="337"/>
      <c r="AO40" s="337"/>
      <c r="AP40" s="337"/>
      <c r="AQ40" s="338"/>
      <c r="AR40" s="336"/>
      <c r="AS40" s="337"/>
      <c r="AT40" s="337"/>
      <c r="AU40" s="337"/>
      <c r="AV40" s="338"/>
      <c r="AW40" s="336"/>
      <c r="AX40" s="337"/>
      <c r="AY40" s="337"/>
      <c r="AZ40" s="337"/>
      <c r="BA40" s="338"/>
      <c r="BB40" s="336"/>
      <c r="BC40" s="337"/>
      <c r="BD40" s="337">
        <v>23</v>
      </c>
      <c r="BE40" s="337"/>
      <c r="BF40" s="338"/>
      <c r="BG40" s="336"/>
      <c r="BH40" s="337"/>
      <c r="BI40" s="337"/>
      <c r="BJ40" s="337"/>
      <c r="BK40" s="338"/>
      <c r="BL40" s="336"/>
      <c r="BM40" s="337"/>
      <c r="BN40" s="337"/>
      <c r="BO40" s="337"/>
      <c r="BP40" s="338"/>
      <c r="BQ40" s="336"/>
      <c r="BR40" s="337"/>
      <c r="BS40" s="337"/>
      <c r="BT40" s="337"/>
      <c r="BU40" s="339"/>
      <c r="BW40" s="236" t="str">
        <f>sum_level("o",'Needs 171007_1810'!D40:BU40)</f>
        <v/>
      </c>
      <c r="BX40" s="237" t="str">
        <f>sum_level("j",'Needs 171007_1810'!D40:BU40)</f>
        <v/>
      </c>
      <c r="BY40" s="237" t="str">
        <f>sum_level("m",'Needs 171007_1810'!D40:BU40)</f>
        <v>23</v>
      </c>
      <c r="BZ40" s="237" t="str">
        <f>sum_level("s",'Needs 171007_1810'!D40:BU40)</f>
        <v/>
      </c>
      <c r="CA40" s="238" t="str">
        <f>sum_level("e",'Needs 171007_1810'!D40:BU40)</f>
        <v/>
      </c>
    </row>
    <row r="41" spans="2:79" x14ac:dyDescent="0.25">
      <c r="B41" s="435"/>
      <c r="C41" s="291" t="s">
        <v>85</v>
      </c>
      <c r="D41" s="336"/>
      <c r="E41" s="337"/>
      <c r="F41" s="337"/>
      <c r="G41" s="337"/>
      <c r="H41" s="338"/>
      <c r="I41" s="336"/>
      <c r="J41" s="337"/>
      <c r="K41" s="337"/>
      <c r="L41" s="337"/>
      <c r="M41" s="338"/>
      <c r="N41" s="336"/>
      <c r="O41" s="337"/>
      <c r="P41" s="337"/>
      <c r="Q41" s="337"/>
      <c r="R41" s="338"/>
      <c r="S41" s="336"/>
      <c r="T41" s="337"/>
      <c r="U41" s="337"/>
      <c r="V41" s="337"/>
      <c r="W41" s="338"/>
      <c r="X41" s="336"/>
      <c r="Y41" s="337"/>
      <c r="Z41" s="337"/>
      <c r="AA41" s="337"/>
      <c r="AB41" s="338"/>
      <c r="AC41" s="336"/>
      <c r="AD41" s="337"/>
      <c r="AE41" s="337"/>
      <c r="AF41" s="337"/>
      <c r="AG41" s="338"/>
      <c r="AH41" s="336"/>
      <c r="AI41" s="337"/>
      <c r="AJ41" s="337"/>
      <c r="AK41" s="337"/>
      <c r="AL41" s="338"/>
      <c r="AM41" s="336"/>
      <c r="AN41" s="337"/>
      <c r="AO41" s="337"/>
      <c r="AP41" s="337"/>
      <c r="AQ41" s="338"/>
      <c r="AR41" s="336"/>
      <c r="AS41" s="337"/>
      <c r="AT41" s="337"/>
      <c r="AU41" s="337"/>
      <c r="AV41" s="338"/>
      <c r="AW41" s="336"/>
      <c r="AX41" s="337"/>
      <c r="AY41" s="337"/>
      <c r="AZ41" s="337"/>
      <c r="BA41" s="338"/>
      <c r="BB41" s="336"/>
      <c r="BC41" s="337"/>
      <c r="BD41" s="337"/>
      <c r="BE41" s="337">
        <v>24</v>
      </c>
      <c r="BF41" s="338"/>
      <c r="BG41" s="336"/>
      <c r="BH41" s="337"/>
      <c r="BI41" s="337"/>
      <c r="BJ41" s="337"/>
      <c r="BK41" s="338"/>
      <c r="BL41" s="336"/>
      <c r="BM41" s="337"/>
      <c r="BN41" s="337"/>
      <c r="BO41" s="337"/>
      <c r="BP41" s="338"/>
      <c r="BQ41" s="336"/>
      <c r="BR41" s="337"/>
      <c r="BS41" s="337"/>
      <c r="BT41" s="337"/>
      <c r="BU41" s="339"/>
      <c r="BW41" s="236" t="str">
        <f>sum_level("o",'Needs 171007_1810'!D41:BU41)</f>
        <v/>
      </c>
      <c r="BX41" s="237" t="str">
        <f>sum_level("j",'Needs 171007_1810'!D41:BU41)</f>
        <v/>
      </c>
      <c r="BY41" s="237" t="str">
        <f>sum_level("m",'Needs 171007_1810'!D41:BU41)</f>
        <v/>
      </c>
      <c r="BZ41" s="237" t="str">
        <f>sum_level("s",'Needs 171007_1810'!D41:BU41)</f>
        <v>24</v>
      </c>
      <c r="CA41" s="238" t="str">
        <f>sum_level("e",'Needs 171007_1810'!D41:BU41)</f>
        <v/>
      </c>
    </row>
    <row r="42" spans="2:79" x14ac:dyDescent="0.25">
      <c r="B42" s="435"/>
      <c r="C42" s="291" t="s">
        <v>86</v>
      </c>
      <c r="D42" s="336"/>
      <c r="E42" s="337"/>
      <c r="F42" s="337"/>
      <c r="G42" s="337"/>
      <c r="H42" s="338"/>
      <c r="I42" s="336"/>
      <c r="J42" s="337"/>
      <c r="K42" s="337"/>
      <c r="L42" s="337"/>
      <c r="M42" s="338"/>
      <c r="N42" s="336"/>
      <c r="O42" s="337"/>
      <c r="P42" s="337"/>
      <c r="Q42" s="337"/>
      <c r="R42" s="338"/>
      <c r="S42" s="336"/>
      <c r="T42" s="337"/>
      <c r="U42" s="337"/>
      <c r="V42" s="337"/>
      <c r="W42" s="338"/>
      <c r="X42" s="336"/>
      <c r="Y42" s="337"/>
      <c r="Z42" s="337"/>
      <c r="AA42" s="337"/>
      <c r="AB42" s="338"/>
      <c r="AC42" s="336"/>
      <c r="AD42" s="337"/>
      <c r="AE42" s="337"/>
      <c r="AF42" s="337"/>
      <c r="AG42" s="338"/>
      <c r="AH42" s="336"/>
      <c r="AI42" s="337"/>
      <c r="AJ42" s="337"/>
      <c r="AK42" s="337"/>
      <c r="AL42" s="338"/>
      <c r="AM42" s="336"/>
      <c r="AN42" s="337"/>
      <c r="AO42" s="337"/>
      <c r="AP42" s="337"/>
      <c r="AQ42" s="338"/>
      <c r="AR42" s="336"/>
      <c r="AS42" s="337"/>
      <c r="AT42" s="337"/>
      <c r="AU42" s="337"/>
      <c r="AV42" s="338"/>
      <c r="AW42" s="336"/>
      <c r="AX42" s="337"/>
      <c r="AY42" s="337"/>
      <c r="AZ42" s="337"/>
      <c r="BA42" s="338"/>
      <c r="BB42" s="336"/>
      <c r="BC42" s="337"/>
      <c r="BD42" s="337"/>
      <c r="BE42" s="337"/>
      <c r="BF42" s="338">
        <v>25</v>
      </c>
      <c r="BG42" s="336"/>
      <c r="BH42" s="337"/>
      <c r="BI42" s="337"/>
      <c r="BJ42" s="337"/>
      <c r="BK42" s="338"/>
      <c r="BL42" s="336"/>
      <c r="BM42" s="337"/>
      <c r="BN42" s="337"/>
      <c r="BO42" s="337"/>
      <c r="BP42" s="338"/>
      <c r="BQ42" s="336"/>
      <c r="BR42" s="337"/>
      <c r="BS42" s="337"/>
      <c r="BT42" s="337"/>
      <c r="BU42" s="339"/>
      <c r="BW42" s="236" t="str">
        <f>sum_level("o",'Needs 171007_1810'!D42:BU42)</f>
        <v/>
      </c>
      <c r="BX42" s="237" t="str">
        <f>sum_level("j",'Needs 171007_1810'!D42:BU42)</f>
        <v/>
      </c>
      <c r="BY42" s="237" t="str">
        <f>sum_level("m",'Needs 171007_1810'!D42:BU42)</f>
        <v/>
      </c>
      <c r="BZ42" s="237" t="str">
        <f>sum_level("s",'Needs 171007_1810'!D42:BU42)</f>
        <v/>
      </c>
      <c r="CA42" s="238" t="str">
        <f>sum_level("e",'Needs 171007_1810'!D42:BU42)</f>
        <v>25</v>
      </c>
    </row>
    <row r="43" spans="2:79" x14ac:dyDescent="0.25">
      <c r="B43" s="435"/>
      <c r="C43" s="291" t="s">
        <v>87</v>
      </c>
      <c r="D43" s="336"/>
      <c r="E43" s="337"/>
      <c r="F43" s="337"/>
      <c r="G43" s="337"/>
      <c r="H43" s="338"/>
      <c r="I43" s="336"/>
      <c r="J43" s="337"/>
      <c r="K43" s="337"/>
      <c r="L43" s="337"/>
      <c r="M43" s="338"/>
      <c r="N43" s="336"/>
      <c r="O43" s="337"/>
      <c r="P43" s="337"/>
      <c r="Q43" s="337"/>
      <c r="R43" s="338"/>
      <c r="S43" s="336"/>
      <c r="T43" s="337"/>
      <c r="U43" s="337"/>
      <c r="V43" s="337"/>
      <c r="W43" s="338"/>
      <c r="X43" s="336"/>
      <c r="Y43" s="337"/>
      <c r="Z43" s="337"/>
      <c r="AA43" s="337"/>
      <c r="AB43" s="338"/>
      <c r="AC43" s="336"/>
      <c r="AD43" s="337"/>
      <c r="AE43" s="337"/>
      <c r="AF43" s="337"/>
      <c r="AG43" s="338"/>
      <c r="AH43" s="336"/>
      <c r="AI43" s="337"/>
      <c r="AJ43" s="337"/>
      <c r="AK43" s="337"/>
      <c r="AL43" s="338"/>
      <c r="AM43" s="336"/>
      <c r="AN43" s="337"/>
      <c r="AO43" s="337"/>
      <c r="AP43" s="337"/>
      <c r="AQ43" s="338"/>
      <c r="AR43" s="336"/>
      <c r="AS43" s="337"/>
      <c r="AT43" s="337"/>
      <c r="AU43" s="337"/>
      <c r="AV43" s="338"/>
      <c r="AW43" s="336"/>
      <c r="AX43" s="337"/>
      <c r="AY43" s="337"/>
      <c r="AZ43" s="337"/>
      <c r="BA43" s="338"/>
      <c r="BB43" s="336"/>
      <c r="BC43" s="337"/>
      <c r="BD43" s="337"/>
      <c r="BE43" s="337"/>
      <c r="BF43" s="338"/>
      <c r="BG43" s="336"/>
      <c r="BH43" s="337"/>
      <c r="BI43" s="337"/>
      <c r="BJ43" s="337"/>
      <c r="BK43" s="338"/>
      <c r="BL43" s="336"/>
      <c r="BM43" s="337"/>
      <c r="BN43" s="337"/>
      <c r="BO43" s="337"/>
      <c r="BP43" s="338"/>
      <c r="BQ43" s="336"/>
      <c r="BR43" s="337"/>
      <c r="BS43" s="337"/>
      <c r="BT43" s="337"/>
      <c r="BU43" s="339"/>
      <c r="BW43" s="236" t="str">
        <f>sum_level("o",'Needs 171007_1810'!D43:BU43)</f>
        <v/>
      </c>
      <c r="BX43" s="237" t="str">
        <f>sum_level("j",'Needs 171007_1810'!D43:BU43)</f>
        <v/>
      </c>
      <c r="BY43" s="237" t="str">
        <f>sum_level("m",'Needs 171007_1810'!D43:BU43)</f>
        <v/>
      </c>
      <c r="BZ43" s="237" t="str">
        <f>sum_level("s",'Needs 171007_1810'!D43:BU43)</f>
        <v/>
      </c>
      <c r="CA43" s="238" t="str">
        <f>sum_level("e",'Needs 171007_1810'!D43:BU43)</f>
        <v/>
      </c>
    </row>
    <row r="44" spans="2:79" x14ac:dyDescent="0.25">
      <c r="B44" s="435"/>
      <c r="C44" s="291" t="s">
        <v>88</v>
      </c>
      <c r="D44" s="336"/>
      <c r="E44" s="337"/>
      <c r="F44" s="337"/>
      <c r="G44" s="337"/>
      <c r="H44" s="338"/>
      <c r="I44" s="336"/>
      <c r="J44" s="337"/>
      <c r="K44" s="337"/>
      <c r="L44" s="337"/>
      <c r="M44" s="338"/>
      <c r="N44" s="336"/>
      <c r="O44" s="337"/>
      <c r="P44" s="337"/>
      <c r="Q44" s="337"/>
      <c r="R44" s="338"/>
      <c r="S44" s="336"/>
      <c r="T44" s="337"/>
      <c r="U44" s="337"/>
      <c r="V44" s="337"/>
      <c r="W44" s="338"/>
      <c r="X44" s="336"/>
      <c r="Y44" s="337"/>
      <c r="Z44" s="337"/>
      <c r="AA44" s="337"/>
      <c r="AB44" s="338"/>
      <c r="AC44" s="336"/>
      <c r="AD44" s="337"/>
      <c r="AE44" s="337"/>
      <c r="AF44" s="337"/>
      <c r="AG44" s="338"/>
      <c r="AH44" s="336"/>
      <c r="AI44" s="337"/>
      <c r="AJ44" s="337"/>
      <c r="AK44" s="337"/>
      <c r="AL44" s="338"/>
      <c r="AM44" s="336"/>
      <c r="AN44" s="337"/>
      <c r="AO44" s="337"/>
      <c r="AP44" s="337"/>
      <c r="AQ44" s="338"/>
      <c r="AR44" s="336"/>
      <c r="AS44" s="337"/>
      <c r="AT44" s="337"/>
      <c r="AU44" s="337"/>
      <c r="AV44" s="338"/>
      <c r="AW44" s="336"/>
      <c r="AX44" s="337"/>
      <c r="AY44" s="337"/>
      <c r="AZ44" s="337"/>
      <c r="BA44" s="338"/>
      <c r="BB44" s="336"/>
      <c r="BC44" s="337"/>
      <c r="BD44" s="337"/>
      <c r="BE44" s="337"/>
      <c r="BF44" s="338"/>
      <c r="BG44" s="336"/>
      <c r="BH44" s="337"/>
      <c r="BI44" s="337"/>
      <c r="BJ44" s="337"/>
      <c r="BK44" s="338"/>
      <c r="BL44" s="336"/>
      <c r="BM44" s="337"/>
      <c r="BN44" s="337"/>
      <c r="BO44" s="337"/>
      <c r="BP44" s="338"/>
      <c r="BQ44" s="336"/>
      <c r="BR44" s="337"/>
      <c r="BS44" s="337"/>
      <c r="BT44" s="337"/>
      <c r="BU44" s="339"/>
      <c r="BW44" s="236" t="str">
        <f>sum_level("o",'Needs 171007_1810'!D44:BU44)</f>
        <v/>
      </c>
      <c r="BX44" s="237" t="str">
        <f>sum_level("j",'Needs 171007_1810'!D44:BU44)</f>
        <v/>
      </c>
      <c r="BY44" s="237" t="str">
        <f>sum_level("m",'Needs 171007_1810'!D44:BU44)</f>
        <v/>
      </c>
      <c r="BZ44" s="237" t="str">
        <f>sum_level("s",'Needs 171007_1810'!D44:BU44)</f>
        <v/>
      </c>
      <c r="CA44" s="238" t="str">
        <f>sum_level("e",'Needs 171007_1810'!D44:BU44)</f>
        <v/>
      </c>
    </row>
    <row r="45" spans="2:79" x14ac:dyDescent="0.25">
      <c r="B45" s="435"/>
      <c r="C45" s="291" t="s">
        <v>89</v>
      </c>
      <c r="D45" s="336"/>
      <c r="E45" s="337"/>
      <c r="F45" s="337"/>
      <c r="G45" s="337"/>
      <c r="H45" s="338"/>
      <c r="I45" s="336"/>
      <c r="J45" s="337"/>
      <c r="K45" s="337"/>
      <c r="L45" s="337"/>
      <c r="M45" s="338"/>
      <c r="N45" s="336"/>
      <c r="O45" s="337"/>
      <c r="P45" s="337"/>
      <c r="Q45" s="337"/>
      <c r="R45" s="338"/>
      <c r="S45" s="336"/>
      <c r="T45" s="337"/>
      <c r="U45" s="337"/>
      <c r="V45" s="337"/>
      <c r="W45" s="338"/>
      <c r="X45" s="336"/>
      <c r="Y45" s="337"/>
      <c r="Z45" s="337"/>
      <c r="AA45" s="337"/>
      <c r="AB45" s="338"/>
      <c r="AC45" s="336"/>
      <c r="AD45" s="337"/>
      <c r="AE45" s="337"/>
      <c r="AF45" s="337"/>
      <c r="AG45" s="338"/>
      <c r="AH45" s="336"/>
      <c r="AI45" s="337"/>
      <c r="AJ45" s="337"/>
      <c r="AK45" s="337"/>
      <c r="AL45" s="338"/>
      <c r="AM45" s="336"/>
      <c r="AN45" s="337"/>
      <c r="AO45" s="337"/>
      <c r="AP45" s="337"/>
      <c r="AQ45" s="338"/>
      <c r="AR45" s="336"/>
      <c r="AS45" s="337"/>
      <c r="AT45" s="337"/>
      <c r="AU45" s="337"/>
      <c r="AV45" s="338"/>
      <c r="AW45" s="336"/>
      <c r="AX45" s="337"/>
      <c r="AY45" s="337"/>
      <c r="AZ45" s="337"/>
      <c r="BA45" s="338"/>
      <c r="BB45" s="336"/>
      <c r="BC45" s="337"/>
      <c r="BD45" s="337"/>
      <c r="BE45" s="337"/>
      <c r="BF45" s="338"/>
      <c r="BG45" s="336"/>
      <c r="BH45" s="337"/>
      <c r="BI45" s="337"/>
      <c r="BJ45" s="337"/>
      <c r="BK45" s="338"/>
      <c r="BL45" s="336"/>
      <c r="BM45" s="337"/>
      <c r="BN45" s="337"/>
      <c r="BO45" s="337"/>
      <c r="BP45" s="338"/>
      <c r="BQ45" s="336"/>
      <c r="BR45" s="337"/>
      <c r="BS45" s="337"/>
      <c r="BT45" s="337"/>
      <c r="BU45" s="339"/>
      <c r="BW45" s="236" t="str">
        <f>sum_level("o",'Needs 171007_1810'!D45:BU45)</f>
        <v/>
      </c>
      <c r="BX45" s="237" t="str">
        <f>sum_level("j",'Needs 171007_1810'!D45:BU45)</f>
        <v/>
      </c>
      <c r="BY45" s="237" t="str">
        <f>sum_level("m",'Needs 171007_1810'!D45:BU45)</f>
        <v/>
      </c>
      <c r="BZ45" s="237" t="str">
        <f>sum_level("s",'Needs 171007_1810'!D45:BU45)</f>
        <v/>
      </c>
      <c r="CA45" s="238" t="str">
        <f>sum_level("e",'Needs 171007_1810'!D45:BU45)</f>
        <v/>
      </c>
    </row>
    <row r="46" spans="2:79" x14ac:dyDescent="0.25">
      <c r="B46" s="435"/>
      <c r="C46" s="291" t="s">
        <v>90</v>
      </c>
      <c r="D46" s="336"/>
      <c r="E46" s="337"/>
      <c r="F46" s="337"/>
      <c r="G46" s="337"/>
      <c r="H46" s="338"/>
      <c r="I46" s="336"/>
      <c r="J46" s="337"/>
      <c r="K46" s="337"/>
      <c r="L46" s="337"/>
      <c r="M46" s="338"/>
      <c r="N46" s="336"/>
      <c r="O46" s="337"/>
      <c r="P46" s="337"/>
      <c r="Q46" s="337"/>
      <c r="R46" s="338"/>
      <c r="S46" s="336"/>
      <c r="T46" s="337"/>
      <c r="U46" s="337"/>
      <c r="V46" s="337"/>
      <c r="W46" s="338"/>
      <c r="X46" s="336"/>
      <c r="Y46" s="337"/>
      <c r="Z46" s="337"/>
      <c r="AA46" s="337"/>
      <c r="AB46" s="338"/>
      <c r="AC46" s="336"/>
      <c r="AD46" s="337"/>
      <c r="AE46" s="337"/>
      <c r="AF46" s="337"/>
      <c r="AG46" s="338"/>
      <c r="AH46" s="336"/>
      <c r="AI46" s="337"/>
      <c r="AJ46" s="337"/>
      <c r="AK46" s="337"/>
      <c r="AL46" s="338"/>
      <c r="AM46" s="336"/>
      <c r="AN46" s="337"/>
      <c r="AO46" s="337"/>
      <c r="AP46" s="337"/>
      <c r="AQ46" s="338"/>
      <c r="AR46" s="336"/>
      <c r="AS46" s="337"/>
      <c r="AT46" s="337"/>
      <c r="AU46" s="337"/>
      <c r="AV46" s="338"/>
      <c r="AW46" s="336"/>
      <c r="AX46" s="337"/>
      <c r="AY46" s="337"/>
      <c r="AZ46" s="337"/>
      <c r="BA46" s="338"/>
      <c r="BB46" s="336"/>
      <c r="BC46" s="337"/>
      <c r="BD46" s="337"/>
      <c r="BE46" s="337"/>
      <c r="BF46" s="338"/>
      <c r="BG46" s="336"/>
      <c r="BH46" s="337"/>
      <c r="BI46" s="337"/>
      <c r="BJ46" s="337"/>
      <c r="BK46" s="338"/>
      <c r="BL46" s="336"/>
      <c r="BM46" s="337"/>
      <c r="BN46" s="337"/>
      <c r="BO46" s="337"/>
      <c r="BP46" s="338"/>
      <c r="BQ46" s="336"/>
      <c r="BR46" s="337"/>
      <c r="BS46" s="337"/>
      <c r="BT46" s="337"/>
      <c r="BU46" s="339"/>
      <c r="BW46" s="236" t="str">
        <f>sum_level("o",'Needs 171007_1810'!D46:BU46)</f>
        <v/>
      </c>
      <c r="BX46" s="237" t="str">
        <f>sum_level("j",'Needs 171007_1810'!D46:BU46)</f>
        <v/>
      </c>
      <c r="BY46" s="237" t="str">
        <f>sum_level("m",'Needs 171007_1810'!D46:BU46)</f>
        <v/>
      </c>
      <c r="BZ46" s="237" t="str">
        <f>sum_level("s",'Needs 171007_1810'!D46:BU46)</f>
        <v/>
      </c>
      <c r="CA46" s="238" t="str">
        <f>sum_level("e",'Needs 171007_1810'!D46:BU46)</f>
        <v/>
      </c>
    </row>
    <row r="47" spans="2:79" x14ac:dyDescent="0.25">
      <c r="B47" s="435"/>
      <c r="C47" s="291" t="s">
        <v>91</v>
      </c>
      <c r="D47" s="336"/>
      <c r="E47" s="337"/>
      <c r="F47" s="337"/>
      <c r="G47" s="337"/>
      <c r="H47" s="338"/>
      <c r="I47" s="336"/>
      <c r="J47" s="337"/>
      <c r="K47" s="337"/>
      <c r="L47" s="337"/>
      <c r="M47" s="338"/>
      <c r="N47" s="336"/>
      <c r="O47" s="337"/>
      <c r="P47" s="337"/>
      <c r="Q47" s="337"/>
      <c r="R47" s="338"/>
      <c r="S47" s="336"/>
      <c r="T47" s="337"/>
      <c r="U47" s="337"/>
      <c r="V47" s="337"/>
      <c r="W47" s="338"/>
      <c r="X47" s="336"/>
      <c r="Y47" s="337"/>
      <c r="Z47" s="337"/>
      <c r="AA47" s="337"/>
      <c r="AB47" s="338"/>
      <c r="AC47" s="336"/>
      <c r="AD47" s="337"/>
      <c r="AE47" s="337"/>
      <c r="AF47" s="337"/>
      <c r="AG47" s="338"/>
      <c r="AH47" s="336"/>
      <c r="AI47" s="337"/>
      <c r="AJ47" s="337"/>
      <c r="AK47" s="337"/>
      <c r="AL47" s="338"/>
      <c r="AM47" s="336"/>
      <c r="AN47" s="337"/>
      <c r="AO47" s="337"/>
      <c r="AP47" s="337"/>
      <c r="AQ47" s="338"/>
      <c r="AR47" s="336"/>
      <c r="AS47" s="337"/>
      <c r="AT47" s="337"/>
      <c r="AU47" s="337"/>
      <c r="AV47" s="338"/>
      <c r="AW47" s="336"/>
      <c r="AX47" s="337"/>
      <c r="AY47" s="337"/>
      <c r="AZ47" s="337"/>
      <c r="BA47" s="338"/>
      <c r="BB47" s="336"/>
      <c r="BC47" s="337"/>
      <c r="BD47" s="337"/>
      <c r="BE47" s="337"/>
      <c r="BF47" s="338"/>
      <c r="BG47" s="336"/>
      <c r="BH47" s="337"/>
      <c r="BI47" s="337"/>
      <c r="BJ47" s="337"/>
      <c r="BK47" s="338"/>
      <c r="BL47" s="336"/>
      <c r="BM47" s="337"/>
      <c r="BN47" s="337"/>
      <c r="BO47" s="337"/>
      <c r="BP47" s="338"/>
      <c r="BQ47" s="336"/>
      <c r="BR47" s="337"/>
      <c r="BS47" s="337"/>
      <c r="BT47" s="337"/>
      <c r="BU47" s="339"/>
      <c r="BW47" s="236" t="str">
        <f>sum_level("o",'Needs 171007_1810'!D47:BU47)</f>
        <v/>
      </c>
      <c r="BX47" s="237" t="str">
        <f>sum_level("j",'Needs 171007_1810'!D47:BU47)</f>
        <v/>
      </c>
      <c r="BY47" s="237" t="str">
        <f>sum_level("m",'Needs 171007_1810'!D47:BU47)</f>
        <v/>
      </c>
      <c r="BZ47" s="237" t="str">
        <f>sum_level("s",'Needs 171007_1810'!D47:BU47)</f>
        <v/>
      </c>
      <c r="CA47" s="238" t="str">
        <f>sum_level("e",'Needs 171007_1810'!D47:BU47)</f>
        <v/>
      </c>
    </row>
    <row r="48" spans="2:79" x14ac:dyDescent="0.25">
      <c r="B48" s="435"/>
      <c r="C48" s="291" t="s">
        <v>226</v>
      </c>
      <c r="D48" s="336"/>
      <c r="E48" s="337"/>
      <c r="F48" s="337"/>
      <c r="G48" s="337"/>
      <c r="H48" s="338"/>
      <c r="I48" s="336"/>
      <c r="J48" s="337"/>
      <c r="K48" s="337"/>
      <c r="L48" s="337"/>
      <c r="M48" s="338"/>
      <c r="N48" s="336"/>
      <c r="O48" s="337"/>
      <c r="P48" s="337"/>
      <c r="Q48" s="337"/>
      <c r="R48" s="338"/>
      <c r="S48" s="336"/>
      <c r="T48" s="337"/>
      <c r="U48" s="337"/>
      <c r="V48" s="337"/>
      <c r="W48" s="338"/>
      <c r="X48" s="336"/>
      <c r="Y48" s="337"/>
      <c r="Z48" s="337"/>
      <c r="AA48" s="337"/>
      <c r="AB48" s="338"/>
      <c r="AC48" s="336"/>
      <c r="AD48" s="337"/>
      <c r="AE48" s="337"/>
      <c r="AF48" s="337"/>
      <c r="AG48" s="338"/>
      <c r="AH48" s="336"/>
      <c r="AI48" s="337"/>
      <c r="AJ48" s="337"/>
      <c r="AK48" s="337"/>
      <c r="AL48" s="338"/>
      <c r="AM48" s="336"/>
      <c r="AN48" s="337"/>
      <c r="AO48" s="337"/>
      <c r="AP48" s="337"/>
      <c r="AQ48" s="338"/>
      <c r="AR48" s="336"/>
      <c r="AS48" s="337"/>
      <c r="AT48" s="337"/>
      <c r="AU48" s="337"/>
      <c r="AV48" s="338"/>
      <c r="AW48" s="336"/>
      <c r="AX48" s="337"/>
      <c r="AY48" s="337"/>
      <c r="AZ48" s="337"/>
      <c r="BA48" s="338"/>
      <c r="BB48" s="336"/>
      <c r="BC48" s="337"/>
      <c r="BD48" s="337"/>
      <c r="BE48" s="337"/>
      <c r="BF48" s="338"/>
      <c r="BG48" s="336"/>
      <c r="BH48" s="337"/>
      <c r="BI48" s="337"/>
      <c r="BJ48" s="337"/>
      <c r="BK48" s="338"/>
      <c r="BL48" s="336"/>
      <c r="BM48" s="337"/>
      <c r="BN48" s="337"/>
      <c r="BO48" s="337"/>
      <c r="BP48" s="338"/>
      <c r="BQ48" s="336"/>
      <c r="BR48" s="337"/>
      <c r="BS48" s="337"/>
      <c r="BT48" s="337"/>
      <c r="BU48" s="339"/>
      <c r="BW48" s="236" t="str">
        <f>sum_level("o",'Needs 171007_1810'!D48:BU48)</f>
        <v/>
      </c>
      <c r="BX48" s="237" t="str">
        <f>sum_level("j",'Needs 171007_1810'!D48:BU48)</f>
        <v/>
      </c>
      <c r="BY48" s="237" t="str">
        <f>sum_level("m",'Needs 171007_1810'!D48:BU48)</f>
        <v/>
      </c>
      <c r="BZ48" s="237" t="str">
        <f>sum_level("s",'Needs 171007_1810'!D48:BU48)</f>
        <v/>
      </c>
      <c r="CA48" s="238" t="str">
        <f>sum_level("e",'Needs 171007_1810'!D48:BU48)</f>
        <v/>
      </c>
    </row>
    <row r="49" spans="2:79" ht="15.75" thickBot="1" x14ac:dyDescent="0.3">
      <c r="B49" s="435"/>
      <c r="C49" s="292" t="s">
        <v>227</v>
      </c>
      <c r="D49" s="340"/>
      <c r="E49" s="341"/>
      <c r="F49" s="341"/>
      <c r="G49" s="341"/>
      <c r="H49" s="342"/>
      <c r="I49" s="340"/>
      <c r="J49" s="341"/>
      <c r="K49" s="341"/>
      <c r="L49" s="341"/>
      <c r="M49" s="342"/>
      <c r="N49" s="340"/>
      <c r="O49" s="341"/>
      <c r="P49" s="341"/>
      <c r="Q49" s="341"/>
      <c r="R49" s="342"/>
      <c r="S49" s="340"/>
      <c r="T49" s="341"/>
      <c r="U49" s="341"/>
      <c r="V49" s="341"/>
      <c r="W49" s="342"/>
      <c r="X49" s="340"/>
      <c r="Y49" s="341"/>
      <c r="Z49" s="341"/>
      <c r="AA49" s="341"/>
      <c r="AB49" s="342"/>
      <c r="AC49" s="340"/>
      <c r="AD49" s="341"/>
      <c r="AE49" s="341"/>
      <c r="AF49" s="341"/>
      <c r="AG49" s="342"/>
      <c r="AH49" s="340"/>
      <c r="AI49" s="341"/>
      <c r="AJ49" s="341"/>
      <c r="AK49" s="341"/>
      <c r="AL49" s="342"/>
      <c r="AM49" s="340"/>
      <c r="AN49" s="341"/>
      <c r="AO49" s="341"/>
      <c r="AP49" s="341"/>
      <c r="AQ49" s="342"/>
      <c r="AR49" s="340"/>
      <c r="AS49" s="341"/>
      <c r="AT49" s="341"/>
      <c r="AU49" s="341"/>
      <c r="AV49" s="342"/>
      <c r="AW49" s="340"/>
      <c r="AX49" s="341"/>
      <c r="AY49" s="341"/>
      <c r="AZ49" s="341"/>
      <c r="BA49" s="342"/>
      <c r="BB49" s="340"/>
      <c r="BC49" s="341"/>
      <c r="BD49" s="341"/>
      <c r="BE49" s="341"/>
      <c r="BF49" s="342"/>
      <c r="BG49" s="340"/>
      <c r="BH49" s="341"/>
      <c r="BI49" s="341"/>
      <c r="BJ49" s="341"/>
      <c r="BK49" s="342"/>
      <c r="BL49" s="340"/>
      <c r="BM49" s="341"/>
      <c r="BN49" s="341"/>
      <c r="BO49" s="341"/>
      <c r="BP49" s="342"/>
      <c r="BQ49" s="340"/>
      <c r="BR49" s="341"/>
      <c r="BS49" s="341"/>
      <c r="BT49" s="341"/>
      <c r="BU49" s="343"/>
      <c r="BW49" s="239" t="str">
        <f>sum_level("o",'Needs 171007_1810'!D49:BU49)</f>
        <v/>
      </c>
      <c r="BX49" s="240" t="str">
        <f>sum_level("j",'Needs 171007_1810'!D49:BU49)</f>
        <v/>
      </c>
      <c r="BY49" s="240" t="str">
        <f>sum_level("m",'Needs 171007_1810'!D49:BU49)</f>
        <v/>
      </c>
      <c r="BZ49" s="240" t="str">
        <f>sum_level("s",'Needs 171007_1810'!D49:BU49)</f>
        <v/>
      </c>
      <c r="CA49" s="241" t="str">
        <f>sum_level("e",'Needs 171007_1810'!D49:BU49)</f>
        <v/>
      </c>
    </row>
    <row r="50" spans="2:79" ht="12.75" customHeight="1" thickTop="1" thickBot="1" x14ac:dyDescent="0.3">
      <c r="B50" s="436"/>
      <c r="C50" s="248"/>
      <c r="D50" s="344"/>
      <c r="E50" s="344"/>
      <c r="F50" s="344"/>
      <c r="G50" s="344"/>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c r="BH50" s="344"/>
      <c r="BI50" s="344"/>
      <c r="BJ50" s="344"/>
      <c r="BK50" s="344"/>
      <c r="BL50" s="344"/>
      <c r="BM50" s="344"/>
      <c r="BN50" s="344"/>
      <c r="BO50" s="344"/>
      <c r="BP50" s="344"/>
      <c r="BQ50" s="344"/>
      <c r="BR50" s="344"/>
      <c r="BS50" s="344"/>
      <c r="BT50" s="344"/>
      <c r="BU50" s="344"/>
      <c r="BW50" s="249"/>
      <c r="BX50" s="249"/>
      <c r="BY50" s="249"/>
      <c r="BZ50" s="249"/>
      <c r="CA50" s="249"/>
    </row>
    <row r="51" spans="2:79" ht="15.75" thickTop="1" x14ac:dyDescent="0.25">
      <c r="B51" s="434" t="s">
        <v>122</v>
      </c>
      <c r="C51" s="290" t="s">
        <v>92</v>
      </c>
      <c r="D51" s="332"/>
      <c r="E51" s="333"/>
      <c r="F51" s="333"/>
      <c r="G51" s="333"/>
      <c r="H51" s="334"/>
      <c r="I51" s="332"/>
      <c r="J51" s="333"/>
      <c r="K51" s="333"/>
      <c r="L51" s="333"/>
      <c r="M51" s="334"/>
      <c r="N51" s="332"/>
      <c r="O51" s="333"/>
      <c r="P51" s="333"/>
      <c r="Q51" s="333"/>
      <c r="R51" s="334"/>
      <c r="S51" s="332"/>
      <c r="T51" s="333"/>
      <c r="U51" s="333"/>
      <c r="V51" s="333"/>
      <c r="W51" s="334"/>
      <c r="X51" s="332"/>
      <c r="Y51" s="333"/>
      <c r="Z51" s="333"/>
      <c r="AA51" s="333"/>
      <c r="AB51" s="334"/>
      <c r="AC51" s="332"/>
      <c r="AD51" s="333"/>
      <c r="AE51" s="333"/>
      <c r="AF51" s="333"/>
      <c r="AG51" s="334"/>
      <c r="AH51" s="332"/>
      <c r="AI51" s="333"/>
      <c r="AJ51" s="333"/>
      <c r="AK51" s="333"/>
      <c r="AL51" s="334"/>
      <c r="AM51" s="332"/>
      <c r="AN51" s="333"/>
      <c r="AO51" s="333"/>
      <c r="AP51" s="333"/>
      <c r="AQ51" s="334"/>
      <c r="AR51" s="332"/>
      <c r="AS51" s="333"/>
      <c r="AT51" s="333"/>
      <c r="AU51" s="333"/>
      <c r="AV51" s="334"/>
      <c r="AW51" s="332"/>
      <c r="AX51" s="333"/>
      <c r="AY51" s="333"/>
      <c r="AZ51" s="333"/>
      <c r="BA51" s="334"/>
      <c r="BB51" s="332"/>
      <c r="BC51" s="333"/>
      <c r="BD51" s="333"/>
      <c r="BE51" s="333"/>
      <c r="BF51" s="334"/>
      <c r="BG51" s="332">
        <v>26</v>
      </c>
      <c r="BH51" s="333"/>
      <c r="BI51" s="333"/>
      <c r="BJ51" s="333"/>
      <c r="BK51" s="334"/>
      <c r="BL51" s="332"/>
      <c r="BM51" s="333"/>
      <c r="BN51" s="333"/>
      <c r="BO51" s="333"/>
      <c r="BP51" s="334"/>
      <c r="BQ51" s="332"/>
      <c r="BR51" s="333"/>
      <c r="BS51" s="333"/>
      <c r="BT51" s="333"/>
      <c r="BU51" s="335"/>
      <c r="BW51" s="233" t="str">
        <f>sum_level("o",'Needs 171007_1810'!D51:BU51)</f>
        <v>26</v>
      </c>
      <c r="BX51" s="234" t="str">
        <f>sum_level("j",'Needs 171007_1810'!D51:BU51)</f>
        <v/>
      </c>
      <c r="BY51" s="234" t="str">
        <f>sum_level("m",'Needs 171007_1810'!D51:BU51)</f>
        <v/>
      </c>
      <c r="BZ51" s="234" t="str">
        <f>sum_level("s",'Needs 171007_1810'!D51:BU51)</f>
        <v/>
      </c>
      <c r="CA51" s="235" t="str">
        <f>sum_level("e",'Needs 171007_1810'!D51:BU51)</f>
        <v/>
      </c>
    </row>
    <row r="52" spans="2:79" x14ac:dyDescent="0.25">
      <c r="B52" s="435"/>
      <c r="C52" s="291" t="s">
        <v>93</v>
      </c>
      <c r="D52" s="336"/>
      <c r="E52" s="337"/>
      <c r="F52" s="337"/>
      <c r="G52" s="337"/>
      <c r="H52" s="338"/>
      <c r="I52" s="336"/>
      <c r="J52" s="337"/>
      <c r="K52" s="337"/>
      <c r="L52" s="337"/>
      <c r="M52" s="338"/>
      <c r="N52" s="336"/>
      <c r="O52" s="337"/>
      <c r="P52" s="337"/>
      <c r="Q52" s="337"/>
      <c r="R52" s="338"/>
      <c r="S52" s="336"/>
      <c r="T52" s="337"/>
      <c r="U52" s="337"/>
      <c r="V52" s="337"/>
      <c r="W52" s="338"/>
      <c r="X52" s="336"/>
      <c r="Y52" s="337"/>
      <c r="Z52" s="337"/>
      <c r="AA52" s="337"/>
      <c r="AB52" s="338"/>
      <c r="AC52" s="336"/>
      <c r="AD52" s="337"/>
      <c r="AE52" s="337"/>
      <c r="AF52" s="337"/>
      <c r="AG52" s="338"/>
      <c r="AH52" s="336"/>
      <c r="AI52" s="337"/>
      <c r="AJ52" s="337"/>
      <c r="AK52" s="337"/>
      <c r="AL52" s="338"/>
      <c r="AM52" s="336"/>
      <c r="AN52" s="337"/>
      <c r="AO52" s="337"/>
      <c r="AP52" s="337"/>
      <c r="AQ52" s="338"/>
      <c r="AR52" s="336"/>
      <c r="AS52" s="337"/>
      <c r="AT52" s="337"/>
      <c r="AU52" s="337"/>
      <c r="AV52" s="338"/>
      <c r="AW52" s="336"/>
      <c r="AX52" s="337"/>
      <c r="AY52" s="337"/>
      <c r="AZ52" s="337"/>
      <c r="BA52" s="338"/>
      <c r="BB52" s="336"/>
      <c r="BC52" s="337"/>
      <c r="BD52" s="337"/>
      <c r="BE52" s="337"/>
      <c r="BF52" s="338"/>
      <c r="BG52" s="336"/>
      <c r="BH52" s="337">
        <v>27</v>
      </c>
      <c r="BI52" s="337"/>
      <c r="BJ52" s="337"/>
      <c r="BK52" s="338"/>
      <c r="BL52" s="336"/>
      <c r="BM52" s="337"/>
      <c r="BN52" s="337"/>
      <c r="BO52" s="337"/>
      <c r="BP52" s="338"/>
      <c r="BQ52" s="336"/>
      <c r="BR52" s="337"/>
      <c r="BS52" s="337"/>
      <c r="BT52" s="337"/>
      <c r="BU52" s="339"/>
      <c r="BW52" s="236" t="str">
        <f>sum_level("o",'Needs 171007_1810'!D52:BU52)</f>
        <v/>
      </c>
      <c r="BX52" s="237" t="str">
        <f>sum_level("j",'Needs 171007_1810'!D52:BU52)</f>
        <v>27</v>
      </c>
      <c r="BY52" s="237" t="str">
        <f>sum_level("m",'Needs 171007_1810'!D52:BU52)</f>
        <v/>
      </c>
      <c r="BZ52" s="237" t="str">
        <f>sum_level("s",'Needs 171007_1810'!D52:BU52)</f>
        <v/>
      </c>
      <c r="CA52" s="238" t="str">
        <f>sum_level("e",'Needs 171007_1810'!D52:BU52)</f>
        <v/>
      </c>
    </row>
    <row r="53" spans="2:79" x14ac:dyDescent="0.25">
      <c r="B53" s="435"/>
      <c r="C53" s="291" t="s">
        <v>94</v>
      </c>
      <c r="D53" s="336"/>
      <c r="E53" s="337"/>
      <c r="F53" s="337"/>
      <c r="G53" s="337"/>
      <c r="H53" s="338"/>
      <c r="I53" s="336"/>
      <c r="J53" s="337"/>
      <c r="K53" s="337"/>
      <c r="L53" s="337"/>
      <c r="M53" s="338"/>
      <c r="N53" s="336"/>
      <c r="O53" s="337"/>
      <c r="P53" s="337"/>
      <c r="Q53" s="337"/>
      <c r="R53" s="338"/>
      <c r="S53" s="336"/>
      <c r="T53" s="337"/>
      <c r="U53" s="337"/>
      <c r="V53" s="337"/>
      <c r="W53" s="338"/>
      <c r="X53" s="336"/>
      <c r="Y53" s="337"/>
      <c r="Z53" s="337"/>
      <c r="AA53" s="337"/>
      <c r="AB53" s="338"/>
      <c r="AC53" s="336"/>
      <c r="AD53" s="337"/>
      <c r="AE53" s="337"/>
      <c r="AF53" s="337"/>
      <c r="AG53" s="338"/>
      <c r="AH53" s="336"/>
      <c r="AI53" s="337"/>
      <c r="AJ53" s="337"/>
      <c r="AK53" s="337"/>
      <c r="AL53" s="338"/>
      <c r="AM53" s="336"/>
      <c r="AN53" s="337"/>
      <c r="AO53" s="337"/>
      <c r="AP53" s="337"/>
      <c r="AQ53" s="338"/>
      <c r="AR53" s="336"/>
      <c r="AS53" s="337"/>
      <c r="AT53" s="337"/>
      <c r="AU53" s="337"/>
      <c r="AV53" s="338"/>
      <c r="AW53" s="336"/>
      <c r="AX53" s="337"/>
      <c r="AY53" s="337"/>
      <c r="AZ53" s="337"/>
      <c r="BA53" s="338"/>
      <c r="BB53" s="336"/>
      <c r="BC53" s="337"/>
      <c r="BD53" s="337"/>
      <c r="BE53" s="337"/>
      <c r="BF53" s="338"/>
      <c r="BG53" s="336"/>
      <c r="BH53" s="337"/>
      <c r="BI53" s="337">
        <v>28</v>
      </c>
      <c r="BJ53" s="337"/>
      <c r="BK53" s="338"/>
      <c r="BL53" s="336"/>
      <c r="BM53" s="337"/>
      <c r="BN53" s="337"/>
      <c r="BO53" s="337"/>
      <c r="BP53" s="338"/>
      <c r="BQ53" s="336"/>
      <c r="BR53" s="337"/>
      <c r="BS53" s="337"/>
      <c r="BT53" s="337"/>
      <c r="BU53" s="339"/>
      <c r="BW53" s="236" t="str">
        <f>sum_level("o",'Needs 171007_1810'!D53:BU53)</f>
        <v/>
      </c>
      <c r="BX53" s="237" t="str">
        <f>sum_level("j",'Needs 171007_1810'!D53:BU53)</f>
        <v/>
      </c>
      <c r="BY53" s="237" t="str">
        <f>sum_level("m",'Needs 171007_1810'!D53:BU53)</f>
        <v>28</v>
      </c>
      <c r="BZ53" s="237" t="str">
        <f>sum_level("s",'Needs 171007_1810'!D53:BU53)</f>
        <v/>
      </c>
      <c r="CA53" s="238" t="str">
        <f>sum_level("e",'Needs 171007_1810'!D53:BU53)</f>
        <v/>
      </c>
    </row>
    <row r="54" spans="2:79" x14ac:dyDescent="0.25">
      <c r="B54" s="435"/>
      <c r="C54" s="291" t="s">
        <v>95</v>
      </c>
      <c r="D54" s="336"/>
      <c r="E54" s="337"/>
      <c r="F54" s="337"/>
      <c r="G54" s="337"/>
      <c r="H54" s="338"/>
      <c r="I54" s="336"/>
      <c r="J54" s="337"/>
      <c r="K54" s="337"/>
      <c r="L54" s="337"/>
      <c r="M54" s="338"/>
      <c r="N54" s="336"/>
      <c r="O54" s="337"/>
      <c r="P54" s="337"/>
      <c r="Q54" s="337"/>
      <c r="R54" s="338"/>
      <c r="S54" s="336"/>
      <c r="T54" s="337"/>
      <c r="U54" s="337"/>
      <c r="V54" s="337"/>
      <c r="W54" s="338"/>
      <c r="X54" s="336"/>
      <c r="Y54" s="337"/>
      <c r="Z54" s="337"/>
      <c r="AA54" s="337"/>
      <c r="AB54" s="338"/>
      <c r="AC54" s="336"/>
      <c r="AD54" s="337"/>
      <c r="AE54" s="337"/>
      <c r="AF54" s="337"/>
      <c r="AG54" s="338"/>
      <c r="AH54" s="336"/>
      <c r="AI54" s="337"/>
      <c r="AJ54" s="337"/>
      <c r="AK54" s="337"/>
      <c r="AL54" s="338"/>
      <c r="AM54" s="336"/>
      <c r="AN54" s="337"/>
      <c r="AO54" s="337"/>
      <c r="AP54" s="337"/>
      <c r="AQ54" s="338"/>
      <c r="AR54" s="336"/>
      <c r="AS54" s="337"/>
      <c r="AT54" s="337"/>
      <c r="AU54" s="337"/>
      <c r="AV54" s="338"/>
      <c r="AW54" s="336"/>
      <c r="AX54" s="337"/>
      <c r="AY54" s="337"/>
      <c r="AZ54" s="337"/>
      <c r="BA54" s="338"/>
      <c r="BB54" s="336"/>
      <c r="BC54" s="337"/>
      <c r="BD54" s="337"/>
      <c r="BE54" s="337"/>
      <c r="BF54" s="338"/>
      <c r="BG54" s="336"/>
      <c r="BH54" s="337"/>
      <c r="BI54" s="337"/>
      <c r="BJ54" s="337">
        <v>29</v>
      </c>
      <c r="BK54" s="338"/>
      <c r="BL54" s="336"/>
      <c r="BM54" s="337"/>
      <c r="BN54" s="337"/>
      <c r="BO54" s="337"/>
      <c r="BP54" s="338"/>
      <c r="BQ54" s="336"/>
      <c r="BR54" s="337"/>
      <c r="BS54" s="337"/>
      <c r="BT54" s="337"/>
      <c r="BU54" s="339"/>
      <c r="BW54" s="236" t="str">
        <f>sum_level("o",'Needs 171007_1810'!D54:BU54)</f>
        <v/>
      </c>
      <c r="BX54" s="237" t="str">
        <f>sum_level("j",'Needs 171007_1810'!D54:BU54)</f>
        <v/>
      </c>
      <c r="BY54" s="237" t="str">
        <f>sum_level("m",'Needs 171007_1810'!D54:BU54)</f>
        <v/>
      </c>
      <c r="BZ54" s="237" t="str">
        <f>sum_level("s",'Needs 171007_1810'!D54:BU54)</f>
        <v>29</v>
      </c>
      <c r="CA54" s="238" t="str">
        <f>sum_level("e",'Needs 171007_1810'!D54:BU54)</f>
        <v/>
      </c>
    </row>
    <row r="55" spans="2:79" x14ac:dyDescent="0.25">
      <c r="B55" s="435"/>
      <c r="C55" s="291" t="s">
        <v>96</v>
      </c>
      <c r="D55" s="336"/>
      <c r="E55" s="337"/>
      <c r="F55" s="337"/>
      <c r="G55" s="337"/>
      <c r="H55" s="338"/>
      <c r="I55" s="336"/>
      <c r="J55" s="337"/>
      <c r="K55" s="337"/>
      <c r="L55" s="337"/>
      <c r="M55" s="338"/>
      <c r="N55" s="336"/>
      <c r="O55" s="337"/>
      <c r="P55" s="337"/>
      <c r="Q55" s="337"/>
      <c r="R55" s="338"/>
      <c r="S55" s="336"/>
      <c r="T55" s="337"/>
      <c r="U55" s="337"/>
      <c r="V55" s="337"/>
      <c r="W55" s="338"/>
      <c r="X55" s="336"/>
      <c r="Y55" s="337"/>
      <c r="Z55" s="337"/>
      <c r="AA55" s="337"/>
      <c r="AB55" s="338"/>
      <c r="AC55" s="336"/>
      <c r="AD55" s="337"/>
      <c r="AE55" s="337"/>
      <c r="AF55" s="337"/>
      <c r="AG55" s="338"/>
      <c r="AH55" s="336"/>
      <c r="AI55" s="337"/>
      <c r="AJ55" s="337"/>
      <c r="AK55" s="337"/>
      <c r="AL55" s="338"/>
      <c r="AM55" s="336"/>
      <c r="AN55" s="337"/>
      <c r="AO55" s="337"/>
      <c r="AP55" s="337"/>
      <c r="AQ55" s="338"/>
      <c r="AR55" s="336"/>
      <c r="AS55" s="337"/>
      <c r="AT55" s="337"/>
      <c r="AU55" s="337"/>
      <c r="AV55" s="338"/>
      <c r="AW55" s="336"/>
      <c r="AX55" s="337"/>
      <c r="AY55" s="337"/>
      <c r="AZ55" s="337"/>
      <c r="BA55" s="338"/>
      <c r="BB55" s="336"/>
      <c r="BC55" s="337"/>
      <c r="BD55" s="337"/>
      <c r="BE55" s="337"/>
      <c r="BF55" s="338"/>
      <c r="BG55" s="336"/>
      <c r="BH55" s="337"/>
      <c r="BI55" s="337"/>
      <c r="BJ55" s="337"/>
      <c r="BK55" s="338">
        <v>30</v>
      </c>
      <c r="BL55" s="336"/>
      <c r="BM55" s="337"/>
      <c r="BN55" s="337"/>
      <c r="BO55" s="337"/>
      <c r="BP55" s="338"/>
      <c r="BQ55" s="336"/>
      <c r="BR55" s="337"/>
      <c r="BS55" s="337"/>
      <c r="BT55" s="337"/>
      <c r="BU55" s="339"/>
      <c r="BW55" s="236" t="str">
        <f>sum_level("o",'Needs 171007_1810'!D55:BU55)</f>
        <v/>
      </c>
      <c r="BX55" s="237" t="str">
        <f>sum_level("j",'Needs 171007_1810'!D55:BU55)</f>
        <v/>
      </c>
      <c r="BY55" s="237" t="str">
        <f>sum_level("m",'Needs 171007_1810'!D55:BU55)</f>
        <v/>
      </c>
      <c r="BZ55" s="237" t="str">
        <f>sum_level("s",'Needs 171007_1810'!D55:BU55)</f>
        <v/>
      </c>
      <c r="CA55" s="238" t="str">
        <f>sum_level("e",'Needs 171007_1810'!D55:BU55)</f>
        <v>30</v>
      </c>
    </row>
    <row r="56" spans="2:79" x14ac:dyDescent="0.25">
      <c r="B56" s="435"/>
      <c r="C56" s="291" t="s">
        <v>97</v>
      </c>
      <c r="D56" s="336"/>
      <c r="E56" s="337"/>
      <c r="F56" s="337"/>
      <c r="G56" s="337"/>
      <c r="H56" s="338"/>
      <c r="I56" s="336"/>
      <c r="J56" s="337"/>
      <c r="K56" s="337"/>
      <c r="L56" s="337"/>
      <c r="M56" s="338"/>
      <c r="N56" s="336"/>
      <c r="O56" s="337"/>
      <c r="P56" s="337"/>
      <c r="Q56" s="337"/>
      <c r="R56" s="338"/>
      <c r="S56" s="336"/>
      <c r="T56" s="337"/>
      <c r="U56" s="337"/>
      <c r="V56" s="337"/>
      <c r="W56" s="338"/>
      <c r="X56" s="336"/>
      <c r="Y56" s="337"/>
      <c r="Z56" s="337"/>
      <c r="AA56" s="337"/>
      <c r="AB56" s="338"/>
      <c r="AC56" s="336"/>
      <c r="AD56" s="337"/>
      <c r="AE56" s="337"/>
      <c r="AF56" s="337"/>
      <c r="AG56" s="338"/>
      <c r="AH56" s="336"/>
      <c r="AI56" s="337"/>
      <c r="AJ56" s="337"/>
      <c r="AK56" s="337"/>
      <c r="AL56" s="338"/>
      <c r="AM56" s="336"/>
      <c r="AN56" s="337"/>
      <c r="AO56" s="337"/>
      <c r="AP56" s="337"/>
      <c r="AQ56" s="338"/>
      <c r="AR56" s="336"/>
      <c r="AS56" s="337"/>
      <c r="AT56" s="337"/>
      <c r="AU56" s="337"/>
      <c r="AV56" s="338"/>
      <c r="AW56" s="336"/>
      <c r="AX56" s="337"/>
      <c r="AY56" s="337"/>
      <c r="AZ56" s="337"/>
      <c r="BA56" s="338"/>
      <c r="BB56" s="336"/>
      <c r="BC56" s="337"/>
      <c r="BD56" s="337"/>
      <c r="BE56" s="337"/>
      <c r="BF56" s="338"/>
      <c r="BG56" s="336"/>
      <c r="BH56" s="337"/>
      <c r="BI56" s="337"/>
      <c r="BJ56" s="337"/>
      <c r="BK56" s="338"/>
      <c r="BL56" s="336"/>
      <c r="BM56" s="337"/>
      <c r="BN56" s="337"/>
      <c r="BO56" s="337"/>
      <c r="BP56" s="338"/>
      <c r="BQ56" s="336"/>
      <c r="BR56" s="337"/>
      <c r="BS56" s="337"/>
      <c r="BT56" s="337"/>
      <c r="BU56" s="339"/>
      <c r="BW56" s="236" t="str">
        <f>sum_level("o",'Needs 171007_1810'!D56:BU56)</f>
        <v/>
      </c>
      <c r="BX56" s="237" t="str">
        <f>sum_level("j",'Needs 171007_1810'!D56:BU56)</f>
        <v/>
      </c>
      <c r="BY56" s="237" t="str">
        <f>sum_level("m",'Needs 171007_1810'!D56:BU56)</f>
        <v/>
      </c>
      <c r="BZ56" s="237" t="str">
        <f>sum_level("s",'Needs 171007_1810'!D56:BU56)</f>
        <v/>
      </c>
      <c r="CA56" s="238" t="str">
        <f>sum_level("e",'Needs 171007_1810'!D56:BU56)</f>
        <v/>
      </c>
    </row>
    <row r="57" spans="2:79" x14ac:dyDescent="0.25">
      <c r="B57" s="435"/>
      <c r="C57" s="291" t="s">
        <v>228</v>
      </c>
      <c r="D57" s="336"/>
      <c r="E57" s="337"/>
      <c r="F57" s="337"/>
      <c r="G57" s="337"/>
      <c r="H57" s="338"/>
      <c r="I57" s="336"/>
      <c r="J57" s="337"/>
      <c r="K57" s="337"/>
      <c r="L57" s="337"/>
      <c r="M57" s="338"/>
      <c r="N57" s="336"/>
      <c r="O57" s="337"/>
      <c r="P57" s="337"/>
      <c r="Q57" s="337"/>
      <c r="R57" s="338"/>
      <c r="S57" s="336"/>
      <c r="T57" s="337"/>
      <c r="U57" s="337"/>
      <c r="V57" s="337"/>
      <c r="W57" s="338"/>
      <c r="X57" s="336"/>
      <c r="Y57" s="337"/>
      <c r="Z57" s="337"/>
      <c r="AA57" s="337"/>
      <c r="AB57" s="338"/>
      <c r="AC57" s="336"/>
      <c r="AD57" s="337"/>
      <c r="AE57" s="337"/>
      <c r="AF57" s="337"/>
      <c r="AG57" s="338"/>
      <c r="AH57" s="336"/>
      <c r="AI57" s="337"/>
      <c r="AJ57" s="337"/>
      <c r="AK57" s="337"/>
      <c r="AL57" s="338"/>
      <c r="AM57" s="336"/>
      <c r="AN57" s="337"/>
      <c r="AO57" s="337"/>
      <c r="AP57" s="337"/>
      <c r="AQ57" s="338"/>
      <c r="AR57" s="336"/>
      <c r="AS57" s="337"/>
      <c r="AT57" s="337"/>
      <c r="AU57" s="337"/>
      <c r="AV57" s="338"/>
      <c r="AW57" s="336"/>
      <c r="AX57" s="337"/>
      <c r="AY57" s="337"/>
      <c r="AZ57" s="337"/>
      <c r="BA57" s="338"/>
      <c r="BB57" s="336"/>
      <c r="BC57" s="337"/>
      <c r="BD57" s="337"/>
      <c r="BE57" s="337"/>
      <c r="BF57" s="338"/>
      <c r="BG57" s="336"/>
      <c r="BH57" s="337"/>
      <c r="BI57" s="337"/>
      <c r="BJ57" s="337"/>
      <c r="BK57" s="338"/>
      <c r="BL57" s="336"/>
      <c r="BM57" s="337"/>
      <c r="BN57" s="337"/>
      <c r="BO57" s="337"/>
      <c r="BP57" s="338"/>
      <c r="BQ57" s="336"/>
      <c r="BR57" s="337"/>
      <c r="BS57" s="337"/>
      <c r="BT57" s="337"/>
      <c r="BU57" s="339"/>
      <c r="BW57" s="236" t="str">
        <f>sum_level("o",'Needs 171007_1810'!D57:BU57)</f>
        <v/>
      </c>
      <c r="BX57" s="237" t="str">
        <f>sum_level("j",'Needs 171007_1810'!D57:BU57)</f>
        <v/>
      </c>
      <c r="BY57" s="237" t="str">
        <f>sum_level("m",'Needs 171007_1810'!D57:BU57)</f>
        <v/>
      </c>
      <c r="BZ57" s="237" t="str">
        <f>sum_level("s",'Needs 171007_1810'!D57:BU57)</f>
        <v/>
      </c>
      <c r="CA57" s="238" t="str">
        <f>sum_level("e",'Needs 171007_1810'!D57:BU57)</f>
        <v/>
      </c>
    </row>
    <row r="58" spans="2:79" ht="15.75" thickBot="1" x14ac:dyDescent="0.3">
      <c r="B58" s="435"/>
      <c r="C58" s="292" t="s">
        <v>229</v>
      </c>
      <c r="D58" s="340"/>
      <c r="E58" s="341"/>
      <c r="F58" s="341"/>
      <c r="G58" s="341"/>
      <c r="H58" s="342"/>
      <c r="I58" s="340"/>
      <c r="J58" s="341"/>
      <c r="K58" s="341"/>
      <c r="L58" s="341"/>
      <c r="M58" s="342"/>
      <c r="N58" s="340"/>
      <c r="O58" s="341"/>
      <c r="P58" s="341"/>
      <c r="Q58" s="341"/>
      <c r="R58" s="342"/>
      <c r="S58" s="340"/>
      <c r="T58" s="341"/>
      <c r="U58" s="341"/>
      <c r="V58" s="341"/>
      <c r="W58" s="342"/>
      <c r="X58" s="340"/>
      <c r="Y58" s="341"/>
      <c r="Z58" s="341"/>
      <c r="AA58" s="341"/>
      <c r="AB58" s="342"/>
      <c r="AC58" s="340"/>
      <c r="AD58" s="341"/>
      <c r="AE58" s="341"/>
      <c r="AF58" s="341"/>
      <c r="AG58" s="342"/>
      <c r="AH58" s="340"/>
      <c r="AI58" s="341"/>
      <c r="AJ58" s="341"/>
      <c r="AK58" s="341"/>
      <c r="AL58" s="342"/>
      <c r="AM58" s="340"/>
      <c r="AN58" s="341"/>
      <c r="AO58" s="341"/>
      <c r="AP58" s="341"/>
      <c r="AQ58" s="342"/>
      <c r="AR58" s="340"/>
      <c r="AS58" s="341"/>
      <c r="AT58" s="341"/>
      <c r="AU58" s="341"/>
      <c r="AV58" s="342"/>
      <c r="AW58" s="340"/>
      <c r="AX58" s="341"/>
      <c r="AY58" s="341"/>
      <c r="AZ58" s="341"/>
      <c r="BA58" s="342"/>
      <c r="BB58" s="340"/>
      <c r="BC58" s="341"/>
      <c r="BD58" s="341"/>
      <c r="BE58" s="341"/>
      <c r="BF58" s="342"/>
      <c r="BG58" s="340"/>
      <c r="BH58" s="341"/>
      <c r="BI58" s="341"/>
      <c r="BJ58" s="341"/>
      <c r="BK58" s="342"/>
      <c r="BL58" s="340"/>
      <c r="BM58" s="341"/>
      <c r="BN58" s="341"/>
      <c r="BO58" s="341"/>
      <c r="BP58" s="342"/>
      <c r="BQ58" s="340"/>
      <c r="BR58" s="341"/>
      <c r="BS58" s="341"/>
      <c r="BT58" s="341"/>
      <c r="BU58" s="343"/>
      <c r="BW58" s="239" t="str">
        <f>sum_level("o",'Needs 171007_1810'!D58:BU58)</f>
        <v/>
      </c>
      <c r="BX58" s="240" t="str">
        <f>sum_level("j",'Needs 171007_1810'!D58:BU58)</f>
        <v/>
      </c>
      <c r="BY58" s="240" t="str">
        <f>sum_level("m",'Needs 171007_1810'!D58:BU58)</f>
        <v/>
      </c>
      <c r="BZ58" s="240" t="str">
        <f>sum_level("s",'Needs 171007_1810'!D58:BU58)</f>
        <v/>
      </c>
      <c r="CA58" s="241" t="str">
        <f>sum_level("e",'Needs 171007_1810'!D58:BU58)</f>
        <v/>
      </c>
    </row>
    <row r="59" spans="2:79" ht="12.75" customHeight="1" thickTop="1" thickBot="1" x14ac:dyDescent="0.3">
      <c r="B59" s="436"/>
      <c r="C59" s="248"/>
      <c r="D59" s="344"/>
      <c r="E59" s="344"/>
      <c r="F59" s="344"/>
      <c r="G59" s="344"/>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s="344"/>
      <c r="BN59" s="344"/>
      <c r="BO59" s="344"/>
      <c r="BP59" s="344"/>
      <c r="BQ59" s="344"/>
      <c r="BR59" s="344"/>
      <c r="BS59" s="344"/>
      <c r="BT59" s="344"/>
      <c r="BU59" s="344"/>
      <c r="BW59" s="249"/>
      <c r="BX59" s="249"/>
      <c r="BY59" s="249"/>
      <c r="BZ59" s="249"/>
      <c r="CA59" s="249"/>
    </row>
    <row r="60" spans="2:79" ht="15.75" thickTop="1" x14ac:dyDescent="0.25">
      <c r="B60" s="434" t="s">
        <v>98</v>
      </c>
      <c r="C60" s="290" t="s">
        <v>99</v>
      </c>
      <c r="D60" s="332"/>
      <c r="E60" s="333"/>
      <c r="F60" s="333"/>
      <c r="G60" s="333"/>
      <c r="H60" s="334"/>
      <c r="I60" s="332"/>
      <c r="J60" s="333"/>
      <c r="K60" s="333"/>
      <c r="L60" s="333"/>
      <c r="M60" s="334"/>
      <c r="N60" s="332"/>
      <c r="O60" s="333"/>
      <c r="P60" s="333"/>
      <c r="Q60" s="333"/>
      <c r="R60" s="334"/>
      <c r="S60" s="332"/>
      <c r="T60" s="333"/>
      <c r="U60" s="333"/>
      <c r="V60" s="333"/>
      <c r="W60" s="334"/>
      <c r="X60" s="332"/>
      <c r="Y60" s="333"/>
      <c r="Z60" s="333"/>
      <c r="AA60" s="333"/>
      <c r="AB60" s="334"/>
      <c r="AC60" s="332"/>
      <c r="AD60" s="333"/>
      <c r="AE60" s="333"/>
      <c r="AF60" s="333"/>
      <c r="AG60" s="334"/>
      <c r="AH60" s="332"/>
      <c r="AI60" s="333"/>
      <c r="AJ60" s="333"/>
      <c r="AK60" s="333"/>
      <c r="AL60" s="334"/>
      <c r="AM60" s="332"/>
      <c r="AN60" s="333"/>
      <c r="AO60" s="333"/>
      <c r="AP60" s="333"/>
      <c r="AQ60" s="334"/>
      <c r="AR60" s="332"/>
      <c r="AS60" s="333"/>
      <c r="AT60" s="333"/>
      <c r="AU60" s="333"/>
      <c r="AV60" s="334"/>
      <c r="AW60" s="332"/>
      <c r="AX60" s="333"/>
      <c r="AY60" s="333"/>
      <c r="AZ60" s="333"/>
      <c r="BA60" s="334"/>
      <c r="BB60" s="332"/>
      <c r="BC60" s="333"/>
      <c r="BD60" s="333"/>
      <c r="BE60" s="333"/>
      <c r="BF60" s="334"/>
      <c r="BG60" s="332"/>
      <c r="BH60" s="333"/>
      <c r="BI60" s="333"/>
      <c r="BJ60" s="333"/>
      <c r="BK60" s="334"/>
      <c r="BL60" s="332">
        <v>31</v>
      </c>
      <c r="BM60" s="333"/>
      <c r="BN60" s="333"/>
      <c r="BO60" s="333"/>
      <c r="BP60" s="334"/>
      <c r="BQ60" s="332"/>
      <c r="BR60" s="333"/>
      <c r="BS60" s="333"/>
      <c r="BT60" s="333"/>
      <c r="BU60" s="335"/>
      <c r="BW60" s="233" t="str">
        <f>sum_level("o",'Needs 171007_1810'!D60:BU60)</f>
        <v>31</v>
      </c>
      <c r="BX60" s="234" t="str">
        <f>sum_level("j",'Needs 171007_1810'!D60:BU60)</f>
        <v/>
      </c>
      <c r="BY60" s="234" t="str">
        <f>sum_level("m",'Needs 171007_1810'!D60:BU60)</f>
        <v/>
      </c>
      <c r="BZ60" s="234" t="str">
        <f>sum_level("s",'Needs 171007_1810'!D60:BU60)</f>
        <v/>
      </c>
      <c r="CA60" s="235" t="str">
        <f>sum_level("e",'Needs 171007_1810'!D60:BU60)</f>
        <v/>
      </c>
    </row>
    <row r="61" spans="2:79" x14ac:dyDescent="0.25">
      <c r="B61" s="435"/>
      <c r="C61" s="291" t="s">
        <v>100</v>
      </c>
      <c r="D61" s="336"/>
      <c r="E61" s="337"/>
      <c r="F61" s="337"/>
      <c r="G61" s="337"/>
      <c r="H61" s="338"/>
      <c r="I61" s="336"/>
      <c r="J61" s="337"/>
      <c r="K61" s="337"/>
      <c r="L61" s="337"/>
      <c r="M61" s="338"/>
      <c r="N61" s="336"/>
      <c r="O61" s="337"/>
      <c r="P61" s="337"/>
      <c r="Q61" s="337"/>
      <c r="R61" s="338"/>
      <c r="S61" s="336"/>
      <c r="T61" s="337"/>
      <c r="U61" s="337"/>
      <c r="V61" s="337"/>
      <c r="W61" s="338"/>
      <c r="X61" s="336"/>
      <c r="Y61" s="337"/>
      <c r="Z61" s="337"/>
      <c r="AA61" s="337"/>
      <c r="AB61" s="338"/>
      <c r="AC61" s="336"/>
      <c r="AD61" s="337"/>
      <c r="AE61" s="337"/>
      <c r="AF61" s="337"/>
      <c r="AG61" s="338"/>
      <c r="AH61" s="336"/>
      <c r="AI61" s="337"/>
      <c r="AJ61" s="337"/>
      <c r="AK61" s="337"/>
      <c r="AL61" s="338"/>
      <c r="AM61" s="336"/>
      <c r="AN61" s="337"/>
      <c r="AO61" s="337"/>
      <c r="AP61" s="337"/>
      <c r="AQ61" s="338"/>
      <c r="AR61" s="336"/>
      <c r="AS61" s="337"/>
      <c r="AT61" s="337"/>
      <c r="AU61" s="337"/>
      <c r="AV61" s="338"/>
      <c r="AW61" s="336"/>
      <c r="AX61" s="337"/>
      <c r="AY61" s="337"/>
      <c r="AZ61" s="337"/>
      <c r="BA61" s="338"/>
      <c r="BB61" s="336"/>
      <c r="BC61" s="337"/>
      <c r="BD61" s="337"/>
      <c r="BE61" s="337"/>
      <c r="BF61" s="338"/>
      <c r="BG61" s="336"/>
      <c r="BH61" s="337"/>
      <c r="BI61" s="337"/>
      <c r="BJ61" s="337"/>
      <c r="BK61" s="338"/>
      <c r="BL61" s="336"/>
      <c r="BM61" s="337">
        <v>32</v>
      </c>
      <c r="BN61" s="337"/>
      <c r="BO61" s="337"/>
      <c r="BP61" s="338"/>
      <c r="BQ61" s="336"/>
      <c r="BR61" s="337"/>
      <c r="BS61" s="337"/>
      <c r="BT61" s="337"/>
      <c r="BU61" s="339"/>
      <c r="BW61" s="236" t="str">
        <f>sum_level("o",'Needs 171007_1810'!D61:BU61)</f>
        <v/>
      </c>
      <c r="BX61" s="237" t="str">
        <f>sum_level("j",'Needs 171007_1810'!D61:BU61)</f>
        <v>32</v>
      </c>
      <c r="BY61" s="237" t="str">
        <f>sum_level("m",'Needs 171007_1810'!D61:BU61)</f>
        <v/>
      </c>
      <c r="BZ61" s="237" t="str">
        <f>sum_level("s",'Needs 171007_1810'!D61:BU61)</f>
        <v/>
      </c>
      <c r="CA61" s="238" t="str">
        <f>sum_level("e",'Needs 171007_1810'!D61:BU61)</f>
        <v/>
      </c>
    </row>
    <row r="62" spans="2:79" x14ac:dyDescent="0.25">
      <c r="B62" s="435"/>
      <c r="C62" s="291" t="s">
        <v>101</v>
      </c>
      <c r="D62" s="336"/>
      <c r="E62" s="337"/>
      <c r="F62" s="337"/>
      <c r="G62" s="337"/>
      <c r="H62" s="338"/>
      <c r="I62" s="336"/>
      <c r="J62" s="337"/>
      <c r="K62" s="337"/>
      <c r="L62" s="337"/>
      <c r="M62" s="338"/>
      <c r="N62" s="336"/>
      <c r="O62" s="337"/>
      <c r="P62" s="337"/>
      <c r="Q62" s="337"/>
      <c r="R62" s="338"/>
      <c r="S62" s="336"/>
      <c r="T62" s="337"/>
      <c r="U62" s="337"/>
      <c r="V62" s="337"/>
      <c r="W62" s="338"/>
      <c r="X62" s="336"/>
      <c r="Y62" s="337"/>
      <c r="Z62" s="337"/>
      <c r="AA62" s="337"/>
      <c r="AB62" s="338"/>
      <c r="AC62" s="336"/>
      <c r="AD62" s="337"/>
      <c r="AE62" s="337"/>
      <c r="AF62" s="337"/>
      <c r="AG62" s="338"/>
      <c r="AH62" s="336"/>
      <c r="AI62" s="337"/>
      <c r="AJ62" s="337"/>
      <c r="AK62" s="337"/>
      <c r="AL62" s="338"/>
      <c r="AM62" s="336"/>
      <c r="AN62" s="337"/>
      <c r="AO62" s="337"/>
      <c r="AP62" s="337"/>
      <c r="AQ62" s="338"/>
      <c r="AR62" s="336"/>
      <c r="AS62" s="337"/>
      <c r="AT62" s="337"/>
      <c r="AU62" s="337"/>
      <c r="AV62" s="338"/>
      <c r="AW62" s="336"/>
      <c r="AX62" s="337"/>
      <c r="AY62" s="337"/>
      <c r="AZ62" s="337"/>
      <c r="BA62" s="338"/>
      <c r="BB62" s="336"/>
      <c r="BC62" s="337"/>
      <c r="BD62" s="337"/>
      <c r="BE62" s="337"/>
      <c r="BF62" s="338"/>
      <c r="BG62" s="336"/>
      <c r="BH62" s="337"/>
      <c r="BI62" s="337"/>
      <c r="BJ62" s="337"/>
      <c r="BK62" s="338"/>
      <c r="BL62" s="336"/>
      <c r="BM62" s="337"/>
      <c r="BN62" s="337">
        <v>33</v>
      </c>
      <c r="BO62" s="337"/>
      <c r="BP62" s="338"/>
      <c r="BQ62" s="336"/>
      <c r="BR62" s="337"/>
      <c r="BS62" s="337"/>
      <c r="BT62" s="337"/>
      <c r="BU62" s="339"/>
      <c r="BW62" s="236" t="str">
        <f>sum_level("o",'Needs 171007_1810'!D62:BU62)</f>
        <v/>
      </c>
      <c r="BX62" s="237" t="str">
        <f>sum_level("j",'Needs 171007_1810'!D62:BU62)</f>
        <v/>
      </c>
      <c r="BY62" s="237" t="str">
        <f>sum_level("m",'Needs 171007_1810'!D62:BU62)</f>
        <v>33</v>
      </c>
      <c r="BZ62" s="237" t="str">
        <f>sum_level("s",'Needs 171007_1810'!D62:BU62)</f>
        <v/>
      </c>
      <c r="CA62" s="238" t="str">
        <f>sum_level("e",'Needs 171007_1810'!D62:BU62)</f>
        <v/>
      </c>
    </row>
    <row r="63" spans="2:79" x14ac:dyDescent="0.25">
      <c r="B63" s="435"/>
      <c r="C63" s="291" t="s">
        <v>102</v>
      </c>
      <c r="D63" s="336"/>
      <c r="E63" s="337"/>
      <c r="F63" s="337"/>
      <c r="G63" s="337"/>
      <c r="H63" s="338"/>
      <c r="I63" s="336"/>
      <c r="J63" s="337"/>
      <c r="K63" s="337"/>
      <c r="L63" s="337"/>
      <c r="M63" s="338"/>
      <c r="N63" s="336"/>
      <c r="O63" s="337"/>
      <c r="P63" s="337"/>
      <c r="Q63" s="337"/>
      <c r="R63" s="338"/>
      <c r="S63" s="336"/>
      <c r="T63" s="337"/>
      <c r="U63" s="337"/>
      <c r="V63" s="337"/>
      <c r="W63" s="338"/>
      <c r="X63" s="336"/>
      <c r="Y63" s="337"/>
      <c r="Z63" s="337"/>
      <c r="AA63" s="337"/>
      <c r="AB63" s="338"/>
      <c r="AC63" s="336"/>
      <c r="AD63" s="337"/>
      <c r="AE63" s="337"/>
      <c r="AF63" s="337"/>
      <c r="AG63" s="338"/>
      <c r="AH63" s="336"/>
      <c r="AI63" s="337"/>
      <c r="AJ63" s="337"/>
      <c r="AK63" s="337"/>
      <c r="AL63" s="338"/>
      <c r="AM63" s="336"/>
      <c r="AN63" s="337"/>
      <c r="AO63" s="337"/>
      <c r="AP63" s="337"/>
      <c r="AQ63" s="338"/>
      <c r="AR63" s="336"/>
      <c r="AS63" s="337"/>
      <c r="AT63" s="337"/>
      <c r="AU63" s="337"/>
      <c r="AV63" s="338"/>
      <c r="AW63" s="336"/>
      <c r="AX63" s="337"/>
      <c r="AY63" s="337"/>
      <c r="AZ63" s="337"/>
      <c r="BA63" s="338"/>
      <c r="BB63" s="336"/>
      <c r="BC63" s="337"/>
      <c r="BD63" s="337"/>
      <c r="BE63" s="337"/>
      <c r="BF63" s="338"/>
      <c r="BG63" s="336"/>
      <c r="BH63" s="337"/>
      <c r="BI63" s="337"/>
      <c r="BJ63" s="337"/>
      <c r="BK63" s="338"/>
      <c r="BL63" s="336"/>
      <c r="BM63" s="337"/>
      <c r="BN63" s="337"/>
      <c r="BO63" s="337">
        <v>34</v>
      </c>
      <c r="BP63" s="338"/>
      <c r="BQ63" s="336"/>
      <c r="BR63" s="337"/>
      <c r="BS63" s="337"/>
      <c r="BT63" s="337"/>
      <c r="BU63" s="339"/>
      <c r="BW63" s="236" t="str">
        <f>sum_level("o",'Needs 171007_1810'!D63:BU63)</f>
        <v/>
      </c>
      <c r="BX63" s="237" t="str">
        <f>sum_level("j",'Needs 171007_1810'!D63:BU63)</f>
        <v/>
      </c>
      <c r="BY63" s="237" t="str">
        <f>sum_level("m",'Needs 171007_1810'!D63:BU63)</f>
        <v/>
      </c>
      <c r="BZ63" s="237" t="str">
        <f>sum_level("s",'Needs 171007_1810'!D63:BU63)</f>
        <v>34</v>
      </c>
      <c r="CA63" s="238" t="str">
        <f>sum_level("e",'Needs 171007_1810'!D63:BU63)</f>
        <v/>
      </c>
    </row>
    <row r="64" spans="2:79" x14ac:dyDescent="0.25">
      <c r="B64" s="435"/>
      <c r="C64" s="291" t="s">
        <v>103</v>
      </c>
      <c r="D64" s="336"/>
      <c r="E64" s="337"/>
      <c r="F64" s="337"/>
      <c r="G64" s="337"/>
      <c r="H64" s="338"/>
      <c r="I64" s="336"/>
      <c r="J64" s="337"/>
      <c r="K64" s="337"/>
      <c r="L64" s="337"/>
      <c r="M64" s="338"/>
      <c r="N64" s="336"/>
      <c r="O64" s="337"/>
      <c r="P64" s="337"/>
      <c r="Q64" s="337"/>
      <c r="R64" s="338"/>
      <c r="S64" s="336"/>
      <c r="T64" s="337"/>
      <c r="U64" s="337"/>
      <c r="V64" s="337"/>
      <c r="W64" s="338"/>
      <c r="X64" s="336"/>
      <c r="Y64" s="337"/>
      <c r="Z64" s="337"/>
      <c r="AA64" s="337"/>
      <c r="AB64" s="338"/>
      <c r="AC64" s="336"/>
      <c r="AD64" s="337"/>
      <c r="AE64" s="337"/>
      <c r="AF64" s="337"/>
      <c r="AG64" s="338"/>
      <c r="AH64" s="336"/>
      <c r="AI64" s="337"/>
      <c r="AJ64" s="337"/>
      <c r="AK64" s="337"/>
      <c r="AL64" s="338"/>
      <c r="AM64" s="336"/>
      <c r="AN64" s="337"/>
      <c r="AO64" s="337"/>
      <c r="AP64" s="337"/>
      <c r="AQ64" s="338"/>
      <c r="AR64" s="336"/>
      <c r="AS64" s="337"/>
      <c r="AT64" s="337"/>
      <c r="AU64" s="337"/>
      <c r="AV64" s="338"/>
      <c r="AW64" s="336"/>
      <c r="AX64" s="337"/>
      <c r="AY64" s="337"/>
      <c r="AZ64" s="337"/>
      <c r="BA64" s="338"/>
      <c r="BB64" s="336"/>
      <c r="BC64" s="337"/>
      <c r="BD64" s="337"/>
      <c r="BE64" s="337"/>
      <c r="BF64" s="338"/>
      <c r="BG64" s="336"/>
      <c r="BH64" s="337"/>
      <c r="BI64" s="337"/>
      <c r="BJ64" s="337"/>
      <c r="BK64" s="338"/>
      <c r="BL64" s="336"/>
      <c r="BM64" s="337"/>
      <c r="BN64" s="337"/>
      <c r="BO64" s="337"/>
      <c r="BP64" s="338">
        <v>35</v>
      </c>
      <c r="BQ64" s="336"/>
      <c r="BR64" s="337"/>
      <c r="BS64" s="337"/>
      <c r="BT64" s="337"/>
      <c r="BU64" s="339"/>
      <c r="BW64" s="236" t="str">
        <f>sum_level("o",'Needs 171007_1810'!D64:BU64)</f>
        <v/>
      </c>
      <c r="BX64" s="237" t="str">
        <f>sum_level("j",'Needs 171007_1810'!D64:BU64)</f>
        <v/>
      </c>
      <c r="BY64" s="237" t="str">
        <f>sum_level("m",'Needs 171007_1810'!D64:BU64)</f>
        <v/>
      </c>
      <c r="BZ64" s="237" t="str">
        <f>sum_level("s",'Needs 171007_1810'!D64:BU64)</f>
        <v/>
      </c>
      <c r="CA64" s="238" t="str">
        <f>sum_level("e",'Needs 171007_1810'!D64:BU64)</f>
        <v>35</v>
      </c>
    </row>
    <row r="65" spans="2:79" x14ac:dyDescent="0.25">
      <c r="B65" s="435"/>
      <c r="C65" s="291" t="s">
        <v>104</v>
      </c>
      <c r="D65" s="336"/>
      <c r="E65" s="337"/>
      <c r="F65" s="337"/>
      <c r="G65" s="337"/>
      <c r="H65" s="338"/>
      <c r="I65" s="336"/>
      <c r="J65" s="337"/>
      <c r="K65" s="337"/>
      <c r="L65" s="337"/>
      <c r="M65" s="338"/>
      <c r="N65" s="336"/>
      <c r="O65" s="337"/>
      <c r="P65" s="337"/>
      <c r="Q65" s="337"/>
      <c r="R65" s="338"/>
      <c r="S65" s="336"/>
      <c r="T65" s="337"/>
      <c r="U65" s="337"/>
      <c r="V65" s="337"/>
      <c r="W65" s="338"/>
      <c r="X65" s="336"/>
      <c r="Y65" s="337"/>
      <c r="Z65" s="337"/>
      <c r="AA65" s="337"/>
      <c r="AB65" s="338"/>
      <c r="AC65" s="336"/>
      <c r="AD65" s="337"/>
      <c r="AE65" s="337"/>
      <c r="AF65" s="337"/>
      <c r="AG65" s="338"/>
      <c r="AH65" s="336"/>
      <c r="AI65" s="337"/>
      <c r="AJ65" s="337"/>
      <c r="AK65" s="337"/>
      <c r="AL65" s="338"/>
      <c r="AM65" s="336"/>
      <c r="AN65" s="337"/>
      <c r="AO65" s="337"/>
      <c r="AP65" s="337"/>
      <c r="AQ65" s="338"/>
      <c r="AR65" s="336"/>
      <c r="AS65" s="337"/>
      <c r="AT65" s="337"/>
      <c r="AU65" s="337"/>
      <c r="AV65" s="338"/>
      <c r="AW65" s="336"/>
      <c r="AX65" s="337"/>
      <c r="AY65" s="337"/>
      <c r="AZ65" s="337"/>
      <c r="BA65" s="338"/>
      <c r="BB65" s="336"/>
      <c r="BC65" s="337"/>
      <c r="BD65" s="337"/>
      <c r="BE65" s="337"/>
      <c r="BF65" s="338"/>
      <c r="BG65" s="336"/>
      <c r="BH65" s="337"/>
      <c r="BI65" s="337"/>
      <c r="BJ65" s="337"/>
      <c r="BK65" s="338"/>
      <c r="BL65" s="336"/>
      <c r="BM65" s="337"/>
      <c r="BN65" s="337"/>
      <c r="BO65" s="337"/>
      <c r="BP65" s="338"/>
      <c r="BQ65" s="336"/>
      <c r="BR65" s="337"/>
      <c r="BS65" s="337"/>
      <c r="BT65" s="337"/>
      <c r="BU65" s="339"/>
      <c r="BW65" s="236" t="str">
        <f>sum_level("o",'Needs 171007_1810'!D65:BU65)</f>
        <v/>
      </c>
      <c r="BX65" s="237" t="str">
        <f>sum_level("j",'Needs 171007_1810'!D65:BU65)</f>
        <v/>
      </c>
      <c r="BY65" s="237" t="str">
        <f>sum_level("m",'Needs 171007_1810'!D65:BU65)</f>
        <v/>
      </c>
      <c r="BZ65" s="237" t="str">
        <f>sum_level("s",'Needs 171007_1810'!D65:BU65)</f>
        <v/>
      </c>
      <c r="CA65" s="238" t="str">
        <f>sum_level("e",'Needs 171007_1810'!D65:BU65)</f>
        <v/>
      </c>
    </row>
    <row r="66" spans="2:79" x14ac:dyDescent="0.25">
      <c r="B66" s="435"/>
      <c r="C66" s="291" t="s">
        <v>105</v>
      </c>
      <c r="D66" s="336"/>
      <c r="E66" s="337"/>
      <c r="F66" s="337"/>
      <c r="G66" s="337"/>
      <c r="H66" s="338"/>
      <c r="I66" s="336"/>
      <c r="J66" s="337"/>
      <c r="K66" s="337"/>
      <c r="L66" s="337"/>
      <c r="M66" s="338"/>
      <c r="N66" s="336"/>
      <c r="O66" s="337"/>
      <c r="P66" s="337"/>
      <c r="Q66" s="337"/>
      <c r="R66" s="338"/>
      <c r="S66" s="336"/>
      <c r="T66" s="337"/>
      <c r="U66" s="337"/>
      <c r="V66" s="337"/>
      <c r="W66" s="338"/>
      <c r="X66" s="336"/>
      <c r="Y66" s="337"/>
      <c r="Z66" s="337"/>
      <c r="AA66" s="337"/>
      <c r="AB66" s="338"/>
      <c r="AC66" s="336"/>
      <c r="AD66" s="337"/>
      <c r="AE66" s="337"/>
      <c r="AF66" s="337"/>
      <c r="AG66" s="338"/>
      <c r="AH66" s="336"/>
      <c r="AI66" s="337"/>
      <c r="AJ66" s="337"/>
      <c r="AK66" s="337"/>
      <c r="AL66" s="338"/>
      <c r="AM66" s="336"/>
      <c r="AN66" s="337"/>
      <c r="AO66" s="337"/>
      <c r="AP66" s="337"/>
      <c r="AQ66" s="338"/>
      <c r="AR66" s="336"/>
      <c r="AS66" s="337"/>
      <c r="AT66" s="337"/>
      <c r="AU66" s="337"/>
      <c r="AV66" s="338"/>
      <c r="AW66" s="336"/>
      <c r="AX66" s="337"/>
      <c r="AY66" s="337"/>
      <c r="AZ66" s="337"/>
      <c r="BA66" s="338"/>
      <c r="BB66" s="336"/>
      <c r="BC66" s="337"/>
      <c r="BD66" s="337"/>
      <c r="BE66" s="337"/>
      <c r="BF66" s="338"/>
      <c r="BG66" s="336"/>
      <c r="BH66" s="337"/>
      <c r="BI66" s="337"/>
      <c r="BJ66" s="337"/>
      <c r="BK66" s="338"/>
      <c r="BL66" s="336"/>
      <c r="BM66" s="337"/>
      <c r="BN66" s="337"/>
      <c r="BO66" s="337"/>
      <c r="BP66" s="338"/>
      <c r="BQ66" s="336"/>
      <c r="BR66" s="337"/>
      <c r="BS66" s="337"/>
      <c r="BT66" s="337"/>
      <c r="BU66" s="339"/>
      <c r="BW66" s="236" t="str">
        <f>sum_level("o",'Needs 171007_1810'!D66:BU66)</f>
        <v/>
      </c>
      <c r="BX66" s="237" t="str">
        <f>sum_level("j",'Needs 171007_1810'!D66:BU66)</f>
        <v/>
      </c>
      <c r="BY66" s="237" t="str">
        <f>sum_level("m",'Needs 171007_1810'!D66:BU66)</f>
        <v/>
      </c>
      <c r="BZ66" s="237" t="str">
        <f>sum_level("s",'Needs 171007_1810'!D66:BU66)</f>
        <v/>
      </c>
      <c r="CA66" s="238" t="str">
        <f>sum_level("e",'Needs 171007_1810'!D66:BU66)</f>
        <v/>
      </c>
    </row>
    <row r="67" spans="2:79" x14ac:dyDescent="0.25">
      <c r="B67" s="435"/>
      <c r="C67" s="291" t="s">
        <v>106</v>
      </c>
      <c r="D67" s="336"/>
      <c r="E67" s="337"/>
      <c r="F67" s="337"/>
      <c r="G67" s="337"/>
      <c r="H67" s="338"/>
      <c r="I67" s="336"/>
      <c r="J67" s="337"/>
      <c r="K67" s="337"/>
      <c r="L67" s="337"/>
      <c r="M67" s="338"/>
      <c r="N67" s="336"/>
      <c r="O67" s="337"/>
      <c r="P67" s="337"/>
      <c r="Q67" s="337"/>
      <c r="R67" s="338"/>
      <c r="S67" s="336"/>
      <c r="T67" s="337"/>
      <c r="U67" s="337"/>
      <c r="V67" s="337"/>
      <c r="W67" s="338"/>
      <c r="X67" s="336"/>
      <c r="Y67" s="337"/>
      <c r="Z67" s="337"/>
      <c r="AA67" s="337"/>
      <c r="AB67" s="338"/>
      <c r="AC67" s="336"/>
      <c r="AD67" s="337"/>
      <c r="AE67" s="337"/>
      <c r="AF67" s="337"/>
      <c r="AG67" s="338"/>
      <c r="AH67" s="336"/>
      <c r="AI67" s="337"/>
      <c r="AJ67" s="337"/>
      <c r="AK67" s="337"/>
      <c r="AL67" s="338"/>
      <c r="AM67" s="336"/>
      <c r="AN67" s="337"/>
      <c r="AO67" s="337"/>
      <c r="AP67" s="337"/>
      <c r="AQ67" s="338"/>
      <c r="AR67" s="336"/>
      <c r="AS67" s="337"/>
      <c r="AT67" s="337"/>
      <c r="AU67" s="337"/>
      <c r="AV67" s="338"/>
      <c r="AW67" s="336"/>
      <c r="AX67" s="337"/>
      <c r="AY67" s="337"/>
      <c r="AZ67" s="337"/>
      <c r="BA67" s="338"/>
      <c r="BB67" s="336"/>
      <c r="BC67" s="337"/>
      <c r="BD67" s="337"/>
      <c r="BE67" s="337"/>
      <c r="BF67" s="338"/>
      <c r="BG67" s="336"/>
      <c r="BH67" s="337"/>
      <c r="BI67" s="337"/>
      <c r="BJ67" s="337"/>
      <c r="BK67" s="338"/>
      <c r="BL67" s="336"/>
      <c r="BM67" s="337"/>
      <c r="BN67" s="337"/>
      <c r="BO67" s="337"/>
      <c r="BP67" s="338"/>
      <c r="BQ67" s="336"/>
      <c r="BR67" s="337"/>
      <c r="BS67" s="337"/>
      <c r="BT67" s="337"/>
      <c r="BU67" s="339"/>
      <c r="BW67" s="236" t="str">
        <f>sum_level("o",'Needs 171007_1810'!D67:BU67)</f>
        <v/>
      </c>
      <c r="BX67" s="237" t="str">
        <f>sum_level("j",'Needs 171007_1810'!D67:BU67)</f>
        <v/>
      </c>
      <c r="BY67" s="237" t="str">
        <f>sum_level("m",'Needs 171007_1810'!D67:BU67)</f>
        <v/>
      </c>
      <c r="BZ67" s="237" t="str">
        <f>sum_level("s",'Needs 171007_1810'!D67:BU67)</f>
        <v/>
      </c>
      <c r="CA67" s="238" t="str">
        <f>sum_level("e",'Needs 171007_1810'!D67:BU67)</f>
        <v/>
      </c>
    </row>
    <row r="68" spans="2:79" x14ac:dyDescent="0.25">
      <c r="B68" s="435"/>
      <c r="C68" s="291" t="s">
        <v>107</v>
      </c>
      <c r="D68" s="336"/>
      <c r="E68" s="337"/>
      <c r="F68" s="337"/>
      <c r="G68" s="337"/>
      <c r="H68" s="338"/>
      <c r="I68" s="336"/>
      <c r="J68" s="337"/>
      <c r="K68" s="337"/>
      <c r="L68" s="337"/>
      <c r="M68" s="338"/>
      <c r="N68" s="336"/>
      <c r="O68" s="337"/>
      <c r="P68" s="337"/>
      <c r="Q68" s="337"/>
      <c r="R68" s="338"/>
      <c r="S68" s="336"/>
      <c r="T68" s="337"/>
      <c r="U68" s="337"/>
      <c r="V68" s="337"/>
      <c r="W68" s="338"/>
      <c r="X68" s="336"/>
      <c r="Y68" s="337"/>
      <c r="Z68" s="337"/>
      <c r="AA68" s="337"/>
      <c r="AB68" s="338"/>
      <c r="AC68" s="336"/>
      <c r="AD68" s="337"/>
      <c r="AE68" s="337"/>
      <c r="AF68" s="337"/>
      <c r="AG68" s="338"/>
      <c r="AH68" s="336"/>
      <c r="AI68" s="337"/>
      <c r="AJ68" s="337"/>
      <c r="AK68" s="337"/>
      <c r="AL68" s="338"/>
      <c r="AM68" s="336"/>
      <c r="AN68" s="337"/>
      <c r="AO68" s="337"/>
      <c r="AP68" s="337"/>
      <c r="AQ68" s="338"/>
      <c r="AR68" s="336"/>
      <c r="AS68" s="337"/>
      <c r="AT68" s="337"/>
      <c r="AU68" s="337"/>
      <c r="AV68" s="338"/>
      <c r="AW68" s="336"/>
      <c r="AX68" s="337"/>
      <c r="AY68" s="337"/>
      <c r="AZ68" s="337"/>
      <c r="BA68" s="338"/>
      <c r="BB68" s="336"/>
      <c r="BC68" s="337"/>
      <c r="BD68" s="337"/>
      <c r="BE68" s="337"/>
      <c r="BF68" s="338"/>
      <c r="BG68" s="336"/>
      <c r="BH68" s="337"/>
      <c r="BI68" s="337"/>
      <c r="BJ68" s="337"/>
      <c r="BK68" s="338"/>
      <c r="BL68" s="336"/>
      <c r="BM68" s="337"/>
      <c r="BN68" s="337"/>
      <c r="BO68" s="337"/>
      <c r="BP68" s="338"/>
      <c r="BQ68" s="336"/>
      <c r="BR68" s="337"/>
      <c r="BS68" s="337"/>
      <c r="BT68" s="337"/>
      <c r="BU68" s="339"/>
      <c r="BW68" s="236" t="str">
        <f>sum_level("o",'Needs 171007_1810'!D68:BU68)</f>
        <v/>
      </c>
      <c r="BX68" s="237" t="str">
        <f>sum_level("j",'Needs 171007_1810'!D68:BU68)</f>
        <v/>
      </c>
      <c r="BY68" s="237" t="str">
        <f>sum_level("m",'Needs 171007_1810'!D68:BU68)</f>
        <v/>
      </c>
      <c r="BZ68" s="237" t="str">
        <f>sum_level("s",'Needs 171007_1810'!D68:BU68)</f>
        <v/>
      </c>
      <c r="CA68" s="238" t="str">
        <f>sum_level("e",'Needs 171007_1810'!D68:BU68)</f>
        <v/>
      </c>
    </row>
    <row r="69" spans="2:79" x14ac:dyDescent="0.25">
      <c r="B69" s="435"/>
      <c r="C69" s="291" t="s">
        <v>108</v>
      </c>
      <c r="D69" s="336"/>
      <c r="E69" s="337"/>
      <c r="F69" s="337"/>
      <c r="G69" s="337"/>
      <c r="H69" s="338"/>
      <c r="I69" s="336"/>
      <c r="J69" s="337"/>
      <c r="K69" s="337"/>
      <c r="L69" s="337"/>
      <c r="M69" s="338"/>
      <c r="N69" s="336"/>
      <c r="O69" s="337"/>
      <c r="P69" s="337"/>
      <c r="Q69" s="337"/>
      <c r="R69" s="338"/>
      <c r="S69" s="336"/>
      <c r="T69" s="337"/>
      <c r="U69" s="337"/>
      <c r="V69" s="337"/>
      <c r="W69" s="338"/>
      <c r="X69" s="336"/>
      <c r="Y69" s="337"/>
      <c r="Z69" s="337"/>
      <c r="AA69" s="337"/>
      <c r="AB69" s="338"/>
      <c r="AC69" s="336"/>
      <c r="AD69" s="337"/>
      <c r="AE69" s="337"/>
      <c r="AF69" s="337"/>
      <c r="AG69" s="338"/>
      <c r="AH69" s="336"/>
      <c r="AI69" s="337"/>
      <c r="AJ69" s="337"/>
      <c r="AK69" s="337"/>
      <c r="AL69" s="338"/>
      <c r="AM69" s="336"/>
      <c r="AN69" s="337"/>
      <c r="AO69" s="337"/>
      <c r="AP69" s="337"/>
      <c r="AQ69" s="338"/>
      <c r="AR69" s="336"/>
      <c r="AS69" s="337"/>
      <c r="AT69" s="337"/>
      <c r="AU69" s="337"/>
      <c r="AV69" s="338"/>
      <c r="AW69" s="336"/>
      <c r="AX69" s="337"/>
      <c r="AY69" s="337"/>
      <c r="AZ69" s="337"/>
      <c r="BA69" s="338"/>
      <c r="BB69" s="336"/>
      <c r="BC69" s="337"/>
      <c r="BD69" s="337"/>
      <c r="BE69" s="337"/>
      <c r="BF69" s="338"/>
      <c r="BG69" s="336"/>
      <c r="BH69" s="337"/>
      <c r="BI69" s="337"/>
      <c r="BJ69" s="337"/>
      <c r="BK69" s="338"/>
      <c r="BL69" s="336"/>
      <c r="BM69" s="337"/>
      <c r="BN69" s="337"/>
      <c r="BO69" s="337"/>
      <c r="BP69" s="338"/>
      <c r="BQ69" s="336"/>
      <c r="BR69" s="337"/>
      <c r="BS69" s="337"/>
      <c r="BT69" s="337"/>
      <c r="BU69" s="339"/>
      <c r="BW69" s="236" t="str">
        <f>sum_level("o",'Needs 171007_1810'!D69:BU69)</f>
        <v/>
      </c>
      <c r="BX69" s="237" t="str">
        <f>sum_level("j",'Needs 171007_1810'!D69:BU69)</f>
        <v/>
      </c>
      <c r="BY69" s="237" t="str">
        <f>sum_level("m",'Needs 171007_1810'!D69:BU69)</f>
        <v/>
      </c>
      <c r="BZ69" s="237" t="str">
        <f>sum_level("s",'Needs 171007_1810'!D69:BU69)</f>
        <v/>
      </c>
      <c r="CA69" s="238" t="str">
        <f>sum_level("e",'Needs 171007_1810'!D69:BU69)</f>
        <v/>
      </c>
    </row>
    <row r="70" spans="2:79" x14ac:dyDescent="0.25">
      <c r="B70" s="435"/>
      <c r="C70" s="291" t="s">
        <v>109</v>
      </c>
      <c r="D70" s="336"/>
      <c r="E70" s="337"/>
      <c r="F70" s="337"/>
      <c r="G70" s="337"/>
      <c r="H70" s="338"/>
      <c r="I70" s="336"/>
      <c r="J70" s="337"/>
      <c r="K70" s="337"/>
      <c r="L70" s="337"/>
      <c r="M70" s="338"/>
      <c r="N70" s="336"/>
      <c r="O70" s="337"/>
      <c r="P70" s="337"/>
      <c r="Q70" s="337"/>
      <c r="R70" s="338"/>
      <c r="S70" s="336"/>
      <c r="T70" s="337"/>
      <c r="U70" s="337"/>
      <c r="V70" s="337"/>
      <c r="W70" s="338"/>
      <c r="X70" s="336"/>
      <c r="Y70" s="337"/>
      <c r="Z70" s="337"/>
      <c r="AA70" s="337"/>
      <c r="AB70" s="338"/>
      <c r="AC70" s="336"/>
      <c r="AD70" s="337"/>
      <c r="AE70" s="337"/>
      <c r="AF70" s="337"/>
      <c r="AG70" s="338"/>
      <c r="AH70" s="336"/>
      <c r="AI70" s="337"/>
      <c r="AJ70" s="337"/>
      <c r="AK70" s="337"/>
      <c r="AL70" s="338"/>
      <c r="AM70" s="336"/>
      <c r="AN70" s="337"/>
      <c r="AO70" s="337"/>
      <c r="AP70" s="337"/>
      <c r="AQ70" s="338"/>
      <c r="AR70" s="336"/>
      <c r="AS70" s="337"/>
      <c r="AT70" s="337"/>
      <c r="AU70" s="337"/>
      <c r="AV70" s="338"/>
      <c r="AW70" s="336"/>
      <c r="AX70" s="337"/>
      <c r="AY70" s="337"/>
      <c r="AZ70" s="337"/>
      <c r="BA70" s="338"/>
      <c r="BB70" s="336"/>
      <c r="BC70" s="337"/>
      <c r="BD70" s="337"/>
      <c r="BE70" s="337"/>
      <c r="BF70" s="338"/>
      <c r="BG70" s="336"/>
      <c r="BH70" s="337"/>
      <c r="BI70" s="337"/>
      <c r="BJ70" s="337"/>
      <c r="BK70" s="338"/>
      <c r="BL70" s="336"/>
      <c r="BM70" s="337"/>
      <c r="BN70" s="337"/>
      <c r="BO70" s="337"/>
      <c r="BP70" s="338"/>
      <c r="BQ70" s="336"/>
      <c r="BR70" s="337"/>
      <c r="BS70" s="337"/>
      <c r="BT70" s="337"/>
      <c r="BU70" s="339"/>
      <c r="BW70" s="236" t="str">
        <f>sum_level("o",'Needs 171007_1810'!D70:BU70)</f>
        <v/>
      </c>
      <c r="BX70" s="237" t="str">
        <f>sum_level("j",'Needs 171007_1810'!D70:BU70)</f>
        <v/>
      </c>
      <c r="BY70" s="237" t="str">
        <f>sum_level("m",'Needs 171007_1810'!D70:BU70)</f>
        <v/>
      </c>
      <c r="BZ70" s="237" t="str">
        <f>sum_level("s",'Needs 171007_1810'!D70:BU70)</f>
        <v/>
      </c>
      <c r="CA70" s="238" t="str">
        <f>sum_level("e",'Needs 171007_1810'!D70:BU70)</f>
        <v/>
      </c>
    </row>
    <row r="71" spans="2:79" x14ac:dyDescent="0.25">
      <c r="B71" s="435"/>
      <c r="C71" s="291" t="s">
        <v>110</v>
      </c>
      <c r="D71" s="336"/>
      <c r="E71" s="337"/>
      <c r="F71" s="337"/>
      <c r="G71" s="337"/>
      <c r="H71" s="338"/>
      <c r="I71" s="336"/>
      <c r="J71" s="337"/>
      <c r="K71" s="337"/>
      <c r="L71" s="337"/>
      <c r="M71" s="338"/>
      <c r="N71" s="336"/>
      <c r="O71" s="337"/>
      <c r="P71" s="337"/>
      <c r="Q71" s="337"/>
      <c r="R71" s="338"/>
      <c r="S71" s="336"/>
      <c r="T71" s="337"/>
      <c r="U71" s="337"/>
      <c r="V71" s="337"/>
      <c r="W71" s="338"/>
      <c r="X71" s="336"/>
      <c r="Y71" s="337"/>
      <c r="Z71" s="337"/>
      <c r="AA71" s="337"/>
      <c r="AB71" s="338"/>
      <c r="AC71" s="336"/>
      <c r="AD71" s="337"/>
      <c r="AE71" s="337"/>
      <c r="AF71" s="337"/>
      <c r="AG71" s="338"/>
      <c r="AH71" s="336"/>
      <c r="AI71" s="337"/>
      <c r="AJ71" s="337"/>
      <c r="AK71" s="337"/>
      <c r="AL71" s="338"/>
      <c r="AM71" s="336"/>
      <c r="AN71" s="337"/>
      <c r="AO71" s="337"/>
      <c r="AP71" s="337"/>
      <c r="AQ71" s="338"/>
      <c r="AR71" s="336"/>
      <c r="AS71" s="337"/>
      <c r="AT71" s="337"/>
      <c r="AU71" s="337"/>
      <c r="AV71" s="338"/>
      <c r="AW71" s="336"/>
      <c r="AX71" s="337"/>
      <c r="AY71" s="337"/>
      <c r="AZ71" s="337"/>
      <c r="BA71" s="338"/>
      <c r="BB71" s="336"/>
      <c r="BC71" s="337"/>
      <c r="BD71" s="337"/>
      <c r="BE71" s="337"/>
      <c r="BF71" s="338"/>
      <c r="BG71" s="336"/>
      <c r="BH71" s="337"/>
      <c r="BI71" s="337"/>
      <c r="BJ71" s="337"/>
      <c r="BK71" s="338"/>
      <c r="BL71" s="336"/>
      <c r="BM71" s="337"/>
      <c r="BN71" s="337"/>
      <c r="BO71" s="337"/>
      <c r="BP71" s="338"/>
      <c r="BQ71" s="336"/>
      <c r="BR71" s="337"/>
      <c r="BS71" s="337"/>
      <c r="BT71" s="337"/>
      <c r="BU71" s="339"/>
      <c r="BW71" s="236" t="str">
        <f>sum_level("o",'Needs 171007_1810'!D71:BU71)</f>
        <v/>
      </c>
      <c r="BX71" s="237" t="str">
        <f>sum_level("j",'Needs 171007_1810'!D71:BU71)</f>
        <v/>
      </c>
      <c r="BY71" s="237" t="str">
        <f>sum_level("m",'Needs 171007_1810'!D71:BU71)</f>
        <v/>
      </c>
      <c r="BZ71" s="237" t="str">
        <f>sum_level("s",'Needs 171007_1810'!D71:BU71)</f>
        <v/>
      </c>
      <c r="CA71" s="238" t="str">
        <f>sum_level("e",'Needs 171007_1810'!D71:BU71)</f>
        <v/>
      </c>
    </row>
    <row r="72" spans="2:79" x14ac:dyDescent="0.25">
      <c r="B72" s="435"/>
      <c r="C72" s="291" t="s">
        <v>111</v>
      </c>
      <c r="D72" s="336"/>
      <c r="E72" s="337"/>
      <c r="F72" s="337"/>
      <c r="G72" s="337"/>
      <c r="H72" s="338"/>
      <c r="I72" s="336"/>
      <c r="J72" s="337"/>
      <c r="K72" s="337"/>
      <c r="L72" s="337"/>
      <c r="M72" s="338"/>
      <c r="N72" s="336"/>
      <c r="O72" s="337"/>
      <c r="P72" s="337"/>
      <c r="Q72" s="337"/>
      <c r="R72" s="338"/>
      <c r="S72" s="336"/>
      <c r="T72" s="337"/>
      <c r="U72" s="337"/>
      <c r="V72" s="337"/>
      <c r="W72" s="338"/>
      <c r="X72" s="336"/>
      <c r="Y72" s="337"/>
      <c r="Z72" s="337"/>
      <c r="AA72" s="337"/>
      <c r="AB72" s="338"/>
      <c r="AC72" s="336"/>
      <c r="AD72" s="337"/>
      <c r="AE72" s="337"/>
      <c r="AF72" s="337"/>
      <c r="AG72" s="338"/>
      <c r="AH72" s="336"/>
      <c r="AI72" s="337"/>
      <c r="AJ72" s="337"/>
      <c r="AK72" s="337"/>
      <c r="AL72" s="338"/>
      <c r="AM72" s="336"/>
      <c r="AN72" s="337"/>
      <c r="AO72" s="337"/>
      <c r="AP72" s="337"/>
      <c r="AQ72" s="338"/>
      <c r="AR72" s="336"/>
      <c r="AS72" s="337"/>
      <c r="AT72" s="337"/>
      <c r="AU72" s="337"/>
      <c r="AV72" s="338"/>
      <c r="AW72" s="336"/>
      <c r="AX72" s="337"/>
      <c r="AY72" s="337"/>
      <c r="AZ72" s="337"/>
      <c r="BA72" s="338"/>
      <c r="BB72" s="336"/>
      <c r="BC72" s="337"/>
      <c r="BD72" s="337"/>
      <c r="BE72" s="337"/>
      <c r="BF72" s="338"/>
      <c r="BG72" s="336"/>
      <c r="BH72" s="337"/>
      <c r="BI72" s="337"/>
      <c r="BJ72" s="337"/>
      <c r="BK72" s="338"/>
      <c r="BL72" s="336"/>
      <c r="BM72" s="337"/>
      <c r="BN72" s="337"/>
      <c r="BO72" s="337"/>
      <c r="BP72" s="338"/>
      <c r="BQ72" s="336"/>
      <c r="BR72" s="337"/>
      <c r="BS72" s="337"/>
      <c r="BT72" s="337"/>
      <c r="BU72" s="339"/>
      <c r="BW72" s="236" t="str">
        <f>sum_level("o",'Needs 171007_1810'!D72:BU72)</f>
        <v/>
      </c>
      <c r="BX72" s="237" t="str">
        <f>sum_level("j",'Needs 171007_1810'!D72:BU72)</f>
        <v/>
      </c>
      <c r="BY72" s="237" t="str">
        <f>sum_level("m",'Needs 171007_1810'!D72:BU72)</f>
        <v/>
      </c>
      <c r="BZ72" s="237" t="str">
        <f>sum_level("s",'Needs 171007_1810'!D72:BU72)</f>
        <v/>
      </c>
      <c r="CA72" s="238" t="str">
        <f>sum_level("e",'Needs 171007_1810'!D72:BU72)</f>
        <v/>
      </c>
    </row>
    <row r="73" spans="2:79" x14ac:dyDescent="0.25">
      <c r="B73" s="435"/>
      <c r="C73" s="291" t="s">
        <v>112</v>
      </c>
      <c r="D73" s="336"/>
      <c r="E73" s="337"/>
      <c r="F73" s="337"/>
      <c r="G73" s="337"/>
      <c r="H73" s="338"/>
      <c r="I73" s="336"/>
      <c r="J73" s="337"/>
      <c r="K73" s="337"/>
      <c r="L73" s="337"/>
      <c r="M73" s="338"/>
      <c r="N73" s="336"/>
      <c r="O73" s="337"/>
      <c r="P73" s="337"/>
      <c r="Q73" s="337"/>
      <c r="R73" s="338"/>
      <c r="S73" s="336"/>
      <c r="T73" s="337"/>
      <c r="U73" s="337"/>
      <c r="V73" s="337"/>
      <c r="W73" s="338"/>
      <c r="X73" s="336"/>
      <c r="Y73" s="337"/>
      <c r="Z73" s="337"/>
      <c r="AA73" s="337"/>
      <c r="AB73" s="338"/>
      <c r="AC73" s="336"/>
      <c r="AD73" s="337"/>
      <c r="AE73" s="337"/>
      <c r="AF73" s="337"/>
      <c r="AG73" s="338"/>
      <c r="AH73" s="336"/>
      <c r="AI73" s="337"/>
      <c r="AJ73" s="337"/>
      <c r="AK73" s="337"/>
      <c r="AL73" s="338"/>
      <c r="AM73" s="336"/>
      <c r="AN73" s="337"/>
      <c r="AO73" s="337"/>
      <c r="AP73" s="337"/>
      <c r="AQ73" s="338"/>
      <c r="AR73" s="336"/>
      <c r="AS73" s="337"/>
      <c r="AT73" s="337"/>
      <c r="AU73" s="337"/>
      <c r="AV73" s="338"/>
      <c r="AW73" s="336"/>
      <c r="AX73" s="337"/>
      <c r="AY73" s="337"/>
      <c r="AZ73" s="337"/>
      <c r="BA73" s="338"/>
      <c r="BB73" s="336"/>
      <c r="BC73" s="337"/>
      <c r="BD73" s="337"/>
      <c r="BE73" s="337"/>
      <c r="BF73" s="338"/>
      <c r="BG73" s="336"/>
      <c r="BH73" s="337"/>
      <c r="BI73" s="337"/>
      <c r="BJ73" s="337"/>
      <c r="BK73" s="338"/>
      <c r="BL73" s="336"/>
      <c r="BM73" s="337"/>
      <c r="BN73" s="337"/>
      <c r="BO73" s="337"/>
      <c r="BP73" s="338"/>
      <c r="BQ73" s="336"/>
      <c r="BR73" s="337"/>
      <c r="BS73" s="337"/>
      <c r="BT73" s="337"/>
      <c r="BU73" s="339"/>
      <c r="BW73" s="236" t="str">
        <f>sum_level("o",'Needs 171007_1810'!D73:BU73)</f>
        <v/>
      </c>
      <c r="BX73" s="237" t="str">
        <f>sum_level("j",'Needs 171007_1810'!D73:BU73)</f>
        <v/>
      </c>
      <c r="BY73" s="237" t="str">
        <f>sum_level("m",'Needs 171007_1810'!D73:BU73)</f>
        <v/>
      </c>
      <c r="BZ73" s="237" t="str">
        <f>sum_level("s",'Needs 171007_1810'!D73:BU73)</f>
        <v/>
      </c>
      <c r="CA73" s="238" t="str">
        <f>sum_level("e",'Needs 171007_1810'!D73:BU73)</f>
        <v/>
      </c>
    </row>
    <row r="74" spans="2:79" x14ac:dyDescent="0.25">
      <c r="B74" s="435"/>
      <c r="C74" s="291" t="s">
        <v>113</v>
      </c>
      <c r="D74" s="336"/>
      <c r="E74" s="337"/>
      <c r="F74" s="337"/>
      <c r="G74" s="337"/>
      <c r="H74" s="338"/>
      <c r="I74" s="336"/>
      <c r="J74" s="337"/>
      <c r="K74" s="337"/>
      <c r="L74" s="337"/>
      <c r="M74" s="338"/>
      <c r="N74" s="336"/>
      <c r="O74" s="337"/>
      <c r="P74" s="337"/>
      <c r="Q74" s="337"/>
      <c r="R74" s="338"/>
      <c r="S74" s="336"/>
      <c r="T74" s="337"/>
      <c r="U74" s="337"/>
      <c r="V74" s="337"/>
      <c r="W74" s="338"/>
      <c r="X74" s="336"/>
      <c r="Y74" s="337"/>
      <c r="Z74" s="337"/>
      <c r="AA74" s="337"/>
      <c r="AB74" s="338"/>
      <c r="AC74" s="336"/>
      <c r="AD74" s="337"/>
      <c r="AE74" s="337"/>
      <c r="AF74" s="337"/>
      <c r="AG74" s="338"/>
      <c r="AH74" s="336"/>
      <c r="AI74" s="337"/>
      <c r="AJ74" s="337"/>
      <c r="AK74" s="337"/>
      <c r="AL74" s="338"/>
      <c r="AM74" s="336"/>
      <c r="AN74" s="337"/>
      <c r="AO74" s="337"/>
      <c r="AP74" s="337"/>
      <c r="AQ74" s="338"/>
      <c r="AR74" s="336"/>
      <c r="AS74" s="337"/>
      <c r="AT74" s="337"/>
      <c r="AU74" s="337"/>
      <c r="AV74" s="338"/>
      <c r="AW74" s="336"/>
      <c r="AX74" s="337"/>
      <c r="AY74" s="337"/>
      <c r="AZ74" s="337"/>
      <c r="BA74" s="338"/>
      <c r="BB74" s="336"/>
      <c r="BC74" s="337"/>
      <c r="BD74" s="337"/>
      <c r="BE74" s="337"/>
      <c r="BF74" s="338"/>
      <c r="BG74" s="336"/>
      <c r="BH74" s="337"/>
      <c r="BI74" s="337"/>
      <c r="BJ74" s="337"/>
      <c r="BK74" s="338"/>
      <c r="BL74" s="336"/>
      <c r="BM74" s="337"/>
      <c r="BN74" s="337"/>
      <c r="BO74" s="337"/>
      <c r="BP74" s="338"/>
      <c r="BQ74" s="336"/>
      <c r="BR74" s="337"/>
      <c r="BS74" s="337"/>
      <c r="BT74" s="337"/>
      <c r="BU74" s="339"/>
      <c r="BW74" s="236" t="str">
        <f>sum_level("o",'Needs 171007_1810'!D74:BU74)</f>
        <v/>
      </c>
      <c r="BX74" s="237" t="str">
        <f>sum_level("j",'Needs 171007_1810'!D74:BU74)</f>
        <v/>
      </c>
      <c r="BY74" s="237" t="str">
        <f>sum_level("m",'Needs 171007_1810'!D74:BU74)</f>
        <v/>
      </c>
      <c r="BZ74" s="237" t="str">
        <f>sum_level("s",'Needs 171007_1810'!D74:BU74)</f>
        <v/>
      </c>
      <c r="CA74" s="238" t="str">
        <f>sum_level("e",'Needs 171007_1810'!D74:BU74)</f>
        <v/>
      </c>
    </row>
    <row r="75" spans="2:79" x14ac:dyDescent="0.25">
      <c r="B75" s="435"/>
      <c r="C75" s="291" t="s">
        <v>114</v>
      </c>
      <c r="D75" s="336"/>
      <c r="E75" s="337"/>
      <c r="F75" s="337"/>
      <c r="G75" s="337"/>
      <c r="H75" s="338"/>
      <c r="I75" s="336"/>
      <c r="J75" s="337"/>
      <c r="K75" s="337"/>
      <c r="L75" s="337"/>
      <c r="M75" s="338"/>
      <c r="N75" s="336"/>
      <c r="O75" s="337"/>
      <c r="P75" s="337"/>
      <c r="Q75" s="337"/>
      <c r="R75" s="338"/>
      <c r="S75" s="336"/>
      <c r="T75" s="337"/>
      <c r="U75" s="337"/>
      <c r="V75" s="337"/>
      <c r="W75" s="338"/>
      <c r="X75" s="336"/>
      <c r="Y75" s="337"/>
      <c r="Z75" s="337"/>
      <c r="AA75" s="337"/>
      <c r="AB75" s="338"/>
      <c r="AC75" s="336"/>
      <c r="AD75" s="337"/>
      <c r="AE75" s="337"/>
      <c r="AF75" s="337"/>
      <c r="AG75" s="338"/>
      <c r="AH75" s="336"/>
      <c r="AI75" s="337"/>
      <c r="AJ75" s="337"/>
      <c r="AK75" s="337"/>
      <c r="AL75" s="338"/>
      <c r="AM75" s="336"/>
      <c r="AN75" s="337"/>
      <c r="AO75" s="337"/>
      <c r="AP75" s="337"/>
      <c r="AQ75" s="338"/>
      <c r="AR75" s="336"/>
      <c r="AS75" s="337"/>
      <c r="AT75" s="337"/>
      <c r="AU75" s="337"/>
      <c r="AV75" s="338"/>
      <c r="AW75" s="336"/>
      <c r="AX75" s="337"/>
      <c r="AY75" s="337"/>
      <c r="AZ75" s="337"/>
      <c r="BA75" s="338"/>
      <c r="BB75" s="336"/>
      <c r="BC75" s="337"/>
      <c r="BD75" s="337"/>
      <c r="BE75" s="337"/>
      <c r="BF75" s="338"/>
      <c r="BG75" s="336"/>
      <c r="BH75" s="337"/>
      <c r="BI75" s="337"/>
      <c r="BJ75" s="337"/>
      <c r="BK75" s="338"/>
      <c r="BL75" s="336"/>
      <c r="BM75" s="337"/>
      <c r="BN75" s="337"/>
      <c r="BO75" s="337"/>
      <c r="BP75" s="338"/>
      <c r="BQ75" s="336"/>
      <c r="BR75" s="337"/>
      <c r="BS75" s="337"/>
      <c r="BT75" s="337"/>
      <c r="BU75" s="339"/>
      <c r="BW75" s="236" t="str">
        <f>sum_level("o",'Needs 171007_1810'!D75:BU75)</f>
        <v/>
      </c>
      <c r="BX75" s="237" t="str">
        <f>sum_level("j",'Needs 171007_1810'!D75:BU75)</f>
        <v/>
      </c>
      <c r="BY75" s="237" t="str">
        <f>sum_level("m",'Needs 171007_1810'!D75:BU75)</f>
        <v/>
      </c>
      <c r="BZ75" s="237" t="str">
        <f>sum_level("s",'Needs 171007_1810'!D75:BU75)</f>
        <v/>
      </c>
      <c r="CA75" s="238" t="str">
        <f>sum_level("e",'Needs 171007_1810'!D75:BU75)</f>
        <v/>
      </c>
    </row>
    <row r="76" spans="2:79" x14ac:dyDescent="0.25">
      <c r="B76" s="435"/>
      <c r="C76" s="291" t="s">
        <v>115</v>
      </c>
      <c r="D76" s="336"/>
      <c r="E76" s="337"/>
      <c r="F76" s="337"/>
      <c r="G76" s="337"/>
      <c r="H76" s="338"/>
      <c r="I76" s="336"/>
      <c r="J76" s="337"/>
      <c r="K76" s="337"/>
      <c r="L76" s="337"/>
      <c r="M76" s="338"/>
      <c r="N76" s="336"/>
      <c r="O76" s="337"/>
      <c r="P76" s="337"/>
      <c r="Q76" s="337"/>
      <c r="R76" s="338"/>
      <c r="S76" s="336"/>
      <c r="T76" s="337"/>
      <c r="U76" s="337"/>
      <c r="V76" s="337"/>
      <c r="W76" s="338"/>
      <c r="X76" s="336"/>
      <c r="Y76" s="337"/>
      <c r="Z76" s="337"/>
      <c r="AA76" s="337"/>
      <c r="AB76" s="338"/>
      <c r="AC76" s="336"/>
      <c r="AD76" s="337"/>
      <c r="AE76" s="337"/>
      <c r="AF76" s="337"/>
      <c r="AG76" s="338"/>
      <c r="AH76" s="336"/>
      <c r="AI76" s="337"/>
      <c r="AJ76" s="337"/>
      <c r="AK76" s="337"/>
      <c r="AL76" s="338"/>
      <c r="AM76" s="336"/>
      <c r="AN76" s="337"/>
      <c r="AO76" s="337"/>
      <c r="AP76" s="337"/>
      <c r="AQ76" s="338"/>
      <c r="AR76" s="336"/>
      <c r="AS76" s="337"/>
      <c r="AT76" s="337"/>
      <c r="AU76" s="337"/>
      <c r="AV76" s="338"/>
      <c r="AW76" s="336"/>
      <c r="AX76" s="337"/>
      <c r="AY76" s="337"/>
      <c r="AZ76" s="337"/>
      <c r="BA76" s="338"/>
      <c r="BB76" s="336"/>
      <c r="BC76" s="337"/>
      <c r="BD76" s="337"/>
      <c r="BE76" s="337"/>
      <c r="BF76" s="338"/>
      <c r="BG76" s="336"/>
      <c r="BH76" s="337"/>
      <c r="BI76" s="337"/>
      <c r="BJ76" s="337"/>
      <c r="BK76" s="338"/>
      <c r="BL76" s="336"/>
      <c r="BM76" s="337"/>
      <c r="BN76" s="337"/>
      <c r="BO76" s="337"/>
      <c r="BP76" s="338"/>
      <c r="BQ76" s="336"/>
      <c r="BR76" s="337"/>
      <c r="BS76" s="337"/>
      <c r="BT76" s="337"/>
      <c r="BU76" s="339"/>
      <c r="BW76" s="236" t="str">
        <f>sum_level("o",'Needs 171007_1810'!D76:BU76)</f>
        <v/>
      </c>
      <c r="BX76" s="237" t="str">
        <f>sum_level("j",'Needs 171007_1810'!D76:BU76)</f>
        <v/>
      </c>
      <c r="BY76" s="237" t="str">
        <f>sum_level("m",'Needs 171007_1810'!D76:BU76)</f>
        <v/>
      </c>
      <c r="BZ76" s="237" t="str">
        <f>sum_level("s",'Needs 171007_1810'!D76:BU76)</f>
        <v/>
      </c>
      <c r="CA76" s="238" t="str">
        <f>sum_level("e",'Needs 171007_1810'!D76:BU76)</f>
        <v/>
      </c>
    </row>
    <row r="77" spans="2:79" ht="15.75" thickBot="1" x14ac:dyDescent="0.3">
      <c r="B77" s="435"/>
      <c r="C77" s="292" t="s">
        <v>116</v>
      </c>
      <c r="D77" s="340"/>
      <c r="E77" s="341"/>
      <c r="F77" s="341"/>
      <c r="G77" s="341"/>
      <c r="H77" s="342"/>
      <c r="I77" s="340"/>
      <c r="J77" s="341"/>
      <c r="K77" s="341"/>
      <c r="L77" s="341"/>
      <c r="M77" s="342"/>
      <c r="N77" s="340"/>
      <c r="O77" s="341"/>
      <c r="P77" s="341"/>
      <c r="Q77" s="341"/>
      <c r="R77" s="342"/>
      <c r="S77" s="340"/>
      <c r="T77" s="341"/>
      <c r="U77" s="341"/>
      <c r="V77" s="341"/>
      <c r="W77" s="342"/>
      <c r="X77" s="340"/>
      <c r="Y77" s="341"/>
      <c r="Z77" s="341"/>
      <c r="AA77" s="341"/>
      <c r="AB77" s="342"/>
      <c r="AC77" s="340"/>
      <c r="AD77" s="341"/>
      <c r="AE77" s="341"/>
      <c r="AF77" s="341"/>
      <c r="AG77" s="342"/>
      <c r="AH77" s="340"/>
      <c r="AI77" s="341"/>
      <c r="AJ77" s="341"/>
      <c r="AK77" s="341"/>
      <c r="AL77" s="342"/>
      <c r="AM77" s="340"/>
      <c r="AN77" s="341"/>
      <c r="AO77" s="341"/>
      <c r="AP77" s="341"/>
      <c r="AQ77" s="342"/>
      <c r="AR77" s="340"/>
      <c r="AS77" s="341"/>
      <c r="AT77" s="341"/>
      <c r="AU77" s="341"/>
      <c r="AV77" s="342"/>
      <c r="AW77" s="340"/>
      <c r="AX77" s="341"/>
      <c r="AY77" s="341"/>
      <c r="AZ77" s="341"/>
      <c r="BA77" s="342"/>
      <c r="BB77" s="340"/>
      <c r="BC77" s="341"/>
      <c r="BD77" s="341"/>
      <c r="BE77" s="341"/>
      <c r="BF77" s="342"/>
      <c r="BG77" s="340"/>
      <c r="BH77" s="341"/>
      <c r="BI77" s="341"/>
      <c r="BJ77" s="341"/>
      <c r="BK77" s="342"/>
      <c r="BL77" s="340"/>
      <c r="BM77" s="341"/>
      <c r="BN77" s="341"/>
      <c r="BO77" s="341"/>
      <c r="BP77" s="342"/>
      <c r="BQ77" s="340"/>
      <c r="BR77" s="341"/>
      <c r="BS77" s="341"/>
      <c r="BT77" s="341"/>
      <c r="BU77" s="343"/>
      <c r="BW77" s="239" t="str">
        <f>sum_level("o",'Needs 171007_1810'!D77:BU77)</f>
        <v/>
      </c>
      <c r="BX77" s="240" t="str">
        <f>sum_level("j",'Needs 171007_1810'!D77:BU77)</f>
        <v/>
      </c>
      <c r="BY77" s="240" t="str">
        <f>sum_level("m",'Needs 171007_1810'!D77:BU77)</f>
        <v/>
      </c>
      <c r="BZ77" s="240" t="str">
        <f>sum_level("s",'Needs 171007_1810'!D77:BU77)</f>
        <v/>
      </c>
      <c r="CA77" s="241" t="str">
        <f>sum_level("e",'Needs 171007_1810'!D77:BU77)</f>
        <v/>
      </c>
    </row>
    <row r="78" spans="2:79" ht="12.75" customHeight="1" thickTop="1" thickBot="1" x14ac:dyDescent="0.3">
      <c r="B78" s="436"/>
      <c r="C78" s="248"/>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s="344"/>
      <c r="BN78" s="344"/>
      <c r="BO78" s="344"/>
      <c r="BP78" s="344"/>
      <c r="BQ78" s="344"/>
      <c r="BR78" s="344"/>
      <c r="BS78" s="344"/>
      <c r="BT78" s="344"/>
      <c r="BU78" s="344"/>
      <c r="BW78" s="249"/>
      <c r="BX78" s="249"/>
      <c r="BY78" s="249"/>
      <c r="BZ78" s="249"/>
      <c r="CA78" s="249"/>
    </row>
    <row r="79" spans="2:79" ht="15.75" thickTop="1" x14ac:dyDescent="0.25">
      <c r="B79" s="434" t="s">
        <v>267</v>
      </c>
      <c r="C79" s="290" t="s">
        <v>269</v>
      </c>
      <c r="D79" s="332"/>
      <c r="E79" s="333"/>
      <c r="F79" s="333"/>
      <c r="G79" s="333"/>
      <c r="H79" s="334"/>
      <c r="I79" s="332"/>
      <c r="J79" s="333"/>
      <c r="K79" s="333"/>
      <c r="L79" s="333"/>
      <c r="M79" s="334"/>
      <c r="N79" s="332"/>
      <c r="O79" s="333"/>
      <c r="P79" s="333"/>
      <c r="Q79" s="333"/>
      <c r="R79" s="334"/>
      <c r="S79" s="332"/>
      <c r="T79" s="333"/>
      <c r="U79" s="333"/>
      <c r="V79" s="333"/>
      <c r="W79" s="334"/>
      <c r="X79" s="332"/>
      <c r="Y79" s="333"/>
      <c r="Z79" s="333"/>
      <c r="AA79" s="333"/>
      <c r="AB79" s="334"/>
      <c r="AC79" s="332"/>
      <c r="AD79" s="333"/>
      <c r="AE79" s="333"/>
      <c r="AF79" s="333"/>
      <c r="AG79" s="334"/>
      <c r="AH79" s="332"/>
      <c r="AI79" s="333"/>
      <c r="AJ79" s="333"/>
      <c r="AK79" s="333"/>
      <c r="AL79" s="334"/>
      <c r="AM79" s="332"/>
      <c r="AN79" s="333"/>
      <c r="AO79" s="333"/>
      <c r="AP79" s="333"/>
      <c r="AQ79" s="334"/>
      <c r="AR79" s="332"/>
      <c r="AS79" s="333"/>
      <c r="AT79" s="333"/>
      <c r="AU79" s="333"/>
      <c r="AV79" s="334"/>
      <c r="AW79" s="332"/>
      <c r="AX79" s="333"/>
      <c r="AY79" s="333"/>
      <c r="AZ79" s="333"/>
      <c r="BA79" s="334"/>
      <c r="BB79" s="332"/>
      <c r="BC79" s="333"/>
      <c r="BD79" s="333"/>
      <c r="BE79" s="333"/>
      <c r="BF79" s="334"/>
      <c r="BG79" s="332"/>
      <c r="BH79" s="333"/>
      <c r="BI79" s="333"/>
      <c r="BJ79" s="333"/>
      <c r="BK79" s="334"/>
      <c r="BL79" s="332"/>
      <c r="BM79" s="333"/>
      <c r="BN79" s="333"/>
      <c r="BO79" s="333"/>
      <c r="BP79" s="334"/>
      <c r="BQ79" s="332"/>
      <c r="BR79" s="333"/>
      <c r="BS79" s="333"/>
      <c r="BT79" s="333"/>
      <c r="BU79" s="335"/>
      <c r="BW79" s="233" t="str">
        <f>sum_level("o",'Needs 171007_1810'!D79:BU79)</f>
        <v/>
      </c>
      <c r="BX79" s="234" t="str">
        <f>sum_level("j",'Needs 171007_1810'!D79:BU79)</f>
        <v/>
      </c>
      <c r="BY79" s="234" t="str">
        <f>sum_level("m",'Needs 171007_1810'!D79:BU79)</f>
        <v/>
      </c>
      <c r="BZ79" s="234" t="str">
        <f>sum_level("s",'Needs 171007_1810'!D79:BU79)</f>
        <v/>
      </c>
      <c r="CA79" s="235" t="str">
        <f>sum_level("e",'Needs 171007_1810'!D79:BU79)</f>
        <v/>
      </c>
    </row>
    <row r="80" spans="2:79" x14ac:dyDescent="0.25">
      <c r="B80" s="435"/>
      <c r="C80" s="291" t="s">
        <v>270</v>
      </c>
      <c r="D80" s="336"/>
      <c r="E80" s="337"/>
      <c r="F80" s="337"/>
      <c r="G80" s="337"/>
      <c r="H80" s="338"/>
      <c r="I80" s="336"/>
      <c r="J80" s="337"/>
      <c r="K80" s="337"/>
      <c r="L80" s="337"/>
      <c r="M80" s="338"/>
      <c r="N80" s="336"/>
      <c r="O80" s="337"/>
      <c r="P80" s="337"/>
      <c r="Q80" s="337"/>
      <c r="R80" s="338"/>
      <c r="S80" s="336"/>
      <c r="T80" s="337"/>
      <c r="U80" s="337"/>
      <c r="V80" s="337"/>
      <c r="W80" s="338"/>
      <c r="X80" s="336"/>
      <c r="Y80" s="337"/>
      <c r="Z80" s="337"/>
      <c r="AA80" s="337"/>
      <c r="AB80" s="338"/>
      <c r="AC80" s="336"/>
      <c r="AD80" s="337"/>
      <c r="AE80" s="337"/>
      <c r="AF80" s="337"/>
      <c r="AG80" s="338"/>
      <c r="AH80" s="336"/>
      <c r="AI80" s="337"/>
      <c r="AJ80" s="337"/>
      <c r="AK80" s="337"/>
      <c r="AL80" s="338"/>
      <c r="AM80" s="336"/>
      <c r="AN80" s="337"/>
      <c r="AO80" s="337"/>
      <c r="AP80" s="337"/>
      <c r="AQ80" s="338"/>
      <c r="AR80" s="336"/>
      <c r="AS80" s="337"/>
      <c r="AT80" s="337"/>
      <c r="AU80" s="337"/>
      <c r="AV80" s="338"/>
      <c r="AW80" s="336"/>
      <c r="AX80" s="337"/>
      <c r="AY80" s="337"/>
      <c r="AZ80" s="337"/>
      <c r="BA80" s="338"/>
      <c r="BB80" s="336"/>
      <c r="BC80" s="337"/>
      <c r="BD80" s="337"/>
      <c r="BE80" s="337"/>
      <c r="BF80" s="338"/>
      <c r="BG80" s="336"/>
      <c r="BH80" s="337"/>
      <c r="BI80" s="337"/>
      <c r="BJ80" s="337"/>
      <c r="BK80" s="338"/>
      <c r="BL80" s="336"/>
      <c r="BM80" s="337"/>
      <c r="BN80" s="337"/>
      <c r="BO80" s="337"/>
      <c r="BP80" s="338"/>
      <c r="BQ80" s="336"/>
      <c r="BR80" s="337"/>
      <c r="BS80" s="337"/>
      <c r="BT80" s="337"/>
      <c r="BU80" s="339"/>
      <c r="BW80" s="236" t="str">
        <f>sum_level("o",'Needs 171007_1810'!D80:BU80)</f>
        <v/>
      </c>
      <c r="BX80" s="237" t="str">
        <f>sum_level("j",'Needs 171007_1810'!D80:BU80)</f>
        <v/>
      </c>
      <c r="BY80" s="237" t="str">
        <f>sum_level("m",'Needs 171007_1810'!D80:BU80)</f>
        <v/>
      </c>
      <c r="BZ80" s="237" t="str">
        <f>sum_level("s",'Needs 171007_1810'!D80:BU80)</f>
        <v/>
      </c>
      <c r="CA80" s="238" t="str">
        <f>sum_level("e",'Needs 171007_1810'!D80:BU80)</f>
        <v/>
      </c>
    </row>
    <row r="81" spans="2:79" x14ac:dyDescent="0.25">
      <c r="B81" s="435"/>
      <c r="C81" s="291" t="s">
        <v>271</v>
      </c>
      <c r="D81" s="336"/>
      <c r="E81" s="337"/>
      <c r="F81" s="337"/>
      <c r="G81" s="337"/>
      <c r="H81" s="338"/>
      <c r="I81" s="336"/>
      <c r="J81" s="337"/>
      <c r="K81" s="337"/>
      <c r="L81" s="337"/>
      <c r="M81" s="338"/>
      <c r="N81" s="336"/>
      <c r="O81" s="337"/>
      <c r="P81" s="337"/>
      <c r="Q81" s="337"/>
      <c r="R81" s="338"/>
      <c r="S81" s="336"/>
      <c r="T81" s="337"/>
      <c r="U81" s="337"/>
      <c r="V81" s="337"/>
      <c r="W81" s="338"/>
      <c r="X81" s="336"/>
      <c r="Y81" s="337"/>
      <c r="Z81" s="337"/>
      <c r="AA81" s="337"/>
      <c r="AB81" s="338"/>
      <c r="AC81" s="336"/>
      <c r="AD81" s="337"/>
      <c r="AE81" s="337"/>
      <c r="AF81" s="337"/>
      <c r="AG81" s="338"/>
      <c r="AH81" s="336"/>
      <c r="AI81" s="337"/>
      <c r="AJ81" s="337"/>
      <c r="AK81" s="337"/>
      <c r="AL81" s="338"/>
      <c r="AM81" s="336"/>
      <c r="AN81" s="337"/>
      <c r="AO81" s="337"/>
      <c r="AP81" s="337"/>
      <c r="AQ81" s="338"/>
      <c r="AR81" s="336"/>
      <c r="AS81" s="337"/>
      <c r="AT81" s="337"/>
      <c r="AU81" s="337"/>
      <c r="AV81" s="338"/>
      <c r="AW81" s="336"/>
      <c r="AX81" s="337"/>
      <c r="AY81" s="337"/>
      <c r="AZ81" s="337"/>
      <c r="BA81" s="338"/>
      <c r="BB81" s="336"/>
      <c r="BC81" s="337"/>
      <c r="BD81" s="337"/>
      <c r="BE81" s="337"/>
      <c r="BF81" s="338"/>
      <c r="BG81" s="336"/>
      <c r="BH81" s="337"/>
      <c r="BI81" s="337"/>
      <c r="BJ81" s="337"/>
      <c r="BK81" s="338"/>
      <c r="BL81" s="336"/>
      <c r="BM81" s="337"/>
      <c r="BN81" s="337"/>
      <c r="BO81" s="337"/>
      <c r="BP81" s="338"/>
      <c r="BQ81" s="336"/>
      <c r="BR81" s="337"/>
      <c r="BS81" s="337"/>
      <c r="BT81" s="337"/>
      <c r="BU81" s="339"/>
      <c r="BW81" s="236" t="str">
        <f>sum_level("o",'Needs 171007_1810'!D81:BU81)</f>
        <v/>
      </c>
      <c r="BX81" s="237" t="str">
        <f>sum_level("j",'Needs 171007_1810'!D81:BU81)</f>
        <v/>
      </c>
      <c r="BY81" s="237" t="str">
        <f>sum_level("m",'Needs 171007_1810'!D81:BU81)</f>
        <v/>
      </c>
      <c r="BZ81" s="237" t="str">
        <f>sum_level("s",'Needs 171007_1810'!D81:BU81)</f>
        <v/>
      </c>
      <c r="CA81" s="238" t="str">
        <f>sum_level("e",'Needs 171007_1810'!D81:BU81)</f>
        <v/>
      </c>
    </row>
    <row r="82" spans="2:79" x14ac:dyDescent="0.25">
      <c r="B82" s="435"/>
      <c r="C82" s="291" t="s">
        <v>272</v>
      </c>
      <c r="D82" s="336"/>
      <c r="E82" s="337"/>
      <c r="F82" s="337"/>
      <c r="G82" s="337"/>
      <c r="H82" s="338"/>
      <c r="I82" s="336"/>
      <c r="J82" s="337"/>
      <c r="K82" s="337"/>
      <c r="L82" s="337"/>
      <c r="M82" s="338"/>
      <c r="N82" s="336"/>
      <c r="O82" s="337"/>
      <c r="P82" s="337"/>
      <c r="Q82" s="337"/>
      <c r="R82" s="338"/>
      <c r="S82" s="336"/>
      <c r="T82" s="337"/>
      <c r="U82" s="337"/>
      <c r="V82" s="337"/>
      <c r="W82" s="338"/>
      <c r="X82" s="336"/>
      <c r="Y82" s="337"/>
      <c r="Z82" s="337"/>
      <c r="AA82" s="337"/>
      <c r="AB82" s="338"/>
      <c r="AC82" s="336"/>
      <c r="AD82" s="337"/>
      <c r="AE82" s="337"/>
      <c r="AF82" s="337"/>
      <c r="AG82" s="338"/>
      <c r="AH82" s="336"/>
      <c r="AI82" s="337"/>
      <c r="AJ82" s="337"/>
      <c r="AK82" s="337"/>
      <c r="AL82" s="338"/>
      <c r="AM82" s="336"/>
      <c r="AN82" s="337"/>
      <c r="AO82" s="337"/>
      <c r="AP82" s="337"/>
      <c r="AQ82" s="338"/>
      <c r="AR82" s="336"/>
      <c r="AS82" s="337"/>
      <c r="AT82" s="337"/>
      <c r="AU82" s="337"/>
      <c r="AV82" s="338"/>
      <c r="AW82" s="336"/>
      <c r="AX82" s="337"/>
      <c r="AY82" s="337"/>
      <c r="AZ82" s="337"/>
      <c r="BA82" s="338"/>
      <c r="BB82" s="336"/>
      <c r="BC82" s="337"/>
      <c r="BD82" s="337"/>
      <c r="BE82" s="337"/>
      <c r="BF82" s="338"/>
      <c r="BG82" s="336"/>
      <c r="BH82" s="337"/>
      <c r="BI82" s="337"/>
      <c r="BJ82" s="337"/>
      <c r="BK82" s="338"/>
      <c r="BL82" s="336"/>
      <c r="BM82" s="337"/>
      <c r="BN82" s="337"/>
      <c r="BO82" s="337"/>
      <c r="BP82" s="338"/>
      <c r="BQ82" s="336"/>
      <c r="BR82" s="337"/>
      <c r="BS82" s="337"/>
      <c r="BT82" s="337"/>
      <c r="BU82" s="339"/>
      <c r="BW82" s="236" t="str">
        <f>sum_level("o",'Needs 171007_1810'!D82:BU82)</f>
        <v/>
      </c>
      <c r="BX82" s="237" t="str">
        <f>sum_level("j",'Needs 171007_1810'!D82:BU82)</f>
        <v/>
      </c>
      <c r="BY82" s="237" t="str">
        <f>sum_level("m",'Needs 171007_1810'!D82:BU82)</f>
        <v/>
      </c>
      <c r="BZ82" s="237" t="str">
        <f>sum_level("s",'Needs 171007_1810'!D82:BU82)</f>
        <v/>
      </c>
      <c r="CA82" s="238" t="str">
        <f>sum_level("e",'Needs 171007_1810'!D82:BU82)</f>
        <v/>
      </c>
    </row>
    <row r="83" spans="2:79" x14ac:dyDescent="0.25">
      <c r="B83" s="435"/>
      <c r="C83" s="291" t="s">
        <v>273</v>
      </c>
      <c r="D83" s="336"/>
      <c r="E83" s="337"/>
      <c r="F83" s="337"/>
      <c r="G83" s="337"/>
      <c r="H83" s="338"/>
      <c r="I83" s="336"/>
      <c r="J83" s="337"/>
      <c r="K83" s="337"/>
      <c r="L83" s="337"/>
      <c r="M83" s="338"/>
      <c r="N83" s="336"/>
      <c r="O83" s="337"/>
      <c r="P83" s="337"/>
      <c r="Q83" s="337"/>
      <c r="R83" s="338"/>
      <c r="S83" s="336"/>
      <c r="T83" s="337"/>
      <c r="U83" s="337"/>
      <c r="V83" s="337"/>
      <c r="W83" s="338"/>
      <c r="X83" s="336"/>
      <c r="Y83" s="337"/>
      <c r="Z83" s="337"/>
      <c r="AA83" s="337"/>
      <c r="AB83" s="338"/>
      <c r="AC83" s="336"/>
      <c r="AD83" s="337"/>
      <c r="AE83" s="337"/>
      <c r="AF83" s="337"/>
      <c r="AG83" s="338"/>
      <c r="AH83" s="336"/>
      <c r="AI83" s="337"/>
      <c r="AJ83" s="337"/>
      <c r="AK83" s="337"/>
      <c r="AL83" s="338"/>
      <c r="AM83" s="336"/>
      <c r="AN83" s="337"/>
      <c r="AO83" s="337"/>
      <c r="AP83" s="337"/>
      <c r="AQ83" s="338"/>
      <c r="AR83" s="336"/>
      <c r="AS83" s="337"/>
      <c r="AT83" s="337"/>
      <c r="AU83" s="337"/>
      <c r="AV83" s="338"/>
      <c r="AW83" s="336"/>
      <c r="AX83" s="337"/>
      <c r="AY83" s="337"/>
      <c r="AZ83" s="337"/>
      <c r="BA83" s="338"/>
      <c r="BB83" s="336"/>
      <c r="BC83" s="337"/>
      <c r="BD83" s="337"/>
      <c r="BE83" s="337"/>
      <c r="BF83" s="338"/>
      <c r="BG83" s="336"/>
      <c r="BH83" s="337"/>
      <c r="BI83" s="337"/>
      <c r="BJ83" s="337"/>
      <c r="BK83" s="338"/>
      <c r="BL83" s="336"/>
      <c r="BM83" s="337"/>
      <c r="BN83" s="337"/>
      <c r="BO83" s="337"/>
      <c r="BP83" s="338"/>
      <c r="BQ83" s="336"/>
      <c r="BR83" s="337"/>
      <c r="BS83" s="337"/>
      <c r="BT83" s="337"/>
      <c r="BU83" s="339"/>
      <c r="BW83" s="236" t="str">
        <f>sum_level("o",'Needs 171007_1810'!D83:BU83)</f>
        <v/>
      </c>
      <c r="BX83" s="237" t="str">
        <f>sum_level("j",'Needs 171007_1810'!D83:BU83)</f>
        <v/>
      </c>
      <c r="BY83" s="237" t="str">
        <f>sum_level("m",'Needs 171007_1810'!D83:BU83)</f>
        <v/>
      </c>
      <c r="BZ83" s="237" t="str">
        <f>sum_level("s",'Needs 171007_1810'!D83:BU83)</f>
        <v/>
      </c>
      <c r="CA83" s="238" t="str">
        <f>sum_level("e",'Needs 171007_1810'!D83:BU83)</f>
        <v/>
      </c>
    </row>
    <row r="84" spans="2:79" x14ac:dyDescent="0.25">
      <c r="B84" s="435"/>
      <c r="C84" s="291" t="s">
        <v>274</v>
      </c>
      <c r="D84" s="336"/>
      <c r="E84" s="337"/>
      <c r="F84" s="337"/>
      <c r="G84" s="337"/>
      <c r="H84" s="338"/>
      <c r="I84" s="336"/>
      <c r="J84" s="337"/>
      <c r="K84" s="337"/>
      <c r="L84" s="337"/>
      <c r="M84" s="338"/>
      <c r="N84" s="336"/>
      <c r="O84" s="337"/>
      <c r="P84" s="337"/>
      <c r="Q84" s="337"/>
      <c r="R84" s="338"/>
      <c r="S84" s="336"/>
      <c r="T84" s="337"/>
      <c r="U84" s="337"/>
      <c r="V84" s="337"/>
      <c r="W84" s="338"/>
      <c r="X84" s="336"/>
      <c r="Y84" s="337"/>
      <c r="Z84" s="337"/>
      <c r="AA84" s="337"/>
      <c r="AB84" s="338"/>
      <c r="AC84" s="336"/>
      <c r="AD84" s="337"/>
      <c r="AE84" s="337"/>
      <c r="AF84" s="337"/>
      <c r="AG84" s="338"/>
      <c r="AH84" s="336"/>
      <c r="AI84" s="337"/>
      <c r="AJ84" s="337"/>
      <c r="AK84" s="337"/>
      <c r="AL84" s="338"/>
      <c r="AM84" s="336"/>
      <c r="AN84" s="337"/>
      <c r="AO84" s="337"/>
      <c r="AP84" s="337"/>
      <c r="AQ84" s="338"/>
      <c r="AR84" s="336"/>
      <c r="AS84" s="337"/>
      <c r="AT84" s="337"/>
      <c r="AU84" s="337"/>
      <c r="AV84" s="338"/>
      <c r="AW84" s="336"/>
      <c r="AX84" s="337"/>
      <c r="AY84" s="337"/>
      <c r="AZ84" s="337"/>
      <c r="BA84" s="338"/>
      <c r="BB84" s="336"/>
      <c r="BC84" s="337"/>
      <c r="BD84" s="337"/>
      <c r="BE84" s="337"/>
      <c r="BF84" s="338"/>
      <c r="BG84" s="336"/>
      <c r="BH84" s="337"/>
      <c r="BI84" s="337"/>
      <c r="BJ84" s="337"/>
      <c r="BK84" s="338"/>
      <c r="BL84" s="336"/>
      <c r="BM84" s="337"/>
      <c r="BN84" s="337"/>
      <c r="BO84" s="337"/>
      <c r="BP84" s="338"/>
      <c r="BQ84" s="336"/>
      <c r="BR84" s="337"/>
      <c r="BS84" s="337"/>
      <c r="BT84" s="337"/>
      <c r="BU84" s="339"/>
      <c r="BW84" s="236" t="str">
        <f>sum_level("o",'Needs 171007_1810'!D84:BU84)</f>
        <v/>
      </c>
      <c r="BX84" s="237" t="str">
        <f>sum_level("j",'Needs 171007_1810'!D84:BU84)</f>
        <v/>
      </c>
      <c r="BY84" s="237" t="str">
        <f>sum_level("m",'Needs 171007_1810'!D84:BU84)</f>
        <v/>
      </c>
      <c r="BZ84" s="237" t="str">
        <f>sum_level("s",'Needs 171007_1810'!D84:BU84)</f>
        <v/>
      </c>
      <c r="CA84" s="238" t="str">
        <f>sum_level("e",'Needs 171007_1810'!D84:BU84)</f>
        <v/>
      </c>
    </row>
    <row r="85" spans="2:79" x14ac:dyDescent="0.25">
      <c r="B85" s="435"/>
      <c r="C85" s="291" t="s">
        <v>275</v>
      </c>
      <c r="D85" s="336"/>
      <c r="E85" s="337"/>
      <c r="F85" s="337"/>
      <c r="G85" s="337"/>
      <c r="H85" s="338"/>
      <c r="I85" s="336"/>
      <c r="J85" s="337"/>
      <c r="K85" s="337"/>
      <c r="L85" s="337"/>
      <c r="M85" s="338"/>
      <c r="N85" s="336"/>
      <c r="O85" s="337"/>
      <c r="P85" s="337"/>
      <c r="Q85" s="337"/>
      <c r="R85" s="338"/>
      <c r="S85" s="336"/>
      <c r="T85" s="337"/>
      <c r="U85" s="337"/>
      <c r="V85" s="337"/>
      <c r="W85" s="338"/>
      <c r="X85" s="336"/>
      <c r="Y85" s="337"/>
      <c r="Z85" s="337"/>
      <c r="AA85" s="337"/>
      <c r="AB85" s="338"/>
      <c r="AC85" s="336"/>
      <c r="AD85" s="337"/>
      <c r="AE85" s="337"/>
      <c r="AF85" s="337"/>
      <c r="AG85" s="338"/>
      <c r="AH85" s="336"/>
      <c r="AI85" s="337"/>
      <c r="AJ85" s="337"/>
      <c r="AK85" s="337"/>
      <c r="AL85" s="338"/>
      <c r="AM85" s="336"/>
      <c r="AN85" s="337"/>
      <c r="AO85" s="337"/>
      <c r="AP85" s="337"/>
      <c r="AQ85" s="338"/>
      <c r="AR85" s="336"/>
      <c r="AS85" s="337"/>
      <c r="AT85" s="337"/>
      <c r="AU85" s="337"/>
      <c r="AV85" s="338"/>
      <c r="AW85" s="336"/>
      <c r="AX85" s="337"/>
      <c r="AY85" s="337"/>
      <c r="AZ85" s="337"/>
      <c r="BA85" s="338"/>
      <c r="BB85" s="336"/>
      <c r="BC85" s="337"/>
      <c r="BD85" s="337"/>
      <c r="BE85" s="337"/>
      <c r="BF85" s="338"/>
      <c r="BG85" s="336"/>
      <c r="BH85" s="337"/>
      <c r="BI85" s="337"/>
      <c r="BJ85" s="337"/>
      <c r="BK85" s="338"/>
      <c r="BL85" s="336"/>
      <c r="BM85" s="337"/>
      <c r="BN85" s="337"/>
      <c r="BO85" s="337"/>
      <c r="BP85" s="338"/>
      <c r="BQ85" s="336"/>
      <c r="BR85" s="337"/>
      <c r="BS85" s="337"/>
      <c r="BT85" s="337"/>
      <c r="BU85" s="339"/>
      <c r="BW85" s="236" t="str">
        <f>sum_level("o",'Needs 171007_1810'!D85:BU85)</f>
        <v/>
      </c>
      <c r="BX85" s="237" t="str">
        <f>sum_level("j",'Needs 171007_1810'!D85:BU85)</f>
        <v/>
      </c>
      <c r="BY85" s="237" t="str">
        <f>sum_level("m",'Needs 171007_1810'!D85:BU85)</f>
        <v/>
      </c>
      <c r="BZ85" s="237" t="str">
        <f>sum_level("s",'Needs 171007_1810'!D85:BU85)</f>
        <v/>
      </c>
      <c r="CA85" s="238" t="str">
        <f>sum_level("e",'Needs 171007_1810'!D85:BU85)</f>
        <v/>
      </c>
    </row>
    <row r="86" spans="2:79" x14ac:dyDescent="0.25">
      <c r="B86" s="435"/>
      <c r="C86" s="291" t="s">
        <v>281</v>
      </c>
      <c r="D86" s="336"/>
      <c r="E86" s="337"/>
      <c r="F86" s="337"/>
      <c r="G86" s="337"/>
      <c r="H86" s="338"/>
      <c r="I86" s="336"/>
      <c r="J86" s="337"/>
      <c r="K86" s="337"/>
      <c r="L86" s="337"/>
      <c r="M86" s="338"/>
      <c r="N86" s="336"/>
      <c r="O86" s="337"/>
      <c r="P86" s="337"/>
      <c r="Q86" s="337"/>
      <c r="R86" s="338"/>
      <c r="S86" s="336"/>
      <c r="T86" s="337"/>
      <c r="U86" s="337"/>
      <c r="V86" s="337"/>
      <c r="W86" s="338"/>
      <c r="X86" s="336"/>
      <c r="Y86" s="337"/>
      <c r="Z86" s="337"/>
      <c r="AA86" s="337"/>
      <c r="AB86" s="338"/>
      <c r="AC86" s="336"/>
      <c r="AD86" s="337"/>
      <c r="AE86" s="337"/>
      <c r="AF86" s="337"/>
      <c r="AG86" s="338"/>
      <c r="AH86" s="336"/>
      <c r="AI86" s="337"/>
      <c r="AJ86" s="337"/>
      <c r="AK86" s="337"/>
      <c r="AL86" s="338"/>
      <c r="AM86" s="336"/>
      <c r="AN86" s="337"/>
      <c r="AO86" s="337"/>
      <c r="AP86" s="337"/>
      <c r="AQ86" s="338"/>
      <c r="AR86" s="336"/>
      <c r="AS86" s="337"/>
      <c r="AT86" s="337"/>
      <c r="AU86" s="337"/>
      <c r="AV86" s="338"/>
      <c r="AW86" s="336"/>
      <c r="AX86" s="337"/>
      <c r="AY86" s="337"/>
      <c r="AZ86" s="337"/>
      <c r="BA86" s="338"/>
      <c r="BB86" s="336"/>
      <c r="BC86" s="337"/>
      <c r="BD86" s="337"/>
      <c r="BE86" s="337"/>
      <c r="BF86" s="338"/>
      <c r="BG86" s="336"/>
      <c r="BH86" s="337"/>
      <c r="BI86" s="337"/>
      <c r="BJ86" s="337"/>
      <c r="BK86" s="338"/>
      <c r="BL86" s="336"/>
      <c r="BM86" s="337"/>
      <c r="BN86" s="337"/>
      <c r="BO86" s="337"/>
      <c r="BP86" s="338"/>
      <c r="BQ86" s="336"/>
      <c r="BR86" s="337"/>
      <c r="BS86" s="337"/>
      <c r="BT86" s="337"/>
      <c r="BU86" s="339"/>
      <c r="BW86" s="236" t="str">
        <f>sum_level("o",'Needs 171007_1810'!D86:BU86)</f>
        <v/>
      </c>
      <c r="BX86" s="237" t="str">
        <f>sum_level("j",'Needs 171007_1810'!D86:BU86)</f>
        <v/>
      </c>
      <c r="BY86" s="237" t="str">
        <f>sum_level("m",'Needs 171007_1810'!D86:BU86)</f>
        <v/>
      </c>
      <c r="BZ86" s="237" t="str">
        <f>sum_level("s",'Needs 171007_1810'!D86:BU86)</f>
        <v/>
      </c>
      <c r="CA86" s="238" t="str">
        <f>sum_level("e",'Needs 171007_1810'!D86:BU86)</f>
        <v/>
      </c>
    </row>
    <row r="87" spans="2:79" x14ac:dyDescent="0.25">
      <c r="B87" s="435"/>
      <c r="C87" s="291" t="s">
        <v>276</v>
      </c>
      <c r="D87" s="336"/>
      <c r="E87" s="337"/>
      <c r="F87" s="337"/>
      <c r="G87" s="337"/>
      <c r="H87" s="338"/>
      <c r="I87" s="336"/>
      <c r="J87" s="337"/>
      <c r="K87" s="337"/>
      <c r="L87" s="337"/>
      <c r="M87" s="338"/>
      <c r="N87" s="336"/>
      <c r="O87" s="337"/>
      <c r="P87" s="337"/>
      <c r="Q87" s="337"/>
      <c r="R87" s="338"/>
      <c r="S87" s="336"/>
      <c r="T87" s="337"/>
      <c r="U87" s="337"/>
      <c r="V87" s="337"/>
      <c r="W87" s="338"/>
      <c r="X87" s="336"/>
      <c r="Y87" s="337"/>
      <c r="Z87" s="337"/>
      <c r="AA87" s="337"/>
      <c r="AB87" s="338"/>
      <c r="AC87" s="336"/>
      <c r="AD87" s="337"/>
      <c r="AE87" s="337"/>
      <c r="AF87" s="337"/>
      <c r="AG87" s="338"/>
      <c r="AH87" s="336"/>
      <c r="AI87" s="337"/>
      <c r="AJ87" s="337"/>
      <c r="AK87" s="337"/>
      <c r="AL87" s="338"/>
      <c r="AM87" s="336"/>
      <c r="AN87" s="337"/>
      <c r="AO87" s="337"/>
      <c r="AP87" s="337"/>
      <c r="AQ87" s="338"/>
      <c r="AR87" s="336"/>
      <c r="AS87" s="337"/>
      <c r="AT87" s="337"/>
      <c r="AU87" s="337"/>
      <c r="AV87" s="338"/>
      <c r="AW87" s="336"/>
      <c r="AX87" s="337"/>
      <c r="AY87" s="337"/>
      <c r="AZ87" s="337"/>
      <c r="BA87" s="338"/>
      <c r="BB87" s="336"/>
      <c r="BC87" s="337"/>
      <c r="BD87" s="337"/>
      <c r="BE87" s="337"/>
      <c r="BF87" s="338"/>
      <c r="BG87" s="336"/>
      <c r="BH87" s="337"/>
      <c r="BI87" s="337"/>
      <c r="BJ87" s="337"/>
      <c r="BK87" s="338"/>
      <c r="BL87" s="336"/>
      <c r="BM87" s="337"/>
      <c r="BN87" s="337"/>
      <c r="BO87" s="337"/>
      <c r="BP87" s="338"/>
      <c r="BQ87" s="336"/>
      <c r="BR87" s="337"/>
      <c r="BS87" s="337"/>
      <c r="BT87" s="337"/>
      <c r="BU87" s="339"/>
      <c r="BW87" s="236" t="str">
        <f>sum_level("o",'Needs 171007_1810'!D87:BU87)</f>
        <v/>
      </c>
      <c r="BX87" s="237" t="str">
        <f>sum_level("j",'Needs 171007_1810'!D87:BU87)</f>
        <v/>
      </c>
      <c r="BY87" s="237" t="str">
        <f>sum_level("m",'Needs 171007_1810'!D87:BU87)</f>
        <v/>
      </c>
      <c r="BZ87" s="237" t="str">
        <f>sum_level("s",'Needs 171007_1810'!D87:BU87)</f>
        <v/>
      </c>
      <c r="CA87" s="238" t="str">
        <f>sum_level("e",'Needs 171007_1810'!D87:BU87)</f>
        <v/>
      </c>
    </row>
    <row r="88" spans="2:79" x14ac:dyDescent="0.25">
      <c r="B88" s="435"/>
      <c r="C88" s="291" t="s">
        <v>277</v>
      </c>
      <c r="D88" s="336"/>
      <c r="E88" s="337"/>
      <c r="F88" s="337"/>
      <c r="G88" s="337"/>
      <c r="H88" s="338"/>
      <c r="I88" s="336"/>
      <c r="J88" s="337"/>
      <c r="K88" s="337"/>
      <c r="L88" s="337"/>
      <c r="M88" s="338"/>
      <c r="N88" s="336"/>
      <c r="O88" s="337"/>
      <c r="P88" s="337"/>
      <c r="Q88" s="337"/>
      <c r="R88" s="338"/>
      <c r="S88" s="336"/>
      <c r="T88" s="337"/>
      <c r="U88" s="337"/>
      <c r="V88" s="337"/>
      <c r="W88" s="338"/>
      <c r="X88" s="336"/>
      <c r="Y88" s="337"/>
      <c r="Z88" s="337"/>
      <c r="AA88" s="337"/>
      <c r="AB88" s="338"/>
      <c r="AC88" s="336"/>
      <c r="AD88" s="337"/>
      <c r="AE88" s="337"/>
      <c r="AF88" s="337"/>
      <c r="AG88" s="338"/>
      <c r="AH88" s="336"/>
      <c r="AI88" s="337"/>
      <c r="AJ88" s="337"/>
      <c r="AK88" s="337"/>
      <c r="AL88" s="338"/>
      <c r="AM88" s="336"/>
      <c r="AN88" s="337"/>
      <c r="AO88" s="337"/>
      <c r="AP88" s="337"/>
      <c r="AQ88" s="338"/>
      <c r="AR88" s="336"/>
      <c r="AS88" s="337"/>
      <c r="AT88" s="337"/>
      <c r="AU88" s="337"/>
      <c r="AV88" s="338"/>
      <c r="AW88" s="336"/>
      <c r="AX88" s="337"/>
      <c r="AY88" s="337"/>
      <c r="AZ88" s="337"/>
      <c r="BA88" s="338"/>
      <c r="BB88" s="336"/>
      <c r="BC88" s="337"/>
      <c r="BD88" s="337"/>
      <c r="BE88" s="337"/>
      <c r="BF88" s="338"/>
      <c r="BG88" s="336"/>
      <c r="BH88" s="337"/>
      <c r="BI88" s="337"/>
      <c r="BJ88" s="337"/>
      <c r="BK88" s="338"/>
      <c r="BL88" s="336"/>
      <c r="BM88" s="337"/>
      <c r="BN88" s="337"/>
      <c r="BO88" s="337"/>
      <c r="BP88" s="338"/>
      <c r="BQ88" s="336"/>
      <c r="BR88" s="337"/>
      <c r="BS88" s="337"/>
      <c r="BT88" s="337"/>
      <c r="BU88" s="339"/>
      <c r="BW88" s="236" t="str">
        <f>sum_level("o",'Needs 171007_1810'!D88:BU88)</f>
        <v/>
      </c>
      <c r="BX88" s="237" t="str">
        <f>sum_level("j",'Needs 171007_1810'!D88:BU88)</f>
        <v/>
      </c>
      <c r="BY88" s="237" t="str">
        <f>sum_level("m",'Needs 171007_1810'!D88:BU88)</f>
        <v/>
      </c>
      <c r="BZ88" s="237" t="str">
        <f>sum_level("s",'Needs 171007_1810'!D88:BU88)</f>
        <v/>
      </c>
      <c r="CA88" s="238" t="str">
        <f>sum_level("e",'Needs 171007_1810'!D88:BU88)</f>
        <v/>
      </c>
    </row>
    <row r="89" spans="2:79" x14ac:dyDescent="0.25">
      <c r="B89" s="435"/>
      <c r="C89" s="291" t="s">
        <v>278</v>
      </c>
      <c r="D89" s="336"/>
      <c r="E89" s="337"/>
      <c r="F89" s="337"/>
      <c r="G89" s="337"/>
      <c r="H89" s="338"/>
      <c r="I89" s="336"/>
      <c r="J89" s="337"/>
      <c r="K89" s="337"/>
      <c r="L89" s="337"/>
      <c r="M89" s="338"/>
      <c r="N89" s="336"/>
      <c r="O89" s="337"/>
      <c r="P89" s="337"/>
      <c r="Q89" s="337"/>
      <c r="R89" s="338"/>
      <c r="S89" s="336"/>
      <c r="T89" s="337"/>
      <c r="U89" s="337"/>
      <c r="V89" s="337"/>
      <c r="W89" s="338"/>
      <c r="X89" s="336"/>
      <c r="Y89" s="337"/>
      <c r="Z89" s="337"/>
      <c r="AA89" s="337"/>
      <c r="AB89" s="338"/>
      <c r="AC89" s="336"/>
      <c r="AD89" s="337"/>
      <c r="AE89" s="337"/>
      <c r="AF89" s="337"/>
      <c r="AG89" s="338"/>
      <c r="AH89" s="336"/>
      <c r="AI89" s="337"/>
      <c r="AJ89" s="337"/>
      <c r="AK89" s="337"/>
      <c r="AL89" s="338"/>
      <c r="AM89" s="336"/>
      <c r="AN89" s="337"/>
      <c r="AO89" s="337"/>
      <c r="AP89" s="337"/>
      <c r="AQ89" s="338"/>
      <c r="AR89" s="336"/>
      <c r="AS89" s="337"/>
      <c r="AT89" s="337"/>
      <c r="AU89" s="337"/>
      <c r="AV89" s="338"/>
      <c r="AW89" s="336"/>
      <c r="AX89" s="337"/>
      <c r="AY89" s="337"/>
      <c r="AZ89" s="337"/>
      <c r="BA89" s="338"/>
      <c r="BB89" s="336"/>
      <c r="BC89" s="337"/>
      <c r="BD89" s="337"/>
      <c r="BE89" s="337"/>
      <c r="BF89" s="338"/>
      <c r="BG89" s="336"/>
      <c r="BH89" s="337"/>
      <c r="BI89" s="337"/>
      <c r="BJ89" s="337"/>
      <c r="BK89" s="338"/>
      <c r="BL89" s="336"/>
      <c r="BM89" s="337"/>
      <c r="BN89" s="337"/>
      <c r="BO89" s="337"/>
      <c r="BP89" s="338"/>
      <c r="BQ89" s="336"/>
      <c r="BR89" s="337"/>
      <c r="BS89" s="337"/>
      <c r="BT89" s="337"/>
      <c r="BU89" s="339"/>
      <c r="BW89" s="236" t="str">
        <f>sum_level("o",'Needs 171007_1810'!D89:BU89)</f>
        <v/>
      </c>
      <c r="BX89" s="237" t="str">
        <f>sum_level("j",'Needs 171007_1810'!D89:BU89)</f>
        <v/>
      </c>
      <c r="BY89" s="237" t="str">
        <f>sum_level("m",'Needs 171007_1810'!D89:BU89)</f>
        <v/>
      </c>
      <c r="BZ89" s="237" t="str">
        <f>sum_level("s",'Needs 171007_1810'!D89:BU89)</f>
        <v/>
      </c>
      <c r="CA89" s="238" t="str">
        <f>sum_level("e",'Needs 171007_1810'!D89:BU89)</f>
        <v/>
      </c>
    </row>
    <row r="90" spans="2:79" x14ac:dyDescent="0.25">
      <c r="B90" s="435"/>
      <c r="C90" s="291" t="s">
        <v>282</v>
      </c>
      <c r="D90" s="336"/>
      <c r="E90" s="337"/>
      <c r="F90" s="337"/>
      <c r="G90" s="337"/>
      <c r="H90" s="338"/>
      <c r="I90" s="336"/>
      <c r="J90" s="337"/>
      <c r="K90" s="337"/>
      <c r="L90" s="337"/>
      <c r="M90" s="338"/>
      <c r="N90" s="336"/>
      <c r="O90" s="337"/>
      <c r="P90" s="337"/>
      <c r="Q90" s="337"/>
      <c r="R90" s="338"/>
      <c r="S90" s="336"/>
      <c r="T90" s="337"/>
      <c r="U90" s="337"/>
      <c r="V90" s="337"/>
      <c r="W90" s="338"/>
      <c r="X90" s="336"/>
      <c r="Y90" s="337"/>
      <c r="Z90" s="337"/>
      <c r="AA90" s="337"/>
      <c r="AB90" s="338"/>
      <c r="AC90" s="336"/>
      <c r="AD90" s="337"/>
      <c r="AE90" s="337"/>
      <c r="AF90" s="337"/>
      <c r="AG90" s="338"/>
      <c r="AH90" s="336"/>
      <c r="AI90" s="337"/>
      <c r="AJ90" s="337"/>
      <c r="AK90" s="337"/>
      <c r="AL90" s="338"/>
      <c r="AM90" s="336"/>
      <c r="AN90" s="337"/>
      <c r="AO90" s="337"/>
      <c r="AP90" s="337"/>
      <c r="AQ90" s="338"/>
      <c r="AR90" s="336"/>
      <c r="AS90" s="337"/>
      <c r="AT90" s="337"/>
      <c r="AU90" s="337"/>
      <c r="AV90" s="338"/>
      <c r="AW90" s="336"/>
      <c r="AX90" s="337"/>
      <c r="AY90" s="337"/>
      <c r="AZ90" s="337"/>
      <c r="BA90" s="338"/>
      <c r="BB90" s="336"/>
      <c r="BC90" s="337"/>
      <c r="BD90" s="337"/>
      <c r="BE90" s="337"/>
      <c r="BF90" s="338"/>
      <c r="BG90" s="336"/>
      <c r="BH90" s="337"/>
      <c r="BI90" s="337"/>
      <c r="BJ90" s="337"/>
      <c r="BK90" s="338"/>
      <c r="BL90" s="336"/>
      <c r="BM90" s="337"/>
      <c r="BN90" s="337"/>
      <c r="BO90" s="337"/>
      <c r="BP90" s="338"/>
      <c r="BQ90" s="336"/>
      <c r="BR90" s="337"/>
      <c r="BS90" s="337"/>
      <c r="BT90" s="337"/>
      <c r="BU90" s="339"/>
      <c r="BW90" s="236" t="str">
        <f>sum_level("o",'Needs 171007_1810'!D90:BU90)</f>
        <v/>
      </c>
      <c r="BX90" s="237" t="str">
        <f>sum_level("j",'Needs 171007_1810'!D90:BU90)</f>
        <v/>
      </c>
      <c r="BY90" s="237" t="str">
        <f>sum_level("m",'Needs 171007_1810'!D90:BU90)</f>
        <v/>
      </c>
      <c r="BZ90" s="237" t="str">
        <f>sum_level("s",'Needs 171007_1810'!D90:BU90)</f>
        <v/>
      </c>
      <c r="CA90" s="238" t="str">
        <f>sum_level("e",'Needs 171007_1810'!D90:BU90)</f>
        <v/>
      </c>
    </row>
    <row r="91" spans="2:79" x14ac:dyDescent="0.25">
      <c r="B91" s="435"/>
      <c r="C91" s="291" t="s">
        <v>283</v>
      </c>
      <c r="D91" s="336"/>
      <c r="E91" s="337"/>
      <c r="F91" s="337"/>
      <c r="G91" s="337"/>
      <c r="H91" s="338"/>
      <c r="I91" s="336"/>
      <c r="J91" s="337"/>
      <c r="K91" s="337"/>
      <c r="L91" s="337"/>
      <c r="M91" s="338"/>
      <c r="N91" s="336"/>
      <c r="O91" s="337"/>
      <c r="P91" s="337"/>
      <c r="Q91" s="337"/>
      <c r="R91" s="338"/>
      <c r="S91" s="336"/>
      <c r="T91" s="337"/>
      <c r="U91" s="337"/>
      <c r="V91" s="337"/>
      <c r="W91" s="338"/>
      <c r="X91" s="336"/>
      <c r="Y91" s="337"/>
      <c r="Z91" s="337"/>
      <c r="AA91" s="337"/>
      <c r="AB91" s="338"/>
      <c r="AC91" s="336"/>
      <c r="AD91" s="337"/>
      <c r="AE91" s="337"/>
      <c r="AF91" s="337"/>
      <c r="AG91" s="338"/>
      <c r="AH91" s="336"/>
      <c r="AI91" s="337"/>
      <c r="AJ91" s="337"/>
      <c r="AK91" s="337"/>
      <c r="AL91" s="338"/>
      <c r="AM91" s="336"/>
      <c r="AN91" s="337"/>
      <c r="AO91" s="337"/>
      <c r="AP91" s="337"/>
      <c r="AQ91" s="338"/>
      <c r="AR91" s="336"/>
      <c r="AS91" s="337"/>
      <c r="AT91" s="337"/>
      <c r="AU91" s="337"/>
      <c r="AV91" s="338"/>
      <c r="AW91" s="336"/>
      <c r="AX91" s="337"/>
      <c r="AY91" s="337"/>
      <c r="AZ91" s="337"/>
      <c r="BA91" s="338"/>
      <c r="BB91" s="336"/>
      <c r="BC91" s="337"/>
      <c r="BD91" s="337"/>
      <c r="BE91" s="337"/>
      <c r="BF91" s="338"/>
      <c r="BG91" s="336"/>
      <c r="BH91" s="337"/>
      <c r="BI91" s="337"/>
      <c r="BJ91" s="337"/>
      <c r="BK91" s="338"/>
      <c r="BL91" s="336"/>
      <c r="BM91" s="337"/>
      <c r="BN91" s="337"/>
      <c r="BO91" s="337"/>
      <c r="BP91" s="338"/>
      <c r="BQ91" s="336"/>
      <c r="BR91" s="337"/>
      <c r="BS91" s="337"/>
      <c r="BT91" s="337"/>
      <c r="BU91" s="339"/>
      <c r="BW91" s="236" t="str">
        <f>sum_level("o",'Needs 171007_1810'!D91:BU91)</f>
        <v/>
      </c>
      <c r="BX91" s="237" t="str">
        <f>sum_level("j",'Needs 171007_1810'!D91:BU91)</f>
        <v/>
      </c>
      <c r="BY91" s="237" t="str">
        <f>sum_level("m",'Needs 171007_1810'!D91:BU91)</f>
        <v/>
      </c>
      <c r="BZ91" s="237" t="str">
        <f>sum_level("s",'Needs 171007_1810'!D91:BU91)</f>
        <v/>
      </c>
      <c r="CA91" s="238" t="str">
        <f>sum_level("e",'Needs 171007_1810'!D91:BU91)</f>
        <v/>
      </c>
    </row>
    <row r="92" spans="2:79" x14ac:dyDescent="0.25">
      <c r="B92" s="435"/>
      <c r="C92" s="291" t="s">
        <v>279</v>
      </c>
      <c r="D92" s="336"/>
      <c r="E92" s="337"/>
      <c r="F92" s="337"/>
      <c r="G92" s="337"/>
      <c r="H92" s="338"/>
      <c r="I92" s="336"/>
      <c r="J92" s="337"/>
      <c r="K92" s="337"/>
      <c r="L92" s="337"/>
      <c r="M92" s="338"/>
      <c r="N92" s="336"/>
      <c r="O92" s="337"/>
      <c r="P92" s="337"/>
      <c r="Q92" s="337"/>
      <c r="R92" s="338"/>
      <c r="S92" s="336"/>
      <c r="T92" s="337"/>
      <c r="U92" s="337"/>
      <c r="V92" s="337"/>
      <c r="W92" s="338"/>
      <c r="X92" s="336"/>
      <c r="Y92" s="337"/>
      <c r="Z92" s="337"/>
      <c r="AA92" s="337"/>
      <c r="AB92" s="338"/>
      <c r="AC92" s="336"/>
      <c r="AD92" s="337"/>
      <c r="AE92" s="337"/>
      <c r="AF92" s="337"/>
      <c r="AG92" s="338"/>
      <c r="AH92" s="336"/>
      <c r="AI92" s="337"/>
      <c r="AJ92" s="337"/>
      <c r="AK92" s="337"/>
      <c r="AL92" s="338"/>
      <c r="AM92" s="336"/>
      <c r="AN92" s="337"/>
      <c r="AO92" s="337"/>
      <c r="AP92" s="337"/>
      <c r="AQ92" s="338"/>
      <c r="AR92" s="336"/>
      <c r="AS92" s="337"/>
      <c r="AT92" s="337"/>
      <c r="AU92" s="337"/>
      <c r="AV92" s="338"/>
      <c r="AW92" s="336"/>
      <c r="AX92" s="337"/>
      <c r="AY92" s="337"/>
      <c r="AZ92" s="337"/>
      <c r="BA92" s="338"/>
      <c r="BB92" s="336"/>
      <c r="BC92" s="337"/>
      <c r="BD92" s="337"/>
      <c r="BE92" s="337"/>
      <c r="BF92" s="338"/>
      <c r="BG92" s="336"/>
      <c r="BH92" s="337"/>
      <c r="BI92" s="337"/>
      <c r="BJ92" s="337"/>
      <c r="BK92" s="338"/>
      <c r="BL92" s="336"/>
      <c r="BM92" s="337"/>
      <c r="BN92" s="337"/>
      <c r="BO92" s="337"/>
      <c r="BP92" s="338"/>
      <c r="BQ92" s="336"/>
      <c r="BR92" s="337"/>
      <c r="BS92" s="337"/>
      <c r="BT92" s="337"/>
      <c r="BU92" s="339"/>
      <c r="BW92" s="236" t="str">
        <f>sum_level("o",'Needs 171007_1810'!D92:BU92)</f>
        <v/>
      </c>
      <c r="BX92" s="237" t="str">
        <f>sum_level("j",'Needs 171007_1810'!D92:BU92)</f>
        <v/>
      </c>
      <c r="BY92" s="237" t="str">
        <f>sum_level("m",'Needs 171007_1810'!D92:BU92)</f>
        <v/>
      </c>
      <c r="BZ92" s="237" t="str">
        <f>sum_level("s",'Needs 171007_1810'!D92:BU92)</f>
        <v/>
      </c>
      <c r="CA92" s="238" t="str">
        <f>sum_level("e",'Needs 171007_1810'!D92:BU92)</f>
        <v/>
      </c>
    </row>
    <row r="93" spans="2:79" ht="15.75" thickBot="1" x14ac:dyDescent="0.3">
      <c r="B93" s="435"/>
      <c r="C93" s="292" t="s">
        <v>280</v>
      </c>
      <c r="D93" s="340"/>
      <c r="E93" s="341"/>
      <c r="F93" s="341"/>
      <c r="G93" s="341"/>
      <c r="H93" s="342"/>
      <c r="I93" s="340"/>
      <c r="J93" s="341"/>
      <c r="K93" s="341"/>
      <c r="L93" s="341"/>
      <c r="M93" s="342"/>
      <c r="N93" s="340"/>
      <c r="O93" s="341"/>
      <c r="P93" s="341"/>
      <c r="Q93" s="341"/>
      <c r="R93" s="342"/>
      <c r="S93" s="340"/>
      <c r="T93" s="341"/>
      <c r="U93" s="341"/>
      <c r="V93" s="341"/>
      <c r="W93" s="342"/>
      <c r="X93" s="340"/>
      <c r="Y93" s="341"/>
      <c r="Z93" s="341"/>
      <c r="AA93" s="341"/>
      <c r="AB93" s="342"/>
      <c r="AC93" s="340"/>
      <c r="AD93" s="341"/>
      <c r="AE93" s="341"/>
      <c r="AF93" s="341"/>
      <c r="AG93" s="342"/>
      <c r="AH93" s="340"/>
      <c r="AI93" s="341"/>
      <c r="AJ93" s="341"/>
      <c r="AK93" s="341"/>
      <c r="AL93" s="342"/>
      <c r="AM93" s="340"/>
      <c r="AN93" s="341"/>
      <c r="AO93" s="341"/>
      <c r="AP93" s="341"/>
      <c r="AQ93" s="342"/>
      <c r="AR93" s="340"/>
      <c r="AS93" s="341"/>
      <c r="AT93" s="341"/>
      <c r="AU93" s="341"/>
      <c r="AV93" s="342"/>
      <c r="AW93" s="340"/>
      <c r="AX93" s="341"/>
      <c r="AY93" s="341"/>
      <c r="AZ93" s="341"/>
      <c r="BA93" s="342"/>
      <c r="BB93" s="340"/>
      <c r="BC93" s="341"/>
      <c r="BD93" s="341"/>
      <c r="BE93" s="341"/>
      <c r="BF93" s="342"/>
      <c r="BG93" s="340"/>
      <c r="BH93" s="341"/>
      <c r="BI93" s="341"/>
      <c r="BJ93" s="341"/>
      <c r="BK93" s="342"/>
      <c r="BL93" s="340"/>
      <c r="BM93" s="341"/>
      <c r="BN93" s="341"/>
      <c r="BO93" s="341"/>
      <c r="BP93" s="342"/>
      <c r="BQ93" s="340"/>
      <c r="BR93" s="341"/>
      <c r="BS93" s="341"/>
      <c r="BT93" s="341"/>
      <c r="BU93" s="343"/>
      <c r="BW93" s="239" t="str">
        <f>sum_level("o",'Needs 171007_1810'!D93:BU93)</f>
        <v/>
      </c>
      <c r="BX93" s="240" t="str">
        <f>sum_level("j",'Needs 171007_1810'!D93:BU93)</f>
        <v/>
      </c>
      <c r="BY93" s="240" t="str">
        <f>sum_level("m",'Needs 171007_1810'!D93:BU93)</f>
        <v/>
      </c>
      <c r="BZ93" s="240" t="str">
        <f>sum_level("s",'Needs 171007_1810'!D93:BU93)</f>
        <v/>
      </c>
      <c r="CA93" s="241" t="str">
        <f>sum_level("e",'Needs 171007_1810'!D93:BU93)</f>
        <v/>
      </c>
    </row>
    <row r="94" spans="2:79" ht="12.75" customHeight="1" thickTop="1" thickBot="1" x14ac:dyDescent="0.3">
      <c r="B94" s="436"/>
      <c r="C94" s="248"/>
      <c r="D94" s="344"/>
      <c r="E94" s="344"/>
      <c r="F94" s="344"/>
      <c r="G94" s="344"/>
      <c r="H94" s="344"/>
      <c r="I94" s="344"/>
      <c r="J94" s="344"/>
      <c r="K94" s="344"/>
      <c r="L94" s="344"/>
      <c r="M94" s="344"/>
      <c r="N94" s="344"/>
      <c r="O94" s="344"/>
      <c r="P94" s="344"/>
      <c r="Q94" s="344"/>
      <c r="R94" s="344"/>
      <c r="S94" s="344"/>
      <c r="T94" s="344"/>
      <c r="U94" s="344"/>
      <c r="V94" s="344"/>
      <c r="W94" s="344"/>
      <c r="X94" s="344"/>
      <c r="Y94" s="344"/>
      <c r="Z94" s="344"/>
      <c r="AA94" s="344"/>
      <c r="AB94" s="344"/>
      <c r="AC94" s="344"/>
      <c r="AD94" s="344"/>
      <c r="AE94" s="344"/>
      <c r="AF94" s="344"/>
      <c r="AG94" s="344"/>
      <c r="AH94" s="344"/>
      <c r="AI94" s="344"/>
      <c r="AJ94" s="344"/>
      <c r="AK94" s="344"/>
      <c r="AL94" s="344"/>
      <c r="AM94" s="344"/>
      <c r="AN94" s="344"/>
      <c r="AO94" s="344"/>
      <c r="AP94" s="344"/>
      <c r="AQ94" s="344"/>
      <c r="AR94" s="344"/>
      <c r="AS94" s="344"/>
      <c r="AT94" s="344"/>
      <c r="AU94" s="344"/>
      <c r="AV94" s="344"/>
      <c r="AW94" s="344"/>
      <c r="AX94" s="344"/>
      <c r="AY94" s="344"/>
      <c r="AZ94" s="344"/>
      <c r="BA94" s="344"/>
      <c r="BB94" s="344"/>
      <c r="BC94" s="344"/>
      <c r="BD94" s="344"/>
      <c r="BE94" s="344"/>
      <c r="BF94" s="344"/>
      <c r="BG94" s="344"/>
      <c r="BH94" s="344"/>
      <c r="BI94" s="344"/>
      <c r="BJ94" s="344"/>
      <c r="BK94" s="344"/>
      <c r="BL94" s="344"/>
      <c r="BM94" s="344"/>
      <c r="BN94" s="344"/>
      <c r="BO94" s="344"/>
      <c r="BP94" s="344"/>
      <c r="BQ94" s="344"/>
      <c r="BR94" s="344"/>
      <c r="BS94" s="344"/>
      <c r="BT94" s="344"/>
      <c r="BU94" s="344"/>
      <c r="BW94" s="249"/>
      <c r="BX94" s="249"/>
      <c r="BY94" s="249"/>
      <c r="BZ94" s="249"/>
      <c r="CA94" s="249"/>
    </row>
    <row r="95" spans="2:79" ht="15.75" thickTop="1" x14ac:dyDescent="0.25">
      <c r="B95" s="434" t="s">
        <v>266</v>
      </c>
      <c r="C95" s="290" t="s">
        <v>184</v>
      </c>
      <c r="D95" s="332"/>
      <c r="E95" s="333"/>
      <c r="F95" s="333"/>
      <c r="G95" s="333"/>
      <c r="H95" s="334"/>
      <c r="I95" s="332"/>
      <c r="J95" s="333"/>
      <c r="K95" s="333"/>
      <c r="L95" s="333"/>
      <c r="M95" s="334"/>
      <c r="N95" s="332"/>
      <c r="O95" s="333"/>
      <c r="P95" s="333"/>
      <c r="Q95" s="333"/>
      <c r="R95" s="334"/>
      <c r="S95" s="332"/>
      <c r="T95" s="333"/>
      <c r="U95" s="333"/>
      <c r="V95" s="333"/>
      <c r="W95" s="334"/>
      <c r="X95" s="332"/>
      <c r="Y95" s="333"/>
      <c r="Z95" s="333"/>
      <c r="AA95" s="333"/>
      <c r="AB95" s="334"/>
      <c r="AC95" s="332"/>
      <c r="AD95" s="333"/>
      <c r="AE95" s="333"/>
      <c r="AF95" s="333"/>
      <c r="AG95" s="334"/>
      <c r="AH95" s="332"/>
      <c r="AI95" s="333"/>
      <c r="AJ95" s="333"/>
      <c r="AK95" s="333"/>
      <c r="AL95" s="334"/>
      <c r="AM95" s="332"/>
      <c r="AN95" s="333"/>
      <c r="AO95" s="333"/>
      <c r="AP95" s="333"/>
      <c r="AQ95" s="334"/>
      <c r="AR95" s="332"/>
      <c r="AS95" s="333"/>
      <c r="AT95" s="333"/>
      <c r="AU95" s="333"/>
      <c r="AV95" s="334"/>
      <c r="AW95" s="332"/>
      <c r="AX95" s="333"/>
      <c r="AY95" s="333"/>
      <c r="AZ95" s="333"/>
      <c r="BA95" s="334"/>
      <c r="BB95" s="332"/>
      <c r="BC95" s="333"/>
      <c r="BD95" s="333"/>
      <c r="BE95" s="333"/>
      <c r="BF95" s="334"/>
      <c r="BG95" s="332"/>
      <c r="BH95" s="333"/>
      <c r="BI95" s="333"/>
      <c r="BJ95" s="333"/>
      <c r="BK95" s="334"/>
      <c r="BL95" s="332"/>
      <c r="BM95" s="333"/>
      <c r="BN95" s="333"/>
      <c r="BO95" s="333"/>
      <c r="BP95" s="334"/>
      <c r="BQ95" s="332"/>
      <c r="BR95" s="333"/>
      <c r="BS95" s="333"/>
      <c r="BT95" s="333"/>
      <c r="BU95" s="335"/>
      <c r="BW95" s="233" t="str">
        <f>sum_level("o",'Needs 171007_1810'!D95:BU95)</f>
        <v/>
      </c>
      <c r="BX95" s="234" t="str">
        <f>sum_level("j",'Needs 171007_1810'!D95:BU95)</f>
        <v/>
      </c>
      <c r="BY95" s="234" t="str">
        <f>sum_level("m",'Needs 171007_1810'!D95:BU95)</f>
        <v/>
      </c>
      <c r="BZ95" s="234" t="str">
        <f>sum_level("s",'Needs 171007_1810'!D95:BU95)</f>
        <v/>
      </c>
      <c r="CA95" s="235" t="str">
        <f>sum_level("e",'Needs 171007_1810'!D95:BU95)</f>
        <v/>
      </c>
    </row>
    <row r="96" spans="2:79" x14ac:dyDescent="0.25">
      <c r="B96" s="435"/>
      <c r="C96" s="291" t="s">
        <v>123</v>
      </c>
      <c r="D96" s="336"/>
      <c r="E96" s="337"/>
      <c r="F96" s="337"/>
      <c r="G96" s="337"/>
      <c r="H96" s="338"/>
      <c r="I96" s="336"/>
      <c r="J96" s="337"/>
      <c r="K96" s="337"/>
      <c r="L96" s="337"/>
      <c r="M96" s="338"/>
      <c r="N96" s="336"/>
      <c r="O96" s="337"/>
      <c r="P96" s="337"/>
      <c r="Q96" s="337"/>
      <c r="R96" s="338"/>
      <c r="S96" s="336"/>
      <c r="T96" s="337"/>
      <c r="U96" s="337"/>
      <c r="V96" s="337"/>
      <c r="W96" s="338"/>
      <c r="X96" s="336"/>
      <c r="Y96" s="337"/>
      <c r="Z96" s="337"/>
      <c r="AA96" s="337"/>
      <c r="AB96" s="338"/>
      <c r="AC96" s="336"/>
      <c r="AD96" s="337"/>
      <c r="AE96" s="337"/>
      <c r="AF96" s="337"/>
      <c r="AG96" s="338"/>
      <c r="AH96" s="336"/>
      <c r="AI96" s="337"/>
      <c r="AJ96" s="337"/>
      <c r="AK96" s="337"/>
      <c r="AL96" s="338"/>
      <c r="AM96" s="336"/>
      <c r="AN96" s="337"/>
      <c r="AO96" s="337"/>
      <c r="AP96" s="337"/>
      <c r="AQ96" s="338"/>
      <c r="AR96" s="336"/>
      <c r="AS96" s="337"/>
      <c r="AT96" s="337"/>
      <c r="AU96" s="337"/>
      <c r="AV96" s="338"/>
      <c r="AW96" s="336"/>
      <c r="AX96" s="337"/>
      <c r="AY96" s="337"/>
      <c r="AZ96" s="337"/>
      <c r="BA96" s="338"/>
      <c r="BB96" s="336"/>
      <c r="BC96" s="337"/>
      <c r="BD96" s="337"/>
      <c r="BE96" s="337"/>
      <c r="BF96" s="338"/>
      <c r="BG96" s="336"/>
      <c r="BH96" s="337"/>
      <c r="BI96" s="337"/>
      <c r="BJ96" s="337"/>
      <c r="BK96" s="338"/>
      <c r="BL96" s="336"/>
      <c r="BM96" s="337"/>
      <c r="BN96" s="337"/>
      <c r="BO96" s="337"/>
      <c r="BP96" s="338"/>
      <c r="BQ96" s="336"/>
      <c r="BR96" s="337"/>
      <c r="BS96" s="337"/>
      <c r="BT96" s="337"/>
      <c r="BU96" s="339"/>
      <c r="BW96" s="236" t="str">
        <f>sum_level("o",'Needs 171007_1810'!D96:BU96)</f>
        <v/>
      </c>
      <c r="BX96" s="237" t="str">
        <f>sum_level("j",'Needs 171007_1810'!D96:BU96)</f>
        <v/>
      </c>
      <c r="BY96" s="237" t="str">
        <f>sum_level("m",'Needs 171007_1810'!D96:BU96)</f>
        <v/>
      </c>
      <c r="BZ96" s="237" t="str">
        <f>sum_level("s",'Needs 171007_1810'!D96:BU96)</f>
        <v/>
      </c>
      <c r="CA96" s="238" t="str">
        <f>sum_level("e",'Needs 171007_1810'!D96:BU96)</f>
        <v/>
      </c>
    </row>
    <row r="97" spans="2:79" x14ac:dyDescent="0.25">
      <c r="B97" s="435"/>
      <c r="C97" s="291" t="s">
        <v>268</v>
      </c>
      <c r="D97" s="336"/>
      <c r="E97" s="337"/>
      <c r="F97" s="337"/>
      <c r="G97" s="337"/>
      <c r="H97" s="338"/>
      <c r="I97" s="336"/>
      <c r="J97" s="337"/>
      <c r="K97" s="337"/>
      <c r="L97" s="337"/>
      <c r="M97" s="338"/>
      <c r="N97" s="336"/>
      <c r="O97" s="337"/>
      <c r="P97" s="337"/>
      <c r="Q97" s="337"/>
      <c r="R97" s="338"/>
      <c r="S97" s="336"/>
      <c r="T97" s="337"/>
      <c r="U97" s="337"/>
      <c r="V97" s="337"/>
      <c r="W97" s="338"/>
      <c r="X97" s="336"/>
      <c r="Y97" s="337"/>
      <c r="Z97" s="337"/>
      <c r="AA97" s="337"/>
      <c r="AB97" s="338"/>
      <c r="AC97" s="336"/>
      <c r="AD97" s="337"/>
      <c r="AE97" s="337"/>
      <c r="AF97" s="337"/>
      <c r="AG97" s="338"/>
      <c r="AH97" s="336"/>
      <c r="AI97" s="337"/>
      <c r="AJ97" s="337"/>
      <c r="AK97" s="337"/>
      <c r="AL97" s="338"/>
      <c r="AM97" s="336"/>
      <c r="AN97" s="337"/>
      <c r="AO97" s="337"/>
      <c r="AP97" s="337"/>
      <c r="AQ97" s="338"/>
      <c r="AR97" s="336"/>
      <c r="AS97" s="337"/>
      <c r="AT97" s="337"/>
      <c r="AU97" s="337"/>
      <c r="AV97" s="338"/>
      <c r="AW97" s="336"/>
      <c r="AX97" s="337"/>
      <c r="AY97" s="337"/>
      <c r="AZ97" s="337"/>
      <c r="BA97" s="338"/>
      <c r="BB97" s="336"/>
      <c r="BC97" s="337"/>
      <c r="BD97" s="337"/>
      <c r="BE97" s="337"/>
      <c r="BF97" s="338"/>
      <c r="BG97" s="336"/>
      <c r="BH97" s="337"/>
      <c r="BI97" s="337"/>
      <c r="BJ97" s="337"/>
      <c r="BK97" s="338"/>
      <c r="BL97" s="336"/>
      <c r="BM97" s="337"/>
      <c r="BN97" s="337"/>
      <c r="BO97" s="337"/>
      <c r="BP97" s="338"/>
      <c r="BQ97" s="336"/>
      <c r="BR97" s="337"/>
      <c r="BS97" s="337"/>
      <c r="BT97" s="337"/>
      <c r="BU97" s="339"/>
      <c r="BW97" s="236" t="str">
        <f>sum_level("o",'Needs 171007_1810'!D97:BU97)</f>
        <v/>
      </c>
      <c r="BX97" s="237" t="str">
        <f>sum_level("j",'Needs 171007_1810'!D97:BU97)</f>
        <v/>
      </c>
      <c r="BY97" s="237" t="str">
        <f>sum_level("m",'Needs 171007_1810'!D97:BU97)</f>
        <v/>
      </c>
      <c r="BZ97" s="237" t="str">
        <f>sum_level("s",'Needs 171007_1810'!D97:BU97)</f>
        <v/>
      </c>
      <c r="CA97" s="238" t="str">
        <f>sum_level("e",'Needs 171007_1810'!D97:BU97)</f>
        <v/>
      </c>
    </row>
    <row r="98" spans="2:79" ht="15.75" thickBot="1" x14ac:dyDescent="0.3">
      <c r="B98" s="435"/>
      <c r="C98" s="292" t="s">
        <v>143</v>
      </c>
      <c r="D98" s="340"/>
      <c r="E98" s="341"/>
      <c r="F98" s="341"/>
      <c r="G98" s="341"/>
      <c r="H98" s="342"/>
      <c r="I98" s="340"/>
      <c r="J98" s="341"/>
      <c r="K98" s="341"/>
      <c r="L98" s="341"/>
      <c r="M98" s="342"/>
      <c r="N98" s="340"/>
      <c r="O98" s="341"/>
      <c r="P98" s="341"/>
      <c r="Q98" s="341"/>
      <c r="R98" s="342"/>
      <c r="S98" s="340"/>
      <c r="T98" s="341"/>
      <c r="U98" s="341"/>
      <c r="V98" s="341"/>
      <c r="W98" s="342"/>
      <c r="X98" s="340"/>
      <c r="Y98" s="341"/>
      <c r="Z98" s="341"/>
      <c r="AA98" s="341"/>
      <c r="AB98" s="342"/>
      <c r="AC98" s="340"/>
      <c r="AD98" s="341"/>
      <c r="AE98" s="341"/>
      <c r="AF98" s="341"/>
      <c r="AG98" s="342"/>
      <c r="AH98" s="340"/>
      <c r="AI98" s="341"/>
      <c r="AJ98" s="341"/>
      <c r="AK98" s="341"/>
      <c r="AL98" s="342"/>
      <c r="AM98" s="340"/>
      <c r="AN98" s="341"/>
      <c r="AO98" s="341"/>
      <c r="AP98" s="341"/>
      <c r="AQ98" s="342"/>
      <c r="AR98" s="340"/>
      <c r="AS98" s="341"/>
      <c r="AT98" s="341"/>
      <c r="AU98" s="341"/>
      <c r="AV98" s="342"/>
      <c r="AW98" s="340"/>
      <c r="AX98" s="341"/>
      <c r="AY98" s="341"/>
      <c r="AZ98" s="341"/>
      <c r="BA98" s="342"/>
      <c r="BB98" s="340"/>
      <c r="BC98" s="341"/>
      <c r="BD98" s="341"/>
      <c r="BE98" s="341"/>
      <c r="BF98" s="342"/>
      <c r="BG98" s="340"/>
      <c r="BH98" s="341"/>
      <c r="BI98" s="341"/>
      <c r="BJ98" s="341"/>
      <c r="BK98" s="342"/>
      <c r="BL98" s="340"/>
      <c r="BM98" s="341"/>
      <c r="BN98" s="341"/>
      <c r="BO98" s="341"/>
      <c r="BP98" s="342"/>
      <c r="BQ98" s="340"/>
      <c r="BR98" s="341"/>
      <c r="BS98" s="341"/>
      <c r="BT98" s="341"/>
      <c r="BU98" s="343"/>
      <c r="BW98" s="239" t="str">
        <f>sum_level("o",'Needs 171007_1810'!D98:BU98)</f>
        <v/>
      </c>
      <c r="BX98" s="240" t="str">
        <f>sum_level("j",'Needs 171007_1810'!D98:BU98)</f>
        <v/>
      </c>
      <c r="BY98" s="240" t="str">
        <f>sum_level("m",'Needs 171007_1810'!D98:BU98)</f>
        <v/>
      </c>
      <c r="BZ98" s="240" t="str">
        <f>sum_level("s",'Needs 171007_1810'!D98:BU98)</f>
        <v/>
      </c>
      <c r="CA98" s="241" t="str">
        <f>sum_level("e",'Needs 171007_1810'!D98:BU98)</f>
        <v/>
      </c>
    </row>
    <row r="99" spans="2:79" ht="12.75" customHeight="1" thickTop="1" thickBot="1" x14ac:dyDescent="0.3">
      <c r="B99" s="437"/>
      <c r="C99" s="248"/>
      <c r="D99" s="344"/>
      <c r="E99" s="344"/>
      <c r="F99" s="344"/>
      <c r="G99" s="344"/>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c r="BH99" s="344"/>
      <c r="BI99" s="344"/>
      <c r="BJ99" s="344"/>
      <c r="BK99" s="344"/>
      <c r="BL99" s="344"/>
      <c r="BM99" s="344"/>
      <c r="BN99" s="344"/>
      <c r="BO99" s="344"/>
      <c r="BP99" s="344"/>
      <c r="BQ99" s="344"/>
      <c r="BR99" s="344"/>
      <c r="BS99" s="344"/>
      <c r="BT99" s="344"/>
      <c r="BU99" s="344"/>
      <c r="BW99" s="249"/>
      <c r="BX99" s="249"/>
      <c r="BY99" s="249"/>
      <c r="BZ99" s="249"/>
      <c r="CA99" s="249"/>
    </row>
    <row r="100" spans="2:79" ht="16.5" thickTop="1" thickBot="1" x14ac:dyDescent="0.3"/>
    <row r="101" spans="2:79" ht="16.5" thickTop="1" thickBot="1" x14ac:dyDescent="0.3">
      <c r="C101" s="297" t="s">
        <v>222</v>
      </c>
      <c r="D101" s="232">
        <f t="shared" ref="D101:AI101" si="0">SUM(D3:D99)</f>
        <v>0</v>
      </c>
      <c r="E101" s="246">
        <f t="shared" si="0"/>
        <v>0</v>
      </c>
      <c r="F101" s="246">
        <f t="shared" si="0"/>
        <v>0</v>
      </c>
      <c r="G101" s="246">
        <f t="shared" si="0"/>
        <v>0</v>
      </c>
      <c r="H101" s="244">
        <f t="shared" si="0"/>
        <v>0</v>
      </c>
      <c r="I101" s="245">
        <f t="shared" si="0"/>
        <v>0</v>
      </c>
      <c r="J101" s="246">
        <f t="shared" si="0"/>
        <v>0</v>
      </c>
      <c r="K101" s="246">
        <f t="shared" si="0"/>
        <v>0</v>
      </c>
      <c r="L101" s="246">
        <f t="shared" si="0"/>
        <v>0</v>
      </c>
      <c r="M101" s="244">
        <f t="shared" si="0"/>
        <v>0</v>
      </c>
      <c r="N101" s="245">
        <f t="shared" si="0"/>
        <v>0</v>
      </c>
      <c r="O101" s="246">
        <f t="shared" si="0"/>
        <v>0</v>
      </c>
      <c r="P101" s="246">
        <f t="shared" si="0"/>
        <v>0</v>
      </c>
      <c r="Q101" s="246">
        <f t="shared" si="0"/>
        <v>0</v>
      </c>
      <c r="R101" s="244">
        <f t="shared" si="0"/>
        <v>0</v>
      </c>
      <c r="S101" s="245">
        <f t="shared" si="0"/>
        <v>0</v>
      </c>
      <c r="T101" s="246">
        <f t="shared" si="0"/>
        <v>0</v>
      </c>
      <c r="U101" s="246">
        <f t="shared" si="0"/>
        <v>0</v>
      </c>
      <c r="V101" s="246">
        <f t="shared" si="0"/>
        <v>0</v>
      </c>
      <c r="W101" s="244">
        <f t="shared" si="0"/>
        <v>0</v>
      </c>
      <c r="X101" s="245">
        <f t="shared" si="0"/>
        <v>0</v>
      </c>
      <c r="Y101" s="246">
        <f t="shared" si="0"/>
        <v>0</v>
      </c>
      <c r="Z101" s="246">
        <f t="shared" si="0"/>
        <v>0</v>
      </c>
      <c r="AA101" s="246">
        <f t="shared" si="0"/>
        <v>0</v>
      </c>
      <c r="AB101" s="244">
        <f t="shared" si="0"/>
        <v>0</v>
      </c>
      <c r="AC101" s="245">
        <f t="shared" si="0"/>
        <v>0</v>
      </c>
      <c r="AD101" s="246">
        <f t="shared" si="0"/>
        <v>0</v>
      </c>
      <c r="AE101" s="246">
        <f t="shared" si="0"/>
        <v>0</v>
      </c>
      <c r="AF101" s="246">
        <f t="shared" si="0"/>
        <v>0</v>
      </c>
      <c r="AG101" s="244">
        <f t="shared" si="0"/>
        <v>0</v>
      </c>
      <c r="AH101" s="245">
        <f t="shared" si="0"/>
        <v>1</v>
      </c>
      <c r="AI101" s="246">
        <f t="shared" si="0"/>
        <v>2</v>
      </c>
      <c r="AJ101" s="246">
        <f t="shared" ref="AJ101:BO101" si="1">SUM(AJ3:AJ99)</f>
        <v>3</v>
      </c>
      <c r="AK101" s="246">
        <f t="shared" si="1"/>
        <v>4</v>
      </c>
      <c r="AL101" s="244">
        <f t="shared" si="1"/>
        <v>5</v>
      </c>
      <c r="AM101" s="245">
        <f t="shared" si="1"/>
        <v>6</v>
      </c>
      <c r="AN101" s="246">
        <f t="shared" si="1"/>
        <v>7</v>
      </c>
      <c r="AO101" s="246">
        <f t="shared" si="1"/>
        <v>8</v>
      </c>
      <c r="AP101" s="246">
        <f t="shared" si="1"/>
        <v>9</v>
      </c>
      <c r="AQ101" s="244">
        <f t="shared" si="1"/>
        <v>10</v>
      </c>
      <c r="AR101" s="245">
        <f t="shared" si="1"/>
        <v>11</v>
      </c>
      <c r="AS101" s="246">
        <f t="shared" si="1"/>
        <v>12</v>
      </c>
      <c r="AT101" s="246">
        <f t="shared" si="1"/>
        <v>13</v>
      </c>
      <c r="AU101" s="246">
        <f t="shared" si="1"/>
        <v>14</v>
      </c>
      <c r="AV101" s="244">
        <f t="shared" si="1"/>
        <v>15</v>
      </c>
      <c r="AW101" s="245">
        <f t="shared" si="1"/>
        <v>16</v>
      </c>
      <c r="AX101" s="246">
        <f t="shared" si="1"/>
        <v>17</v>
      </c>
      <c r="AY101" s="246">
        <f t="shared" si="1"/>
        <v>18</v>
      </c>
      <c r="AZ101" s="246">
        <f t="shared" si="1"/>
        <v>19</v>
      </c>
      <c r="BA101" s="244">
        <f t="shared" si="1"/>
        <v>20</v>
      </c>
      <c r="BB101" s="245">
        <f t="shared" si="1"/>
        <v>21</v>
      </c>
      <c r="BC101" s="246">
        <f t="shared" si="1"/>
        <v>22</v>
      </c>
      <c r="BD101" s="246">
        <f t="shared" si="1"/>
        <v>23</v>
      </c>
      <c r="BE101" s="246">
        <f t="shared" si="1"/>
        <v>24</v>
      </c>
      <c r="BF101" s="244">
        <f t="shared" si="1"/>
        <v>25</v>
      </c>
      <c r="BG101" s="245">
        <f t="shared" si="1"/>
        <v>26</v>
      </c>
      <c r="BH101" s="246">
        <f t="shared" si="1"/>
        <v>27</v>
      </c>
      <c r="BI101" s="246">
        <f t="shared" si="1"/>
        <v>28</v>
      </c>
      <c r="BJ101" s="246">
        <f t="shared" si="1"/>
        <v>29</v>
      </c>
      <c r="BK101" s="244">
        <f t="shared" si="1"/>
        <v>30</v>
      </c>
      <c r="BL101" s="245">
        <f t="shared" si="1"/>
        <v>31</v>
      </c>
      <c r="BM101" s="246">
        <f t="shared" si="1"/>
        <v>32</v>
      </c>
      <c r="BN101" s="246">
        <f t="shared" si="1"/>
        <v>33</v>
      </c>
      <c r="BO101" s="246">
        <f t="shared" si="1"/>
        <v>34</v>
      </c>
      <c r="BP101" s="244">
        <f t="shared" ref="BP101:BU101" si="2">SUM(BP3:BP99)</f>
        <v>35</v>
      </c>
      <c r="BQ101" s="245">
        <f t="shared" si="2"/>
        <v>0</v>
      </c>
      <c r="BR101" s="246">
        <f t="shared" si="2"/>
        <v>0</v>
      </c>
      <c r="BS101" s="246">
        <f t="shared" si="2"/>
        <v>0</v>
      </c>
      <c r="BT101" s="246">
        <f t="shared" si="2"/>
        <v>0</v>
      </c>
      <c r="BU101" s="247">
        <f t="shared" si="2"/>
        <v>0</v>
      </c>
    </row>
    <row r="102" spans="2:79" ht="15.75" thickTop="1" x14ac:dyDescent="0.25"/>
  </sheetData>
  <mergeCells count="24">
    <mergeCell ref="B17:B26"/>
    <mergeCell ref="B27:B37"/>
    <mergeCell ref="AH1:AL1"/>
    <mergeCell ref="AM1:AQ1"/>
    <mergeCell ref="AR1:AV1"/>
    <mergeCell ref="D1:H1"/>
    <mergeCell ref="I1:M1"/>
    <mergeCell ref="N1:R1"/>
    <mergeCell ref="S1:W1"/>
    <mergeCell ref="X1:AB1"/>
    <mergeCell ref="AC1:AG1"/>
    <mergeCell ref="A1:C1"/>
    <mergeCell ref="BL1:BP1"/>
    <mergeCell ref="BQ1:BU1"/>
    <mergeCell ref="BW1:CA1"/>
    <mergeCell ref="B3:B16"/>
    <mergeCell ref="AW1:BA1"/>
    <mergeCell ref="BB1:BF1"/>
    <mergeCell ref="BG1:BK1"/>
    <mergeCell ref="B38:B50"/>
    <mergeCell ref="B51:B59"/>
    <mergeCell ref="B60:B78"/>
    <mergeCell ref="B79:B94"/>
    <mergeCell ref="B95:B99"/>
  </mergeCells>
  <conditionalFormatting sqref="D3:H15">
    <cfRule type="expression" dxfId="1271" priority="1" stopIfTrue="1">
      <formula>LEN(TRIM(D3))=0</formula>
    </cfRule>
  </conditionalFormatting>
  <conditionalFormatting sqref="I3:M15">
    <cfRule type="expression" dxfId="1270" priority="2" stopIfTrue="1">
      <formula>LEN(TRIM(I3))=0</formula>
    </cfRule>
  </conditionalFormatting>
  <conditionalFormatting sqref="N3:R15">
    <cfRule type="expression" dxfId="1269" priority="3" stopIfTrue="1">
      <formula>LEN(TRIM(N3))=0</formula>
    </cfRule>
  </conditionalFormatting>
  <conditionalFormatting sqref="S3:W15">
    <cfRule type="expression" dxfId="1268" priority="4" stopIfTrue="1">
      <formula>LEN(TRIM(S3))=0</formula>
    </cfRule>
  </conditionalFormatting>
  <conditionalFormatting sqref="X3:AB15">
    <cfRule type="expression" dxfId="1267" priority="5" stopIfTrue="1">
      <formula>LEN(TRIM(X3))=0</formula>
    </cfRule>
  </conditionalFormatting>
  <conditionalFormatting sqref="AC3:AG15">
    <cfRule type="expression" dxfId="1266" priority="6" stopIfTrue="1">
      <formula>LEN(TRIM(AC3))=0</formula>
    </cfRule>
  </conditionalFormatting>
  <conditionalFormatting sqref="AH3:AL15">
    <cfRule type="expression" dxfId="1265" priority="7" stopIfTrue="1">
      <formula>LEN(TRIM(AH3))=0</formula>
    </cfRule>
  </conditionalFormatting>
  <conditionalFormatting sqref="AM3:AQ15">
    <cfRule type="expression" dxfId="1264" priority="8" stopIfTrue="1">
      <formula>LEN(TRIM(AM3))=0</formula>
    </cfRule>
  </conditionalFormatting>
  <conditionalFormatting sqref="AR3:AV15">
    <cfRule type="expression" dxfId="1263" priority="9" stopIfTrue="1">
      <formula>LEN(TRIM(AR3))=0</formula>
    </cfRule>
  </conditionalFormatting>
  <conditionalFormatting sqref="AW3:BA15">
    <cfRule type="expression" dxfId="1262" priority="10" stopIfTrue="1">
      <formula>LEN(TRIM(AW3))=0</formula>
    </cfRule>
  </conditionalFormatting>
  <conditionalFormatting sqref="BB3:BF15">
    <cfRule type="expression" dxfId="1261" priority="11" stopIfTrue="1">
      <formula>LEN(TRIM(BB3))=0</formula>
    </cfRule>
  </conditionalFormatting>
  <conditionalFormatting sqref="BG3:BK15">
    <cfRule type="expression" dxfId="1260" priority="12" stopIfTrue="1">
      <formula>LEN(TRIM(BG3))=0</formula>
    </cfRule>
  </conditionalFormatting>
  <conditionalFormatting sqref="BL3:BP15">
    <cfRule type="expression" dxfId="1259" priority="13" stopIfTrue="1">
      <formula>LEN(TRIM(BL3))=0</formula>
    </cfRule>
  </conditionalFormatting>
  <conditionalFormatting sqref="BQ3:BU15">
    <cfRule type="expression" dxfId="1258" priority="14" stopIfTrue="1">
      <formula>LEN(TRIM(BQ3))=0</formula>
    </cfRule>
  </conditionalFormatting>
  <conditionalFormatting sqref="BW3:CA15">
    <cfRule type="expression" dxfId="1257" priority="15" stopIfTrue="1">
      <formula>LEN(TRIM(BW3))=0</formula>
    </cfRule>
  </conditionalFormatting>
  <conditionalFormatting sqref="D17:H25">
    <cfRule type="expression" dxfId="1256" priority="16" stopIfTrue="1">
      <formula>LEN(TRIM(D17))=0</formula>
    </cfRule>
  </conditionalFormatting>
  <conditionalFormatting sqref="I17:M25">
    <cfRule type="expression" dxfId="1255" priority="17" stopIfTrue="1">
      <formula>LEN(TRIM(I17))=0</formula>
    </cfRule>
  </conditionalFormatting>
  <conditionalFormatting sqref="N17:R25">
    <cfRule type="expression" dxfId="1254" priority="18" stopIfTrue="1">
      <formula>LEN(TRIM(N17))=0</formula>
    </cfRule>
  </conditionalFormatting>
  <conditionalFormatting sqref="S17:W25">
    <cfRule type="expression" dxfId="1253" priority="19" stopIfTrue="1">
      <formula>LEN(TRIM(S17))=0</formula>
    </cfRule>
  </conditionalFormatting>
  <conditionalFormatting sqref="X17:AB25">
    <cfRule type="expression" dxfId="1252" priority="20" stopIfTrue="1">
      <formula>LEN(TRIM(X17))=0</formula>
    </cfRule>
  </conditionalFormatting>
  <conditionalFormatting sqref="AC17:AG25">
    <cfRule type="expression" dxfId="1251" priority="21" stopIfTrue="1">
      <formula>LEN(TRIM(AC17))=0</formula>
    </cfRule>
  </conditionalFormatting>
  <conditionalFormatting sqref="AH17:AL25">
    <cfRule type="expression" dxfId="1250" priority="22" stopIfTrue="1">
      <formula>LEN(TRIM(AH17))=0</formula>
    </cfRule>
  </conditionalFormatting>
  <conditionalFormatting sqref="AM17:AQ25">
    <cfRule type="expression" dxfId="1249" priority="23" stopIfTrue="1">
      <formula>LEN(TRIM(AM17))=0</formula>
    </cfRule>
  </conditionalFormatting>
  <conditionalFormatting sqref="AR17:AV25">
    <cfRule type="expression" dxfId="1248" priority="24" stopIfTrue="1">
      <formula>LEN(TRIM(AR17))=0</formula>
    </cfRule>
  </conditionalFormatting>
  <conditionalFormatting sqref="AW17:BA25">
    <cfRule type="expression" dxfId="1247" priority="25" stopIfTrue="1">
      <formula>LEN(TRIM(AW17))=0</formula>
    </cfRule>
  </conditionalFormatting>
  <conditionalFormatting sqref="BB17:BF25">
    <cfRule type="expression" dxfId="1246" priority="26" stopIfTrue="1">
      <formula>LEN(TRIM(BB17))=0</formula>
    </cfRule>
  </conditionalFormatting>
  <conditionalFormatting sqref="BG17:BK25">
    <cfRule type="expression" dxfId="1245" priority="27" stopIfTrue="1">
      <formula>LEN(TRIM(BG17))=0</formula>
    </cfRule>
  </conditionalFormatting>
  <conditionalFormatting sqref="BL17:BP25">
    <cfRule type="expression" dxfId="1244" priority="28" stopIfTrue="1">
      <formula>LEN(TRIM(BL17))=0</formula>
    </cfRule>
  </conditionalFormatting>
  <conditionalFormatting sqref="BQ17:BU25">
    <cfRule type="expression" dxfId="1243" priority="29" stopIfTrue="1">
      <formula>LEN(TRIM(BQ17))=0</formula>
    </cfRule>
  </conditionalFormatting>
  <conditionalFormatting sqref="BW17:CA25">
    <cfRule type="expression" dxfId="1242" priority="30" stopIfTrue="1">
      <formula>LEN(TRIM(BW17))=0</formula>
    </cfRule>
  </conditionalFormatting>
  <conditionalFormatting sqref="D27:H36">
    <cfRule type="expression" dxfId="1241" priority="31" stopIfTrue="1">
      <formula>LEN(TRIM(D27))=0</formula>
    </cfRule>
  </conditionalFormatting>
  <conditionalFormatting sqref="I27:M36">
    <cfRule type="expression" dxfId="1240" priority="32" stopIfTrue="1">
      <formula>LEN(TRIM(I27))=0</formula>
    </cfRule>
  </conditionalFormatting>
  <conditionalFormatting sqref="N27:R36">
    <cfRule type="expression" dxfId="1239" priority="33" stopIfTrue="1">
      <formula>LEN(TRIM(N27))=0</formula>
    </cfRule>
  </conditionalFormatting>
  <conditionalFormatting sqref="S27:W36">
    <cfRule type="expression" dxfId="1238" priority="34" stopIfTrue="1">
      <formula>LEN(TRIM(S27))=0</formula>
    </cfRule>
  </conditionalFormatting>
  <conditionalFormatting sqref="X27:AB36">
    <cfRule type="expression" dxfId="1237" priority="35" stopIfTrue="1">
      <formula>LEN(TRIM(X27))=0</formula>
    </cfRule>
  </conditionalFormatting>
  <conditionalFormatting sqref="AC27:AG36">
    <cfRule type="expression" dxfId="1236" priority="36" stopIfTrue="1">
      <formula>LEN(TRIM(AC27))=0</formula>
    </cfRule>
  </conditionalFormatting>
  <conditionalFormatting sqref="AH27:AL36">
    <cfRule type="expression" dxfId="1235" priority="37" stopIfTrue="1">
      <formula>LEN(TRIM(AH27))=0</formula>
    </cfRule>
  </conditionalFormatting>
  <conditionalFormatting sqref="AM27:AQ36">
    <cfRule type="expression" dxfId="1234" priority="38" stopIfTrue="1">
      <formula>LEN(TRIM(AM27))=0</formula>
    </cfRule>
  </conditionalFormatting>
  <conditionalFormatting sqref="AR27:AV36">
    <cfRule type="expression" dxfId="1233" priority="39" stopIfTrue="1">
      <formula>LEN(TRIM(AR27))=0</formula>
    </cfRule>
  </conditionalFormatting>
  <conditionalFormatting sqref="AW27:BA36">
    <cfRule type="expression" dxfId="1232" priority="40" stopIfTrue="1">
      <formula>LEN(TRIM(AW27))=0</formula>
    </cfRule>
  </conditionalFormatting>
  <conditionalFormatting sqref="BB27:BF36">
    <cfRule type="expression" dxfId="1231" priority="41" stopIfTrue="1">
      <formula>LEN(TRIM(BB27))=0</formula>
    </cfRule>
  </conditionalFormatting>
  <conditionalFormatting sqref="BG27:BK36">
    <cfRule type="expression" dxfId="1230" priority="42" stopIfTrue="1">
      <formula>LEN(TRIM(BG27))=0</formula>
    </cfRule>
  </conditionalFormatting>
  <conditionalFormatting sqref="BL27:BP36">
    <cfRule type="expression" dxfId="1229" priority="43" stopIfTrue="1">
      <formula>LEN(TRIM(BL27))=0</formula>
    </cfRule>
  </conditionalFormatting>
  <conditionalFormatting sqref="BQ27:BU36">
    <cfRule type="expression" dxfId="1228" priority="44" stopIfTrue="1">
      <formula>LEN(TRIM(BQ27))=0</formula>
    </cfRule>
  </conditionalFormatting>
  <conditionalFormatting sqref="BW27:CA36">
    <cfRule type="expression" dxfId="1227" priority="45" stopIfTrue="1">
      <formula>LEN(TRIM(BW27))=0</formula>
    </cfRule>
  </conditionalFormatting>
  <conditionalFormatting sqref="D38:H49">
    <cfRule type="expression" dxfId="1226" priority="46" stopIfTrue="1">
      <formula>LEN(TRIM(D38))=0</formula>
    </cfRule>
  </conditionalFormatting>
  <conditionalFormatting sqref="I38:M49">
    <cfRule type="expression" dxfId="1225" priority="47" stopIfTrue="1">
      <formula>LEN(TRIM(I38))=0</formula>
    </cfRule>
  </conditionalFormatting>
  <conditionalFormatting sqref="N38:R49">
    <cfRule type="expression" dxfId="1224" priority="48" stopIfTrue="1">
      <formula>LEN(TRIM(N38))=0</formula>
    </cfRule>
  </conditionalFormatting>
  <conditionalFormatting sqref="S38:W49">
    <cfRule type="expression" dxfId="1223" priority="49" stopIfTrue="1">
      <formula>LEN(TRIM(S38))=0</formula>
    </cfRule>
  </conditionalFormatting>
  <conditionalFormatting sqref="X38:AB49">
    <cfRule type="expression" dxfId="1222" priority="50" stopIfTrue="1">
      <formula>LEN(TRIM(X38))=0</formula>
    </cfRule>
  </conditionalFormatting>
  <conditionalFormatting sqref="AC38:AG49">
    <cfRule type="expression" dxfId="1221" priority="51" stopIfTrue="1">
      <formula>LEN(TRIM(AC38))=0</formula>
    </cfRule>
  </conditionalFormatting>
  <conditionalFormatting sqref="AH38:AL49">
    <cfRule type="expression" dxfId="1220" priority="52" stopIfTrue="1">
      <formula>LEN(TRIM(AH38))=0</formula>
    </cfRule>
  </conditionalFormatting>
  <conditionalFormatting sqref="AM38:AQ49">
    <cfRule type="expression" dxfId="1219" priority="53" stopIfTrue="1">
      <formula>LEN(TRIM(AM38))=0</formula>
    </cfRule>
  </conditionalFormatting>
  <conditionalFormatting sqref="AR38:AV49">
    <cfRule type="expression" dxfId="1218" priority="54" stopIfTrue="1">
      <formula>LEN(TRIM(AR38))=0</formula>
    </cfRule>
  </conditionalFormatting>
  <conditionalFormatting sqref="AW38:BA49">
    <cfRule type="expression" dxfId="1217" priority="55" stopIfTrue="1">
      <formula>LEN(TRIM(AW38))=0</formula>
    </cfRule>
  </conditionalFormatting>
  <conditionalFormatting sqref="BB38:BF49">
    <cfRule type="expression" dxfId="1216" priority="56" stopIfTrue="1">
      <formula>LEN(TRIM(BB38))=0</formula>
    </cfRule>
  </conditionalFormatting>
  <conditionalFormatting sqref="BG38:BK49">
    <cfRule type="expression" dxfId="1215" priority="57" stopIfTrue="1">
      <formula>LEN(TRIM(BG38))=0</formula>
    </cfRule>
  </conditionalFormatting>
  <conditionalFormatting sqref="BL38:BP49">
    <cfRule type="expression" dxfId="1214" priority="58" stopIfTrue="1">
      <formula>LEN(TRIM(BL38))=0</formula>
    </cfRule>
  </conditionalFormatting>
  <conditionalFormatting sqref="BQ38:BU49">
    <cfRule type="expression" dxfId="1213" priority="59" stopIfTrue="1">
      <formula>LEN(TRIM(BQ38))=0</formula>
    </cfRule>
  </conditionalFormatting>
  <conditionalFormatting sqref="BW38:CA49">
    <cfRule type="expression" dxfId="1212" priority="60" stopIfTrue="1">
      <formula>LEN(TRIM(BW38))=0</formula>
    </cfRule>
  </conditionalFormatting>
  <conditionalFormatting sqref="D51:H58">
    <cfRule type="expression" dxfId="1211" priority="61" stopIfTrue="1">
      <formula>LEN(TRIM(D51))=0</formula>
    </cfRule>
  </conditionalFormatting>
  <conditionalFormatting sqref="I51:M58">
    <cfRule type="expression" dxfId="1210" priority="62" stopIfTrue="1">
      <formula>LEN(TRIM(I51))=0</formula>
    </cfRule>
  </conditionalFormatting>
  <conditionalFormatting sqref="N51:R58">
    <cfRule type="expression" dxfId="1209" priority="63" stopIfTrue="1">
      <formula>LEN(TRIM(N51))=0</formula>
    </cfRule>
  </conditionalFormatting>
  <conditionalFormatting sqref="S51:W58">
    <cfRule type="expression" dxfId="1208" priority="64" stopIfTrue="1">
      <formula>LEN(TRIM(S51))=0</formula>
    </cfRule>
  </conditionalFormatting>
  <conditionalFormatting sqref="X51:AB58">
    <cfRule type="expression" dxfId="1207" priority="65" stopIfTrue="1">
      <formula>LEN(TRIM(X51))=0</formula>
    </cfRule>
  </conditionalFormatting>
  <conditionalFormatting sqref="AC51:AG58">
    <cfRule type="expression" dxfId="1206" priority="66" stopIfTrue="1">
      <formula>LEN(TRIM(AC51))=0</formula>
    </cfRule>
  </conditionalFormatting>
  <conditionalFormatting sqref="AH51:AL58">
    <cfRule type="expression" dxfId="1205" priority="67" stopIfTrue="1">
      <formula>LEN(TRIM(AH51))=0</formula>
    </cfRule>
  </conditionalFormatting>
  <conditionalFormatting sqref="AM51:AQ58">
    <cfRule type="expression" dxfId="1204" priority="68" stopIfTrue="1">
      <formula>LEN(TRIM(AM51))=0</formula>
    </cfRule>
  </conditionalFormatting>
  <conditionalFormatting sqref="AR51:AV58">
    <cfRule type="expression" dxfId="1203" priority="69" stopIfTrue="1">
      <formula>LEN(TRIM(AR51))=0</formula>
    </cfRule>
  </conditionalFormatting>
  <conditionalFormatting sqref="AW51:BA58">
    <cfRule type="expression" dxfId="1202" priority="70" stopIfTrue="1">
      <formula>LEN(TRIM(AW51))=0</formula>
    </cfRule>
  </conditionalFormatting>
  <conditionalFormatting sqref="BB51:BF58">
    <cfRule type="expression" dxfId="1201" priority="71" stopIfTrue="1">
      <formula>LEN(TRIM(BB51))=0</formula>
    </cfRule>
  </conditionalFormatting>
  <conditionalFormatting sqref="BG51:BK58">
    <cfRule type="expression" dxfId="1200" priority="72" stopIfTrue="1">
      <formula>LEN(TRIM(BG51))=0</formula>
    </cfRule>
  </conditionalFormatting>
  <conditionalFormatting sqref="BL51:BP58">
    <cfRule type="expression" dxfId="1199" priority="73" stopIfTrue="1">
      <formula>LEN(TRIM(BL51))=0</formula>
    </cfRule>
  </conditionalFormatting>
  <conditionalFormatting sqref="BQ51:BU58">
    <cfRule type="expression" dxfId="1198" priority="74" stopIfTrue="1">
      <formula>LEN(TRIM(BQ51))=0</formula>
    </cfRule>
  </conditionalFormatting>
  <conditionalFormatting sqref="BW51:CA58">
    <cfRule type="expression" dxfId="1197" priority="75" stopIfTrue="1">
      <formula>LEN(TRIM(BW51))=0</formula>
    </cfRule>
  </conditionalFormatting>
  <conditionalFormatting sqref="D60:H77">
    <cfRule type="expression" dxfId="1196" priority="76" stopIfTrue="1">
      <formula>LEN(TRIM(D60))=0</formula>
    </cfRule>
  </conditionalFormatting>
  <conditionalFormatting sqref="I60:M77">
    <cfRule type="expression" dxfId="1195" priority="77" stopIfTrue="1">
      <formula>LEN(TRIM(I60))=0</formula>
    </cfRule>
  </conditionalFormatting>
  <conditionalFormatting sqref="N60:R77">
    <cfRule type="expression" dxfId="1194" priority="78" stopIfTrue="1">
      <formula>LEN(TRIM(N60))=0</formula>
    </cfRule>
  </conditionalFormatting>
  <conditionalFormatting sqref="S60:W77">
    <cfRule type="expression" dxfId="1193" priority="79" stopIfTrue="1">
      <formula>LEN(TRIM(S60))=0</formula>
    </cfRule>
  </conditionalFormatting>
  <conditionalFormatting sqref="X60:AB77">
    <cfRule type="expression" dxfId="1192" priority="80" stopIfTrue="1">
      <formula>LEN(TRIM(X60))=0</formula>
    </cfRule>
  </conditionalFormatting>
  <conditionalFormatting sqref="AC60:AG77">
    <cfRule type="expression" dxfId="1191" priority="81" stopIfTrue="1">
      <formula>LEN(TRIM(AC60))=0</formula>
    </cfRule>
  </conditionalFormatting>
  <conditionalFormatting sqref="AH60:AL77">
    <cfRule type="expression" dxfId="1190" priority="82" stopIfTrue="1">
      <formula>LEN(TRIM(AH60))=0</formula>
    </cfRule>
  </conditionalFormatting>
  <conditionalFormatting sqref="AM60:AQ77">
    <cfRule type="expression" dxfId="1189" priority="83" stopIfTrue="1">
      <formula>LEN(TRIM(AM60))=0</formula>
    </cfRule>
  </conditionalFormatting>
  <conditionalFormatting sqref="AR60:AV77">
    <cfRule type="expression" dxfId="1188" priority="84" stopIfTrue="1">
      <formula>LEN(TRIM(AR60))=0</formula>
    </cfRule>
  </conditionalFormatting>
  <conditionalFormatting sqref="AW60:BA77">
    <cfRule type="expression" dxfId="1187" priority="85" stopIfTrue="1">
      <formula>LEN(TRIM(AW60))=0</formula>
    </cfRule>
  </conditionalFormatting>
  <conditionalFormatting sqref="BB60:BF77">
    <cfRule type="expression" dxfId="1186" priority="86" stopIfTrue="1">
      <formula>LEN(TRIM(BB60))=0</formula>
    </cfRule>
  </conditionalFormatting>
  <conditionalFormatting sqref="BG60:BK77">
    <cfRule type="expression" dxfId="1185" priority="87" stopIfTrue="1">
      <formula>LEN(TRIM(BG60))=0</formula>
    </cfRule>
  </conditionalFormatting>
  <conditionalFormatting sqref="BL60:BP77">
    <cfRule type="expression" dxfId="1184" priority="88" stopIfTrue="1">
      <formula>LEN(TRIM(BL60))=0</formula>
    </cfRule>
  </conditionalFormatting>
  <conditionalFormatting sqref="BQ60:BU77">
    <cfRule type="expression" dxfId="1183" priority="89" stopIfTrue="1">
      <formula>LEN(TRIM(BQ60))=0</formula>
    </cfRule>
  </conditionalFormatting>
  <conditionalFormatting sqref="BW60:CA77">
    <cfRule type="expression" dxfId="1182" priority="90" stopIfTrue="1">
      <formula>LEN(TRIM(BW60))=0</formula>
    </cfRule>
  </conditionalFormatting>
  <conditionalFormatting sqref="D79:H93">
    <cfRule type="expression" dxfId="1181" priority="91" stopIfTrue="1">
      <formula>LEN(TRIM(D79))=0</formula>
    </cfRule>
  </conditionalFormatting>
  <conditionalFormatting sqref="I79:M93">
    <cfRule type="expression" dxfId="1180" priority="92" stopIfTrue="1">
      <formula>LEN(TRIM(I79))=0</formula>
    </cfRule>
  </conditionalFormatting>
  <conditionalFormatting sqref="N79:R93">
    <cfRule type="expression" dxfId="1179" priority="93" stopIfTrue="1">
      <formula>LEN(TRIM(N79))=0</formula>
    </cfRule>
  </conditionalFormatting>
  <conditionalFormatting sqref="S79:W93">
    <cfRule type="expression" dxfId="1178" priority="94" stopIfTrue="1">
      <formula>LEN(TRIM(S79))=0</formula>
    </cfRule>
  </conditionalFormatting>
  <conditionalFormatting sqref="X79:AB93">
    <cfRule type="expression" dxfId="1177" priority="95" stopIfTrue="1">
      <formula>LEN(TRIM(X79))=0</formula>
    </cfRule>
  </conditionalFormatting>
  <conditionalFormatting sqref="AC79:AG93">
    <cfRule type="expression" dxfId="1176" priority="96" stopIfTrue="1">
      <formula>LEN(TRIM(AC79))=0</formula>
    </cfRule>
  </conditionalFormatting>
  <conditionalFormatting sqref="AH79:AL93">
    <cfRule type="expression" dxfId="1175" priority="97" stopIfTrue="1">
      <formula>LEN(TRIM(AH79))=0</formula>
    </cfRule>
  </conditionalFormatting>
  <conditionalFormatting sqref="AM79:AQ93">
    <cfRule type="expression" dxfId="1174" priority="98" stopIfTrue="1">
      <formula>LEN(TRIM(AM79))=0</formula>
    </cfRule>
  </conditionalFormatting>
  <conditionalFormatting sqref="AR79:AV93">
    <cfRule type="expression" dxfId="1173" priority="99" stopIfTrue="1">
      <formula>LEN(TRIM(AR79))=0</formula>
    </cfRule>
  </conditionalFormatting>
  <conditionalFormatting sqref="AW79:BA93">
    <cfRule type="expression" dxfId="1172" priority="100" stopIfTrue="1">
      <formula>LEN(TRIM(AW79))=0</formula>
    </cfRule>
  </conditionalFormatting>
  <conditionalFormatting sqref="BB79:BF93">
    <cfRule type="expression" dxfId="1171" priority="101" stopIfTrue="1">
      <formula>LEN(TRIM(BB79))=0</formula>
    </cfRule>
  </conditionalFormatting>
  <conditionalFormatting sqref="BG79:BK93">
    <cfRule type="expression" dxfId="1170" priority="102" stopIfTrue="1">
      <formula>LEN(TRIM(BG79))=0</formula>
    </cfRule>
  </conditionalFormatting>
  <conditionalFormatting sqref="BL79:BP93">
    <cfRule type="expression" dxfId="1169" priority="103" stopIfTrue="1">
      <formula>LEN(TRIM(BL79))=0</formula>
    </cfRule>
  </conditionalFormatting>
  <conditionalFormatting sqref="BQ79:BU93">
    <cfRule type="expression" dxfId="1168" priority="104" stopIfTrue="1">
      <formula>LEN(TRIM(BQ79))=0</formula>
    </cfRule>
  </conditionalFormatting>
  <conditionalFormatting sqref="BW79:CA93">
    <cfRule type="expression" dxfId="1167" priority="105" stopIfTrue="1">
      <formula>LEN(TRIM(BW79))=0</formula>
    </cfRule>
  </conditionalFormatting>
  <conditionalFormatting sqref="D95:H98">
    <cfRule type="expression" dxfId="1166" priority="106" stopIfTrue="1">
      <formula>LEN(TRIM(D95))=0</formula>
    </cfRule>
  </conditionalFormatting>
  <conditionalFormatting sqref="I95:M98">
    <cfRule type="expression" dxfId="1165" priority="107" stopIfTrue="1">
      <formula>LEN(TRIM(I95))=0</formula>
    </cfRule>
  </conditionalFormatting>
  <conditionalFormatting sqref="N95:R98">
    <cfRule type="expression" dxfId="1164" priority="108" stopIfTrue="1">
      <formula>LEN(TRIM(N95))=0</formula>
    </cfRule>
  </conditionalFormatting>
  <conditionalFormatting sqref="S95:W98">
    <cfRule type="expression" dxfId="1163" priority="109" stopIfTrue="1">
      <formula>LEN(TRIM(S95))=0</formula>
    </cfRule>
  </conditionalFormatting>
  <conditionalFormatting sqref="X95:AB98">
    <cfRule type="expression" dxfId="1162" priority="110" stopIfTrue="1">
      <formula>LEN(TRIM(X95))=0</formula>
    </cfRule>
  </conditionalFormatting>
  <conditionalFormatting sqref="AC95:AG98">
    <cfRule type="expression" dxfId="1161" priority="111" stopIfTrue="1">
      <formula>LEN(TRIM(AC95))=0</formula>
    </cfRule>
  </conditionalFormatting>
  <conditionalFormatting sqref="AH95:AL98">
    <cfRule type="expression" dxfId="1160" priority="112" stopIfTrue="1">
      <formula>LEN(TRIM(AH95))=0</formula>
    </cfRule>
  </conditionalFormatting>
  <conditionalFormatting sqref="AM95:AQ98">
    <cfRule type="expression" dxfId="1159" priority="113" stopIfTrue="1">
      <formula>LEN(TRIM(AM95))=0</formula>
    </cfRule>
  </conditionalFormatting>
  <conditionalFormatting sqref="AR95:AV98">
    <cfRule type="expression" dxfId="1158" priority="114" stopIfTrue="1">
      <formula>LEN(TRIM(AR95))=0</formula>
    </cfRule>
  </conditionalFormatting>
  <conditionalFormatting sqref="AW95:BA98">
    <cfRule type="expression" dxfId="1157" priority="115" stopIfTrue="1">
      <formula>LEN(TRIM(AW95))=0</formula>
    </cfRule>
  </conditionalFormatting>
  <conditionalFormatting sqref="BB95:BF98">
    <cfRule type="expression" dxfId="1156" priority="116" stopIfTrue="1">
      <formula>LEN(TRIM(BB95))=0</formula>
    </cfRule>
  </conditionalFormatting>
  <conditionalFormatting sqref="BG95:BK98">
    <cfRule type="expression" dxfId="1155" priority="117" stopIfTrue="1">
      <formula>LEN(TRIM(BG95))=0</formula>
    </cfRule>
  </conditionalFormatting>
  <conditionalFormatting sqref="BL95:BP98">
    <cfRule type="expression" dxfId="1154" priority="118" stopIfTrue="1">
      <formula>LEN(TRIM(BL95))=0</formula>
    </cfRule>
  </conditionalFormatting>
  <conditionalFormatting sqref="BQ95:BU98">
    <cfRule type="expression" dxfId="1153" priority="119" stopIfTrue="1">
      <formula>LEN(TRIM(BQ95))=0</formula>
    </cfRule>
  </conditionalFormatting>
  <conditionalFormatting sqref="BW95:CA98">
    <cfRule type="expression" dxfId="1152" priority="120" stopIfTrue="1">
      <formula>LEN(TRIM(BW95))=0</formula>
    </cfRule>
  </conditionalFormatting>
  <conditionalFormatting sqref="D101:H101">
    <cfRule type="expression" dxfId="1151" priority="121" stopIfTrue="1">
      <formula>LEN(TRIM(D101))=0</formula>
    </cfRule>
  </conditionalFormatting>
  <conditionalFormatting sqref="I101:M101">
    <cfRule type="expression" dxfId="1150" priority="122" stopIfTrue="1">
      <formula>LEN(TRIM(I101))=0</formula>
    </cfRule>
  </conditionalFormatting>
  <conditionalFormatting sqref="N101:R101">
    <cfRule type="expression" dxfId="1149" priority="123" stopIfTrue="1">
      <formula>LEN(TRIM(N101))=0</formula>
    </cfRule>
  </conditionalFormatting>
  <conditionalFormatting sqref="S101:W101">
    <cfRule type="expression" dxfId="1148" priority="124" stopIfTrue="1">
      <formula>LEN(TRIM(S101))=0</formula>
    </cfRule>
  </conditionalFormatting>
  <conditionalFormatting sqref="X101:AB101">
    <cfRule type="expression" dxfId="1147" priority="125" stopIfTrue="1">
      <formula>LEN(TRIM(X101))=0</formula>
    </cfRule>
  </conditionalFormatting>
  <conditionalFormatting sqref="AC101:AG101">
    <cfRule type="expression" dxfId="1146" priority="126" stopIfTrue="1">
      <formula>LEN(TRIM(AC101))=0</formula>
    </cfRule>
  </conditionalFormatting>
  <conditionalFormatting sqref="AH101:AL101">
    <cfRule type="expression" dxfId="1145" priority="127" stopIfTrue="1">
      <formula>LEN(TRIM(AH101))=0</formula>
    </cfRule>
  </conditionalFormatting>
  <conditionalFormatting sqref="AM101:AQ101">
    <cfRule type="expression" dxfId="1144" priority="128" stopIfTrue="1">
      <formula>LEN(TRIM(AM101))=0</formula>
    </cfRule>
  </conditionalFormatting>
  <conditionalFormatting sqref="AR101:AV101">
    <cfRule type="expression" dxfId="1143" priority="129" stopIfTrue="1">
      <formula>LEN(TRIM(AR101))=0</formula>
    </cfRule>
  </conditionalFormatting>
  <conditionalFormatting sqref="AW101:BA101">
    <cfRule type="expression" dxfId="1142" priority="130" stopIfTrue="1">
      <formula>LEN(TRIM(AW101))=0</formula>
    </cfRule>
  </conditionalFormatting>
  <conditionalFormatting sqref="BB101:BF101">
    <cfRule type="expression" dxfId="1141" priority="131" stopIfTrue="1">
      <formula>LEN(TRIM(BB101))=0</formula>
    </cfRule>
  </conditionalFormatting>
  <conditionalFormatting sqref="BG101:BK101">
    <cfRule type="expression" dxfId="1140" priority="132" stopIfTrue="1">
      <formula>LEN(TRIM(BG101))=0</formula>
    </cfRule>
  </conditionalFormatting>
  <conditionalFormatting sqref="BL101:BP101">
    <cfRule type="expression" dxfId="1139" priority="133" stopIfTrue="1">
      <formula>LEN(TRIM(BL101))=0</formula>
    </cfRule>
  </conditionalFormatting>
  <conditionalFormatting sqref="BQ101:BU101">
    <cfRule type="expression" dxfId="1138" priority="134" stopIfTrue="1">
      <formula>LEN(TRIM(BQ101))=0</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A110"/>
  <sheetViews>
    <sheetView showGridLines="0" zoomScale="70" zoomScaleNormal="70" workbookViewId="0">
      <pane xSplit="3" ySplit="3" topLeftCell="D4" activePane="bottomRight" state="frozenSplit"/>
      <selection pane="topRight" activeCell="D1" sqref="D1"/>
      <selection pane="bottomLeft" activeCell="A4" sqref="A4"/>
      <selection pane="bottomRight" activeCell="D4" sqref="D4"/>
    </sheetView>
  </sheetViews>
  <sheetFormatPr defaultRowHeight="15" x14ac:dyDescent="0.25"/>
  <cols>
    <col min="1" max="1" width="11.7109375" customWidth="1"/>
    <col min="2" max="2" width="6.5703125" customWidth="1"/>
    <col min="3" max="3" width="31.7109375" customWidth="1"/>
    <col min="4" max="87" width="3.85546875" customWidth="1"/>
    <col min="88" max="88" width="2.5703125" customWidth="1"/>
    <col min="89" max="93" width="3.85546875" customWidth="1"/>
    <col min="94" max="94" width="2.5703125" customWidth="1"/>
    <col min="95" max="99" width="3.85546875" customWidth="1"/>
    <col min="100" max="100" width="2.5703125" customWidth="1"/>
    <col min="101" max="105" width="3.85546875" customWidth="1"/>
  </cols>
  <sheetData>
    <row r="1" spans="1:105" ht="37.5" customHeight="1" thickTop="1" thickBot="1" x14ac:dyDescent="0.3">
      <c r="A1" s="424" t="s">
        <v>0</v>
      </c>
      <c r="B1" s="424"/>
      <c r="C1" s="425"/>
      <c r="D1" s="431" t="s">
        <v>230</v>
      </c>
      <c r="E1" s="432"/>
      <c r="F1" s="432"/>
      <c r="G1" s="432"/>
      <c r="H1" s="432"/>
      <c r="I1" s="432"/>
      <c r="J1" s="432"/>
      <c r="K1" s="432"/>
      <c r="L1" s="431" t="s">
        <v>231</v>
      </c>
      <c r="M1" s="432"/>
      <c r="N1" s="432"/>
      <c r="O1" s="432"/>
      <c r="P1" s="431" t="s">
        <v>232</v>
      </c>
      <c r="Q1" s="432"/>
      <c r="R1" s="432"/>
      <c r="S1" s="432"/>
      <c r="T1" s="432"/>
      <c r="U1" s="432"/>
      <c r="V1" s="432"/>
      <c r="W1" s="432"/>
      <c r="X1" s="432"/>
      <c r="Y1" s="432"/>
      <c r="Z1" s="432"/>
      <c r="AA1" s="432"/>
      <c r="AB1" s="432"/>
      <c r="AC1" s="432"/>
      <c r="AD1" s="432"/>
      <c r="AE1" s="432"/>
      <c r="AF1" s="432"/>
      <c r="AG1" s="432"/>
      <c r="AH1" s="432"/>
      <c r="AI1" s="432"/>
      <c r="AJ1" s="431" t="s">
        <v>233</v>
      </c>
      <c r="AK1" s="432"/>
      <c r="AL1" s="432"/>
      <c r="AM1" s="431" t="s">
        <v>234</v>
      </c>
      <c r="AN1" s="432"/>
      <c r="AO1" s="432"/>
      <c r="AP1" s="431" t="s">
        <v>235</v>
      </c>
      <c r="AQ1" s="432"/>
      <c r="AR1" s="432"/>
      <c r="AS1" s="432"/>
      <c r="AT1" s="432"/>
      <c r="AU1" s="431" t="s">
        <v>1</v>
      </c>
      <c r="AV1" s="432"/>
      <c r="AW1" s="432"/>
      <c r="AX1" s="432"/>
      <c r="AY1" s="432"/>
      <c r="AZ1" s="432"/>
      <c r="BA1" s="432"/>
      <c r="BB1" s="432"/>
      <c r="BC1" s="431" t="s">
        <v>131</v>
      </c>
      <c r="BD1" s="432"/>
      <c r="BE1" s="432"/>
      <c r="BF1" s="432"/>
      <c r="BG1" s="432"/>
      <c r="BH1" s="431" t="s">
        <v>3</v>
      </c>
      <c r="BI1" s="432"/>
      <c r="BJ1" s="432"/>
      <c r="BK1" s="431" t="s">
        <v>4</v>
      </c>
      <c r="BL1" s="432"/>
      <c r="BM1" s="432"/>
      <c r="BN1" s="432"/>
      <c r="BO1" s="431" t="s">
        <v>5</v>
      </c>
      <c r="BP1" s="432"/>
      <c r="BQ1" s="432"/>
      <c r="BR1" s="432"/>
      <c r="BS1" s="432"/>
      <c r="BT1" s="432"/>
      <c r="BU1" s="432"/>
      <c r="BV1" s="432"/>
      <c r="BW1" s="431" t="s">
        <v>6</v>
      </c>
      <c r="BX1" s="432"/>
      <c r="BY1" s="432"/>
      <c r="BZ1" s="432"/>
      <c r="CA1" s="432"/>
      <c r="CB1" s="432"/>
      <c r="CC1" s="431" t="s">
        <v>135</v>
      </c>
      <c r="CD1" s="432"/>
      <c r="CE1" s="432"/>
      <c r="CF1" s="431" t="s">
        <v>236</v>
      </c>
      <c r="CG1" s="432"/>
      <c r="CH1" s="432"/>
      <c r="CI1" s="433"/>
      <c r="CK1" s="431" t="s">
        <v>304</v>
      </c>
      <c r="CL1" s="432"/>
      <c r="CM1" s="432"/>
      <c r="CN1" s="432"/>
      <c r="CO1" s="433"/>
      <c r="CQ1" s="431" t="s">
        <v>223</v>
      </c>
      <c r="CR1" s="432"/>
      <c r="CS1" s="432"/>
      <c r="CT1" s="432"/>
      <c r="CU1" s="433"/>
      <c r="CW1" s="431" t="s">
        <v>305</v>
      </c>
      <c r="CX1" s="432"/>
      <c r="CY1" s="432"/>
      <c r="CZ1" s="432"/>
      <c r="DA1" s="433"/>
    </row>
    <row r="2" spans="1:105" ht="128.1" customHeight="1" thickTop="1" thickBot="1" x14ac:dyDescent="0.3">
      <c r="A2" s="4" t="s">
        <v>9</v>
      </c>
      <c r="B2" s="5"/>
      <c r="C2" s="231" t="s">
        <v>216</v>
      </c>
      <c r="D2" s="287" t="s">
        <v>14</v>
      </c>
      <c r="E2" s="288" t="s">
        <v>242</v>
      </c>
      <c r="F2" s="288" t="s">
        <v>238</v>
      </c>
      <c r="G2" s="288" t="s">
        <v>11</v>
      </c>
      <c r="H2" s="288" t="s">
        <v>10</v>
      </c>
      <c r="I2" s="288" t="s">
        <v>125</v>
      </c>
      <c r="J2" s="288" t="s">
        <v>12</v>
      </c>
      <c r="K2" s="293" t="s">
        <v>241</v>
      </c>
      <c r="L2" s="287" t="s">
        <v>13</v>
      </c>
      <c r="M2" s="288" t="s">
        <v>38</v>
      </c>
      <c r="N2" s="288" t="s">
        <v>243</v>
      </c>
      <c r="O2" s="293" t="s">
        <v>244</v>
      </c>
      <c r="P2" s="287" t="s">
        <v>35</v>
      </c>
      <c r="Q2" s="288" t="s">
        <v>18</v>
      </c>
      <c r="R2" s="288" t="s">
        <v>239</v>
      </c>
      <c r="S2" s="288" t="s">
        <v>28</v>
      </c>
      <c r="T2" s="288" t="s">
        <v>245</v>
      </c>
      <c r="U2" s="288" t="s">
        <v>246</v>
      </c>
      <c r="V2" s="288" t="s">
        <v>284</v>
      </c>
      <c r="W2" s="288" t="s">
        <v>248</v>
      </c>
      <c r="X2" s="288" t="s">
        <v>247</v>
      </c>
      <c r="Y2" s="288" t="s">
        <v>249</v>
      </c>
      <c r="Z2" s="288" t="s">
        <v>250</v>
      </c>
      <c r="AA2" s="288" t="s">
        <v>251</v>
      </c>
      <c r="AB2" s="288" t="s">
        <v>31</v>
      </c>
      <c r="AC2" s="288" t="s">
        <v>34</v>
      </c>
      <c r="AD2" s="288" t="s">
        <v>252</v>
      </c>
      <c r="AE2" s="288" t="s">
        <v>36</v>
      </c>
      <c r="AF2" s="288" t="s">
        <v>16</v>
      </c>
      <c r="AG2" s="288" t="s">
        <v>253</v>
      </c>
      <c r="AH2" s="288" t="s">
        <v>37</v>
      </c>
      <c r="AI2" s="293" t="s">
        <v>124</v>
      </c>
      <c r="AJ2" s="287" t="s">
        <v>254</v>
      </c>
      <c r="AK2" s="288" t="s">
        <v>255</v>
      </c>
      <c r="AL2" s="293" t="s">
        <v>256</v>
      </c>
      <c r="AM2" s="287" t="s">
        <v>257</v>
      </c>
      <c r="AN2" s="288" t="s">
        <v>22</v>
      </c>
      <c r="AO2" s="293" t="s">
        <v>258</v>
      </c>
      <c r="AP2" s="287" t="s">
        <v>262</v>
      </c>
      <c r="AQ2" s="288" t="s">
        <v>260</v>
      </c>
      <c r="AR2" s="288" t="s">
        <v>19</v>
      </c>
      <c r="AS2" s="288" t="s">
        <v>261</v>
      </c>
      <c r="AT2" s="293" t="s">
        <v>259</v>
      </c>
      <c r="AU2" s="287" t="s">
        <v>10</v>
      </c>
      <c r="AV2" s="288" t="s">
        <v>11</v>
      </c>
      <c r="AW2" s="288" t="s">
        <v>12</v>
      </c>
      <c r="AX2" s="288" t="s">
        <v>13</v>
      </c>
      <c r="AY2" s="288" t="s">
        <v>14</v>
      </c>
      <c r="AZ2" s="288" t="s">
        <v>125</v>
      </c>
      <c r="BA2" s="288" t="s">
        <v>121</v>
      </c>
      <c r="BB2" s="293" t="s">
        <v>15</v>
      </c>
      <c r="BC2" s="287" t="s">
        <v>16</v>
      </c>
      <c r="BD2" s="288" t="s">
        <v>17</v>
      </c>
      <c r="BE2" s="288" t="s">
        <v>18</v>
      </c>
      <c r="BF2" s="288" t="s">
        <v>19</v>
      </c>
      <c r="BG2" s="293" t="s">
        <v>20</v>
      </c>
      <c r="BH2" s="287" t="s">
        <v>21</v>
      </c>
      <c r="BI2" s="288" t="s">
        <v>22</v>
      </c>
      <c r="BJ2" s="293" t="s">
        <v>20</v>
      </c>
      <c r="BK2" s="287" t="s">
        <v>28</v>
      </c>
      <c r="BL2" s="288" t="s">
        <v>24</v>
      </c>
      <c r="BM2" s="288" t="s">
        <v>27</v>
      </c>
      <c r="BN2" s="293" t="s">
        <v>124</v>
      </c>
      <c r="BO2" s="287" t="s">
        <v>33</v>
      </c>
      <c r="BP2" s="288" t="s">
        <v>29</v>
      </c>
      <c r="BQ2" s="288" t="s">
        <v>30</v>
      </c>
      <c r="BR2" s="288" t="s">
        <v>181</v>
      </c>
      <c r="BS2" s="288" t="s">
        <v>26</v>
      </c>
      <c r="BT2" s="288" t="s">
        <v>31</v>
      </c>
      <c r="BU2" s="288" t="s">
        <v>32</v>
      </c>
      <c r="BV2" s="293" t="s">
        <v>23</v>
      </c>
      <c r="BW2" s="287" t="s">
        <v>34</v>
      </c>
      <c r="BX2" s="288" t="s">
        <v>25</v>
      </c>
      <c r="BY2" s="288" t="s">
        <v>35</v>
      </c>
      <c r="BZ2" s="288" t="s">
        <v>38</v>
      </c>
      <c r="CA2" s="288" t="s">
        <v>36</v>
      </c>
      <c r="CB2" s="293" t="s">
        <v>37</v>
      </c>
      <c r="CC2" s="287" t="s">
        <v>133</v>
      </c>
      <c r="CD2" s="288" t="s">
        <v>39</v>
      </c>
      <c r="CE2" s="293" t="s">
        <v>40</v>
      </c>
      <c r="CF2" s="287" t="s">
        <v>263</v>
      </c>
      <c r="CG2" s="288" t="s">
        <v>240</v>
      </c>
      <c r="CH2" s="288" t="s">
        <v>265</v>
      </c>
      <c r="CI2" s="289" t="s">
        <v>264</v>
      </c>
      <c r="CK2" s="304" t="s">
        <v>217</v>
      </c>
      <c r="CL2" s="305" t="s">
        <v>218</v>
      </c>
      <c r="CM2" s="306" t="s">
        <v>219</v>
      </c>
      <c r="CN2" s="307" t="s">
        <v>220</v>
      </c>
      <c r="CO2" s="308" t="s">
        <v>221</v>
      </c>
      <c r="CQ2" s="304" t="s">
        <v>217</v>
      </c>
      <c r="CR2" s="305" t="s">
        <v>218</v>
      </c>
      <c r="CS2" s="306" t="s">
        <v>219</v>
      </c>
      <c r="CT2" s="307" t="s">
        <v>220</v>
      </c>
      <c r="CU2" s="308" t="s">
        <v>221</v>
      </c>
      <c r="CW2" s="304" t="s">
        <v>217</v>
      </c>
      <c r="CX2" s="305" t="s">
        <v>218</v>
      </c>
      <c r="CY2" s="306" t="s">
        <v>219</v>
      </c>
      <c r="CZ2" s="307" t="s">
        <v>220</v>
      </c>
      <c r="DA2" s="308" t="s">
        <v>221</v>
      </c>
    </row>
    <row r="3" spans="1:105" ht="12.75" customHeight="1" thickTop="1" thickBot="1" x14ac:dyDescent="0.3">
      <c r="A3" s="5"/>
      <c r="B3" s="3"/>
      <c r="C3" s="100" t="s">
        <v>126</v>
      </c>
      <c r="D3" s="309" t="s">
        <v>237</v>
      </c>
      <c r="E3" s="309" t="s">
        <v>237</v>
      </c>
      <c r="F3" s="309" t="s">
        <v>237</v>
      </c>
      <c r="G3" s="309" t="s">
        <v>237</v>
      </c>
      <c r="H3" s="309" t="s">
        <v>237</v>
      </c>
      <c r="I3" s="309" t="s">
        <v>139</v>
      </c>
      <c r="J3" s="309" t="s">
        <v>237</v>
      </c>
      <c r="K3" s="309" t="s">
        <v>139</v>
      </c>
      <c r="L3" s="309" t="s">
        <v>237</v>
      </c>
      <c r="M3" s="309" t="s">
        <v>237</v>
      </c>
      <c r="N3" s="309" t="s">
        <v>237</v>
      </c>
      <c r="O3" s="309" t="s">
        <v>237</v>
      </c>
      <c r="P3" s="309" t="s">
        <v>237</v>
      </c>
      <c r="Q3" s="309" t="s">
        <v>237</v>
      </c>
      <c r="R3" s="309" t="s">
        <v>237</v>
      </c>
      <c r="S3" s="309" t="s">
        <v>237</v>
      </c>
      <c r="T3" s="309" t="s">
        <v>237</v>
      </c>
      <c r="U3" s="309" t="s">
        <v>139</v>
      </c>
      <c r="V3" s="309" t="s">
        <v>139</v>
      </c>
      <c r="W3" s="309" t="s">
        <v>139</v>
      </c>
      <c r="X3" s="309" t="s">
        <v>139</v>
      </c>
      <c r="Y3" s="309" t="s">
        <v>237</v>
      </c>
      <c r="Z3" s="309" t="s">
        <v>237</v>
      </c>
      <c r="AA3" s="309" t="s">
        <v>139</v>
      </c>
      <c r="AB3" s="309" t="s">
        <v>139</v>
      </c>
      <c r="AC3" s="309" t="s">
        <v>237</v>
      </c>
      <c r="AD3" s="309" t="s">
        <v>139</v>
      </c>
      <c r="AE3" s="309" t="s">
        <v>237</v>
      </c>
      <c r="AF3" s="309" t="s">
        <v>237</v>
      </c>
      <c r="AG3" s="309" t="s">
        <v>237</v>
      </c>
      <c r="AH3" s="309" t="s">
        <v>237</v>
      </c>
      <c r="AI3" s="309" t="s">
        <v>139</v>
      </c>
      <c r="AJ3" s="309" t="s">
        <v>237</v>
      </c>
      <c r="AK3" s="309" t="s">
        <v>139</v>
      </c>
      <c r="AL3" s="309" t="s">
        <v>139</v>
      </c>
      <c r="AM3" s="309" t="s">
        <v>237</v>
      </c>
      <c r="AN3" s="309" t="s">
        <v>237</v>
      </c>
      <c r="AO3" s="309" t="s">
        <v>139</v>
      </c>
      <c r="AP3" s="309" t="s">
        <v>139</v>
      </c>
      <c r="AQ3" s="309" t="s">
        <v>237</v>
      </c>
      <c r="AR3" s="309" t="s">
        <v>237</v>
      </c>
      <c r="AS3" s="309" t="s">
        <v>237</v>
      </c>
      <c r="AT3" s="309" t="s">
        <v>237</v>
      </c>
      <c r="AU3" s="309" t="s">
        <v>46</v>
      </c>
      <c r="AV3" s="309" t="s">
        <v>46</v>
      </c>
      <c r="AW3" s="309" t="s">
        <v>46</v>
      </c>
      <c r="AX3" s="309" t="s">
        <v>46</v>
      </c>
      <c r="AY3" s="309" t="s">
        <v>46</v>
      </c>
      <c r="AZ3" s="309" t="s">
        <v>47</v>
      </c>
      <c r="BA3" s="309" t="s">
        <v>47</v>
      </c>
      <c r="BB3" s="309" t="s">
        <v>47</v>
      </c>
      <c r="BC3" s="309" t="s">
        <v>46</v>
      </c>
      <c r="BD3" s="309" t="s">
        <v>46</v>
      </c>
      <c r="BE3" s="309" t="s">
        <v>46</v>
      </c>
      <c r="BF3" s="309" t="s">
        <v>46</v>
      </c>
      <c r="BG3" s="309" t="s">
        <v>46</v>
      </c>
      <c r="BH3" s="309" t="s">
        <v>46</v>
      </c>
      <c r="BI3" s="309" t="s">
        <v>46</v>
      </c>
      <c r="BJ3" s="309" t="s">
        <v>46</v>
      </c>
      <c r="BK3" s="309" t="s">
        <v>46</v>
      </c>
      <c r="BL3" s="309" t="s">
        <v>47</v>
      </c>
      <c r="BM3" s="309" t="s">
        <v>47</v>
      </c>
      <c r="BN3" s="309" t="s">
        <v>47</v>
      </c>
      <c r="BO3" s="309" t="s">
        <v>46</v>
      </c>
      <c r="BP3" s="309" t="s">
        <v>46</v>
      </c>
      <c r="BQ3" s="309" t="s">
        <v>46</v>
      </c>
      <c r="BR3" s="309" t="s">
        <v>47</v>
      </c>
      <c r="BS3" s="309" t="s">
        <v>47</v>
      </c>
      <c r="BT3" s="309" t="s">
        <v>47</v>
      </c>
      <c r="BU3" s="309" t="s">
        <v>47</v>
      </c>
      <c r="BV3" s="309" t="s">
        <v>47</v>
      </c>
      <c r="BW3" s="309" t="s">
        <v>46</v>
      </c>
      <c r="BX3" s="309" t="s">
        <v>46</v>
      </c>
      <c r="BY3" s="309" t="s">
        <v>46</v>
      </c>
      <c r="BZ3" s="309" t="s">
        <v>46</v>
      </c>
      <c r="CA3" s="309" t="s">
        <v>46</v>
      </c>
      <c r="CB3" s="309" t="s">
        <v>46</v>
      </c>
      <c r="CC3" s="309" t="s">
        <v>46</v>
      </c>
      <c r="CD3" s="309" t="s">
        <v>46</v>
      </c>
      <c r="CE3" s="309" t="s">
        <v>46</v>
      </c>
      <c r="CF3" s="309" t="s">
        <v>139</v>
      </c>
      <c r="CG3" s="309" t="s">
        <v>237</v>
      </c>
      <c r="CH3" s="309" t="s">
        <v>237</v>
      </c>
      <c r="CI3" s="309" t="s">
        <v>237</v>
      </c>
      <c r="CK3" s="303"/>
      <c r="CL3" s="303"/>
      <c r="CM3" s="303"/>
      <c r="CN3" s="303"/>
      <c r="CO3" s="303"/>
      <c r="CQ3" s="303"/>
      <c r="CR3" s="303"/>
      <c r="CS3" s="303"/>
      <c r="CT3" s="303"/>
      <c r="CU3" s="303"/>
      <c r="CW3" s="303"/>
      <c r="CX3" s="303"/>
      <c r="CY3" s="303"/>
      <c r="CZ3" s="303"/>
      <c r="DA3" s="303"/>
    </row>
    <row r="4" spans="1:105" ht="15.75" thickTop="1" x14ac:dyDescent="0.25">
      <c r="B4" s="434" t="s">
        <v>48</v>
      </c>
      <c r="C4" s="290" t="s">
        <v>49</v>
      </c>
      <c r="D4" s="310"/>
      <c r="E4" s="311"/>
      <c r="F4" s="311"/>
      <c r="G4" s="311"/>
      <c r="H4" s="311"/>
      <c r="I4" s="311"/>
      <c r="J4" s="311"/>
      <c r="K4" s="312"/>
      <c r="L4" s="310"/>
      <c r="M4" s="311"/>
      <c r="N4" s="311"/>
      <c r="O4" s="312"/>
      <c r="P4" s="310"/>
      <c r="Q4" s="311"/>
      <c r="R4" s="311"/>
      <c r="S4" s="311"/>
      <c r="T4" s="311"/>
      <c r="U4" s="311"/>
      <c r="V4" s="311"/>
      <c r="W4" s="311"/>
      <c r="X4" s="311"/>
      <c r="Y4" s="311"/>
      <c r="Z4" s="311"/>
      <c r="AA4" s="311"/>
      <c r="AB4" s="311"/>
      <c r="AC4" s="311"/>
      <c r="AD4" s="311"/>
      <c r="AE4" s="311"/>
      <c r="AF4" s="311"/>
      <c r="AG4" s="311"/>
      <c r="AH4" s="311"/>
      <c r="AI4" s="312"/>
      <c r="AJ4" s="310"/>
      <c r="AK4" s="311"/>
      <c r="AL4" s="312"/>
      <c r="AM4" s="310"/>
      <c r="AN4" s="311"/>
      <c r="AO4" s="312"/>
      <c r="AP4" s="310"/>
      <c r="AQ4" s="311"/>
      <c r="AR4" s="311"/>
      <c r="AS4" s="311"/>
      <c r="AT4" s="312"/>
      <c r="AU4" s="310" t="s">
        <v>148</v>
      </c>
      <c r="AV4" s="311" t="s">
        <v>148</v>
      </c>
      <c r="AW4" s="311" t="s">
        <v>150</v>
      </c>
      <c r="AX4" s="311" t="s">
        <v>147</v>
      </c>
      <c r="AY4" s="311" t="s">
        <v>147</v>
      </c>
      <c r="AZ4" s="311"/>
      <c r="BA4" s="311"/>
      <c r="BB4" s="312"/>
      <c r="BC4" s="310" t="s">
        <v>147</v>
      </c>
      <c r="BD4" s="311" t="s">
        <v>147</v>
      </c>
      <c r="BE4" s="311"/>
      <c r="BF4" s="311"/>
      <c r="BG4" s="312"/>
      <c r="BH4" s="310"/>
      <c r="BI4" s="311" t="s">
        <v>147</v>
      </c>
      <c r="BJ4" s="312"/>
      <c r="BK4" s="310"/>
      <c r="BL4" s="311" t="s">
        <v>147</v>
      </c>
      <c r="BM4" s="311"/>
      <c r="BN4" s="312" t="s">
        <v>147</v>
      </c>
      <c r="BO4" s="310" t="s">
        <v>150</v>
      </c>
      <c r="BP4" s="311" t="s">
        <v>148</v>
      </c>
      <c r="BQ4" s="311" t="s">
        <v>147</v>
      </c>
      <c r="BR4" s="311"/>
      <c r="BS4" s="311" t="s">
        <v>147</v>
      </c>
      <c r="BT4" s="311" t="s">
        <v>150</v>
      </c>
      <c r="BU4" s="311" t="s">
        <v>150</v>
      </c>
      <c r="BV4" s="312"/>
      <c r="BW4" s="310" t="s">
        <v>148</v>
      </c>
      <c r="BX4" s="311"/>
      <c r="BY4" s="311"/>
      <c r="BZ4" s="311" t="s">
        <v>147</v>
      </c>
      <c r="CA4" s="311"/>
      <c r="CB4" s="312"/>
      <c r="CC4" s="310"/>
      <c r="CD4" s="311"/>
      <c r="CE4" s="312"/>
      <c r="CF4" s="310"/>
      <c r="CG4" s="311"/>
      <c r="CH4" s="311"/>
      <c r="CI4" s="313"/>
      <c r="CK4" s="233" t="str">
        <f t="shared" ref="CK4:CK16" si="0">IF(COUNTIF(D4:CI4,"o")&gt;0,COUNTIF(D4:CI4,"o"),"")</f>
        <v/>
      </c>
      <c r="CL4" s="234">
        <f t="shared" ref="CL4:CL16" si="1">IF(COUNTIF(D4:CI4,"j")&gt;0,COUNTIF(D4:CI4,"j"),"")</f>
        <v>10</v>
      </c>
      <c r="CM4" s="234">
        <f t="shared" ref="CM4:CM16" si="2">IF(COUNTIF(D4:CI4,"m")&gt;0,COUNTIF(D4:CI4,"m"),"")</f>
        <v>4</v>
      </c>
      <c r="CN4" s="234">
        <f t="shared" ref="CN4:CN16" si="3">IF(COUNTIF(D4:CI4,"s")&gt;0,COUNTIF(D4:CI4,"s"),"")</f>
        <v>4</v>
      </c>
      <c r="CO4" s="235" t="str">
        <f t="shared" ref="CO4:CO16" si="4">IF(COUNTIF(D4:CI4,"e")&gt;0,COUNTIF(D4:CI4,"e"),"")</f>
        <v/>
      </c>
      <c r="CQ4" s="233" t="str">
        <f>desired_skills(C4,"Systemen/Oracle","o")</f>
        <v>1</v>
      </c>
      <c r="CR4" s="234" t="str">
        <f>desired_skills(C4,"Systemen/Oracle","j")</f>
        <v/>
      </c>
      <c r="CS4" s="234" t="str">
        <f>desired_skills(C4,"Systemen/Oracle","m")</f>
        <v/>
      </c>
      <c r="CT4" s="234" t="str">
        <f>desired_skills(C4,"Systemen/Oracle","s")</f>
        <v/>
      </c>
      <c r="CU4" s="235" t="str">
        <f>desired_skills(C4,"Systemen/Oracle","e")</f>
        <v/>
      </c>
      <c r="CW4" s="233" t="str">
        <f>calc_gap('Matrix 171007_1806'!$CK$4,'Matrix 171007_1806'!$CQ$4)</f>
        <v/>
      </c>
      <c r="CX4" s="234" t="str">
        <f>calc_gap('Matrix 171007_1806'!$CL$4,'Matrix 171007_1806'!$CR$4)</f>
        <v/>
      </c>
      <c r="CY4" s="234" t="str">
        <f>calc_gap('Matrix 171007_1806'!$CM$4,'Matrix 171007_1806'!$CS$4)</f>
        <v/>
      </c>
      <c r="CZ4" s="234" t="str">
        <f>calc_gap('Matrix 171007_1806'!$CN$4,'Matrix 171007_1806'!$CT$4)</f>
        <v/>
      </c>
      <c r="DA4" s="235" t="str">
        <f>calc_gap('Matrix 171007_1806'!$CO$4,'Matrix 171007_1806'!$CU$4)</f>
        <v/>
      </c>
    </row>
    <row r="5" spans="1:105" x14ac:dyDescent="0.25">
      <c r="B5" s="435"/>
      <c r="C5" s="291" t="s">
        <v>54</v>
      </c>
      <c r="D5" s="314"/>
      <c r="E5" s="315"/>
      <c r="F5" s="315"/>
      <c r="G5" s="315"/>
      <c r="H5" s="315"/>
      <c r="I5" s="315"/>
      <c r="J5" s="315"/>
      <c r="K5" s="316"/>
      <c r="L5" s="314"/>
      <c r="M5" s="315"/>
      <c r="N5" s="315"/>
      <c r="O5" s="316"/>
      <c r="P5" s="314"/>
      <c r="Q5" s="315"/>
      <c r="R5" s="315"/>
      <c r="S5" s="315"/>
      <c r="T5" s="315"/>
      <c r="U5" s="315"/>
      <c r="V5" s="315"/>
      <c r="W5" s="315"/>
      <c r="X5" s="315"/>
      <c r="Y5" s="315"/>
      <c r="Z5" s="315"/>
      <c r="AA5" s="315"/>
      <c r="AB5" s="315"/>
      <c r="AC5" s="315"/>
      <c r="AD5" s="315"/>
      <c r="AE5" s="315"/>
      <c r="AF5" s="315"/>
      <c r="AG5" s="315"/>
      <c r="AH5" s="315"/>
      <c r="AI5" s="316"/>
      <c r="AJ5" s="314"/>
      <c r="AK5" s="315"/>
      <c r="AL5" s="316"/>
      <c r="AM5" s="314"/>
      <c r="AN5" s="315"/>
      <c r="AO5" s="316"/>
      <c r="AP5" s="314"/>
      <c r="AQ5" s="315"/>
      <c r="AR5" s="315"/>
      <c r="AS5" s="315"/>
      <c r="AT5" s="316"/>
      <c r="AU5" s="314" t="s">
        <v>148</v>
      </c>
      <c r="AV5" s="315" t="s">
        <v>150</v>
      </c>
      <c r="AW5" s="315" t="s">
        <v>150</v>
      </c>
      <c r="AX5" s="315" t="s">
        <v>148</v>
      </c>
      <c r="AY5" s="315" t="s">
        <v>148</v>
      </c>
      <c r="AZ5" s="315"/>
      <c r="BA5" s="315"/>
      <c r="BB5" s="316" t="s">
        <v>147</v>
      </c>
      <c r="BC5" s="314" t="s">
        <v>147</v>
      </c>
      <c r="BD5" s="315" t="s">
        <v>147</v>
      </c>
      <c r="BE5" s="315"/>
      <c r="BF5" s="315"/>
      <c r="BG5" s="316"/>
      <c r="BH5" s="314"/>
      <c r="BI5" s="315"/>
      <c r="BJ5" s="316"/>
      <c r="BK5" s="314" t="s">
        <v>148</v>
      </c>
      <c r="BL5" s="315" t="s">
        <v>147</v>
      </c>
      <c r="BM5" s="315"/>
      <c r="BN5" s="316" t="s">
        <v>147</v>
      </c>
      <c r="BO5" s="314" t="s">
        <v>150</v>
      </c>
      <c r="BP5" s="315" t="s">
        <v>150</v>
      </c>
      <c r="BQ5" s="315" t="s">
        <v>148</v>
      </c>
      <c r="BR5" s="315"/>
      <c r="BS5" s="315" t="s">
        <v>147</v>
      </c>
      <c r="BT5" s="315" t="s">
        <v>150</v>
      </c>
      <c r="BU5" s="315" t="s">
        <v>150</v>
      </c>
      <c r="BV5" s="316"/>
      <c r="BW5" s="314" t="s">
        <v>150</v>
      </c>
      <c r="BX5" s="315" t="s">
        <v>148</v>
      </c>
      <c r="BY5" s="315" t="s">
        <v>150</v>
      </c>
      <c r="BZ5" s="315" t="s">
        <v>150</v>
      </c>
      <c r="CA5" s="315" t="s">
        <v>150</v>
      </c>
      <c r="CB5" s="316" t="s">
        <v>150</v>
      </c>
      <c r="CC5" s="314" t="s">
        <v>148</v>
      </c>
      <c r="CD5" s="315"/>
      <c r="CE5" s="316"/>
      <c r="CF5" s="314"/>
      <c r="CG5" s="315"/>
      <c r="CH5" s="315"/>
      <c r="CI5" s="317"/>
      <c r="CK5" s="236" t="str">
        <f t="shared" si="0"/>
        <v/>
      </c>
      <c r="CL5" s="237">
        <f t="shared" si="1"/>
        <v>6</v>
      </c>
      <c r="CM5" s="237">
        <f t="shared" si="2"/>
        <v>7</v>
      </c>
      <c r="CN5" s="237">
        <f t="shared" si="3"/>
        <v>11</v>
      </c>
      <c r="CO5" s="238" t="str">
        <f t="shared" si="4"/>
        <v/>
      </c>
      <c r="CQ5" s="236" t="str">
        <f>desired_skills(C5,"Systemen/OBIP","o")</f>
        <v/>
      </c>
      <c r="CR5" s="237" t="str">
        <f>desired_skills(C5,"Systemen/OBIP","j")</f>
        <v>2</v>
      </c>
      <c r="CS5" s="237" t="str">
        <f>desired_skills(C5,"Systemen/OBIP","m")</f>
        <v/>
      </c>
      <c r="CT5" s="237" t="str">
        <f>desired_skills(C5,"Systemen/OBIP","s")</f>
        <v/>
      </c>
      <c r="CU5" s="238" t="str">
        <f>desired_skills(C5,"Systemen/OBIP","e")</f>
        <v/>
      </c>
      <c r="CW5" s="236" t="str">
        <f>calc_gap('Matrix 171007_1806'!$CK$5,'Matrix 171007_1806'!$CQ$5)</f>
        <v/>
      </c>
      <c r="CX5" s="237" t="str">
        <f>calc_gap('Matrix 171007_1806'!$CL$5,'Matrix 171007_1806'!$CR$5)</f>
        <v>-4</v>
      </c>
      <c r="CY5" s="237" t="str">
        <f>calc_gap('Matrix 171007_1806'!$CM$5,'Matrix 171007_1806'!$CS$5)</f>
        <v/>
      </c>
      <c r="CZ5" s="237" t="str">
        <f>calc_gap('Matrix 171007_1806'!$CN$5,'Matrix 171007_1806'!$CT$5)</f>
        <v/>
      </c>
      <c r="DA5" s="238" t="str">
        <f>calc_gap('Matrix 171007_1806'!$CO$5,'Matrix 171007_1806'!$CU$5)</f>
        <v/>
      </c>
    </row>
    <row r="6" spans="1:105" x14ac:dyDescent="0.25">
      <c r="B6" s="435"/>
      <c r="C6" s="291" t="s">
        <v>51</v>
      </c>
      <c r="D6" s="314"/>
      <c r="E6" s="315"/>
      <c r="F6" s="315"/>
      <c r="G6" s="315"/>
      <c r="H6" s="315"/>
      <c r="I6" s="315"/>
      <c r="J6" s="315"/>
      <c r="K6" s="316"/>
      <c r="L6" s="314"/>
      <c r="M6" s="315"/>
      <c r="N6" s="315"/>
      <c r="O6" s="316"/>
      <c r="P6" s="314"/>
      <c r="Q6" s="315"/>
      <c r="R6" s="315"/>
      <c r="S6" s="315"/>
      <c r="T6" s="315"/>
      <c r="U6" s="315"/>
      <c r="V6" s="315"/>
      <c r="W6" s="315"/>
      <c r="X6" s="315"/>
      <c r="Y6" s="315"/>
      <c r="Z6" s="315"/>
      <c r="AA6" s="315"/>
      <c r="AB6" s="315"/>
      <c r="AC6" s="315"/>
      <c r="AD6" s="315"/>
      <c r="AE6" s="315"/>
      <c r="AF6" s="315"/>
      <c r="AG6" s="315"/>
      <c r="AH6" s="315"/>
      <c r="AI6" s="316"/>
      <c r="AJ6" s="314"/>
      <c r="AK6" s="315"/>
      <c r="AL6" s="316"/>
      <c r="AM6" s="314"/>
      <c r="AN6" s="315"/>
      <c r="AO6" s="316"/>
      <c r="AP6" s="314"/>
      <c r="AQ6" s="315"/>
      <c r="AR6" s="315"/>
      <c r="AS6" s="315"/>
      <c r="AT6" s="316"/>
      <c r="AU6" s="314" t="s">
        <v>148</v>
      </c>
      <c r="AV6" s="315" t="s">
        <v>148</v>
      </c>
      <c r="AW6" s="315" t="s">
        <v>149</v>
      </c>
      <c r="AX6" s="315" t="s">
        <v>148</v>
      </c>
      <c r="AY6" s="315" t="s">
        <v>147</v>
      </c>
      <c r="AZ6" s="315"/>
      <c r="BA6" s="315"/>
      <c r="BB6" s="316" t="s">
        <v>147</v>
      </c>
      <c r="BC6" s="314" t="s">
        <v>149</v>
      </c>
      <c r="BD6" s="315" t="s">
        <v>148</v>
      </c>
      <c r="BE6" s="315"/>
      <c r="BF6" s="315"/>
      <c r="BG6" s="316"/>
      <c r="BH6" s="314"/>
      <c r="BI6" s="315"/>
      <c r="BJ6" s="316"/>
      <c r="BK6" s="314" t="s">
        <v>47</v>
      </c>
      <c r="BL6" s="315" t="s">
        <v>148</v>
      </c>
      <c r="BM6" s="315"/>
      <c r="BN6" s="316" t="s">
        <v>148</v>
      </c>
      <c r="BO6" s="314" t="s">
        <v>150</v>
      </c>
      <c r="BP6" s="315" t="s">
        <v>47</v>
      </c>
      <c r="BQ6" s="315" t="s">
        <v>148</v>
      </c>
      <c r="BR6" s="315"/>
      <c r="BS6" s="315" t="s">
        <v>147</v>
      </c>
      <c r="BT6" s="315" t="s">
        <v>148</v>
      </c>
      <c r="BU6" s="315" t="s">
        <v>150</v>
      </c>
      <c r="BV6" s="316"/>
      <c r="BW6" s="314" t="s">
        <v>47</v>
      </c>
      <c r="BX6" s="315" t="s">
        <v>148</v>
      </c>
      <c r="BY6" s="315" t="s">
        <v>150</v>
      </c>
      <c r="BZ6" s="315" t="s">
        <v>47</v>
      </c>
      <c r="CA6" s="315" t="s">
        <v>150</v>
      </c>
      <c r="CB6" s="316" t="s">
        <v>150</v>
      </c>
      <c r="CC6" s="314" t="s">
        <v>150</v>
      </c>
      <c r="CD6" s="315" t="s">
        <v>148</v>
      </c>
      <c r="CE6" s="316"/>
      <c r="CF6" s="314"/>
      <c r="CG6" s="315"/>
      <c r="CH6" s="315"/>
      <c r="CI6" s="317"/>
      <c r="CK6" s="236">
        <f t="shared" si="0"/>
        <v>2</v>
      </c>
      <c r="CL6" s="237">
        <f t="shared" si="1"/>
        <v>3</v>
      </c>
      <c r="CM6" s="237">
        <f t="shared" si="2"/>
        <v>10</v>
      </c>
      <c r="CN6" s="237">
        <f t="shared" si="3"/>
        <v>6</v>
      </c>
      <c r="CO6" s="238">
        <f t="shared" si="4"/>
        <v>4</v>
      </c>
      <c r="CQ6" s="236" t="str">
        <f>desired_skills(C6,"Systemen/Raboshop","o")</f>
        <v/>
      </c>
      <c r="CR6" s="237" t="str">
        <f>desired_skills(C6,"Systemen/Raboshop","j")</f>
        <v/>
      </c>
      <c r="CS6" s="237" t="str">
        <f>desired_skills(C6,"Systemen/Raboshop","m")</f>
        <v>3</v>
      </c>
      <c r="CT6" s="237" t="str">
        <f>desired_skills(C6,"Systemen/Raboshop","s")</f>
        <v/>
      </c>
      <c r="CU6" s="238" t="str">
        <f>desired_skills(C6,"Systemen/Raboshop","e")</f>
        <v/>
      </c>
      <c r="CW6" s="236" t="str">
        <f>calc_gap('Matrix 171007_1806'!$CK$6,'Matrix 171007_1806'!$CQ$6)</f>
        <v/>
      </c>
      <c r="CX6" s="237" t="str">
        <f>calc_gap('Matrix 171007_1806'!$CL$6,'Matrix 171007_1806'!$CR$6)</f>
        <v/>
      </c>
      <c r="CY6" s="237" t="str">
        <f>calc_gap('Matrix 171007_1806'!$CM$6,'Matrix 171007_1806'!$CS$6)</f>
        <v>-7</v>
      </c>
      <c r="CZ6" s="237" t="str">
        <f>calc_gap('Matrix 171007_1806'!$CN$6,'Matrix 171007_1806'!$CT$6)</f>
        <v/>
      </c>
      <c r="DA6" s="238" t="str">
        <f>calc_gap('Matrix 171007_1806'!$CO$6,'Matrix 171007_1806'!$CU$6)</f>
        <v/>
      </c>
    </row>
    <row r="7" spans="1:105" x14ac:dyDescent="0.25">
      <c r="B7" s="435"/>
      <c r="C7" s="291" t="s">
        <v>52</v>
      </c>
      <c r="D7" s="314"/>
      <c r="E7" s="315"/>
      <c r="F7" s="315"/>
      <c r="G7" s="315"/>
      <c r="H7" s="315"/>
      <c r="I7" s="315"/>
      <c r="J7" s="315"/>
      <c r="K7" s="316"/>
      <c r="L7" s="314"/>
      <c r="M7" s="315"/>
      <c r="N7" s="315"/>
      <c r="O7" s="316"/>
      <c r="P7" s="314"/>
      <c r="Q7" s="315"/>
      <c r="R7" s="315"/>
      <c r="S7" s="315"/>
      <c r="T7" s="315"/>
      <c r="U7" s="315"/>
      <c r="V7" s="315"/>
      <c r="W7" s="315"/>
      <c r="X7" s="315"/>
      <c r="Y7" s="315"/>
      <c r="Z7" s="315"/>
      <c r="AA7" s="315"/>
      <c r="AB7" s="315"/>
      <c r="AC7" s="315"/>
      <c r="AD7" s="315"/>
      <c r="AE7" s="315"/>
      <c r="AF7" s="315"/>
      <c r="AG7" s="315"/>
      <c r="AH7" s="315"/>
      <c r="AI7" s="316"/>
      <c r="AJ7" s="314"/>
      <c r="AK7" s="315"/>
      <c r="AL7" s="316"/>
      <c r="AM7" s="314"/>
      <c r="AN7" s="315"/>
      <c r="AO7" s="316"/>
      <c r="AP7" s="314"/>
      <c r="AQ7" s="315"/>
      <c r="AR7" s="315"/>
      <c r="AS7" s="315"/>
      <c r="AT7" s="316"/>
      <c r="AU7" s="314" t="s">
        <v>148</v>
      </c>
      <c r="AV7" s="315" t="s">
        <v>148</v>
      </c>
      <c r="AW7" s="315" t="s">
        <v>149</v>
      </c>
      <c r="AX7" s="315" t="s">
        <v>147</v>
      </c>
      <c r="AY7" s="315" t="s">
        <v>147</v>
      </c>
      <c r="AZ7" s="315"/>
      <c r="BA7" s="315"/>
      <c r="BB7" s="316"/>
      <c r="BC7" s="314" t="s">
        <v>149</v>
      </c>
      <c r="BD7" s="315" t="s">
        <v>150</v>
      </c>
      <c r="BE7" s="315"/>
      <c r="BF7" s="315"/>
      <c r="BG7" s="316"/>
      <c r="BH7" s="314"/>
      <c r="BI7" s="315"/>
      <c r="BJ7" s="316"/>
      <c r="BK7" s="314" t="s">
        <v>150</v>
      </c>
      <c r="BL7" s="315" t="s">
        <v>148</v>
      </c>
      <c r="BM7" s="315"/>
      <c r="BN7" s="316" t="s">
        <v>147</v>
      </c>
      <c r="BO7" s="314" t="s">
        <v>150</v>
      </c>
      <c r="BP7" s="315" t="s">
        <v>47</v>
      </c>
      <c r="BQ7" s="315" t="s">
        <v>148</v>
      </c>
      <c r="BR7" s="315"/>
      <c r="BS7" s="315" t="s">
        <v>147</v>
      </c>
      <c r="BT7" s="315" t="s">
        <v>148</v>
      </c>
      <c r="BU7" s="315" t="s">
        <v>150</v>
      </c>
      <c r="BV7" s="316"/>
      <c r="BW7" s="314" t="s">
        <v>47</v>
      </c>
      <c r="BX7" s="315" t="s">
        <v>147</v>
      </c>
      <c r="BY7" s="315" t="s">
        <v>147</v>
      </c>
      <c r="BZ7" s="315" t="s">
        <v>47</v>
      </c>
      <c r="CA7" s="315" t="s">
        <v>147</v>
      </c>
      <c r="CB7" s="316" t="s">
        <v>147</v>
      </c>
      <c r="CC7" s="314" t="s">
        <v>147</v>
      </c>
      <c r="CD7" s="315"/>
      <c r="CE7" s="316"/>
      <c r="CF7" s="314"/>
      <c r="CG7" s="315"/>
      <c r="CH7" s="315"/>
      <c r="CI7" s="317"/>
      <c r="CK7" s="236">
        <f t="shared" si="0"/>
        <v>2</v>
      </c>
      <c r="CL7" s="237">
        <f t="shared" si="1"/>
        <v>9</v>
      </c>
      <c r="CM7" s="237">
        <f t="shared" si="2"/>
        <v>5</v>
      </c>
      <c r="CN7" s="237">
        <f t="shared" si="3"/>
        <v>4</v>
      </c>
      <c r="CO7" s="238">
        <f t="shared" si="4"/>
        <v>3</v>
      </c>
      <c r="CQ7" s="236" t="str">
        <f>desired_skills(C7,"Systemen/HP Servicemanager","o")</f>
        <v/>
      </c>
      <c r="CR7" s="237" t="str">
        <f>desired_skills(C7,"Systemen/HP Servicemanager","j")</f>
        <v/>
      </c>
      <c r="CS7" s="237" t="str">
        <f>desired_skills(C7,"Systemen/HP Servicemanager","m")</f>
        <v/>
      </c>
      <c r="CT7" s="237" t="str">
        <f>desired_skills(C7,"Systemen/HP Servicemanager","s")</f>
        <v>4</v>
      </c>
      <c r="CU7" s="238" t="str">
        <f>desired_skills(C7,"Systemen/HP Servicemanager","e")</f>
        <v/>
      </c>
      <c r="CW7" s="236" t="str">
        <f>calc_gap('Matrix 171007_1806'!$CK$7,'Matrix 171007_1806'!$CQ$7)</f>
        <v/>
      </c>
      <c r="CX7" s="237" t="str">
        <f>calc_gap('Matrix 171007_1806'!$CL$7,'Matrix 171007_1806'!$CR$7)</f>
        <v/>
      </c>
      <c r="CY7" s="237" t="str">
        <f>calc_gap('Matrix 171007_1806'!$CM$7,'Matrix 171007_1806'!$CS$7)</f>
        <v/>
      </c>
      <c r="CZ7" s="237" t="str">
        <f>calc_gap('Matrix 171007_1806'!$CN$7,'Matrix 171007_1806'!$CT$7)</f>
        <v>0</v>
      </c>
      <c r="DA7" s="238" t="str">
        <f>calc_gap('Matrix 171007_1806'!$CO$7,'Matrix 171007_1806'!$CU$7)</f>
        <v/>
      </c>
    </row>
    <row r="8" spans="1:105" x14ac:dyDescent="0.25">
      <c r="B8" s="435"/>
      <c r="C8" s="291" t="s">
        <v>53</v>
      </c>
      <c r="D8" s="314"/>
      <c r="E8" s="315"/>
      <c r="F8" s="315"/>
      <c r="G8" s="315"/>
      <c r="H8" s="315"/>
      <c r="I8" s="315"/>
      <c r="J8" s="315"/>
      <c r="K8" s="316"/>
      <c r="L8" s="314"/>
      <c r="M8" s="315"/>
      <c r="N8" s="315"/>
      <c r="O8" s="316"/>
      <c r="P8" s="314"/>
      <c r="Q8" s="315"/>
      <c r="R8" s="315"/>
      <c r="S8" s="315"/>
      <c r="T8" s="315"/>
      <c r="U8" s="315"/>
      <c r="V8" s="315"/>
      <c r="W8" s="315"/>
      <c r="X8" s="315"/>
      <c r="Y8" s="315"/>
      <c r="Z8" s="315"/>
      <c r="AA8" s="315"/>
      <c r="AB8" s="315"/>
      <c r="AC8" s="315"/>
      <c r="AD8" s="315"/>
      <c r="AE8" s="315"/>
      <c r="AF8" s="315"/>
      <c r="AG8" s="315"/>
      <c r="AH8" s="315"/>
      <c r="AI8" s="316"/>
      <c r="AJ8" s="314"/>
      <c r="AK8" s="315"/>
      <c r="AL8" s="316"/>
      <c r="AM8" s="314"/>
      <c r="AN8" s="315"/>
      <c r="AO8" s="316"/>
      <c r="AP8" s="314"/>
      <c r="AQ8" s="315"/>
      <c r="AR8" s="315"/>
      <c r="AS8" s="315"/>
      <c r="AT8" s="316"/>
      <c r="AU8" s="314" t="s">
        <v>148</v>
      </c>
      <c r="AV8" s="315" t="s">
        <v>147</v>
      </c>
      <c r="AW8" s="315" t="s">
        <v>149</v>
      </c>
      <c r="AX8" s="315" t="s">
        <v>147</v>
      </c>
      <c r="AY8" s="315" t="s">
        <v>147</v>
      </c>
      <c r="AZ8" s="315"/>
      <c r="BA8" s="315"/>
      <c r="BB8" s="316" t="s">
        <v>147</v>
      </c>
      <c r="BC8" s="314" t="s">
        <v>149</v>
      </c>
      <c r="BD8" s="315"/>
      <c r="BE8" s="315"/>
      <c r="BF8" s="315"/>
      <c r="BG8" s="316"/>
      <c r="BH8" s="314"/>
      <c r="BI8" s="315"/>
      <c r="BJ8" s="316"/>
      <c r="BK8" s="314" t="s">
        <v>147</v>
      </c>
      <c r="BL8" s="315" t="s">
        <v>147</v>
      </c>
      <c r="BM8" s="315"/>
      <c r="BN8" s="316" t="s">
        <v>147</v>
      </c>
      <c r="BO8" s="314"/>
      <c r="BP8" s="315"/>
      <c r="BQ8" s="315"/>
      <c r="BR8" s="315"/>
      <c r="BS8" s="315"/>
      <c r="BT8" s="315"/>
      <c r="BU8" s="315" t="s">
        <v>150</v>
      </c>
      <c r="BV8" s="316"/>
      <c r="BW8" s="314" t="s">
        <v>149</v>
      </c>
      <c r="BX8" s="315"/>
      <c r="BY8" s="315"/>
      <c r="BZ8" s="315" t="s">
        <v>150</v>
      </c>
      <c r="CA8" s="315"/>
      <c r="CB8" s="316"/>
      <c r="CC8" s="314" t="s">
        <v>147</v>
      </c>
      <c r="CD8" s="315"/>
      <c r="CE8" s="316"/>
      <c r="CF8" s="314"/>
      <c r="CG8" s="315"/>
      <c r="CH8" s="315"/>
      <c r="CI8" s="317"/>
      <c r="CK8" s="236">
        <f t="shared" si="0"/>
        <v>3</v>
      </c>
      <c r="CL8" s="237">
        <f t="shared" si="1"/>
        <v>8</v>
      </c>
      <c r="CM8" s="237">
        <f t="shared" si="2"/>
        <v>1</v>
      </c>
      <c r="CN8" s="237">
        <f t="shared" si="3"/>
        <v>2</v>
      </c>
      <c r="CO8" s="238" t="str">
        <f t="shared" si="4"/>
        <v/>
      </c>
      <c r="CQ8" s="236" t="str">
        <f>desired_skills(C8,"Systemen/IT Shop","o")</f>
        <v/>
      </c>
      <c r="CR8" s="237" t="str">
        <f>desired_skills(C8,"Systemen/IT Shop","j")</f>
        <v/>
      </c>
      <c r="CS8" s="237" t="str">
        <f>desired_skills(C8,"Systemen/IT Shop","m")</f>
        <v/>
      </c>
      <c r="CT8" s="237" t="str">
        <f>desired_skills(C8,"Systemen/IT Shop","s")</f>
        <v/>
      </c>
      <c r="CU8" s="238" t="str">
        <f>desired_skills(C8,"Systemen/IT Shop","e")</f>
        <v>5</v>
      </c>
      <c r="CW8" s="236" t="str">
        <f>calc_gap('Matrix 171007_1806'!$CK$8,'Matrix 171007_1806'!$CQ$8)</f>
        <v/>
      </c>
      <c r="CX8" s="237" t="str">
        <f>calc_gap('Matrix 171007_1806'!$CL$8,'Matrix 171007_1806'!$CR$8)</f>
        <v/>
      </c>
      <c r="CY8" s="237" t="str">
        <f>calc_gap('Matrix 171007_1806'!$CM$8,'Matrix 171007_1806'!$CS$8)</f>
        <v/>
      </c>
      <c r="CZ8" s="237" t="str">
        <f>calc_gap('Matrix 171007_1806'!$CN$8,'Matrix 171007_1806'!$CT$8)</f>
        <v/>
      </c>
      <c r="DA8" s="238" t="str">
        <f>calc_gap('Matrix 171007_1806'!$CO$8,'Matrix 171007_1806'!$CU$8)</f>
        <v/>
      </c>
    </row>
    <row r="9" spans="1:105" x14ac:dyDescent="0.25">
      <c r="B9" s="435"/>
      <c r="C9" s="291" t="s">
        <v>50</v>
      </c>
      <c r="D9" s="314"/>
      <c r="E9" s="315"/>
      <c r="F9" s="315"/>
      <c r="G9" s="315"/>
      <c r="H9" s="315"/>
      <c r="I9" s="315"/>
      <c r="J9" s="315"/>
      <c r="K9" s="316"/>
      <c r="L9" s="314"/>
      <c r="M9" s="315"/>
      <c r="N9" s="315"/>
      <c r="O9" s="316"/>
      <c r="P9" s="314"/>
      <c r="Q9" s="315"/>
      <c r="R9" s="315"/>
      <c r="S9" s="315"/>
      <c r="T9" s="315"/>
      <c r="U9" s="315"/>
      <c r="V9" s="315"/>
      <c r="W9" s="315"/>
      <c r="X9" s="315"/>
      <c r="Y9" s="315"/>
      <c r="Z9" s="315"/>
      <c r="AA9" s="315"/>
      <c r="AB9" s="315"/>
      <c r="AC9" s="315"/>
      <c r="AD9" s="315"/>
      <c r="AE9" s="315"/>
      <c r="AF9" s="315"/>
      <c r="AG9" s="315"/>
      <c r="AH9" s="315"/>
      <c r="AI9" s="316"/>
      <c r="AJ9" s="314"/>
      <c r="AK9" s="315"/>
      <c r="AL9" s="316"/>
      <c r="AM9" s="314"/>
      <c r="AN9" s="315"/>
      <c r="AO9" s="316"/>
      <c r="AP9" s="314"/>
      <c r="AQ9" s="315"/>
      <c r="AR9" s="315"/>
      <c r="AS9" s="315"/>
      <c r="AT9" s="316"/>
      <c r="AU9" s="314"/>
      <c r="AV9" s="315" t="s">
        <v>47</v>
      </c>
      <c r="AW9" s="315" t="s">
        <v>150</v>
      </c>
      <c r="AX9" s="315" t="s">
        <v>148</v>
      </c>
      <c r="AY9" s="315" t="s">
        <v>148</v>
      </c>
      <c r="AZ9" s="315"/>
      <c r="BA9" s="315"/>
      <c r="BB9" s="316" t="s">
        <v>147</v>
      </c>
      <c r="BC9" s="314" t="s">
        <v>150</v>
      </c>
      <c r="BD9" s="315" t="s">
        <v>149</v>
      </c>
      <c r="BE9" s="315"/>
      <c r="BF9" s="315"/>
      <c r="BG9" s="316"/>
      <c r="BH9" s="314"/>
      <c r="BI9" s="315"/>
      <c r="BJ9" s="316"/>
      <c r="BK9" s="314"/>
      <c r="BL9" s="315"/>
      <c r="BM9" s="315"/>
      <c r="BN9" s="316"/>
      <c r="BO9" s="314" t="s">
        <v>147</v>
      </c>
      <c r="BP9" s="315" t="s">
        <v>147</v>
      </c>
      <c r="BQ9" s="315" t="s">
        <v>147</v>
      </c>
      <c r="BR9" s="315"/>
      <c r="BS9" s="315"/>
      <c r="BT9" s="315"/>
      <c r="BU9" s="315" t="s">
        <v>150</v>
      </c>
      <c r="BV9" s="316"/>
      <c r="BW9" s="314" t="s">
        <v>147</v>
      </c>
      <c r="BX9" s="315" t="s">
        <v>150</v>
      </c>
      <c r="BY9" s="315" t="s">
        <v>47</v>
      </c>
      <c r="BZ9" s="315"/>
      <c r="CA9" s="315" t="s">
        <v>47</v>
      </c>
      <c r="CB9" s="316" t="s">
        <v>47</v>
      </c>
      <c r="CC9" s="314"/>
      <c r="CD9" s="315"/>
      <c r="CE9" s="316"/>
      <c r="CF9" s="314"/>
      <c r="CG9" s="315"/>
      <c r="CH9" s="315"/>
      <c r="CI9" s="317"/>
      <c r="CK9" s="236">
        <f t="shared" si="0"/>
        <v>1</v>
      </c>
      <c r="CL9" s="237">
        <f t="shared" si="1"/>
        <v>5</v>
      </c>
      <c r="CM9" s="237">
        <f t="shared" si="2"/>
        <v>2</v>
      </c>
      <c r="CN9" s="237">
        <f t="shared" si="3"/>
        <v>4</v>
      </c>
      <c r="CO9" s="238">
        <f t="shared" si="4"/>
        <v>4</v>
      </c>
      <c r="CQ9" s="236" t="str">
        <f>desired_skills(C9,"Systemen/Bert+","o")</f>
        <v/>
      </c>
      <c r="CR9" s="237" t="str">
        <f>desired_skills(C9,"Systemen/Bert+","j")</f>
        <v/>
      </c>
      <c r="CS9" s="237" t="str">
        <f>desired_skills(C9,"Systemen/Bert+","m")</f>
        <v/>
      </c>
      <c r="CT9" s="237" t="str">
        <f>desired_skills(C9,"Systemen/Bert+","s")</f>
        <v/>
      </c>
      <c r="CU9" s="238" t="str">
        <f>desired_skills(C9,"Systemen/Bert+","e")</f>
        <v/>
      </c>
      <c r="CW9" s="236" t="str">
        <f>calc_gap('Matrix 171007_1806'!$CK$9,'Matrix 171007_1806'!$CQ$9)</f>
        <v/>
      </c>
      <c r="CX9" s="237" t="str">
        <f>calc_gap('Matrix 171007_1806'!$CL$9,'Matrix 171007_1806'!$CR$9)</f>
        <v/>
      </c>
      <c r="CY9" s="237" t="str">
        <f>calc_gap('Matrix 171007_1806'!$CM$9,'Matrix 171007_1806'!$CS$9)</f>
        <v/>
      </c>
      <c r="CZ9" s="237" t="str">
        <f>calc_gap('Matrix 171007_1806'!$CN$9,'Matrix 171007_1806'!$CT$9)</f>
        <v/>
      </c>
      <c r="DA9" s="238" t="str">
        <f>calc_gap('Matrix 171007_1806'!$CO$9,'Matrix 171007_1806'!$CU$9)</f>
        <v/>
      </c>
    </row>
    <row r="10" spans="1:105" x14ac:dyDescent="0.25">
      <c r="B10" s="435"/>
      <c r="C10" s="291" t="s">
        <v>55</v>
      </c>
      <c r="D10" s="314"/>
      <c r="E10" s="315"/>
      <c r="F10" s="315"/>
      <c r="G10" s="315"/>
      <c r="H10" s="315"/>
      <c r="I10" s="315"/>
      <c r="J10" s="315"/>
      <c r="K10" s="316"/>
      <c r="L10" s="314"/>
      <c r="M10" s="315"/>
      <c r="N10" s="315"/>
      <c r="O10" s="316"/>
      <c r="P10" s="314"/>
      <c r="Q10" s="315"/>
      <c r="R10" s="315"/>
      <c r="S10" s="315"/>
      <c r="T10" s="315"/>
      <c r="U10" s="315"/>
      <c r="V10" s="315"/>
      <c r="W10" s="315"/>
      <c r="X10" s="315"/>
      <c r="Y10" s="315"/>
      <c r="Z10" s="315"/>
      <c r="AA10" s="315"/>
      <c r="AB10" s="315"/>
      <c r="AC10" s="315"/>
      <c r="AD10" s="315"/>
      <c r="AE10" s="315"/>
      <c r="AF10" s="315"/>
      <c r="AG10" s="315"/>
      <c r="AH10" s="315"/>
      <c r="AI10" s="316"/>
      <c r="AJ10" s="314"/>
      <c r="AK10" s="315"/>
      <c r="AL10" s="316"/>
      <c r="AM10" s="314"/>
      <c r="AN10" s="315"/>
      <c r="AO10" s="316"/>
      <c r="AP10" s="314"/>
      <c r="AQ10" s="315"/>
      <c r="AR10" s="315"/>
      <c r="AS10" s="315"/>
      <c r="AT10" s="316"/>
      <c r="AU10" s="314" t="s">
        <v>148</v>
      </c>
      <c r="AV10" s="315" t="s">
        <v>47</v>
      </c>
      <c r="AW10" s="315" t="s">
        <v>150</v>
      </c>
      <c r="AX10" s="315" t="s">
        <v>148</v>
      </c>
      <c r="AY10" s="315" t="s">
        <v>148</v>
      </c>
      <c r="AZ10" s="315"/>
      <c r="BA10" s="315"/>
      <c r="BB10" s="316"/>
      <c r="BC10" s="314" t="s">
        <v>149</v>
      </c>
      <c r="BD10" s="315" t="s">
        <v>148</v>
      </c>
      <c r="BE10" s="315"/>
      <c r="BF10" s="315"/>
      <c r="BG10" s="316"/>
      <c r="BH10" s="314"/>
      <c r="BI10" s="315"/>
      <c r="BJ10" s="316"/>
      <c r="BK10" s="314" t="s">
        <v>148</v>
      </c>
      <c r="BL10" s="315"/>
      <c r="BM10" s="315"/>
      <c r="BN10" s="316"/>
      <c r="BO10" s="314" t="s">
        <v>150</v>
      </c>
      <c r="BP10" s="315" t="s">
        <v>150</v>
      </c>
      <c r="BQ10" s="315" t="s">
        <v>150</v>
      </c>
      <c r="BR10" s="315"/>
      <c r="BS10" s="315" t="s">
        <v>147</v>
      </c>
      <c r="BT10" s="315" t="s">
        <v>150</v>
      </c>
      <c r="BU10" s="315" t="s">
        <v>150</v>
      </c>
      <c r="BV10" s="316"/>
      <c r="BW10" s="314" t="s">
        <v>150</v>
      </c>
      <c r="BX10" s="315" t="s">
        <v>148</v>
      </c>
      <c r="BY10" s="315" t="s">
        <v>47</v>
      </c>
      <c r="BZ10" s="315" t="s">
        <v>150</v>
      </c>
      <c r="CA10" s="315" t="s">
        <v>47</v>
      </c>
      <c r="CB10" s="316" t="s">
        <v>47</v>
      </c>
      <c r="CC10" s="314"/>
      <c r="CD10" s="315"/>
      <c r="CE10" s="316"/>
      <c r="CF10" s="314"/>
      <c r="CG10" s="315"/>
      <c r="CH10" s="315"/>
      <c r="CI10" s="317"/>
      <c r="CK10" s="236">
        <f t="shared" si="0"/>
        <v>1</v>
      </c>
      <c r="CL10" s="237">
        <f t="shared" si="1"/>
        <v>1</v>
      </c>
      <c r="CM10" s="237">
        <f t="shared" si="2"/>
        <v>6</v>
      </c>
      <c r="CN10" s="237">
        <f t="shared" si="3"/>
        <v>8</v>
      </c>
      <c r="CO10" s="238">
        <f t="shared" si="4"/>
        <v>4</v>
      </c>
      <c r="CQ10" s="236" t="str">
        <f>desired_skills(C10,"Systemen/Rapportageserver","o")</f>
        <v>6</v>
      </c>
      <c r="CR10" s="237" t="str">
        <f>desired_skills(C10,"Systemen/Rapportageserver","j")</f>
        <v/>
      </c>
      <c r="CS10" s="237" t="str">
        <f>desired_skills(C10,"Systemen/Rapportageserver","m")</f>
        <v/>
      </c>
      <c r="CT10" s="237" t="str">
        <f>desired_skills(C10,"Systemen/Rapportageserver","s")</f>
        <v/>
      </c>
      <c r="CU10" s="238" t="str">
        <f>desired_skills(C10,"Systemen/Rapportageserver","e")</f>
        <v/>
      </c>
      <c r="CW10" s="236" t="str">
        <f>calc_gap('Matrix 171007_1806'!$CK$10,'Matrix 171007_1806'!$CQ$10)</f>
        <v>5</v>
      </c>
      <c r="CX10" s="237" t="str">
        <f>calc_gap('Matrix 171007_1806'!$CL$10,'Matrix 171007_1806'!$CR$10)</f>
        <v/>
      </c>
      <c r="CY10" s="237" t="str">
        <f>calc_gap('Matrix 171007_1806'!$CM$10,'Matrix 171007_1806'!$CS$10)</f>
        <v/>
      </c>
      <c r="CZ10" s="237" t="str">
        <f>calc_gap('Matrix 171007_1806'!$CN$10,'Matrix 171007_1806'!$CT$10)</f>
        <v/>
      </c>
      <c r="DA10" s="238" t="str">
        <f>calc_gap('Matrix 171007_1806'!$CO$10,'Matrix 171007_1806'!$CU$10)</f>
        <v/>
      </c>
    </row>
    <row r="11" spans="1:105" x14ac:dyDescent="0.25">
      <c r="B11" s="435"/>
      <c r="C11" s="291" t="s">
        <v>56</v>
      </c>
      <c r="D11" s="314"/>
      <c r="E11" s="315"/>
      <c r="F11" s="315"/>
      <c r="G11" s="315"/>
      <c r="H11" s="315"/>
      <c r="I11" s="315"/>
      <c r="J11" s="315"/>
      <c r="K11" s="316"/>
      <c r="L11" s="314"/>
      <c r="M11" s="315"/>
      <c r="N11" s="315"/>
      <c r="O11" s="316"/>
      <c r="P11" s="314"/>
      <c r="Q11" s="315"/>
      <c r="R11" s="315"/>
      <c r="S11" s="315"/>
      <c r="T11" s="315"/>
      <c r="U11" s="315"/>
      <c r="V11" s="315"/>
      <c r="W11" s="315"/>
      <c r="X11" s="315"/>
      <c r="Y11" s="315"/>
      <c r="Z11" s="315"/>
      <c r="AA11" s="315"/>
      <c r="AB11" s="315"/>
      <c r="AC11" s="315"/>
      <c r="AD11" s="315"/>
      <c r="AE11" s="315"/>
      <c r="AF11" s="315"/>
      <c r="AG11" s="315"/>
      <c r="AH11" s="315"/>
      <c r="AI11" s="316"/>
      <c r="AJ11" s="314"/>
      <c r="AK11" s="315"/>
      <c r="AL11" s="316"/>
      <c r="AM11" s="314"/>
      <c r="AN11" s="315"/>
      <c r="AO11" s="316"/>
      <c r="AP11" s="314"/>
      <c r="AQ11" s="315"/>
      <c r="AR11" s="315"/>
      <c r="AS11" s="315"/>
      <c r="AT11" s="316"/>
      <c r="AU11" s="314"/>
      <c r="AV11" s="315" t="s">
        <v>147</v>
      </c>
      <c r="AW11" s="315" t="s">
        <v>147</v>
      </c>
      <c r="AX11" s="315" t="s">
        <v>147</v>
      </c>
      <c r="AY11" s="315" t="s">
        <v>147</v>
      </c>
      <c r="AZ11" s="315"/>
      <c r="BA11" s="315"/>
      <c r="BB11" s="316"/>
      <c r="BC11" s="314" t="s">
        <v>149</v>
      </c>
      <c r="BD11" s="315" t="s">
        <v>149</v>
      </c>
      <c r="BE11" s="315"/>
      <c r="BF11" s="315"/>
      <c r="BG11" s="316"/>
      <c r="BH11" s="314"/>
      <c r="BI11" s="315"/>
      <c r="BJ11" s="316"/>
      <c r="BK11" s="314"/>
      <c r="BL11" s="315"/>
      <c r="BM11" s="315"/>
      <c r="BN11" s="316"/>
      <c r="BO11" s="314"/>
      <c r="BP11" s="315"/>
      <c r="BQ11" s="315"/>
      <c r="BR11" s="315"/>
      <c r="BS11" s="315" t="s">
        <v>149</v>
      </c>
      <c r="BT11" s="315" t="s">
        <v>149</v>
      </c>
      <c r="BU11" s="315" t="s">
        <v>147</v>
      </c>
      <c r="BV11" s="316"/>
      <c r="BW11" s="314" t="s">
        <v>149</v>
      </c>
      <c r="BX11" s="315"/>
      <c r="BY11" s="315"/>
      <c r="BZ11" s="315" t="s">
        <v>149</v>
      </c>
      <c r="CA11" s="315"/>
      <c r="CB11" s="316"/>
      <c r="CC11" s="314"/>
      <c r="CD11" s="315" t="s">
        <v>147</v>
      </c>
      <c r="CE11" s="316"/>
      <c r="CF11" s="314"/>
      <c r="CG11" s="315"/>
      <c r="CH11" s="315"/>
      <c r="CI11" s="317"/>
      <c r="CK11" s="236">
        <f t="shared" si="0"/>
        <v>6</v>
      </c>
      <c r="CL11" s="237">
        <f t="shared" si="1"/>
        <v>6</v>
      </c>
      <c r="CM11" s="237" t="str">
        <f t="shared" si="2"/>
        <v/>
      </c>
      <c r="CN11" s="237" t="str">
        <f t="shared" si="3"/>
        <v/>
      </c>
      <c r="CO11" s="238" t="str">
        <f t="shared" si="4"/>
        <v/>
      </c>
      <c r="CQ11" s="236" t="str">
        <f>desired_skills(C11,"Systemen/Splunk","o")</f>
        <v/>
      </c>
      <c r="CR11" s="237" t="str">
        <f>desired_skills(C11,"Systemen/Splunk","j")</f>
        <v>7</v>
      </c>
      <c r="CS11" s="237" t="str">
        <f>desired_skills(C11,"Systemen/Splunk","m")</f>
        <v/>
      </c>
      <c r="CT11" s="237" t="str">
        <f>desired_skills(C11,"Systemen/Splunk","s")</f>
        <v/>
      </c>
      <c r="CU11" s="238" t="str">
        <f>desired_skills(C11,"Systemen/Splunk","e")</f>
        <v/>
      </c>
      <c r="CW11" s="236" t="str">
        <f>calc_gap('Matrix 171007_1806'!$CK$11,'Matrix 171007_1806'!$CQ$11)</f>
        <v/>
      </c>
      <c r="CX11" s="237" t="str">
        <f>calc_gap('Matrix 171007_1806'!$CL$11,'Matrix 171007_1806'!$CR$11)</f>
        <v>1</v>
      </c>
      <c r="CY11" s="237" t="str">
        <f>calc_gap('Matrix 171007_1806'!$CM$11,'Matrix 171007_1806'!$CS$11)</f>
        <v/>
      </c>
      <c r="CZ11" s="237" t="str">
        <f>calc_gap('Matrix 171007_1806'!$CN$11,'Matrix 171007_1806'!$CT$11)</f>
        <v/>
      </c>
      <c r="DA11" s="238" t="str">
        <f>calc_gap('Matrix 171007_1806'!$CO$11,'Matrix 171007_1806'!$CU$11)</f>
        <v/>
      </c>
    </row>
    <row r="12" spans="1:105" x14ac:dyDescent="0.25">
      <c r="B12" s="435"/>
      <c r="C12" s="291" t="s">
        <v>57</v>
      </c>
      <c r="D12" s="314"/>
      <c r="E12" s="315"/>
      <c r="F12" s="315"/>
      <c r="G12" s="315"/>
      <c r="H12" s="315"/>
      <c r="I12" s="315"/>
      <c r="J12" s="315"/>
      <c r="K12" s="316"/>
      <c r="L12" s="314"/>
      <c r="M12" s="315"/>
      <c r="N12" s="315"/>
      <c r="O12" s="316"/>
      <c r="P12" s="314"/>
      <c r="Q12" s="315"/>
      <c r="R12" s="315"/>
      <c r="S12" s="315"/>
      <c r="T12" s="315"/>
      <c r="U12" s="315"/>
      <c r="V12" s="315"/>
      <c r="W12" s="315"/>
      <c r="X12" s="315"/>
      <c r="Y12" s="315"/>
      <c r="Z12" s="315"/>
      <c r="AA12" s="315"/>
      <c r="AB12" s="315"/>
      <c r="AC12" s="315"/>
      <c r="AD12" s="315"/>
      <c r="AE12" s="315"/>
      <c r="AF12" s="315"/>
      <c r="AG12" s="315"/>
      <c r="AH12" s="315"/>
      <c r="AI12" s="316"/>
      <c r="AJ12" s="314"/>
      <c r="AK12" s="315"/>
      <c r="AL12" s="316"/>
      <c r="AM12" s="314"/>
      <c r="AN12" s="315"/>
      <c r="AO12" s="316"/>
      <c r="AP12" s="314"/>
      <c r="AQ12" s="315"/>
      <c r="AR12" s="315"/>
      <c r="AS12" s="315"/>
      <c r="AT12" s="316"/>
      <c r="AU12" s="314" t="s">
        <v>148</v>
      </c>
      <c r="AV12" s="315" t="s">
        <v>149</v>
      </c>
      <c r="AW12" s="315" t="s">
        <v>149</v>
      </c>
      <c r="AX12" s="315" t="s">
        <v>147</v>
      </c>
      <c r="AY12" s="315" t="s">
        <v>147</v>
      </c>
      <c r="AZ12" s="315"/>
      <c r="BA12" s="315"/>
      <c r="BB12" s="316" t="s">
        <v>147</v>
      </c>
      <c r="BC12" s="314" t="s">
        <v>149</v>
      </c>
      <c r="BD12" s="315" t="s">
        <v>149</v>
      </c>
      <c r="BE12" s="315"/>
      <c r="BF12" s="315"/>
      <c r="BG12" s="316"/>
      <c r="BH12" s="314"/>
      <c r="BI12" s="315"/>
      <c r="BJ12" s="316"/>
      <c r="BK12" s="314"/>
      <c r="BL12" s="315"/>
      <c r="BM12" s="315"/>
      <c r="BN12" s="316"/>
      <c r="BO12" s="314"/>
      <c r="BP12" s="315"/>
      <c r="BQ12" s="315"/>
      <c r="BR12" s="315"/>
      <c r="BS12" s="315"/>
      <c r="BT12" s="315"/>
      <c r="BU12" s="315" t="s">
        <v>147</v>
      </c>
      <c r="BV12" s="316"/>
      <c r="BW12" s="314" t="s">
        <v>149</v>
      </c>
      <c r="BX12" s="315"/>
      <c r="BY12" s="315"/>
      <c r="BZ12" s="315"/>
      <c r="CA12" s="315"/>
      <c r="CB12" s="316"/>
      <c r="CC12" s="314"/>
      <c r="CD12" s="315"/>
      <c r="CE12" s="316"/>
      <c r="CF12" s="314"/>
      <c r="CG12" s="315"/>
      <c r="CH12" s="315"/>
      <c r="CI12" s="317"/>
      <c r="CK12" s="236">
        <f t="shared" si="0"/>
        <v>5</v>
      </c>
      <c r="CL12" s="237">
        <f t="shared" si="1"/>
        <v>4</v>
      </c>
      <c r="CM12" s="237">
        <f t="shared" si="2"/>
        <v>1</v>
      </c>
      <c r="CN12" s="237" t="str">
        <f t="shared" si="3"/>
        <v/>
      </c>
      <c r="CO12" s="238" t="str">
        <f t="shared" si="4"/>
        <v/>
      </c>
      <c r="CQ12" s="236" t="str">
        <f>desired_skills(C12,"Systemen/Dell One Identity","o")</f>
        <v/>
      </c>
      <c r="CR12" s="237" t="str">
        <f>desired_skills(C12,"Systemen/Dell One Identity","j")</f>
        <v/>
      </c>
      <c r="CS12" s="237" t="str">
        <f>desired_skills(C12,"Systemen/Dell One Identity","m")</f>
        <v>8</v>
      </c>
      <c r="CT12" s="237" t="str">
        <f>desired_skills(C12,"Systemen/Dell One Identity","s")</f>
        <v/>
      </c>
      <c r="CU12" s="238" t="str">
        <f>desired_skills(C12,"Systemen/Dell One Identity","e")</f>
        <v/>
      </c>
      <c r="CW12" s="236" t="str">
        <f>calc_gap('Matrix 171007_1806'!$CK$12,'Matrix 171007_1806'!$CQ$12)</f>
        <v/>
      </c>
      <c r="CX12" s="237" t="str">
        <f>calc_gap('Matrix 171007_1806'!$CL$12,'Matrix 171007_1806'!$CR$12)</f>
        <v/>
      </c>
      <c r="CY12" s="237" t="str">
        <f>calc_gap('Matrix 171007_1806'!$CM$12,'Matrix 171007_1806'!$CS$12)</f>
        <v>7</v>
      </c>
      <c r="CZ12" s="237" t="str">
        <f>calc_gap('Matrix 171007_1806'!$CN$12,'Matrix 171007_1806'!$CT$12)</f>
        <v/>
      </c>
      <c r="DA12" s="238" t="str">
        <f>calc_gap('Matrix 171007_1806'!$CO$12,'Matrix 171007_1806'!$CU$12)</f>
        <v/>
      </c>
    </row>
    <row r="13" spans="1:105" x14ac:dyDescent="0.25">
      <c r="B13" s="435"/>
      <c r="C13" s="291" t="s">
        <v>58</v>
      </c>
      <c r="D13" s="314"/>
      <c r="E13" s="315"/>
      <c r="F13" s="315"/>
      <c r="G13" s="315"/>
      <c r="H13" s="315"/>
      <c r="I13" s="315"/>
      <c r="J13" s="315"/>
      <c r="K13" s="316"/>
      <c r="L13" s="314"/>
      <c r="M13" s="315"/>
      <c r="N13" s="315"/>
      <c r="O13" s="316"/>
      <c r="P13" s="314"/>
      <c r="Q13" s="315"/>
      <c r="R13" s="315"/>
      <c r="S13" s="315"/>
      <c r="T13" s="315"/>
      <c r="U13" s="315"/>
      <c r="V13" s="315"/>
      <c r="W13" s="315"/>
      <c r="X13" s="315"/>
      <c r="Y13" s="315"/>
      <c r="Z13" s="315"/>
      <c r="AA13" s="315"/>
      <c r="AB13" s="315"/>
      <c r="AC13" s="315"/>
      <c r="AD13" s="315"/>
      <c r="AE13" s="315"/>
      <c r="AF13" s="315"/>
      <c r="AG13" s="315"/>
      <c r="AH13" s="315"/>
      <c r="AI13" s="316"/>
      <c r="AJ13" s="314"/>
      <c r="AK13" s="315"/>
      <c r="AL13" s="316"/>
      <c r="AM13" s="314"/>
      <c r="AN13" s="315"/>
      <c r="AO13" s="316"/>
      <c r="AP13" s="314"/>
      <c r="AQ13" s="315"/>
      <c r="AR13" s="315"/>
      <c r="AS13" s="315"/>
      <c r="AT13" s="316"/>
      <c r="AU13" s="314" t="s">
        <v>150</v>
      </c>
      <c r="AV13" s="315" t="s">
        <v>148</v>
      </c>
      <c r="AW13" s="315" t="s">
        <v>147</v>
      </c>
      <c r="AX13" s="315" t="s">
        <v>150</v>
      </c>
      <c r="AY13" s="315" t="s">
        <v>147</v>
      </c>
      <c r="AZ13" s="315"/>
      <c r="BA13" s="315"/>
      <c r="BB13" s="316" t="s">
        <v>147</v>
      </c>
      <c r="BC13" s="314" t="s">
        <v>150</v>
      </c>
      <c r="BD13" s="315" t="s">
        <v>147</v>
      </c>
      <c r="BE13" s="315"/>
      <c r="BF13" s="315"/>
      <c r="BG13" s="316"/>
      <c r="BH13" s="314"/>
      <c r="BI13" s="315"/>
      <c r="BJ13" s="316"/>
      <c r="BK13" s="314"/>
      <c r="BL13" s="315"/>
      <c r="BM13" s="315"/>
      <c r="BN13" s="316"/>
      <c r="BO13" s="314"/>
      <c r="BP13" s="315"/>
      <c r="BQ13" s="315" t="s">
        <v>147</v>
      </c>
      <c r="BR13" s="315"/>
      <c r="BS13" s="315"/>
      <c r="BT13" s="315"/>
      <c r="BU13" s="315" t="s">
        <v>148</v>
      </c>
      <c r="BV13" s="316"/>
      <c r="BW13" s="314"/>
      <c r="BX13" s="315"/>
      <c r="BY13" s="315" t="s">
        <v>150</v>
      </c>
      <c r="BZ13" s="315"/>
      <c r="CA13" s="315" t="s">
        <v>150</v>
      </c>
      <c r="CB13" s="316" t="s">
        <v>150</v>
      </c>
      <c r="CC13" s="314"/>
      <c r="CD13" s="315"/>
      <c r="CE13" s="316"/>
      <c r="CF13" s="314"/>
      <c r="CG13" s="315"/>
      <c r="CH13" s="315"/>
      <c r="CI13" s="317"/>
      <c r="CK13" s="236" t="str">
        <f t="shared" si="0"/>
        <v/>
      </c>
      <c r="CL13" s="237">
        <f t="shared" si="1"/>
        <v>5</v>
      </c>
      <c r="CM13" s="237">
        <f t="shared" si="2"/>
        <v>2</v>
      </c>
      <c r="CN13" s="237">
        <f t="shared" si="3"/>
        <v>6</v>
      </c>
      <c r="CO13" s="238" t="str">
        <f t="shared" si="4"/>
        <v/>
      </c>
      <c r="CQ13" s="236" t="str">
        <f>desired_skills(C13,"Systemen/RSA","o")</f>
        <v/>
      </c>
      <c r="CR13" s="237" t="str">
        <f>desired_skills(C13,"Systemen/RSA","j")</f>
        <v/>
      </c>
      <c r="CS13" s="237" t="str">
        <f>desired_skills(C13,"Systemen/RSA","m")</f>
        <v/>
      </c>
      <c r="CT13" s="237" t="str">
        <f>desired_skills(C13,"Systemen/RSA","s")</f>
        <v>9</v>
      </c>
      <c r="CU13" s="238" t="str">
        <f>desired_skills(C13,"Systemen/RSA","e")</f>
        <v/>
      </c>
      <c r="CW13" s="236" t="str">
        <f>calc_gap('Matrix 171007_1806'!$CK$13,'Matrix 171007_1806'!$CQ$13)</f>
        <v/>
      </c>
      <c r="CX13" s="237" t="str">
        <f>calc_gap('Matrix 171007_1806'!$CL$13,'Matrix 171007_1806'!$CR$13)</f>
        <v/>
      </c>
      <c r="CY13" s="237" t="str">
        <f>calc_gap('Matrix 171007_1806'!$CM$13,'Matrix 171007_1806'!$CS$13)</f>
        <v/>
      </c>
      <c r="CZ13" s="237" t="str">
        <f>calc_gap('Matrix 171007_1806'!$CN$13,'Matrix 171007_1806'!$CT$13)</f>
        <v>3</v>
      </c>
      <c r="DA13" s="238" t="str">
        <f>calc_gap('Matrix 171007_1806'!$CO$13,'Matrix 171007_1806'!$CU$13)</f>
        <v/>
      </c>
    </row>
    <row r="14" spans="1:105" x14ac:dyDescent="0.25">
      <c r="B14" s="435"/>
      <c r="C14" s="291" t="s">
        <v>59</v>
      </c>
      <c r="D14" s="314"/>
      <c r="E14" s="315"/>
      <c r="F14" s="315"/>
      <c r="G14" s="315"/>
      <c r="H14" s="315"/>
      <c r="I14" s="315"/>
      <c r="J14" s="315"/>
      <c r="K14" s="316"/>
      <c r="L14" s="314"/>
      <c r="M14" s="315"/>
      <c r="N14" s="315"/>
      <c r="O14" s="316"/>
      <c r="P14" s="314"/>
      <c r="Q14" s="315"/>
      <c r="R14" s="315"/>
      <c r="S14" s="315"/>
      <c r="T14" s="315"/>
      <c r="U14" s="315"/>
      <c r="V14" s="315"/>
      <c r="W14" s="315"/>
      <c r="X14" s="315"/>
      <c r="Y14" s="315"/>
      <c r="Z14" s="315"/>
      <c r="AA14" s="315"/>
      <c r="AB14" s="315"/>
      <c r="AC14" s="315"/>
      <c r="AD14" s="315"/>
      <c r="AE14" s="315"/>
      <c r="AF14" s="315"/>
      <c r="AG14" s="315"/>
      <c r="AH14" s="315"/>
      <c r="AI14" s="316"/>
      <c r="AJ14" s="314"/>
      <c r="AK14" s="315"/>
      <c r="AL14" s="316"/>
      <c r="AM14" s="314"/>
      <c r="AN14" s="315"/>
      <c r="AO14" s="316"/>
      <c r="AP14" s="314"/>
      <c r="AQ14" s="315"/>
      <c r="AR14" s="315"/>
      <c r="AS14" s="315"/>
      <c r="AT14" s="316"/>
      <c r="AU14" s="314" t="s">
        <v>150</v>
      </c>
      <c r="AV14" s="315" t="s">
        <v>150</v>
      </c>
      <c r="AW14" s="315" t="s">
        <v>149</v>
      </c>
      <c r="AX14" s="315" t="s">
        <v>148</v>
      </c>
      <c r="AY14" s="315" t="s">
        <v>147</v>
      </c>
      <c r="AZ14" s="315"/>
      <c r="BA14" s="315"/>
      <c r="BB14" s="316"/>
      <c r="BC14" s="314" t="s">
        <v>148</v>
      </c>
      <c r="BD14" s="315" t="s">
        <v>148</v>
      </c>
      <c r="BE14" s="315"/>
      <c r="BF14" s="315"/>
      <c r="BG14" s="316"/>
      <c r="BH14" s="314"/>
      <c r="BI14" s="315"/>
      <c r="BJ14" s="316"/>
      <c r="BK14" s="314"/>
      <c r="BL14" s="315"/>
      <c r="BM14" s="315"/>
      <c r="BN14" s="316"/>
      <c r="BO14" s="314" t="s">
        <v>150</v>
      </c>
      <c r="BP14" s="315" t="s">
        <v>150</v>
      </c>
      <c r="BQ14" s="315" t="s">
        <v>150</v>
      </c>
      <c r="BR14" s="315"/>
      <c r="BS14" s="315" t="s">
        <v>148</v>
      </c>
      <c r="BT14" s="315" t="s">
        <v>47</v>
      </c>
      <c r="BU14" s="315" t="s">
        <v>148</v>
      </c>
      <c r="BV14" s="316"/>
      <c r="BW14" s="314" t="s">
        <v>150</v>
      </c>
      <c r="BX14" s="315"/>
      <c r="BY14" s="315" t="s">
        <v>150</v>
      </c>
      <c r="BZ14" s="315" t="s">
        <v>150</v>
      </c>
      <c r="CA14" s="315" t="s">
        <v>150</v>
      </c>
      <c r="CB14" s="316" t="s">
        <v>150</v>
      </c>
      <c r="CC14" s="314"/>
      <c r="CD14" s="315"/>
      <c r="CE14" s="316"/>
      <c r="CF14" s="314"/>
      <c r="CG14" s="315"/>
      <c r="CH14" s="315"/>
      <c r="CI14" s="317"/>
      <c r="CK14" s="236">
        <f t="shared" si="0"/>
        <v>1</v>
      </c>
      <c r="CL14" s="237">
        <f t="shared" si="1"/>
        <v>1</v>
      </c>
      <c r="CM14" s="237">
        <f t="shared" si="2"/>
        <v>5</v>
      </c>
      <c r="CN14" s="237">
        <f t="shared" si="3"/>
        <v>10</v>
      </c>
      <c r="CO14" s="238">
        <f t="shared" si="4"/>
        <v>1</v>
      </c>
      <c r="CQ14" s="236" t="str">
        <f>desired_skills(C14,"Systemen/RWA","o")</f>
        <v/>
      </c>
      <c r="CR14" s="237" t="str">
        <f>desired_skills(C14,"Systemen/RWA","j")</f>
        <v/>
      </c>
      <c r="CS14" s="237" t="str">
        <f>desired_skills(C14,"Systemen/RWA","m")</f>
        <v/>
      </c>
      <c r="CT14" s="237" t="str">
        <f>desired_skills(C14,"Systemen/RWA","s")</f>
        <v/>
      </c>
      <c r="CU14" s="238" t="str">
        <f>desired_skills(C14,"Systemen/RWA","e")</f>
        <v>10</v>
      </c>
      <c r="CW14" s="236" t="str">
        <f>calc_gap('Matrix 171007_1806'!$CK$14,'Matrix 171007_1806'!$CQ$14)</f>
        <v/>
      </c>
      <c r="CX14" s="237" t="str">
        <f>calc_gap('Matrix 171007_1806'!$CL$14,'Matrix 171007_1806'!$CR$14)</f>
        <v/>
      </c>
      <c r="CY14" s="237" t="str">
        <f>calc_gap('Matrix 171007_1806'!$CM$14,'Matrix 171007_1806'!$CS$14)</f>
        <v/>
      </c>
      <c r="CZ14" s="237" t="str">
        <f>calc_gap('Matrix 171007_1806'!$CN$14,'Matrix 171007_1806'!$CT$14)</f>
        <v/>
      </c>
      <c r="DA14" s="238" t="str">
        <f>calc_gap('Matrix 171007_1806'!$CO$14,'Matrix 171007_1806'!$CU$14)</f>
        <v>9</v>
      </c>
    </row>
    <row r="15" spans="1:105" x14ac:dyDescent="0.25">
      <c r="B15" s="435"/>
      <c r="C15" s="291" t="s">
        <v>60</v>
      </c>
      <c r="D15" s="314"/>
      <c r="E15" s="315"/>
      <c r="F15" s="315"/>
      <c r="G15" s="315"/>
      <c r="H15" s="315"/>
      <c r="I15" s="315"/>
      <c r="J15" s="315"/>
      <c r="K15" s="316"/>
      <c r="L15" s="314"/>
      <c r="M15" s="315"/>
      <c r="N15" s="315"/>
      <c r="O15" s="316"/>
      <c r="P15" s="314"/>
      <c r="Q15" s="315"/>
      <c r="R15" s="315"/>
      <c r="S15" s="315"/>
      <c r="T15" s="315"/>
      <c r="U15" s="315"/>
      <c r="V15" s="315"/>
      <c r="W15" s="315"/>
      <c r="X15" s="315"/>
      <c r="Y15" s="315"/>
      <c r="Z15" s="315"/>
      <c r="AA15" s="315"/>
      <c r="AB15" s="315"/>
      <c r="AC15" s="315"/>
      <c r="AD15" s="315"/>
      <c r="AE15" s="315"/>
      <c r="AF15" s="315"/>
      <c r="AG15" s="315"/>
      <c r="AH15" s="315"/>
      <c r="AI15" s="316"/>
      <c r="AJ15" s="314"/>
      <c r="AK15" s="315"/>
      <c r="AL15" s="316"/>
      <c r="AM15" s="314"/>
      <c r="AN15" s="315"/>
      <c r="AO15" s="316"/>
      <c r="AP15" s="314"/>
      <c r="AQ15" s="315"/>
      <c r="AR15" s="315"/>
      <c r="AS15" s="315"/>
      <c r="AT15" s="316"/>
      <c r="AU15" s="314" t="s">
        <v>150</v>
      </c>
      <c r="AV15" s="315" t="s">
        <v>148</v>
      </c>
      <c r="AW15" s="315" t="s">
        <v>148</v>
      </c>
      <c r="AX15" s="315" t="s">
        <v>148</v>
      </c>
      <c r="AY15" s="315" t="s">
        <v>148</v>
      </c>
      <c r="AZ15" s="315"/>
      <c r="BA15" s="315"/>
      <c r="BB15" s="316" t="s">
        <v>147</v>
      </c>
      <c r="BC15" s="314" t="s">
        <v>150</v>
      </c>
      <c r="BD15" s="315" t="s">
        <v>148</v>
      </c>
      <c r="BE15" s="315"/>
      <c r="BF15" s="315"/>
      <c r="BG15" s="316"/>
      <c r="BH15" s="314"/>
      <c r="BI15" s="315"/>
      <c r="BJ15" s="316"/>
      <c r="BK15" s="314"/>
      <c r="BL15" s="315"/>
      <c r="BM15" s="315"/>
      <c r="BN15" s="316"/>
      <c r="BO15" s="314" t="s">
        <v>148</v>
      </c>
      <c r="BP15" s="315"/>
      <c r="BQ15" s="315" t="s">
        <v>150</v>
      </c>
      <c r="BR15" s="315"/>
      <c r="BS15" s="315" t="s">
        <v>147</v>
      </c>
      <c r="BT15" s="315" t="s">
        <v>150</v>
      </c>
      <c r="BU15" s="315" t="s">
        <v>150</v>
      </c>
      <c r="BV15" s="316"/>
      <c r="BW15" s="314" t="s">
        <v>150</v>
      </c>
      <c r="BX15" s="315"/>
      <c r="BY15" s="315" t="s">
        <v>150</v>
      </c>
      <c r="BZ15" s="315" t="s">
        <v>150</v>
      </c>
      <c r="CA15" s="315" t="s">
        <v>150</v>
      </c>
      <c r="CB15" s="316" t="s">
        <v>150</v>
      </c>
      <c r="CC15" s="314"/>
      <c r="CD15" s="315"/>
      <c r="CE15" s="316"/>
      <c r="CF15" s="314"/>
      <c r="CG15" s="315"/>
      <c r="CH15" s="315"/>
      <c r="CI15" s="317"/>
      <c r="CK15" s="236" t="str">
        <f t="shared" si="0"/>
        <v/>
      </c>
      <c r="CL15" s="237">
        <f t="shared" si="1"/>
        <v>2</v>
      </c>
      <c r="CM15" s="237">
        <f t="shared" si="2"/>
        <v>6</v>
      </c>
      <c r="CN15" s="237">
        <f t="shared" si="3"/>
        <v>10</v>
      </c>
      <c r="CO15" s="238" t="str">
        <f t="shared" si="4"/>
        <v/>
      </c>
      <c r="CQ15" s="236" t="str">
        <f>desired_skills(C15,"Systemen/Integraal IAM landschap","o")</f>
        <v/>
      </c>
      <c r="CR15" s="237" t="str">
        <f>desired_skills(C15,"Systemen/Integraal IAM landschap","j")</f>
        <v/>
      </c>
      <c r="CS15" s="237" t="str">
        <f>desired_skills(C15,"Systemen/Integraal IAM landschap","m")</f>
        <v/>
      </c>
      <c r="CT15" s="237" t="str">
        <f>desired_skills(C15,"Systemen/Integraal IAM landschap","s")</f>
        <v/>
      </c>
      <c r="CU15" s="238" t="str">
        <f>desired_skills(C15,"Systemen/Integraal IAM landschap","e")</f>
        <v/>
      </c>
      <c r="CW15" s="236" t="str">
        <f>calc_gap('Matrix 171007_1806'!$CK$15,'Matrix 171007_1806'!$CQ$15)</f>
        <v/>
      </c>
      <c r="CX15" s="237" t="str">
        <f>calc_gap('Matrix 171007_1806'!$CL$15,'Matrix 171007_1806'!$CR$15)</f>
        <v/>
      </c>
      <c r="CY15" s="237" t="str">
        <f>calc_gap('Matrix 171007_1806'!$CM$15,'Matrix 171007_1806'!$CS$15)</f>
        <v/>
      </c>
      <c r="CZ15" s="237" t="str">
        <f>calc_gap('Matrix 171007_1806'!$CN$15,'Matrix 171007_1806'!$CT$15)</f>
        <v/>
      </c>
      <c r="DA15" s="238" t="str">
        <f>calc_gap('Matrix 171007_1806'!$CO$15,'Matrix 171007_1806'!$CU$15)</f>
        <v/>
      </c>
    </row>
    <row r="16" spans="1:105" ht="15.75" thickBot="1" x14ac:dyDescent="0.3">
      <c r="B16" s="435"/>
      <c r="C16" s="292" t="s">
        <v>61</v>
      </c>
      <c r="D16" s="318"/>
      <c r="E16" s="319"/>
      <c r="F16" s="319"/>
      <c r="G16" s="319"/>
      <c r="H16" s="319"/>
      <c r="I16" s="319"/>
      <c r="J16" s="319"/>
      <c r="K16" s="320"/>
      <c r="L16" s="318"/>
      <c r="M16" s="319"/>
      <c r="N16" s="319"/>
      <c r="O16" s="320"/>
      <c r="P16" s="318"/>
      <c r="Q16" s="319"/>
      <c r="R16" s="319"/>
      <c r="S16" s="319"/>
      <c r="T16" s="319"/>
      <c r="U16" s="319"/>
      <c r="V16" s="319"/>
      <c r="W16" s="319"/>
      <c r="X16" s="319"/>
      <c r="Y16" s="319"/>
      <c r="Z16" s="319"/>
      <c r="AA16" s="319"/>
      <c r="AB16" s="319"/>
      <c r="AC16" s="319"/>
      <c r="AD16" s="319"/>
      <c r="AE16" s="319"/>
      <c r="AF16" s="319"/>
      <c r="AG16" s="319"/>
      <c r="AH16" s="319"/>
      <c r="AI16" s="320"/>
      <c r="AJ16" s="318"/>
      <c r="AK16" s="319"/>
      <c r="AL16" s="320"/>
      <c r="AM16" s="318"/>
      <c r="AN16" s="319"/>
      <c r="AO16" s="320"/>
      <c r="AP16" s="318"/>
      <c r="AQ16" s="319"/>
      <c r="AR16" s="319"/>
      <c r="AS16" s="319"/>
      <c r="AT16" s="320"/>
      <c r="AU16" s="318" t="s">
        <v>147</v>
      </c>
      <c r="AV16" s="319" t="s">
        <v>147</v>
      </c>
      <c r="AW16" s="319" t="s">
        <v>147</v>
      </c>
      <c r="AX16" s="319" t="s">
        <v>147</v>
      </c>
      <c r="AY16" s="319" t="s">
        <v>147</v>
      </c>
      <c r="AZ16" s="319"/>
      <c r="BA16" s="319"/>
      <c r="BB16" s="320"/>
      <c r="BC16" s="318" t="s">
        <v>147</v>
      </c>
      <c r="BD16" s="319" t="s">
        <v>147</v>
      </c>
      <c r="BE16" s="319"/>
      <c r="BF16" s="319"/>
      <c r="BG16" s="320"/>
      <c r="BH16" s="318"/>
      <c r="BI16" s="319"/>
      <c r="BJ16" s="320"/>
      <c r="BK16" s="318" t="s">
        <v>148</v>
      </c>
      <c r="BL16" s="319"/>
      <c r="BM16" s="319"/>
      <c r="BN16" s="320"/>
      <c r="BO16" s="318" t="s">
        <v>148</v>
      </c>
      <c r="BP16" s="319" t="s">
        <v>150</v>
      </c>
      <c r="BQ16" s="319" t="s">
        <v>150</v>
      </c>
      <c r="BR16" s="319"/>
      <c r="BS16" s="319" t="s">
        <v>147</v>
      </c>
      <c r="BT16" s="319" t="s">
        <v>148</v>
      </c>
      <c r="BU16" s="319" t="s">
        <v>148</v>
      </c>
      <c r="BV16" s="320"/>
      <c r="BW16" s="318" t="s">
        <v>150</v>
      </c>
      <c r="BX16" s="319"/>
      <c r="BY16" s="319" t="s">
        <v>147</v>
      </c>
      <c r="BZ16" s="319" t="s">
        <v>150</v>
      </c>
      <c r="CA16" s="319" t="s">
        <v>147</v>
      </c>
      <c r="CB16" s="320" t="s">
        <v>147</v>
      </c>
      <c r="CC16" s="318"/>
      <c r="CD16" s="319"/>
      <c r="CE16" s="320"/>
      <c r="CF16" s="318"/>
      <c r="CG16" s="319"/>
      <c r="CH16" s="319"/>
      <c r="CI16" s="321"/>
      <c r="CK16" s="239" t="str">
        <f t="shared" si="0"/>
        <v/>
      </c>
      <c r="CL16" s="240">
        <f t="shared" si="1"/>
        <v>11</v>
      </c>
      <c r="CM16" s="240">
        <f t="shared" si="2"/>
        <v>4</v>
      </c>
      <c r="CN16" s="240">
        <f t="shared" si="3"/>
        <v>4</v>
      </c>
      <c r="CO16" s="241" t="str">
        <f t="shared" si="4"/>
        <v/>
      </c>
      <c r="CQ16" s="239" t="str">
        <f>desired_skills(C16,"Systemen/Disconnected applicaties","o")</f>
        <v/>
      </c>
      <c r="CR16" s="240" t="str">
        <f>desired_skills(C16,"Systemen/Disconnected applicaties","j")</f>
        <v/>
      </c>
      <c r="CS16" s="240" t="str">
        <f>desired_skills(C16,"Systemen/Disconnected applicaties","m")</f>
        <v/>
      </c>
      <c r="CT16" s="240" t="str">
        <f>desired_skills(C16,"Systemen/Disconnected applicaties","s")</f>
        <v/>
      </c>
      <c r="CU16" s="241" t="str">
        <f>desired_skills(C16,"Systemen/Disconnected applicaties","e")</f>
        <v/>
      </c>
      <c r="CW16" s="239" t="str">
        <f>calc_gap('Matrix 171007_1806'!$CK$16,'Matrix 171007_1806'!$CQ$16)</f>
        <v/>
      </c>
      <c r="CX16" s="240" t="str">
        <f>calc_gap('Matrix 171007_1806'!$CL$16,'Matrix 171007_1806'!$CR$16)</f>
        <v/>
      </c>
      <c r="CY16" s="240" t="str">
        <f>calc_gap('Matrix 171007_1806'!$CM$16,'Matrix 171007_1806'!$CS$16)</f>
        <v/>
      </c>
      <c r="CZ16" s="240" t="str">
        <f>calc_gap('Matrix 171007_1806'!$CN$16,'Matrix 171007_1806'!$CT$16)</f>
        <v/>
      </c>
      <c r="DA16" s="241" t="str">
        <f>calc_gap('Matrix 171007_1806'!$CO$16,'Matrix 171007_1806'!$CU$16)</f>
        <v/>
      </c>
    </row>
    <row r="17" spans="2:105" ht="12.75" customHeight="1" thickTop="1" thickBot="1" x14ac:dyDescent="0.3">
      <c r="B17" s="436"/>
      <c r="C17" s="248"/>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2"/>
      <c r="AY17" s="322"/>
      <c r="AZ17" s="322"/>
      <c r="BA17" s="322"/>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c r="BY17" s="322"/>
      <c r="BZ17" s="322"/>
      <c r="CA17" s="322"/>
      <c r="CB17" s="322"/>
      <c r="CC17" s="322"/>
      <c r="CD17" s="322"/>
      <c r="CE17" s="322"/>
      <c r="CF17" s="322"/>
      <c r="CG17" s="322"/>
      <c r="CH17" s="322"/>
      <c r="CI17" s="322"/>
      <c r="CK17" s="249"/>
      <c r="CL17" s="249"/>
      <c r="CM17" s="249"/>
      <c r="CN17" s="249"/>
      <c r="CO17" s="249"/>
      <c r="CQ17" s="249"/>
      <c r="CR17" s="249"/>
      <c r="CS17" s="249"/>
      <c r="CT17" s="249"/>
      <c r="CU17" s="249"/>
      <c r="CW17" s="249"/>
      <c r="CX17" s="249"/>
      <c r="CY17" s="249"/>
      <c r="CZ17" s="249"/>
      <c r="DA17" s="249"/>
    </row>
    <row r="18" spans="2:105" ht="15.75" thickTop="1" x14ac:dyDescent="0.25">
      <c r="B18" s="434" t="s">
        <v>62</v>
      </c>
      <c r="C18" s="290" t="s">
        <v>63</v>
      </c>
      <c r="D18" s="310"/>
      <c r="E18" s="311"/>
      <c r="F18" s="311"/>
      <c r="G18" s="311"/>
      <c r="H18" s="311"/>
      <c r="I18" s="311"/>
      <c r="J18" s="311"/>
      <c r="K18" s="312"/>
      <c r="L18" s="310"/>
      <c r="M18" s="311"/>
      <c r="N18" s="311"/>
      <c r="O18" s="312"/>
      <c r="P18" s="310"/>
      <c r="Q18" s="311"/>
      <c r="R18" s="311"/>
      <c r="S18" s="311"/>
      <c r="T18" s="311"/>
      <c r="U18" s="311"/>
      <c r="V18" s="311"/>
      <c r="W18" s="311"/>
      <c r="X18" s="311"/>
      <c r="Y18" s="311"/>
      <c r="Z18" s="311"/>
      <c r="AA18" s="311"/>
      <c r="AB18" s="311"/>
      <c r="AC18" s="311"/>
      <c r="AD18" s="311"/>
      <c r="AE18" s="311"/>
      <c r="AF18" s="311"/>
      <c r="AG18" s="311"/>
      <c r="AH18" s="311"/>
      <c r="AI18" s="312"/>
      <c r="AJ18" s="310"/>
      <c r="AK18" s="311"/>
      <c r="AL18" s="312"/>
      <c r="AM18" s="310"/>
      <c r="AN18" s="311"/>
      <c r="AO18" s="312"/>
      <c r="AP18" s="310"/>
      <c r="AQ18" s="311"/>
      <c r="AR18" s="311"/>
      <c r="AS18" s="311"/>
      <c r="AT18" s="312"/>
      <c r="AU18" s="310" t="s">
        <v>148</v>
      </c>
      <c r="AV18" s="311" t="s">
        <v>150</v>
      </c>
      <c r="AW18" s="311" t="s">
        <v>150</v>
      </c>
      <c r="AX18" s="311" t="s">
        <v>47</v>
      </c>
      <c r="AY18" s="311" t="s">
        <v>47</v>
      </c>
      <c r="AZ18" s="311" t="s">
        <v>148</v>
      </c>
      <c r="BA18" s="311" t="s">
        <v>150</v>
      </c>
      <c r="BB18" s="312" t="s">
        <v>150</v>
      </c>
      <c r="BC18" s="310" t="s">
        <v>148</v>
      </c>
      <c r="BD18" s="311" t="s">
        <v>148</v>
      </c>
      <c r="BE18" s="311"/>
      <c r="BF18" s="311" t="s">
        <v>147</v>
      </c>
      <c r="BG18" s="312"/>
      <c r="BH18" s="310"/>
      <c r="BI18" s="311" t="s">
        <v>148</v>
      </c>
      <c r="BJ18" s="312"/>
      <c r="BK18" s="310" t="s">
        <v>147</v>
      </c>
      <c r="BL18" s="311" t="s">
        <v>148</v>
      </c>
      <c r="BM18" s="311"/>
      <c r="BN18" s="312" t="s">
        <v>149</v>
      </c>
      <c r="BO18" s="310" t="s">
        <v>148</v>
      </c>
      <c r="BP18" s="311"/>
      <c r="BQ18" s="311" t="s">
        <v>148</v>
      </c>
      <c r="BR18" s="311"/>
      <c r="BS18" s="311" t="s">
        <v>149</v>
      </c>
      <c r="BT18" s="311" t="s">
        <v>148</v>
      </c>
      <c r="BU18" s="311" t="s">
        <v>148</v>
      </c>
      <c r="BV18" s="312"/>
      <c r="BW18" s="310" t="s">
        <v>148</v>
      </c>
      <c r="BX18" s="311" t="s">
        <v>148</v>
      </c>
      <c r="BY18" s="311" t="s">
        <v>148</v>
      </c>
      <c r="BZ18" s="311" t="s">
        <v>148</v>
      </c>
      <c r="CA18" s="311" t="s">
        <v>47</v>
      </c>
      <c r="CB18" s="312" t="s">
        <v>150</v>
      </c>
      <c r="CC18" s="310"/>
      <c r="CD18" s="311" t="s">
        <v>148</v>
      </c>
      <c r="CE18" s="312"/>
      <c r="CF18" s="310"/>
      <c r="CG18" s="311"/>
      <c r="CH18" s="311"/>
      <c r="CI18" s="313"/>
      <c r="CK18" s="233">
        <f t="shared" ref="CK18:CK26" si="5">IF(COUNTIF(D18:CI18,"o")&gt;0,COUNTIF(D18:CI18,"o"),"")</f>
        <v>2</v>
      </c>
      <c r="CL18" s="234">
        <f t="shared" ref="CL18:CL26" si="6">IF(COUNTIF(D18:CI18,"j")&gt;0,COUNTIF(D18:CI18,"j"),"")</f>
        <v>2</v>
      </c>
      <c r="CM18" s="234">
        <f t="shared" ref="CM18:CM26" si="7">IF(COUNTIF(D18:CI18,"m")&gt;0,COUNTIF(D18:CI18,"m"),"")</f>
        <v>15</v>
      </c>
      <c r="CN18" s="234">
        <f t="shared" ref="CN18:CN26" si="8">IF(COUNTIF(D18:CI18,"s")&gt;0,COUNTIF(D18:CI18,"s"),"")</f>
        <v>5</v>
      </c>
      <c r="CO18" s="235">
        <f t="shared" ref="CO18:CO26" si="9">IF(COUNTIF(D18:CI18,"e")&gt;0,COUNTIF(D18:CI18,"e"),"")</f>
        <v>3</v>
      </c>
      <c r="CQ18" s="233" t="str">
        <f>desired_skills(C18,"Specifieke Risico / IAM-kennis/IAM beleid","o")</f>
        <v>11</v>
      </c>
      <c r="CR18" s="234" t="str">
        <f>desired_skills(C18,"Specifieke Risico / IAM-kennis/IAM beleid","j")</f>
        <v/>
      </c>
      <c r="CS18" s="234" t="str">
        <f>desired_skills(C18,"Specifieke Risico / IAM-kennis/IAM beleid","m")</f>
        <v/>
      </c>
      <c r="CT18" s="234" t="str">
        <f>desired_skills(C18,"Specifieke Risico / IAM-kennis/IAM beleid","s")</f>
        <v/>
      </c>
      <c r="CU18" s="235" t="str">
        <f>desired_skills(C18,"Specifieke Risico / IAM-kennis/IAM beleid","e")</f>
        <v/>
      </c>
      <c r="CW18" s="233" t="str">
        <f>calc_gap('Matrix 171007_1806'!$CK$18,'Matrix 171007_1806'!$CQ$18)</f>
        <v>9</v>
      </c>
      <c r="CX18" s="234" t="str">
        <f>calc_gap('Matrix 171007_1806'!$CL$18,'Matrix 171007_1806'!$CR$18)</f>
        <v/>
      </c>
      <c r="CY18" s="234" t="str">
        <f>calc_gap('Matrix 171007_1806'!$CM$18,'Matrix 171007_1806'!$CS$18)</f>
        <v/>
      </c>
      <c r="CZ18" s="234" t="str">
        <f>calc_gap('Matrix 171007_1806'!$CN$18,'Matrix 171007_1806'!$CT$18)</f>
        <v/>
      </c>
      <c r="DA18" s="235" t="str">
        <f>calc_gap('Matrix 171007_1806'!$CO$18,'Matrix 171007_1806'!$CU$18)</f>
        <v/>
      </c>
    </row>
    <row r="19" spans="2:105" x14ac:dyDescent="0.25">
      <c r="B19" s="435"/>
      <c r="C19" s="291" t="s">
        <v>118</v>
      </c>
      <c r="D19" s="314"/>
      <c r="E19" s="315"/>
      <c r="F19" s="315"/>
      <c r="G19" s="315"/>
      <c r="H19" s="315"/>
      <c r="I19" s="315"/>
      <c r="J19" s="315"/>
      <c r="K19" s="316"/>
      <c r="L19" s="314"/>
      <c r="M19" s="315"/>
      <c r="N19" s="315"/>
      <c r="O19" s="316"/>
      <c r="P19" s="314"/>
      <c r="Q19" s="315"/>
      <c r="R19" s="315"/>
      <c r="S19" s="315"/>
      <c r="T19" s="315"/>
      <c r="U19" s="315"/>
      <c r="V19" s="315"/>
      <c r="W19" s="315"/>
      <c r="X19" s="315"/>
      <c r="Y19" s="315"/>
      <c r="Z19" s="315"/>
      <c r="AA19" s="315"/>
      <c r="AB19" s="315"/>
      <c r="AC19" s="315"/>
      <c r="AD19" s="315"/>
      <c r="AE19" s="315"/>
      <c r="AF19" s="315"/>
      <c r="AG19" s="315"/>
      <c r="AH19" s="315"/>
      <c r="AI19" s="316"/>
      <c r="AJ19" s="314"/>
      <c r="AK19" s="315"/>
      <c r="AL19" s="316"/>
      <c r="AM19" s="314"/>
      <c r="AN19" s="315"/>
      <c r="AO19" s="316"/>
      <c r="AP19" s="314"/>
      <c r="AQ19" s="315"/>
      <c r="AR19" s="315"/>
      <c r="AS19" s="315"/>
      <c r="AT19" s="316"/>
      <c r="AU19" s="314" t="s">
        <v>148</v>
      </c>
      <c r="AV19" s="315" t="s">
        <v>150</v>
      </c>
      <c r="AW19" s="315" t="s">
        <v>150</v>
      </c>
      <c r="AX19" s="315" t="s">
        <v>47</v>
      </c>
      <c r="AY19" s="315" t="s">
        <v>150</v>
      </c>
      <c r="AZ19" s="315" t="s">
        <v>147</v>
      </c>
      <c r="BA19" s="315" t="s">
        <v>150</v>
      </c>
      <c r="BB19" s="316" t="s">
        <v>150</v>
      </c>
      <c r="BC19" s="314" t="s">
        <v>148</v>
      </c>
      <c r="BD19" s="315" t="s">
        <v>148</v>
      </c>
      <c r="BE19" s="315"/>
      <c r="BF19" s="315" t="s">
        <v>148</v>
      </c>
      <c r="BG19" s="316"/>
      <c r="BH19" s="314"/>
      <c r="BI19" s="315" t="s">
        <v>148</v>
      </c>
      <c r="BJ19" s="316"/>
      <c r="BK19" s="314" t="s">
        <v>148</v>
      </c>
      <c r="BL19" s="315" t="s">
        <v>148</v>
      </c>
      <c r="BM19" s="315"/>
      <c r="BN19" s="316" t="s">
        <v>149</v>
      </c>
      <c r="BO19" s="314" t="s">
        <v>148</v>
      </c>
      <c r="BP19" s="315"/>
      <c r="BQ19" s="315" t="s">
        <v>148</v>
      </c>
      <c r="BR19" s="315"/>
      <c r="BS19" s="315" t="s">
        <v>149</v>
      </c>
      <c r="BT19" s="315" t="s">
        <v>148</v>
      </c>
      <c r="BU19" s="315" t="s">
        <v>150</v>
      </c>
      <c r="BV19" s="316"/>
      <c r="BW19" s="314" t="s">
        <v>47</v>
      </c>
      <c r="BX19" s="315" t="s">
        <v>148</v>
      </c>
      <c r="BY19" s="315" t="s">
        <v>150</v>
      </c>
      <c r="BZ19" s="315" t="s">
        <v>47</v>
      </c>
      <c r="CA19" s="315" t="s">
        <v>150</v>
      </c>
      <c r="CB19" s="316" t="s">
        <v>150</v>
      </c>
      <c r="CC19" s="314"/>
      <c r="CD19" s="315" t="s">
        <v>150</v>
      </c>
      <c r="CE19" s="316"/>
      <c r="CF19" s="314"/>
      <c r="CG19" s="315"/>
      <c r="CH19" s="315"/>
      <c r="CI19" s="317"/>
      <c r="CK19" s="236">
        <f t="shared" si="5"/>
        <v>2</v>
      </c>
      <c r="CL19" s="237">
        <f t="shared" si="6"/>
        <v>1</v>
      </c>
      <c r="CM19" s="237">
        <f t="shared" si="7"/>
        <v>11</v>
      </c>
      <c r="CN19" s="237">
        <f t="shared" si="8"/>
        <v>10</v>
      </c>
      <c r="CO19" s="238">
        <f t="shared" si="9"/>
        <v>3</v>
      </c>
      <c r="CQ19" s="236" t="str">
        <f>desired_skills(C19,"Specifieke Risico / IAM-kennis/IAM Processen/procedures","o")</f>
        <v/>
      </c>
      <c r="CR19" s="237" t="str">
        <f>desired_skills(C19,"Specifieke Risico / IAM-kennis/IAM Processen/procedures","j")</f>
        <v>12</v>
      </c>
      <c r="CS19" s="237" t="str">
        <f>desired_skills(C19,"Specifieke Risico / IAM-kennis/IAM Processen/procedures","m")</f>
        <v/>
      </c>
      <c r="CT19" s="237" t="str">
        <f>desired_skills(C19,"Specifieke Risico / IAM-kennis/IAM Processen/procedures","s")</f>
        <v/>
      </c>
      <c r="CU19" s="238" t="str">
        <f>desired_skills(C19,"Specifieke Risico / IAM-kennis/IAM Processen/procedures","e")</f>
        <v/>
      </c>
      <c r="CW19" s="236" t="str">
        <f>calc_gap('Matrix 171007_1806'!$CK$19,'Matrix 171007_1806'!$CQ$19)</f>
        <v/>
      </c>
      <c r="CX19" s="237" t="str">
        <f>calc_gap('Matrix 171007_1806'!$CL$19,'Matrix 171007_1806'!$CR$19)</f>
        <v>11</v>
      </c>
      <c r="CY19" s="237" t="str">
        <f>calc_gap('Matrix 171007_1806'!$CM$19,'Matrix 171007_1806'!$CS$19)</f>
        <v/>
      </c>
      <c r="CZ19" s="237" t="str">
        <f>calc_gap('Matrix 171007_1806'!$CN$19,'Matrix 171007_1806'!$CT$19)</f>
        <v/>
      </c>
      <c r="DA19" s="238" t="str">
        <f>calc_gap('Matrix 171007_1806'!$CO$19,'Matrix 171007_1806'!$CU$19)</f>
        <v/>
      </c>
    </row>
    <row r="20" spans="2:105" x14ac:dyDescent="0.25">
      <c r="B20" s="435"/>
      <c r="C20" s="291" t="s">
        <v>64</v>
      </c>
      <c r="D20" s="314"/>
      <c r="E20" s="315"/>
      <c r="F20" s="315"/>
      <c r="G20" s="315"/>
      <c r="H20" s="315"/>
      <c r="I20" s="315"/>
      <c r="J20" s="315"/>
      <c r="K20" s="316"/>
      <c r="L20" s="314"/>
      <c r="M20" s="315"/>
      <c r="N20" s="315"/>
      <c r="O20" s="316"/>
      <c r="P20" s="314"/>
      <c r="Q20" s="315"/>
      <c r="R20" s="315"/>
      <c r="S20" s="315"/>
      <c r="T20" s="315"/>
      <c r="U20" s="315"/>
      <c r="V20" s="315"/>
      <c r="W20" s="315"/>
      <c r="X20" s="315"/>
      <c r="Y20" s="315"/>
      <c r="Z20" s="315"/>
      <c r="AA20" s="315"/>
      <c r="AB20" s="315"/>
      <c r="AC20" s="315"/>
      <c r="AD20" s="315"/>
      <c r="AE20" s="315"/>
      <c r="AF20" s="315"/>
      <c r="AG20" s="315"/>
      <c r="AH20" s="315"/>
      <c r="AI20" s="316"/>
      <c r="AJ20" s="314"/>
      <c r="AK20" s="315"/>
      <c r="AL20" s="316"/>
      <c r="AM20" s="314"/>
      <c r="AN20" s="315"/>
      <c r="AO20" s="316"/>
      <c r="AP20" s="314"/>
      <c r="AQ20" s="315"/>
      <c r="AR20" s="315"/>
      <c r="AS20" s="315"/>
      <c r="AT20" s="316"/>
      <c r="AU20" s="314" t="s">
        <v>150</v>
      </c>
      <c r="AV20" s="315" t="s">
        <v>150</v>
      </c>
      <c r="AW20" s="315" t="s">
        <v>150</v>
      </c>
      <c r="AX20" s="315" t="s">
        <v>47</v>
      </c>
      <c r="AY20" s="315" t="s">
        <v>47</v>
      </c>
      <c r="AZ20" s="315" t="s">
        <v>149</v>
      </c>
      <c r="BA20" s="315" t="s">
        <v>148</v>
      </c>
      <c r="BB20" s="316" t="s">
        <v>150</v>
      </c>
      <c r="BC20" s="314" t="s">
        <v>147</v>
      </c>
      <c r="BD20" s="315" t="s">
        <v>149</v>
      </c>
      <c r="BE20" s="315"/>
      <c r="BF20" s="315" t="s">
        <v>148</v>
      </c>
      <c r="BG20" s="316"/>
      <c r="BH20" s="314"/>
      <c r="BI20" s="315" t="s">
        <v>148</v>
      </c>
      <c r="BJ20" s="316"/>
      <c r="BK20" s="314" t="s">
        <v>147</v>
      </c>
      <c r="BL20" s="315"/>
      <c r="BM20" s="315"/>
      <c r="BN20" s="316"/>
      <c r="BO20" s="314" t="s">
        <v>147</v>
      </c>
      <c r="BP20" s="315"/>
      <c r="BQ20" s="315" t="s">
        <v>147</v>
      </c>
      <c r="BR20" s="315"/>
      <c r="BS20" s="315"/>
      <c r="BT20" s="315" t="s">
        <v>148</v>
      </c>
      <c r="BU20" s="315" t="s">
        <v>150</v>
      </c>
      <c r="BV20" s="316"/>
      <c r="BW20" s="314" t="s">
        <v>148</v>
      </c>
      <c r="BX20" s="315" t="s">
        <v>148</v>
      </c>
      <c r="BY20" s="315" t="s">
        <v>150</v>
      </c>
      <c r="BZ20" s="315"/>
      <c r="CA20" s="315" t="s">
        <v>150</v>
      </c>
      <c r="CB20" s="316" t="s">
        <v>47</v>
      </c>
      <c r="CC20" s="314"/>
      <c r="CD20" s="315" t="s">
        <v>148</v>
      </c>
      <c r="CE20" s="316"/>
      <c r="CF20" s="314"/>
      <c r="CG20" s="315"/>
      <c r="CH20" s="315"/>
      <c r="CI20" s="317"/>
      <c r="CK20" s="236">
        <f t="shared" si="5"/>
        <v>2</v>
      </c>
      <c r="CL20" s="237">
        <f t="shared" si="6"/>
        <v>4</v>
      </c>
      <c r="CM20" s="237">
        <f t="shared" si="7"/>
        <v>7</v>
      </c>
      <c r="CN20" s="237">
        <f t="shared" si="8"/>
        <v>7</v>
      </c>
      <c r="CO20" s="238">
        <f t="shared" si="9"/>
        <v>3</v>
      </c>
      <c r="CQ20" s="236" t="str">
        <f>desired_skills(C20,"Specifieke Risico / IAM-kennis/Key Control Framework","o")</f>
        <v/>
      </c>
      <c r="CR20" s="237" t="str">
        <f>desired_skills(C20,"Specifieke Risico / IAM-kennis/Key Control Framework","j")</f>
        <v/>
      </c>
      <c r="CS20" s="237" t="str">
        <f>desired_skills(C20,"Specifieke Risico / IAM-kennis/Key Control Framework","m")</f>
        <v>13</v>
      </c>
      <c r="CT20" s="237" t="str">
        <f>desired_skills(C20,"Specifieke Risico / IAM-kennis/Key Control Framework","s")</f>
        <v/>
      </c>
      <c r="CU20" s="238" t="str">
        <f>desired_skills(C20,"Specifieke Risico / IAM-kennis/Key Control Framework","e")</f>
        <v/>
      </c>
      <c r="CW20" s="236" t="str">
        <f>calc_gap('Matrix 171007_1806'!$CK$20,'Matrix 171007_1806'!$CQ$20)</f>
        <v/>
      </c>
      <c r="CX20" s="237" t="str">
        <f>calc_gap('Matrix 171007_1806'!$CL$20,'Matrix 171007_1806'!$CR$20)</f>
        <v/>
      </c>
      <c r="CY20" s="237" t="str">
        <f>calc_gap('Matrix 171007_1806'!$CM$20,'Matrix 171007_1806'!$CS$20)</f>
        <v>6</v>
      </c>
      <c r="CZ20" s="237" t="str">
        <f>calc_gap('Matrix 171007_1806'!$CN$20,'Matrix 171007_1806'!$CT$20)</f>
        <v/>
      </c>
      <c r="DA20" s="238" t="str">
        <f>calc_gap('Matrix 171007_1806'!$CO$20,'Matrix 171007_1806'!$CU$20)</f>
        <v/>
      </c>
    </row>
    <row r="21" spans="2:105" x14ac:dyDescent="0.25">
      <c r="B21" s="435"/>
      <c r="C21" s="291" t="s">
        <v>65</v>
      </c>
      <c r="D21" s="314"/>
      <c r="E21" s="315"/>
      <c r="F21" s="315"/>
      <c r="G21" s="315"/>
      <c r="H21" s="315"/>
      <c r="I21" s="315"/>
      <c r="J21" s="315"/>
      <c r="K21" s="316"/>
      <c r="L21" s="314"/>
      <c r="M21" s="315"/>
      <c r="N21" s="315"/>
      <c r="O21" s="316"/>
      <c r="P21" s="314"/>
      <c r="Q21" s="315"/>
      <c r="R21" s="315"/>
      <c r="S21" s="315"/>
      <c r="T21" s="315"/>
      <c r="U21" s="315"/>
      <c r="V21" s="315"/>
      <c r="W21" s="315"/>
      <c r="X21" s="315"/>
      <c r="Y21" s="315"/>
      <c r="Z21" s="315"/>
      <c r="AA21" s="315"/>
      <c r="AB21" s="315"/>
      <c r="AC21" s="315"/>
      <c r="AD21" s="315"/>
      <c r="AE21" s="315"/>
      <c r="AF21" s="315"/>
      <c r="AG21" s="315"/>
      <c r="AH21" s="315"/>
      <c r="AI21" s="316"/>
      <c r="AJ21" s="314"/>
      <c r="AK21" s="315"/>
      <c r="AL21" s="316"/>
      <c r="AM21" s="314"/>
      <c r="AN21" s="315"/>
      <c r="AO21" s="316"/>
      <c r="AP21" s="314"/>
      <c r="AQ21" s="315"/>
      <c r="AR21" s="315"/>
      <c r="AS21" s="315"/>
      <c r="AT21" s="316"/>
      <c r="AU21" s="314" t="s">
        <v>148</v>
      </c>
      <c r="AV21" s="315" t="s">
        <v>148</v>
      </c>
      <c r="AW21" s="315" t="s">
        <v>148</v>
      </c>
      <c r="AX21" s="315" t="s">
        <v>147</v>
      </c>
      <c r="AY21" s="315" t="s">
        <v>147</v>
      </c>
      <c r="AZ21" s="315"/>
      <c r="BA21" s="315" t="s">
        <v>147</v>
      </c>
      <c r="BB21" s="316" t="s">
        <v>147</v>
      </c>
      <c r="BC21" s="314" t="s">
        <v>147</v>
      </c>
      <c r="BD21" s="315" t="s">
        <v>149</v>
      </c>
      <c r="BE21" s="315"/>
      <c r="BF21" s="315" t="s">
        <v>147</v>
      </c>
      <c r="BG21" s="316"/>
      <c r="BH21" s="314"/>
      <c r="BI21" s="315"/>
      <c r="BJ21" s="316"/>
      <c r="BK21" s="314"/>
      <c r="BL21" s="315" t="s">
        <v>150</v>
      </c>
      <c r="BM21" s="315"/>
      <c r="BN21" s="316" t="s">
        <v>147</v>
      </c>
      <c r="BO21" s="314"/>
      <c r="BP21" s="315"/>
      <c r="BQ21" s="315" t="s">
        <v>148</v>
      </c>
      <c r="BR21" s="315"/>
      <c r="BS21" s="315" t="s">
        <v>147</v>
      </c>
      <c r="BT21" s="315" t="s">
        <v>148</v>
      </c>
      <c r="BU21" s="315" t="s">
        <v>150</v>
      </c>
      <c r="BV21" s="316"/>
      <c r="BW21" s="314" t="s">
        <v>47</v>
      </c>
      <c r="BX21" s="315"/>
      <c r="BY21" s="315" t="s">
        <v>147</v>
      </c>
      <c r="BZ21" s="315"/>
      <c r="CA21" s="315" t="s">
        <v>150</v>
      </c>
      <c r="CB21" s="316" t="s">
        <v>147</v>
      </c>
      <c r="CC21" s="314"/>
      <c r="CD21" s="315" t="s">
        <v>147</v>
      </c>
      <c r="CE21" s="316"/>
      <c r="CF21" s="314"/>
      <c r="CG21" s="315"/>
      <c r="CH21" s="315"/>
      <c r="CI21" s="317"/>
      <c r="CK21" s="236">
        <f t="shared" si="5"/>
        <v>1</v>
      </c>
      <c r="CL21" s="237">
        <f t="shared" si="6"/>
        <v>11</v>
      </c>
      <c r="CM21" s="237">
        <f t="shared" si="7"/>
        <v>5</v>
      </c>
      <c r="CN21" s="237">
        <f t="shared" si="8"/>
        <v>3</v>
      </c>
      <c r="CO21" s="238">
        <f t="shared" si="9"/>
        <v>1</v>
      </c>
      <c r="CQ21" s="236" t="str">
        <f>desired_skills(C21,"Specifieke Risico / IAM-kennis/IT Security","o")</f>
        <v/>
      </c>
      <c r="CR21" s="237" t="str">
        <f>desired_skills(C21,"Specifieke Risico / IAM-kennis/IT Security","j")</f>
        <v/>
      </c>
      <c r="CS21" s="237" t="str">
        <f>desired_skills(C21,"Specifieke Risico / IAM-kennis/IT Security","m")</f>
        <v/>
      </c>
      <c r="CT21" s="237" t="str">
        <f>desired_skills(C21,"Specifieke Risico / IAM-kennis/IT Security","s")</f>
        <v>14</v>
      </c>
      <c r="CU21" s="238" t="str">
        <f>desired_skills(C21,"Specifieke Risico / IAM-kennis/IT Security","e")</f>
        <v/>
      </c>
      <c r="CW21" s="236" t="str">
        <f>calc_gap('Matrix 171007_1806'!$CK$21,'Matrix 171007_1806'!$CQ$21)</f>
        <v/>
      </c>
      <c r="CX21" s="237" t="str">
        <f>calc_gap('Matrix 171007_1806'!$CL$21,'Matrix 171007_1806'!$CR$21)</f>
        <v/>
      </c>
      <c r="CY21" s="237" t="str">
        <f>calc_gap('Matrix 171007_1806'!$CM$21,'Matrix 171007_1806'!$CS$21)</f>
        <v/>
      </c>
      <c r="CZ21" s="237" t="str">
        <f>calc_gap('Matrix 171007_1806'!$CN$21,'Matrix 171007_1806'!$CT$21)</f>
        <v>11</v>
      </c>
      <c r="DA21" s="238" t="str">
        <f>calc_gap('Matrix 171007_1806'!$CO$21,'Matrix 171007_1806'!$CU$21)</f>
        <v/>
      </c>
    </row>
    <row r="22" spans="2:105" x14ac:dyDescent="0.25">
      <c r="B22" s="435"/>
      <c r="C22" s="291" t="s">
        <v>66</v>
      </c>
      <c r="D22" s="314"/>
      <c r="E22" s="315"/>
      <c r="F22" s="315"/>
      <c r="G22" s="315"/>
      <c r="H22" s="315"/>
      <c r="I22" s="315"/>
      <c r="J22" s="315"/>
      <c r="K22" s="316"/>
      <c r="L22" s="314"/>
      <c r="M22" s="315"/>
      <c r="N22" s="315"/>
      <c r="O22" s="316"/>
      <c r="P22" s="314"/>
      <c r="Q22" s="315"/>
      <c r="R22" s="315"/>
      <c r="S22" s="315"/>
      <c r="T22" s="315"/>
      <c r="U22" s="315"/>
      <c r="V22" s="315"/>
      <c r="W22" s="315"/>
      <c r="X22" s="315"/>
      <c r="Y22" s="315"/>
      <c r="Z22" s="315"/>
      <c r="AA22" s="315"/>
      <c r="AB22" s="315"/>
      <c r="AC22" s="315"/>
      <c r="AD22" s="315"/>
      <c r="AE22" s="315"/>
      <c r="AF22" s="315"/>
      <c r="AG22" s="315"/>
      <c r="AH22" s="315"/>
      <c r="AI22" s="316"/>
      <c r="AJ22" s="314"/>
      <c r="AK22" s="315"/>
      <c r="AL22" s="316"/>
      <c r="AM22" s="314"/>
      <c r="AN22" s="315"/>
      <c r="AO22" s="316"/>
      <c r="AP22" s="314"/>
      <c r="AQ22" s="315"/>
      <c r="AR22" s="315"/>
      <c r="AS22" s="315"/>
      <c r="AT22" s="316"/>
      <c r="AU22" s="314" t="s">
        <v>47</v>
      </c>
      <c r="AV22" s="315" t="s">
        <v>150</v>
      </c>
      <c r="AW22" s="315" t="s">
        <v>148</v>
      </c>
      <c r="AX22" s="315" t="s">
        <v>150</v>
      </c>
      <c r="AY22" s="315" t="s">
        <v>147</v>
      </c>
      <c r="AZ22" s="315" t="s">
        <v>147</v>
      </c>
      <c r="BA22" s="315" t="s">
        <v>147</v>
      </c>
      <c r="BB22" s="316" t="s">
        <v>148</v>
      </c>
      <c r="BC22" s="314" t="s">
        <v>148</v>
      </c>
      <c r="BD22" s="315" t="s">
        <v>147</v>
      </c>
      <c r="BE22" s="315"/>
      <c r="BF22" s="315" t="s">
        <v>147</v>
      </c>
      <c r="BG22" s="316"/>
      <c r="BH22" s="314"/>
      <c r="BI22" s="315"/>
      <c r="BJ22" s="316"/>
      <c r="BK22" s="314" t="s">
        <v>147</v>
      </c>
      <c r="BL22" s="315"/>
      <c r="BM22" s="315"/>
      <c r="BN22" s="316" t="s">
        <v>149</v>
      </c>
      <c r="BO22" s="314" t="s">
        <v>147</v>
      </c>
      <c r="BP22" s="315"/>
      <c r="BQ22" s="315" t="s">
        <v>147</v>
      </c>
      <c r="BR22" s="315"/>
      <c r="BS22" s="315"/>
      <c r="BT22" s="315" t="s">
        <v>147</v>
      </c>
      <c r="BU22" s="315" t="s">
        <v>150</v>
      </c>
      <c r="BV22" s="316"/>
      <c r="BW22" s="314" t="s">
        <v>148</v>
      </c>
      <c r="BX22" s="315"/>
      <c r="BY22" s="315" t="s">
        <v>150</v>
      </c>
      <c r="BZ22" s="315" t="s">
        <v>47</v>
      </c>
      <c r="CA22" s="315" t="s">
        <v>150</v>
      </c>
      <c r="CB22" s="316" t="s">
        <v>150</v>
      </c>
      <c r="CC22" s="314"/>
      <c r="CD22" s="315" t="s">
        <v>147</v>
      </c>
      <c r="CE22" s="316"/>
      <c r="CF22" s="314"/>
      <c r="CG22" s="315"/>
      <c r="CH22" s="315"/>
      <c r="CI22" s="317"/>
      <c r="CK22" s="236">
        <f t="shared" si="5"/>
        <v>1</v>
      </c>
      <c r="CL22" s="237">
        <f t="shared" si="6"/>
        <v>10</v>
      </c>
      <c r="CM22" s="237">
        <f t="shared" si="7"/>
        <v>4</v>
      </c>
      <c r="CN22" s="237">
        <f t="shared" si="8"/>
        <v>6</v>
      </c>
      <c r="CO22" s="238">
        <f t="shared" si="9"/>
        <v>2</v>
      </c>
      <c r="CQ22" s="236" t="str">
        <f>desired_skills(C22,"Specifieke Risico / IAM-kennis/Cross domain","o")</f>
        <v/>
      </c>
      <c r="CR22" s="237" t="str">
        <f>desired_skills(C22,"Specifieke Risico / IAM-kennis/Cross domain","j")</f>
        <v/>
      </c>
      <c r="CS22" s="237" t="str">
        <f>desired_skills(C22,"Specifieke Risico / IAM-kennis/Cross domain","m")</f>
        <v/>
      </c>
      <c r="CT22" s="237" t="str">
        <f>desired_skills(C22,"Specifieke Risico / IAM-kennis/Cross domain","s")</f>
        <v/>
      </c>
      <c r="CU22" s="238" t="str">
        <f>desired_skills(C22,"Specifieke Risico / IAM-kennis/Cross domain","e")</f>
        <v>15</v>
      </c>
      <c r="CW22" s="236" t="str">
        <f>calc_gap('Matrix 171007_1806'!$CK$22,'Matrix 171007_1806'!$CQ$22)</f>
        <v/>
      </c>
      <c r="CX22" s="237" t="str">
        <f>calc_gap('Matrix 171007_1806'!$CL$22,'Matrix 171007_1806'!$CR$22)</f>
        <v/>
      </c>
      <c r="CY22" s="237" t="str">
        <f>calc_gap('Matrix 171007_1806'!$CM$22,'Matrix 171007_1806'!$CS$22)</f>
        <v/>
      </c>
      <c r="CZ22" s="237" t="str">
        <f>calc_gap('Matrix 171007_1806'!$CN$22,'Matrix 171007_1806'!$CT$22)</f>
        <v/>
      </c>
      <c r="DA22" s="238" t="str">
        <f>calc_gap('Matrix 171007_1806'!$CO$22,'Matrix 171007_1806'!$CU$22)</f>
        <v>13</v>
      </c>
    </row>
    <row r="23" spans="2:105" x14ac:dyDescent="0.25">
      <c r="B23" s="435"/>
      <c r="C23" s="291" t="s">
        <v>67</v>
      </c>
      <c r="D23" s="314"/>
      <c r="E23" s="315"/>
      <c r="F23" s="315"/>
      <c r="G23" s="315"/>
      <c r="H23" s="315"/>
      <c r="I23" s="315"/>
      <c r="J23" s="315"/>
      <c r="K23" s="316"/>
      <c r="L23" s="314"/>
      <c r="M23" s="315"/>
      <c r="N23" s="315"/>
      <c r="O23" s="316"/>
      <c r="P23" s="314"/>
      <c r="Q23" s="315"/>
      <c r="R23" s="315"/>
      <c r="S23" s="315"/>
      <c r="T23" s="315"/>
      <c r="U23" s="315"/>
      <c r="V23" s="315"/>
      <c r="W23" s="315"/>
      <c r="X23" s="315"/>
      <c r="Y23" s="315"/>
      <c r="Z23" s="315"/>
      <c r="AA23" s="315"/>
      <c r="AB23" s="315"/>
      <c r="AC23" s="315"/>
      <c r="AD23" s="315"/>
      <c r="AE23" s="315"/>
      <c r="AF23" s="315"/>
      <c r="AG23" s="315"/>
      <c r="AH23" s="315"/>
      <c r="AI23" s="316"/>
      <c r="AJ23" s="314"/>
      <c r="AK23" s="315"/>
      <c r="AL23" s="316"/>
      <c r="AM23" s="314"/>
      <c r="AN23" s="315"/>
      <c r="AO23" s="316"/>
      <c r="AP23" s="314"/>
      <c r="AQ23" s="315"/>
      <c r="AR23" s="315"/>
      <c r="AS23" s="315"/>
      <c r="AT23" s="316"/>
      <c r="AU23" s="314" t="s">
        <v>148</v>
      </c>
      <c r="AV23" s="315" t="s">
        <v>148</v>
      </c>
      <c r="AW23" s="315" t="s">
        <v>148</v>
      </c>
      <c r="AX23" s="315" t="s">
        <v>148</v>
      </c>
      <c r="AY23" s="315" t="s">
        <v>150</v>
      </c>
      <c r="AZ23" s="315"/>
      <c r="BA23" s="315"/>
      <c r="BB23" s="316" t="s">
        <v>148</v>
      </c>
      <c r="BC23" s="314" t="s">
        <v>148</v>
      </c>
      <c r="BD23" s="315" t="s">
        <v>147</v>
      </c>
      <c r="BE23" s="315"/>
      <c r="BF23" s="315" t="s">
        <v>147</v>
      </c>
      <c r="BG23" s="316"/>
      <c r="BH23" s="314"/>
      <c r="BI23" s="315"/>
      <c r="BJ23" s="316"/>
      <c r="BK23" s="314"/>
      <c r="BL23" s="315"/>
      <c r="BM23" s="315"/>
      <c r="BN23" s="316"/>
      <c r="BO23" s="314"/>
      <c r="BP23" s="315"/>
      <c r="BQ23" s="315" t="s">
        <v>148</v>
      </c>
      <c r="BR23" s="315"/>
      <c r="BS23" s="315"/>
      <c r="BT23" s="315" t="s">
        <v>147</v>
      </c>
      <c r="BU23" s="315" t="s">
        <v>150</v>
      </c>
      <c r="BV23" s="316"/>
      <c r="BW23" s="314" t="s">
        <v>150</v>
      </c>
      <c r="BX23" s="315"/>
      <c r="BY23" s="315" t="s">
        <v>148</v>
      </c>
      <c r="BZ23" s="315" t="s">
        <v>150</v>
      </c>
      <c r="CA23" s="315" t="s">
        <v>150</v>
      </c>
      <c r="CB23" s="316" t="s">
        <v>148</v>
      </c>
      <c r="CC23" s="314"/>
      <c r="CD23" s="315" t="s">
        <v>147</v>
      </c>
      <c r="CE23" s="316"/>
      <c r="CF23" s="314"/>
      <c r="CG23" s="315"/>
      <c r="CH23" s="315"/>
      <c r="CI23" s="317"/>
      <c r="CK23" s="236" t="str">
        <f t="shared" si="5"/>
        <v/>
      </c>
      <c r="CL23" s="237">
        <f t="shared" si="6"/>
        <v>4</v>
      </c>
      <c r="CM23" s="237">
        <f t="shared" si="7"/>
        <v>9</v>
      </c>
      <c r="CN23" s="237">
        <f t="shared" si="8"/>
        <v>5</v>
      </c>
      <c r="CO23" s="238" t="str">
        <f t="shared" si="9"/>
        <v/>
      </c>
      <c r="CQ23" s="236" t="str">
        <f>desired_skills(C23,"Specifieke Risico / IAM-kennis/FSE's","o")</f>
        <v/>
      </c>
      <c r="CR23" s="237" t="str">
        <f>desired_skills(C23,"Specifieke Risico / IAM-kennis/FSE's","j")</f>
        <v/>
      </c>
      <c r="CS23" s="237" t="str">
        <f>desired_skills(C23,"Specifieke Risico / IAM-kennis/FSE's","m")</f>
        <v/>
      </c>
      <c r="CT23" s="237" t="str">
        <f>desired_skills(C23,"Specifieke Risico / IAM-kennis/FSE's","s")</f>
        <v/>
      </c>
      <c r="CU23" s="238" t="str">
        <f>desired_skills(C23,"Specifieke Risico / IAM-kennis/FSE's","e")</f>
        <v/>
      </c>
      <c r="CW23" s="236" t="str">
        <f>calc_gap('Matrix 171007_1806'!$CK$23,'Matrix 171007_1806'!$CQ$23)</f>
        <v/>
      </c>
      <c r="CX23" s="237" t="str">
        <f>calc_gap('Matrix 171007_1806'!$CL$23,'Matrix 171007_1806'!$CR$23)</f>
        <v/>
      </c>
      <c r="CY23" s="237" t="str">
        <f>calc_gap('Matrix 171007_1806'!$CM$23,'Matrix 171007_1806'!$CS$23)</f>
        <v/>
      </c>
      <c r="CZ23" s="237" t="str">
        <f>calc_gap('Matrix 171007_1806'!$CN$23,'Matrix 171007_1806'!$CT$23)</f>
        <v/>
      </c>
      <c r="DA23" s="238" t="str">
        <f>calc_gap('Matrix 171007_1806'!$CO$23,'Matrix 171007_1806'!$CU$23)</f>
        <v/>
      </c>
    </row>
    <row r="24" spans="2:105" x14ac:dyDescent="0.25">
      <c r="B24" s="435"/>
      <c r="C24" s="291" t="s">
        <v>68</v>
      </c>
      <c r="D24" s="314"/>
      <c r="E24" s="315"/>
      <c r="F24" s="315"/>
      <c r="G24" s="315"/>
      <c r="H24" s="315"/>
      <c r="I24" s="315"/>
      <c r="J24" s="315"/>
      <c r="K24" s="316"/>
      <c r="L24" s="314"/>
      <c r="M24" s="315"/>
      <c r="N24" s="315"/>
      <c r="O24" s="316"/>
      <c r="P24" s="314"/>
      <c r="Q24" s="315"/>
      <c r="R24" s="315"/>
      <c r="S24" s="315"/>
      <c r="T24" s="315"/>
      <c r="U24" s="315"/>
      <c r="V24" s="315"/>
      <c r="W24" s="315"/>
      <c r="X24" s="315"/>
      <c r="Y24" s="315"/>
      <c r="Z24" s="315"/>
      <c r="AA24" s="315"/>
      <c r="AB24" s="315"/>
      <c r="AC24" s="315"/>
      <c r="AD24" s="315"/>
      <c r="AE24" s="315"/>
      <c r="AF24" s="315"/>
      <c r="AG24" s="315"/>
      <c r="AH24" s="315"/>
      <c r="AI24" s="316"/>
      <c r="AJ24" s="314"/>
      <c r="AK24" s="315"/>
      <c r="AL24" s="316"/>
      <c r="AM24" s="314"/>
      <c r="AN24" s="315"/>
      <c r="AO24" s="316"/>
      <c r="AP24" s="314"/>
      <c r="AQ24" s="315"/>
      <c r="AR24" s="315"/>
      <c r="AS24" s="315"/>
      <c r="AT24" s="316"/>
      <c r="AU24" s="314" t="s">
        <v>148</v>
      </c>
      <c r="AV24" s="315" t="s">
        <v>148</v>
      </c>
      <c r="AW24" s="315" t="s">
        <v>150</v>
      </c>
      <c r="AX24" s="315" t="s">
        <v>47</v>
      </c>
      <c r="AY24" s="315" t="s">
        <v>150</v>
      </c>
      <c r="AZ24" s="315"/>
      <c r="BA24" s="315"/>
      <c r="BB24" s="316" t="s">
        <v>150</v>
      </c>
      <c r="BC24" s="314" t="s">
        <v>147</v>
      </c>
      <c r="BD24" s="315"/>
      <c r="BE24" s="315"/>
      <c r="BF24" s="315" t="s">
        <v>147</v>
      </c>
      <c r="BG24" s="316"/>
      <c r="BH24" s="314"/>
      <c r="BI24" s="315"/>
      <c r="BJ24" s="316"/>
      <c r="BK24" s="314" t="s">
        <v>150</v>
      </c>
      <c r="BL24" s="315" t="s">
        <v>147</v>
      </c>
      <c r="BM24" s="315"/>
      <c r="BN24" s="316" t="s">
        <v>149</v>
      </c>
      <c r="BO24" s="314" t="s">
        <v>148</v>
      </c>
      <c r="BP24" s="315" t="s">
        <v>47</v>
      </c>
      <c r="BQ24" s="315" t="s">
        <v>147</v>
      </c>
      <c r="BR24" s="315"/>
      <c r="BS24" s="315" t="s">
        <v>148</v>
      </c>
      <c r="BT24" s="315" t="s">
        <v>147</v>
      </c>
      <c r="BU24" s="315" t="s">
        <v>150</v>
      </c>
      <c r="BV24" s="316"/>
      <c r="BW24" s="314" t="s">
        <v>150</v>
      </c>
      <c r="BX24" s="315"/>
      <c r="BY24" s="315" t="s">
        <v>148</v>
      </c>
      <c r="BZ24" s="315" t="s">
        <v>47</v>
      </c>
      <c r="CA24" s="315" t="s">
        <v>148</v>
      </c>
      <c r="CB24" s="316" t="s">
        <v>148</v>
      </c>
      <c r="CC24" s="314"/>
      <c r="CD24" s="315" t="s">
        <v>148</v>
      </c>
      <c r="CE24" s="316"/>
      <c r="CF24" s="314"/>
      <c r="CG24" s="315"/>
      <c r="CH24" s="315"/>
      <c r="CI24" s="317"/>
      <c r="CK24" s="236">
        <f t="shared" si="5"/>
        <v>1</v>
      </c>
      <c r="CL24" s="237">
        <f t="shared" si="6"/>
        <v>5</v>
      </c>
      <c r="CM24" s="237">
        <f t="shared" si="7"/>
        <v>8</v>
      </c>
      <c r="CN24" s="237">
        <f t="shared" si="8"/>
        <v>6</v>
      </c>
      <c r="CO24" s="238">
        <f t="shared" si="9"/>
        <v>3</v>
      </c>
      <c r="CQ24" s="236" t="str">
        <f>desired_skills(C24,"Specifieke Risico / IAM-kennis/Toerusten","o")</f>
        <v/>
      </c>
      <c r="CR24" s="237" t="str">
        <f>desired_skills(C24,"Specifieke Risico / IAM-kennis/Toerusten","j")</f>
        <v/>
      </c>
      <c r="CS24" s="237" t="str">
        <f>desired_skills(C24,"Specifieke Risico / IAM-kennis/Toerusten","m")</f>
        <v/>
      </c>
      <c r="CT24" s="237" t="str">
        <f>desired_skills(C24,"Specifieke Risico / IAM-kennis/Toerusten","s")</f>
        <v/>
      </c>
      <c r="CU24" s="238" t="str">
        <f>desired_skills(C24,"Specifieke Risico / IAM-kennis/Toerusten","e")</f>
        <v/>
      </c>
      <c r="CW24" s="236" t="str">
        <f>calc_gap('Matrix 171007_1806'!$CK$24,'Matrix 171007_1806'!$CQ$24)</f>
        <v/>
      </c>
      <c r="CX24" s="237" t="str">
        <f>calc_gap('Matrix 171007_1806'!$CL$24,'Matrix 171007_1806'!$CR$24)</f>
        <v/>
      </c>
      <c r="CY24" s="237" t="str">
        <f>calc_gap('Matrix 171007_1806'!$CM$24,'Matrix 171007_1806'!$CS$24)</f>
        <v/>
      </c>
      <c r="CZ24" s="237" t="str">
        <f>calc_gap('Matrix 171007_1806'!$CN$24,'Matrix 171007_1806'!$CT$24)</f>
        <v/>
      </c>
      <c r="DA24" s="238" t="str">
        <f>calc_gap('Matrix 171007_1806'!$CO$24,'Matrix 171007_1806'!$CU$24)</f>
        <v/>
      </c>
    </row>
    <row r="25" spans="2:105" x14ac:dyDescent="0.25">
      <c r="B25" s="435"/>
      <c r="C25" s="291" t="s">
        <v>69</v>
      </c>
      <c r="D25" s="314"/>
      <c r="E25" s="315"/>
      <c r="F25" s="315"/>
      <c r="G25" s="315"/>
      <c r="H25" s="315"/>
      <c r="I25" s="315"/>
      <c r="J25" s="315"/>
      <c r="K25" s="316"/>
      <c r="L25" s="314"/>
      <c r="M25" s="315"/>
      <c r="N25" s="315"/>
      <c r="O25" s="316"/>
      <c r="P25" s="314"/>
      <c r="Q25" s="315"/>
      <c r="R25" s="315"/>
      <c r="S25" s="315"/>
      <c r="T25" s="315"/>
      <c r="U25" s="315"/>
      <c r="V25" s="315"/>
      <c r="W25" s="315"/>
      <c r="X25" s="315"/>
      <c r="Y25" s="315"/>
      <c r="Z25" s="315"/>
      <c r="AA25" s="315"/>
      <c r="AB25" s="315"/>
      <c r="AC25" s="315"/>
      <c r="AD25" s="315"/>
      <c r="AE25" s="315"/>
      <c r="AF25" s="315"/>
      <c r="AG25" s="315"/>
      <c r="AH25" s="315"/>
      <c r="AI25" s="316"/>
      <c r="AJ25" s="314"/>
      <c r="AK25" s="315"/>
      <c r="AL25" s="316"/>
      <c r="AM25" s="314"/>
      <c r="AN25" s="315"/>
      <c r="AO25" s="316"/>
      <c r="AP25" s="314"/>
      <c r="AQ25" s="315"/>
      <c r="AR25" s="315"/>
      <c r="AS25" s="315"/>
      <c r="AT25" s="316"/>
      <c r="AU25" s="314" t="s">
        <v>148</v>
      </c>
      <c r="AV25" s="315" t="s">
        <v>148</v>
      </c>
      <c r="AW25" s="315" t="s">
        <v>148</v>
      </c>
      <c r="AX25" s="315" t="s">
        <v>150</v>
      </c>
      <c r="AY25" s="315" t="s">
        <v>150</v>
      </c>
      <c r="AZ25" s="315"/>
      <c r="BA25" s="315"/>
      <c r="BB25" s="316" t="s">
        <v>148</v>
      </c>
      <c r="BC25" s="314" t="s">
        <v>147</v>
      </c>
      <c r="BD25" s="315"/>
      <c r="BE25" s="315"/>
      <c r="BF25" s="315" t="s">
        <v>147</v>
      </c>
      <c r="BG25" s="316"/>
      <c r="BH25" s="314"/>
      <c r="BI25" s="315"/>
      <c r="BJ25" s="316"/>
      <c r="BK25" s="314" t="s">
        <v>147</v>
      </c>
      <c r="BL25" s="315" t="s">
        <v>147</v>
      </c>
      <c r="BM25" s="315"/>
      <c r="BN25" s="316" t="s">
        <v>147</v>
      </c>
      <c r="BO25" s="314"/>
      <c r="BP25" s="315" t="s">
        <v>150</v>
      </c>
      <c r="BQ25" s="315" t="s">
        <v>147</v>
      </c>
      <c r="BR25" s="315"/>
      <c r="BS25" s="315"/>
      <c r="BT25" s="315" t="s">
        <v>147</v>
      </c>
      <c r="BU25" s="315" t="s">
        <v>150</v>
      </c>
      <c r="BV25" s="316"/>
      <c r="BW25" s="314" t="s">
        <v>148</v>
      </c>
      <c r="BX25" s="315"/>
      <c r="BY25" s="315" t="s">
        <v>147</v>
      </c>
      <c r="BZ25" s="315" t="s">
        <v>150</v>
      </c>
      <c r="CA25" s="315" t="s">
        <v>147</v>
      </c>
      <c r="CB25" s="316" t="s">
        <v>147</v>
      </c>
      <c r="CC25" s="314"/>
      <c r="CD25" s="315" t="s">
        <v>147</v>
      </c>
      <c r="CE25" s="316"/>
      <c r="CF25" s="314"/>
      <c r="CG25" s="315"/>
      <c r="CH25" s="315"/>
      <c r="CI25" s="317"/>
      <c r="CK25" s="236" t="str">
        <f t="shared" si="5"/>
        <v/>
      </c>
      <c r="CL25" s="237">
        <f t="shared" si="6"/>
        <v>11</v>
      </c>
      <c r="CM25" s="237">
        <f t="shared" si="7"/>
        <v>5</v>
      </c>
      <c r="CN25" s="237">
        <f t="shared" si="8"/>
        <v>5</v>
      </c>
      <c r="CO25" s="238" t="str">
        <f t="shared" si="9"/>
        <v/>
      </c>
      <c r="CQ25" s="236" t="str">
        <f>desired_skills(C25,"Specifieke Risico / IAM-kennis/Authenthiseren","o")</f>
        <v/>
      </c>
      <c r="CR25" s="237" t="str">
        <f>desired_skills(C25,"Specifieke Risico / IAM-kennis/Authenthiseren","j")</f>
        <v/>
      </c>
      <c r="CS25" s="237" t="str">
        <f>desired_skills(C25,"Specifieke Risico / IAM-kennis/Authenthiseren","m")</f>
        <v/>
      </c>
      <c r="CT25" s="237" t="str">
        <f>desired_skills(C25,"Specifieke Risico / IAM-kennis/Authenthiseren","s")</f>
        <v/>
      </c>
      <c r="CU25" s="238" t="str">
        <f>desired_skills(C25,"Specifieke Risico / IAM-kennis/Authenthiseren","e")</f>
        <v/>
      </c>
      <c r="CW25" s="236" t="str">
        <f>calc_gap('Matrix 171007_1806'!$CK$25,'Matrix 171007_1806'!$CQ$25)</f>
        <v/>
      </c>
      <c r="CX25" s="237" t="str">
        <f>calc_gap('Matrix 171007_1806'!$CL$25,'Matrix 171007_1806'!$CR$25)</f>
        <v/>
      </c>
      <c r="CY25" s="237" t="str">
        <f>calc_gap('Matrix 171007_1806'!$CM$25,'Matrix 171007_1806'!$CS$25)</f>
        <v/>
      </c>
      <c r="CZ25" s="237" t="str">
        <f>calc_gap('Matrix 171007_1806'!$CN$25,'Matrix 171007_1806'!$CT$25)</f>
        <v/>
      </c>
      <c r="DA25" s="238" t="str">
        <f>calc_gap('Matrix 171007_1806'!$CO$25,'Matrix 171007_1806'!$CU$25)</f>
        <v/>
      </c>
    </row>
    <row r="26" spans="2:105" ht="15.75" thickBot="1" x14ac:dyDescent="0.3">
      <c r="B26" s="435"/>
      <c r="C26" s="292" t="s">
        <v>75</v>
      </c>
      <c r="D26" s="318"/>
      <c r="E26" s="319"/>
      <c r="F26" s="319"/>
      <c r="G26" s="319"/>
      <c r="H26" s="319"/>
      <c r="I26" s="319"/>
      <c r="J26" s="319"/>
      <c r="K26" s="320"/>
      <c r="L26" s="318"/>
      <c r="M26" s="319"/>
      <c r="N26" s="319"/>
      <c r="O26" s="320"/>
      <c r="P26" s="318"/>
      <c r="Q26" s="319"/>
      <c r="R26" s="319"/>
      <c r="S26" s="319"/>
      <c r="T26" s="319"/>
      <c r="U26" s="319"/>
      <c r="V26" s="319"/>
      <c r="W26" s="319"/>
      <c r="X26" s="319"/>
      <c r="Y26" s="319"/>
      <c r="Z26" s="319"/>
      <c r="AA26" s="319"/>
      <c r="AB26" s="319"/>
      <c r="AC26" s="319"/>
      <c r="AD26" s="319"/>
      <c r="AE26" s="319"/>
      <c r="AF26" s="319"/>
      <c r="AG26" s="319"/>
      <c r="AH26" s="319"/>
      <c r="AI26" s="320"/>
      <c r="AJ26" s="318"/>
      <c r="AK26" s="319"/>
      <c r="AL26" s="320"/>
      <c r="AM26" s="318"/>
      <c r="AN26" s="319"/>
      <c r="AO26" s="320"/>
      <c r="AP26" s="318"/>
      <c r="AQ26" s="319"/>
      <c r="AR26" s="319"/>
      <c r="AS26" s="319"/>
      <c r="AT26" s="320"/>
      <c r="AU26" s="318" t="s">
        <v>148</v>
      </c>
      <c r="AV26" s="319" t="s">
        <v>47</v>
      </c>
      <c r="AW26" s="319" t="s">
        <v>150</v>
      </c>
      <c r="AX26" s="319" t="s">
        <v>150</v>
      </c>
      <c r="AY26" s="319" t="s">
        <v>150</v>
      </c>
      <c r="AZ26" s="319"/>
      <c r="BA26" s="319" t="s">
        <v>150</v>
      </c>
      <c r="BB26" s="320" t="s">
        <v>150</v>
      </c>
      <c r="BC26" s="318" t="s">
        <v>147</v>
      </c>
      <c r="BD26" s="319"/>
      <c r="BE26" s="319"/>
      <c r="BF26" s="319" t="s">
        <v>147</v>
      </c>
      <c r="BG26" s="320"/>
      <c r="BH26" s="318"/>
      <c r="BI26" s="319" t="s">
        <v>147</v>
      </c>
      <c r="BJ26" s="320"/>
      <c r="BK26" s="318" t="s">
        <v>148</v>
      </c>
      <c r="BL26" s="319" t="s">
        <v>148</v>
      </c>
      <c r="BM26" s="319"/>
      <c r="BN26" s="320" t="s">
        <v>147</v>
      </c>
      <c r="BO26" s="318" t="s">
        <v>150</v>
      </c>
      <c r="BP26" s="319"/>
      <c r="BQ26" s="319" t="s">
        <v>150</v>
      </c>
      <c r="BR26" s="319"/>
      <c r="BS26" s="319" t="s">
        <v>147</v>
      </c>
      <c r="BT26" s="319" t="s">
        <v>47</v>
      </c>
      <c r="BU26" s="319" t="s">
        <v>47</v>
      </c>
      <c r="BV26" s="320"/>
      <c r="BW26" s="318" t="s">
        <v>47</v>
      </c>
      <c r="BX26" s="319" t="s">
        <v>148</v>
      </c>
      <c r="BY26" s="319" t="s">
        <v>47</v>
      </c>
      <c r="BZ26" s="319" t="s">
        <v>150</v>
      </c>
      <c r="CA26" s="319" t="s">
        <v>47</v>
      </c>
      <c r="CB26" s="320" t="s">
        <v>47</v>
      </c>
      <c r="CC26" s="318"/>
      <c r="CD26" s="319" t="s">
        <v>148</v>
      </c>
      <c r="CE26" s="320"/>
      <c r="CF26" s="318"/>
      <c r="CG26" s="319"/>
      <c r="CH26" s="319"/>
      <c r="CI26" s="321"/>
      <c r="CK26" s="239" t="str">
        <f t="shared" si="5"/>
        <v/>
      </c>
      <c r="CL26" s="240">
        <f t="shared" si="6"/>
        <v>5</v>
      </c>
      <c r="CM26" s="240">
        <f t="shared" si="7"/>
        <v>5</v>
      </c>
      <c r="CN26" s="240">
        <f t="shared" si="8"/>
        <v>8</v>
      </c>
      <c r="CO26" s="241">
        <f t="shared" si="9"/>
        <v>7</v>
      </c>
      <c r="CQ26" s="239" t="str">
        <f>desired_skills(C26,"Specifieke Risico / IAM-kennis/Rolmodellen (RBAC)","o")</f>
        <v/>
      </c>
      <c r="CR26" s="240" t="str">
        <f>desired_skills(C26,"Specifieke Risico / IAM-kennis/Rolmodellen (RBAC)","j")</f>
        <v/>
      </c>
      <c r="CS26" s="240" t="str">
        <f>desired_skills(C26,"Specifieke Risico / IAM-kennis/Rolmodellen (RBAC)","m")</f>
        <v/>
      </c>
      <c r="CT26" s="240" t="str">
        <f>desired_skills(C26,"Specifieke Risico / IAM-kennis/Rolmodellen (RBAC)","s")</f>
        <v/>
      </c>
      <c r="CU26" s="241" t="str">
        <f>desired_skills(C26,"Specifieke Risico / IAM-kennis/Rolmodellen (RBAC)","e")</f>
        <v/>
      </c>
      <c r="CW26" s="239" t="str">
        <f>calc_gap('Matrix 171007_1806'!$CK$26,'Matrix 171007_1806'!$CQ$26)</f>
        <v/>
      </c>
      <c r="CX26" s="240" t="str">
        <f>calc_gap('Matrix 171007_1806'!$CL$26,'Matrix 171007_1806'!$CR$26)</f>
        <v/>
      </c>
      <c r="CY26" s="240" t="str">
        <f>calc_gap('Matrix 171007_1806'!$CM$26,'Matrix 171007_1806'!$CS$26)</f>
        <v/>
      </c>
      <c r="CZ26" s="240" t="str">
        <f>calc_gap('Matrix 171007_1806'!$CN$26,'Matrix 171007_1806'!$CT$26)</f>
        <v/>
      </c>
      <c r="DA26" s="241" t="str">
        <f>calc_gap('Matrix 171007_1806'!$CO$26,'Matrix 171007_1806'!$CU$26)</f>
        <v/>
      </c>
    </row>
    <row r="27" spans="2:105" ht="12.75" customHeight="1" thickTop="1" thickBot="1" x14ac:dyDescent="0.3">
      <c r="B27" s="436"/>
      <c r="C27" s="248"/>
      <c r="D27" s="322"/>
      <c r="E27" s="322"/>
      <c r="F27" s="322"/>
      <c r="G27" s="322"/>
      <c r="H27" s="322"/>
      <c r="I27" s="322"/>
      <c r="J27" s="322"/>
      <c r="K27" s="322"/>
      <c r="L27" s="322"/>
      <c r="M27" s="322"/>
      <c r="N27" s="322"/>
      <c r="O27" s="322"/>
      <c r="P27" s="322"/>
      <c r="Q27" s="322"/>
      <c r="R27" s="322"/>
      <c r="S27" s="322"/>
      <c r="T27" s="322"/>
      <c r="U27" s="322"/>
      <c r="V27" s="322"/>
      <c r="W27" s="322"/>
      <c r="X27" s="322"/>
      <c r="Y27" s="322"/>
      <c r="Z27" s="322"/>
      <c r="AA27" s="322"/>
      <c r="AB27" s="322"/>
      <c r="AC27" s="322"/>
      <c r="AD27" s="322"/>
      <c r="AE27" s="322"/>
      <c r="AF27" s="322"/>
      <c r="AG27" s="322"/>
      <c r="AH27" s="322"/>
      <c r="AI27" s="322"/>
      <c r="AJ27" s="322"/>
      <c r="AK27" s="322"/>
      <c r="AL27" s="322"/>
      <c r="AM27" s="322"/>
      <c r="AN27" s="322"/>
      <c r="AO27" s="322"/>
      <c r="AP27" s="322"/>
      <c r="AQ27" s="322"/>
      <c r="AR27" s="322"/>
      <c r="AS27" s="322"/>
      <c r="AT27" s="322"/>
      <c r="AU27" s="322"/>
      <c r="AV27" s="322"/>
      <c r="AW27" s="322"/>
      <c r="AX27" s="322"/>
      <c r="AY27" s="322"/>
      <c r="AZ27" s="322"/>
      <c r="BA27" s="322"/>
      <c r="BB27" s="322"/>
      <c r="BC27" s="322"/>
      <c r="BD27" s="322"/>
      <c r="BE27" s="322"/>
      <c r="BF27" s="322"/>
      <c r="BG27" s="322"/>
      <c r="BH27" s="322"/>
      <c r="BI27" s="322"/>
      <c r="BJ27" s="322"/>
      <c r="BK27" s="322"/>
      <c r="BL27" s="322"/>
      <c r="BM27" s="322"/>
      <c r="BN27" s="322"/>
      <c r="BO27" s="322"/>
      <c r="BP27" s="322"/>
      <c r="BQ27" s="322"/>
      <c r="BR27" s="322"/>
      <c r="BS27" s="322"/>
      <c r="BT27" s="322"/>
      <c r="BU27" s="322"/>
      <c r="BV27" s="322"/>
      <c r="BW27" s="322"/>
      <c r="BX27" s="322"/>
      <c r="BY27" s="322"/>
      <c r="BZ27" s="322"/>
      <c r="CA27" s="322"/>
      <c r="CB27" s="322"/>
      <c r="CC27" s="322"/>
      <c r="CD27" s="322"/>
      <c r="CE27" s="322"/>
      <c r="CF27" s="322"/>
      <c r="CG27" s="322"/>
      <c r="CH27" s="322"/>
      <c r="CI27" s="322"/>
      <c r="CK27" s="249"/>
      <c r="CL27" s="249"/>
      <c r="CM27" s="249"/>
      <c r="CN27" s="249"/>
      <c r="CO27" s="249"/>
      <c r="CQ27" s="249"/>
      <c r="CR27" s="249"/>
      <c r="CS27" s="249"/>
      <c r="CT27" s="249"/>
      <c r="CU27" s="249"/>
      <c r="CW27" s="249"/>
      <c r="CX27" s="249"/>
      <c r="CY27" s="249"/>
      <c r="CZ27" s="249"/>
      <c r="DA27" s="249"/>
    </row>
    <row r="28" spans="2:105" ht="15.75" thickTop="1" x14ac:dyDescent="0.25">
      <c r="B28" s="434" t="s">
        <v>70</v>
      </c>
      <c r="C28" s="290" t="s">
        <v>71</v>
      </c>
      <c r="D28" s="310"/>
      <c r="E28" s="311"/>
      <c r="F28" s="311"/>
      <c r="G28" s="311"/>
      <c r="H28" s="311"/>
      <c r="I28" s="311"/>
      <c r="J28" s="311"/>
      <c r="K28" s="312"/>
      <c r="L28" s="310"/>
      <c r="M28" s="311"/>
      <c r="N28" s="311"/>
      <c r="O28" s="312"/>
      <c r="P28" s="310"/>
      <c r="Q28" s="311"/>
      <c r="R28" s="311"/>
      <c r="S28" s="311"/>
      <c r="T28" s="311"/>
      <c r="U28" s="311"/>
      <c r="V28" s="311"/>
      <c r="W28" s="311"/>
      <c r="X28" s="311"/>
      <c r="Y28" s="311"/>
      <c r="Z28" s="311"/>
      <c r="AA28" s="311"/>
      <c r="AB28" s="311"/>
      <c r="AC28" s="311"/>
      <c r="AD28" s="311"/>
      <c r="AE28" s="311"/>
      <c r="AF28" s="311"/>
      <c r="AG28" s="311"/>
      <c r="AH28" s="311"/>
      <c r="AI28" s="312"/>
      <c r="AJ28" s="310"/>
      <c r="AK28" s="311"/>
      <c r="AL28" s="312"/>
      <c r="AM28" s="310"/>
      <c r="AN28" s="311"/>
      <c r="AO28" s="312"/>
      <c r="AP28" s="310"/>
      <c r="AQ28" s="311"/>
      <c r="AR28" s="311"/>
      <c r="AS28" s="311"/>
      <c r="AT28" s="312"/>
      <c r="AU28" s="310" t="s">
        <v>148</v>
      </c>
      <c r="AV28" s="311" t="s">
        <v>150</v>
      </c>
      <c r="AW28" s="311" t="s">
        <v>150</v>
      </c>
      <c r="AX28" s="311" t="s">
        <v>150</v>
      </c>
      <c r="AY28" s="311" t="s">
        <v>150</v>
      </c>
      <c r="AZ28" s="311" t="s">
        <v>148</v>
      </c>
      <c r="BA28" s="311" t="s">
        <v>148</v>
      </c>
      <c r="BB28" s="312" t="s">
        <v>47</v>
      </c>
      <c r="BC28" s="310" t="s">
        <v>148</v>
      </c>
      <c r="BD28" s="311" t="s">
        <v>148</v>
      </c>
      <c r="BE28" s="311"/>
      <c r="BF28" s="311" t="s">
        <v>150</v>
      </c>
      <c r="BG28" s="312"/>
      <c r="BH28" s="310"/>
      <c r="BI28" s="311" t="s">
        <v>148</v>
      </c>
      <c r="BJ28" s="312"/>
      <c r="BK28" s="310" t="s">
        <v>147</v>
      </c>
      <c r="BL28" s="311" t="s">
        <v>150</v>
      </c>
      <c r="BM28" s="311"/>
      <c r="BN28" s="312" t="s">
        <v>149</v>
      </c>
      <c r="BO28" s="310" t="s">
        <v>147</v>
      </c>
      <c r="BP28" s="311" t="s">
        <v>150</v>
      </c>
      <c r="BQ28" s="311" t="s">
        <v>147</v>
      </c>
      <c r="BR28" s="311"/>
      <c r="BS28" s="311"/>
      <c r="BT28" s="311" t="s">
        <v>150</v>
      </c>
      <c r="BU28" s="311" t="s">
        <v>148</v>
      </c>
      <c r="BV28" s="312"/>
      <c r="BW28" s="310" t="s">
        <v>148</v>
      </c>
      <c r="BX28" s="311" t="s">
        <v>148</v>
      </c>
      <c r="BY28" s="311" t="s">
        <v>150</v>
      </c>
      <c r="BZ28" s="311" t="s">
        <v>150</v>
      </c>
      <c r="CA28" s="311" t="s">
        <v>150</v>
      </c>
      <c r="CB28" s="312" t="s">
        <v>150</v>
      </c>
      <c r="CC28" s="310" t="s">
        <v>147</v>
      </c>
      <c r="CD28" s="311" t="s">
        <v>148</v>
      </c>
      <c r="CE28" s="312"/>
      <c r="CF28" s="310"/>
      <c r="CG28" s="311"/>
      <c r="CH28" s="311"/>
      <c r="CI28" s="313"/>
      <c r="CK28" s="233">
        <f t="shared" ref="CK28:CK37" si="10">IF(COUNTIF(D28:CI28,"o")&gt;0,COUNTIF(D28:CI28,"o"),"")</f>
        <v>1</v>
      </c>
      <c r="CL28" s="234">
        <f t="shared" ref="CL28:CL37" si="11">IF(COUNTIF(D28:CI28,"j")&gt;0,COUNTIF(D28:CI28,"j"),"")</f>
        <v>4</v>
      </c>
      <c r="CM28" s="234">
        <f t="shared" ref="CM28:CM37" si="12">IF(COUNTIF(D28:CI28,"m")&gt;0,COUNTIF(D28:CI28,"m"),"")</f>
        <v>10</v>
      </c>
      <c r="CN28" s="234">
        <f t="shared" ref="CN28:CN37" si="13">IF(COUNTIF(D28:CI28,"s")&gt;0,COUNTIF(D28:CI28,"s"),"")</f>
        <v>12</v>
      </c>
      <c r="CO28" s="235">
        <f t="shared" ref="CO28:CO37" si="14">IF(COUNTIF(D28:CI28,"e")&gt;0,COUNTIF(D28:CI28,"e"),"")</f>
        <v>1</v>
      </c>
      <c r="CQ28" s="233" t="str">
        <f>desired_skills(C28,"Methodieken/Lean","o")</f>
        <v>16</v>
      </c>
      <c r="CR28" s="234" t="str">
        <f>desired_skills(C28,"Methodieken/Lean","j")</f>
        <v/>
      </c>
      <c r="CS28" s="234" t="str">
        <f>desired_skills(C28,"Methodieken/Lean","m")</f>
        <v/>
      </c>
      <c r="CT28" s="234" t="str">
        <f>desired_skills(C28,"Methodieken/Lean","s")</f>
        <v/>
      </c>
      <c r="CU28" s="235" t="str">
        <f>desired_skills(C28,"Methodieken/Lean","e")</f>
        <v/>
      </c>
      <c r="CW28" s="233" t="str">
        <f>calc_gap('Matrix 171007_1806'!$CK$28,'Matrix 171007_1806'!$CQ$28)</f>
        <v>15</v>
      </c>
      <c r="CX28" s="234" t="str">
        <f>calc_gap('Matrix 171007_1806'!$CL$28,'Matrix 171007_1806'!$CR$28)</f>
        <v/>
      </c>
      <c r="CY28" s="234" t="str">
        <f>calc_gap('Matrix 171007_1806'!$CM$28,'Matrix 171007_1806'!$CS$28)</f>
        <v/>
      </c>
      <c r="CZ28" s="234" t="str">
        <f>calc_gap('Matrix 171007_1806'!$CN$28,'Matrix 171007_1806'!$CT$28)</f>
        <v/>
      </c>
      <c r="DA28" s="235" t="str">
        <f>calc_gap('Matrix 171007_1806'!$CO$28,'Matrix 171007_1806'!$CU$28)</f>
        <v/>
      </c>
    </row>
    <row r="29" spans="2:105" x14ac:dyDescent="0.25">
      <c r="B29" s="435"/>
      <c r="C29" s="291" t="s">
        <v>72</v>
      </c>
      <c r="D29" s="314"/>
      <c r="E29" s="315"/>
      <c r="F29" s="315"/>
      <c r="G29" s="315"/>
      <c r="H29" s="315"/>
      <c r="I29" s="315"/>
      <c r="J29" s="315"/>
      <c r="K29" s="316"/>
      <c r="L29" s="314"/>
      <c r="M29" s="315"/>
      <c r="N29" s="315"/>
      <c r="O29" s="316"/>
      <c r="P29" s="314"/>
      <c r="Q29" s="315"/>
      <c r="R29" s="315"/>
      <c r="S29" s="315"/>
      <c r="T29" s="315"/>
      <c r="U29" s="315"/>
      <c r="V29" s="315"/>
      <c r="W29" s="315"/>
      <c r="X29" s="315"/>
      <c r="Y29" s="315"/>
      <c r="Z29" s="315"/>
      <c r="AA29" s="315"/>
      <c r="AB29" s="315"/>
      <c r="AC29" s="315"/>
      <c r="AD29" s="315"/>
      <c r="AE29" s="315"/>
      <c r="AF29" s="315"/>
      <c r="AG29" s="315"/>
      <c r="AH29" s="315"/>
      <c r="AI29" s="316"/>
      <c r="AJ29" s="314"/>
      <c r="AK29" s="315"/>
      <c r="AL29" s="316"/>
      <c r="AM29" s="314"/>
      <c r="AN29" s="315"/>
      <c r="AO29" s="316"/>
      <c r="AP29" s="314"/>
      <c r="AQ29" s="315"/>
      <c r="AR29" s="315"/>
      <c r="AS29" s="315"/>
      <c r="AT29" s="316"/>
      <c r="AU29" s="314" t="s">
        <v>147</v>
      </c>
      <c r="AV29" s="315" t="s">
        <v>147</v>
      </c>
      <c r="AW29" s="315" t="s">
        <v>149</v>
      </c>
      <c r="AX29" s="315" t="s">
        <v>148</v>
      </c>
      <c r="AY29" s="315" t="s">
        <v>148</v>
      </c>
      <c r="AZ29" s="315"/>
      <c r="BA29" s="315" t="s">
        <v>147</v>
      </c>
      <c r="BB29" s="316" t="s">
        <v>148</v>
      </c>
      <c r="BC29" s="314" t="s">
        <v>150</v>
      </c>
      <c r="BD29" s="315" t="s">
        <v>147</v>
      </c>
      <c r="BE29" s="315"/>
      <c r="BF29" s="315" t="s">
        <v>147</v>
      </c>
      <c r="BG29" s="316"/>
      <c r="BH29" s="314"/>
      <c r="BI29" s="315"/>
      <c r="BJ29" s="316"/>
      <c r="BK29" s="314"/>
      <c r="BL29" s="315" t="s">
        <v>150</v>
      </c>
      <c r="BM29" s="315"/>
      <c r="BN29" s="316"/>
      <c r="BO29" s="314" t="s">
        <v>147</v>
      </c>
      <c r="BP29" s="315" t="s">
        <v>148</v>
      </c>
      <c r="BQ29" s="315"/>
      <c r="BR29" s="315"/>
      <c r="BS29" s="315"/>
      <c r="BT29" s="315"/>
      <c r="BU29" s="315" t="s">
        <v>148</v>
      </c>
      <c r="BV29" s="316"/>
      <c r="BW29" s="314" t="s">
        <v>147</v>
      </c>
      <c r="BX29" s="315"/>
      <c r="BY29" s="315"/>
      <c r="BZ29" s="315" t="s">
        <v>148</v>
      </c>
      <c r="CA29" s="315"/>
      <c r="CB29" s="316"/>
      <c r="CC29" s="314"/>
      <c r="CD29" s="315" t="s">
        <v>147</v>
      </c>
      <c r="CE29" s="316"/>
      <c r="CF29" s="314"/>
      <c r="CG29" s="315"/>
      <c r="CH29" s="315"/>
      <c r="CI29" s="317"/>
      <c r="CK29" s="236">
        <f t="shared" si="10"/>
        <v>1</v>
      </c>
      <c r="CL29" s="237">
        <f t="shared" si="11"/>
        <v>8</v>
      </c>
      <c r="CM29" s="237">
        <f t="shared" si="12"/>
        <v>6</v>
      </c>
      <c r="CN29" s="237">
        <f t="shared" si="13"/>
        <v>2</v>
      </c>
      <c r="CO29" s="238" t="str">
        <f t="shared" si="14"/>
        <v/>
      </c>
      <c r="CQ29" s="236" t="str">
        <f>desired_skills(C29,"Methodieken/DevOps","o")</f>
        <v/>
      </c>
      <c r="CR29" s="237" t="str">
        <f>desired_skills(C29,"Methodieken/DevOps","j")</f>
        <v>17</v>
      </c>
      <c r="CS29" s="237" t="str">
        <f>desired_skills(C29,"Methodieken/DevOps","m")</f>
        <v/>
      </c>
      <c r="CT29" s="237" t="str">
        <f>desired_skills(C29,"Methodieken/DevOps","s")</f>
        <v/>
      </c>
      <c r="CU29" s="238" t="str">
        <f>desired_skills(C29,"Methodieken/DevOps","e")</f>
        <v/>
      </c>
      <c r="CW29" s="236" t="str">
        <f>calc_gap('Matrix 171007_1806'!$CK$29,'Matrix 171007_1806'!$CQ$29)</f>
        <v/>
      </c>
      <c r="CX29" s="237" t="str">
        <f>calc_gap('Matrix 171007_1806'!$CL$29,'Matrix 171007_1806'!$CR$29)</f>
        <v>9</v>
      </c>
      <c r="CY29" s="237" t="str">
        <f>calc_gap('Matrix 171007_1806'!$CM$29,'Matrix 171007_1806'!$CS$29)</f>
        <v/>
      </c>
      <c r="CZ29" s="237" t="str">
        <f>calc_gap('Matrix 171007_1806'!$CN$29,'Matrix 171007_1806'!$CT$29)</f>
        <v/>
      </c>
      <c r="DA29" s="238" t="str">
        <f>calc_gap('Matrix 171007_1806'!$CO$29,'Matrix 171007_1806'!$CU$29)</f>
        <v/>
      </c>
    </row>
    <row r="30" spans="2:105" x14ac:dyDescent="0.25">
      <c r="B30" s="435"/>
      <c r="C30" s="291" t="s">
        <v>73</v>
      </c>
      <c r="D30" s="314"/>
      <c r="E30" s="315"/>
      <c r="F30" s="315"/>
      <c r="G30" s="315"/>
      <c r="H30" s="315"/>
      <c r="I30" s="315"/>
      <c r="J30" s="315"/>
      <c r="K30" s="316"/>
      <c r="L30" s="314"/>
      <c r="M30" s="315"/>
      <c r="N30" s="315"/>
      <c r="O30" s="316"/>
      <c r="P30" s="314"/>
      <c r="Q30" s="315"/>
      <c r="R30" s="315"/>
      <c r="S30" s="315"/>
      <c r="T30" s="315"/>
      <c r="U30" s="315"/>
      <c r="V30" s="315"/>
      <c r="W30" s="315"/>
      <c r="X30" s="315"/>
      <c r="Y30" s="315"/>
      <c r="Z30" s="315"/>
      <c r="AA30" s="315"/>
      <c r="AB30" s="315"/>
      <c r="AC30" s="315"/>
      <c r="AD30" s="315"/>
      <c r="AE30" s="315"/>
      <c r="AF30" s="315"/>
      <c r="AG30" s="315"/>
      <c r="AH30" s="315"/>
      <c r="AI30" s="316"/>
      <c r="AJ30" s="314"/>
      <c r="AK30" s="315"/>
      <c r="AL30" s="316"/>
      <c r="AM30" s="314"/>
      <c r="AN30" s="315"/>
      <c r="AO30" s="316"/>
      <c r="AP30" s="314"/>
      <c r="AQ30" s="315"/>
      <c r="AR30" s="315"/>
      <c r="AS30" s="315"/>
      <c r="AT30" s="316"/>
      <c r="AU30" s="314" t="s">
        <v>148</v>
      </c>
      <c r="AV30" s="315" t="s">
        <v>148</v>
      </c>
      <c r="AW30" s="315" t="s">
        <v>150</v>
      </c>
      <c r="AX30" s="315" t="s">
        <v>150</v>
      </c>
      <c r="AY30" s="315" t="s">
        <v>150</v>
      </c>
      <c r="AZ30" s="315" t="s">
        <v>147</v>
      </c>
      <c r="BA30" s="315" t="s">
        <v>150</v>
      </c>
      <c r="BB30" s="316" t="s">
        <v>148</v>
      </c>
      <c r="BC30" s="314" t="s">
        <v>47</v>
      </c>
      <c r="BD30" s="315" t="s">
        <v>147</v>
      </c>
      <c r="BE30" s="315"/>
      <c r="BF30" s="315" t="s">
        <v>148</v>
      </c>
      <c r="BG30" s="316"/>
      <c r="BH30" s="314"/>
      <c r="BI30" s="315" t="s">
        <v>148</v>
      </c>
      <c r="BJ30" s="316"/>
      <c r="BK30" s="314"/>
      <c r="BL30" s="315" t="s">
        <v>150</v>
      </c>
      <c r="BM30" s="315"/>
      <c r="BN30" s="316" t="s">
        <v>149</v>
      </c>
      <c r="BO30" s="314"/>
      <c r="BP30" s="315"/>
      <c r="BQ30" s="315"/>
      <c r="BR30" s="315"/>
      <c r="BS30" s="315"/>
      <c r="BT30" s="315" t="s">
        <v>147</v>
      </c>
      <c r="BU30" s="315" t="s">
        <v>148</v>
      </c>
      <c r="BV30" s="316"/>
      <c r="BW30" s="314" t="s">
        <v>147</v>
      </c>
      <c r="BX30" s="315"/>
      <c r="BY30" s="315" t="s">
        <v>147</v>
      </c>
      <c r="BZ30" s="315" t="s">
        <v>147</v>
      </c>
      <c r="CA30" s="315" t="s">
        <v>147</v>
      </c>
      <c r="CB30" s="316" t="s">
        <v>147</v>
      </c>
      <c r="CC30" s="314"/>
      <c r="CD30" s="315" t="s">
        <v>147</v>
      </c>
      <c r="CE30" s="316"/>
      <c r="CF30" s="314"/>
      <c r="CG30" s="315"/>
      <c r="CH30" s="315"/>
      <c r="CI30" s="317"/>
      <c r="CK30" s="236">
        <f t="shared" si="10"/>
        <v>1</v>
      </c>
      <c r="CL30" s="237">
        <f t="shared" si="11"/>
        <v>9</v>
      </c>
      <c r="CM30" s="237">
        <f t="shared" si="12"/>
        <v>6</v>
      </c>
      <c r="CN30" s="237">
        <f t="shared" si="13"/>
        <v>5</v>
      </c>
      <c r="CO30" s="238">
        <f t="shared" si="14"/>
        <v>1</v>
      </c>
      <c r="CQ30" s="236" t="str">
        <f>desired_skills(C30,"Methodieken/Agile/scrum","o")</f>
        <v/>
      </c>
      <c r="CR30" s="237" t="str">
        <f>desired_skills(C30,"Methodieken/Agile/scrum","j")</f>
        <v/>
      </c>
      <c r="CS30" s="237" t="str">
        <f>desired_skills(C30,"Methodieken/Agile/scrum","m")</f>
        <v>18</v>
      </c>
      <c r="CT30" s="237" t="str">
        <f>desired_skills(C30,"Methodieken/Agile/scrum","s")</f>
        <v/>
      </c>
      <c r="CU30" s="238" t="str">
        <f>desired_skills(C30,"Methodieken/Agile/scrum","e")</f>
        <v/>
      </c>
      <c r="CW30" s="236" t="str">
        <f>calc_gap('Matrix 171007_1806'!$CK$30,'Matrix 171007_1806'!$CQ$30)</f>
        <v/>
      </c>
      <c r="CX30" s="237" t="str">
        <f>calc_gap('Matrix 171007_1806'!$CL$30,'Matrix 171007_1806'!$CR$30)</f>
        <v/>
      </c>
      <c r="CY30" s="237" t="str">
        <f>calc_gap('Matrix 171007_1806'!$CM$30,'Matrix 171007_1806'!$CS$30)</f>
        <v>12</v>
      </c>
      <c r="CZ30" s="237" t="str">
        <f>calc_gap('Matrix 171007_1806'!$CN$30,'Matrix 171007_1806'!$CT$30)</f>
        <v/>
      </c>
      <c r="DA30" s="238" t="str">
        <f>calc_gap('Matrix 171007_1806'!$CO$30,'Matrix 171007_1806'!$CU$30)</f>
        <v/>
      </c>
    </row>
    <row r="31" spans="2:105" x14ac:dyDescent="0.25">
      <c r="B31" s="435"/>
      <c r="C31" s="291" t="s">
        <v>74</v>
      </c>
      <c r="D31" s="314"/>
      <c r="E31" s="315"/>
      <c r="F31" s="315"/>
      <c r="G31" s="315"/>
      <c r="H31" s="315"/>
      <c r="I31" s="315"/>
      <c r="J31" s="315"/>
      <c r="K31" s="316"/>
      <c r="L31" s="314"/>
      <c r="M31" s="315"/>
      <c r="N31" s="315"/>
      <c r="O31" s="316"/>
      <c r="P31" s="314"/>
      <c r="Q31" s="315"/>
      <c r="R31" s="315"/>
      <c r="S31" s="315"/>
      <c r="T31" s="315"/>
      <c r="U31" s="315"/>
      <c r="V31" s="315"/>
      <c r="W31" s="315"/>
      <c r="X31" s="315"/>
      <c r="Y31" s="315"/>
      <c r="Z31" s="315"/>
      <c r="AA31" s="315"/>
      <c r="AB31" s="315"/>
      <c r="AC31" s="315"/>
      <c r="AD31" s="315"/>
      <c r="AE31" s="315"/>
      <c r="AF31" s="315"/>
      <c r="AG31" s="315"/>
      <c r="AH31" s="315"/>
      <c r="AI31" s="316"/>
      <c r="AJ31" s="314"/>
      <c r="AK31" s="315"/>
      <c r="AL31" s="316"/>
      <c r="AM31" s="314"/>
      <c r="AN31" s="315"/>
      <c r="AO31" s="316"/>
      <c r="AP31" s="314"/>
      <c r="AQ31" s="315"/>
      <c r="AR31" s="315"/>
      <c r="AS31" s="315"/>
      <c r="AT31" s="316"/>
      <c r="AU31" s="314" t="s">
        <v>147</v>
      </c>
      <c r="AV31" s="315" t="s">
        <v>147</v>
      </c>
      <c r="AW31" s="315" t="s">
        <v>147</v>
      </c>
      <c r="AX31" s="315" t="s">
        <v>148</v>
      </c>
      <c r="AY31" s="315" t="s">
        <v>147</v>
      </c>
      <c r="AZ31" s="315"/>
      <c r="BA31" s="315" t="s">
        <v>149</v>
      </c>
      <c r="BB31" s="316" t="s">
        <v>148</v>
      </c>
      <c r="BC31" s="314" t="s">
        <v>147</v>
      </c>
      <c r="BD31" s="315" t="s">
        <v>147</v>
      </c>
      <c r="BE31" s="315"/>
      <c r="BF31" s="315" t="s">
        <v>150</v>
      </c>
      <c r="BG31" s="316"/>
      <c r="BH31" s="314"/>
      <c r="BI31" s="315" t="s">
        <v>148</v>
      </c>
      <c r="BJ31" s="316"/>
      <c r="BK31" s="314"/>
      <c r="BL31" s="315" t="s">
        <v>147</v>
      </c>
      <c r="BM31" s="315"/>
      <c r="BN31" s="316" t="s">
        <v>148</v>
      </c>
      <c r="BO31" s="314"/>
      <c r="BP31" s="315"/>
      <c r="BQ31" s="315"/>
      <c r="BR31" s="315"/>
      <c r="BS31" s="315" t="s">
        <v>147</v>
      </c>
      <c r="BT31" s="315" t="s">
        <v>148</v>
      </c>
      <c r="BU31" s="315" t="s">
        <v>150</v>
      </c>
      <c r="BV31" s="316"/>
      <c r="BW31" s="314"/>
      <c r="BX31" s="315"/>
      <c r="BY31" s="315" t="s">
        <v>148</v>
      </c>
      <c r="BZ31" s="315"/>
      <c r="CA31" s="315" t="s">
        <v>147</v>
      </c>
      <c r="CB31" s="316" t="s">
        <v>147</v>
      </c>
      <c r="CC31" s="314"/>
      <c r="CD31" s="315" t="s">
        <v>147</v>
      </c>
      <c r="CE31" s="316"/>
      <c r="CF31" s="314"/>
      <c r="CG31" s="315"/>
      <c r="CH31" s="315"/>
      <c r="CI31" s="317"/>
      <c r="CK31" s="236">
        <f t="shared" si="10"/>
        <v>1</v>
      </c>
      <c r="CL31" s="237">
        <f t="shared" si="11"/>
        <v>11</v>
      </c>
      <c r="CM31" s="237">
        <f t="shared" si="12"/>
        <v>6</v>
      </c>
      <c r="CN31" s="237">
        <f t="shared" si="13"/>
        <v>2</v>
      </c>
      <c r="CO31" s="238" t="str">
        <f t="shared" si="14"/>
        <v/>
      </c>
      <c r="CQ31" s="236" t="str">
        <f>desired_skills(C31,"Methodieken/BiSL","o")</f>
        <v/>
      </c>
      <c r="CR31" s="237" t="str">
        <f>desired_skills(C31,"Methodieken/BiSL","j")</f>
        <v/>
      </c>
      <c r="CS31" s="237" t="str">
        <f>desired_skills(C31,"Methodieken/BiSL","m")</f>
        <v/>
      </c>
      <c r="CT31" s="237" t="str">
        <f>desired_skills(C31,"Methodieken/BiSL","s")</f>
        <v>19</v>
      </c>
      <c r="CU31" s="238" t="str">
        <f>desired_skills(C31,"Methodieken/BiSL","e")</f>
        <v/>
      </c>
      <c r="CW31" s="236" t="str">
        <f>calc_gap('Matrix 171007_1806'!$CK$31,'Matrix 171007_1806'!$CQ$31)</f>
        <v/>
      </c>
      <c r="CX31" s="237" t="str">
        <f>calc_gap('Matrix 171007_1806'!$CL$31,'Matrix 171007_1806'!$CR$31)</f>
        <v/>
      </c>
      <c r="CY31" s="237" t="str">
        <f>calc_gap('Matrix 171007_1806'!$CM$31,'Matrix 171007_1806'!$CS$31)</f>
        <v/>
      </c>
      <c r="CZ31" s="237" t="str">
        <f>calc_gap('Matrix 171007_1806'!$CN$31,'Matrix 171007_1806'!$CT$31)</f>
        <v>17</v>
      </c>
      <c r="DA31" s="238" t="str">
        <f>calc_gap('Matrix 171007_1806'!$CO$31,'Matrix 171007_1806'!$CU$31)</f>
        <v/>
      </c>
    </row>
    <row r="32" spans="2:105" x14ac:dyDescent="0.25">
      <c r="B32" s="435"/>
      <c r="C32" s="291" t="s">
        <v>76</v>
      </c>
      <c r="D32" s="314"/>
      <c r="E32" s="315"/>
      <c r="F32" s="315"/>
      <c r="G32" s="315"/>
      <c r="H32" s="315"/>
      <c r="I32" s="315"/>
      <c r="J32" s="315"/>
      <c r="K32" s="316"/>
      <c r="L32" s="314"/>
      <c r="M32" s="315"/>
      <c r="N32" s="315"/>
      <c r="O32" s="316"/>
      <c r="P32" s="314"/>
      <c r="Q32" s="315"/>
      <c r="R32" s="315"/>
      <c r="S32" s="315"/>
      <c r="T32" s="315"/>
      <c r="U32" s="315"/>
      <c r="V32" s="315"/>
      <c r="W32" s="315"/>
      <c r="X32" s="315"/>
      <c r="Y32" s="315"/>
      <c r="Z32" s="315"/>
      <c r="AA32" s="315"/>
      <c r="AB32" s="315"/>
      <c r="AC32" s="315"/>
      <c r="AD32" s="315"/>
      <c r="AE32" s="315"/>
      <c r="AF32" s="315"/>
      <c r="AG32" s="315"/>
      <c r="AH32" s="315"/>
      <c r="AI32" s="316"/>
      <c r="AJ32" s="314"/>
      <c r="AK32" s="315"/>
      <c r="AL32" s="316"/>
      <c r="AM32" s="314"/>
      <c r="AN32" s="315"/>
      <c r="AO32" s="316"/>
      <c r="AP32" s="314"/>
      <c r="AQ32" s="315"/>
      <c r="AR32" s="315"/>
      <c r="AS32" s="315"/>
      <c r="AT32" s="316"/>
      <c r="AU32" s="314" t="s">
        <v>150</v>
      </c>
      <c r="AV32" s="315" t="s">
        <v>148</v>
      </c>
      <c r="AW32" s="315" t="s">
        <v>148</v>
      </c>
      <c r="AX32" s="315" t="s">
        <v>150</v>
      </c>
      <c r="AY32" s="315" t="s">
        <v>150</v>
      </c>
      <c r="AZ32" s="315"/>
      <c r="BA32" s="315" t="s">
        <v>150</v>
      </c>
      <c r="BB32" s="316" t="s">
        <v>150</v>
      </c>
      <c r="BC32" s="314" t="s">
        <v>147</v>
      </c>
      <c r="BD32" s="315" t="s">
        <v>149</v>
      </c>
      <c r="BE32" s="315"/>
      <c r="BF32" s="315" t="s">
        <v>147</v>
      </c>
      <c r="BG32" s="316"/>
      <c r="BH32" s="314"/>
      <c r="BI32" s="315"/>
      <c r="BJ32" s="316"/>
      <c r="BK32" s="314"/>
      <c r="BL32" s="315" t="s">
        <v>149</v>
      </c>
      <c r="BM32" s="315"/>
      <c r="BN32" s="316" t="s">
        <v>149</v>
      </c>
      <c r="BO32" s="314"/>
      <c r="BP32" s="315"/>
      <c r="BQ32" s="315"/>
      <c r="BR32" s="315"/>
      <c r="BS32" s="315"/>
      <c r="BT32" s="315"/>
      <c r="BU32" s="315" t="s">
        <v>148</v>
      </c>
      <c r="BV32" s="316"/>
      <c r="BW32" s="314" t="s">
        <v>147</v>
      </c>
      <c r="BX32" s="315"/>
      <c r="BY32" s="315" t="s">
        <v>147</v>
      </c>
      <c r="BZ32" s="315"/>
      <c r="CA32" s="315" t="s">
        <v>147</v>
      </c>
      <c r="CB32" s="316" t="s">
        <v>148</v>
      </c>
      <c r="CC32" s="314"/>
      <c r="CD32" s="315"/>
      <c r="CE32" s="316"/>
      <c r="CF32" s="314"/>
      <c r="CG32" s="315"/>
      <c r="CH32" s="315"/>
      <c r="CI32" s="317"/>
      <c r="CK32" s="236">
        <f t="shared" si="10"/>
        <v>3</v>
      </c>
      <c r="CL32" s="237">
        <f t="shared" si="11"/>
        <v>5</v>
      </c>
      <c r="CM32" s="237">
        <f t="shared" si="12"/>
        <v>4</v>
      </c>
      <c r="CN32" s="237">
        <f t="shared" si="13"/>
        <v>5</v>
      </c>
      <c r="CO32" s="238" t="str">
        <f t="shared" si="14"/>
        <v/>
      </c>
      <c r="CQ32" s="236" t="str">
        <f>desired_skills(C32,"Methodieken/Opstellen (KC)Frameworks","o")</f>
        <v/>
      </c>
      <c r="CR32" s="237" t="str">
        <f>desired_skills(C32,"Methodieken/Opstellen (KC)Frameworks","j")</f>
        <v/>
      </c>
      <c r="CS32" s="237" t="str">
        <f>desired_skills(C32,"Methodieken/Opstellen (KC)Frameworks","m")</f>
        <v/>
      </c>
      <c r="CT32" s="237" t="str">
        <f>desired_skills(C32,"Methodieken/Opstellen (KC)Frameworks","s")</f>
        <v/>
      </c>
      <c r="CU32" s="238" t="str">
        <f>desired_skills(C32,"Methodieken/Opstellen (KC)Frameworks","e")</f>
        <v>20</v>
      </c>
      <c r="CW32" s="236" t="str">
        <f>calc_gap('Matrix 171007_1806'!$CK$32,'Matrix 171007_1806'!$CQ$32)</f>
        <v/>
      </c>
      <c r="CX32" s="237" t="str">
        <f>calc_gap('Matrix 171007_1806'!$CL$32,'Matrix 171007_1806'!$CR$32)</f>
        <v/>
      </c>
      <c r="CY32" s="237" t="str">
        <f>calc_gap('Matrix 171007_1806'!$CM$32,'Matrix 171007_1806'!$CS$32)</f>
        <v/>
      </c>
      <c r="CZ32" s="237" t="str">
        <f>calc_gap('Matrix 171007_1806'!$CN$32,'Matrix 171007_1806'!$CT$32)</f>
        <v/>
      </c>
      <c r="DA32" s="238" t="str">
        <f>calc_gap('Matrix 171007_1806'!$CO$32,'Matrix 171007_1806'!$CU$32)</f>
        <v/>
      </c>
    </row>
    <row r="33" spans="2:105" x14ac:dyDescent="0.25">
      <c r="B33" s="435"/>
      <c r="C33" s="291" t="s">
        <v>77</v>
      </c>
      <c r="D33" s="314"/>
      <c r="E33" s="315"/>
      <c r="F33" s="315"/>
      <c r="G33" s="315"/>
      <c r="H33" s="315"/>
      <c r="I33" s="315"/>
      <c r="J33" s="315"/>
      <c r="K33" s="316"/>
      <c r="L33" s="314"/>
      <c r="M33" s="315"/>
      <c r="N33" s="315"/>
      <c r="O33" s="316"/>
      <c r="P33" s="314"/>
      <c r="Q33" s="315"/>
      <c r="R33" s="315"/>
      <c r="S33" s="315"/>
      <c r="T33" s="315"/>
      <c r="U33" s="315"/>
      <c r="V33" s="315"/>
      <c r="W33" s="315"/>
      <c r="X33" s="315"/>
      <c r="Y33" s="315"/>
      <c r="Z33" s="315"/>
      <c r="AA33" s="315"/>
      <c r="AB33" s="315"/>
      <c r="AC33" s="315"/>
      <c r="AD33" s="315"/>
      <c r="AE33" s="315"/>
      <c r="AF33" s="315"/>
      <c r="AG33" s="315"/>
      <c r="AH33" s="315"/>
      <c r="AI33" s="316"/>
      <c r="AJ33" s="314"/>
      <c r="AK33" s="315"/>
      <c r="AL33" s="316"/>
      <c r="AM33" s="314"/>
      <c r="AN33" s="315"/>
      <c r="AO33" s="316"/>
      <c r="AP33" s="314"/>
      <c r="AQ33" s="315"/>
      <c r="AR33" s="315"/>
      <c r="AS33" s="315"/>
      <c r="AT33" s="316"/>
      <c r="AU33" s="314" t="s">
        <v>148</v>
      </c>
      <c r="AV33" s="315" t="s">
        <v>147</v>
      </c>
      <c r="AW33" s="315" t="s">
        <v>149</v>
      </c>
      <c r="AX33" s="315" t="s">
        <v>148</v>
      </c>
      <c r="AY33" s="315" t="s">
        <v>147</v>
      </c>
      <c r="AZ33" s="315"/>
      <c r="BA33" s="315" t="s">
        <v>149</v>
      </c>
      <c r="BB33" s="316" t="s">
        <v>147</v>
      </c>
      <c r="BC33" s="314" t="s">
        <v>147</v>
      </c>
      <c r="BD33" s="315" t="s">
        <v>150</v>
      </c>
      <c r="BE33" s="315"/>
      <c r="BF33" s="315" t="s">
        <v>150</v>
      </c>
      <c r="BG33" s="316"/>
      <c r="BH33" s="314"/>
      <c r="BI33" s="315" t="s">
        <v>148</v>
      </c>
      <c r="BJ33" s="316"/>
      <c r="BK33" s="314" t="s">
        <v>147</v>
      </c>
      <c r="BL33" s="315" t="s">
        <v>150</v>
      </c>
      <c r="BM33" s="315"/>
      <c r="BN33" s="316" t="s">
        <v>47</v>
      </c>
      <c r="BO33" s="314" t="s">
        <v>148</v>
      </c>
      <c r="BP33" s="315" t="s">
        <v>150</v>
      </c>
      <c r="BQ33" s="315" t="s">
        <v>148</v>
      </c>
      <c r="BR33" s="315"/>
      <c r="BS33" s="315" t="s">
        <v>147</v>
      </c>
      <c r="BT33" s="315" t="s">
        <v>147</v>
      </c>
      <c r="BU33" s="315" t="s">
        <v>150</v>
      </c>
      <c r="BV33" s="316"/>
      <c r="BW33" s="314" t="s">
        <v>148</v>
      </c>
      <c r="BX33" s="315"/>
      <c r="BY33" s="315" t="s">
        <v>150</v>
      </c>
      <c r="BZ33" s="315" t="s">
        <v>150</v>
      </c>
      <c r="CA33" s="315" t="s">
        <v>150</v>
      </c>
      <c r="CB33" s="316" t="s">
        <v>148</v>
      </c>
      <c r="CC33" s="314"/>
      <c r="CD33" s="315"/>
      <c r="CE33" s="316"/>
      <c r="CF33" s="314"/>
      <c r="CG33" s="315"/>
      <c r="CH33" s="315"/>
      <c r="CI33" s="317"/>
      <c r="CK33" s="236">
        <f t="shared" si="10"/>
        <v>2</v>
      </c>
      <c r="CL33" s="237">
        <f t="shared" si="11"/>
        <v>7</v>
      </c>
      <c r="CM33" s="237">
        <f t="shared" si="12"/>
        <v>7</v>
      </c>
      <c r="CN33" s="237">
        <f t="shared" si="13"/>
        <v>8</v>
      </c>
      <c r="CO33" s="238">
        <f t="shared" si="14"/>
        <v>1</v>
      </c>
      <c r="CQ33" s="236" t="str">
        <f>desired_skills(C33,"Methodieken/ITIL","o")</f>
        <v/>
      </c>
      <c r="CR33" s="237" t="str">
        <f>desired_skills(C33,"Methodieken/ITIL","j")</f>
        <v/>
      </c>
      <c r="CS33" s="237" t="str">
        <f>desired_skills(C33,"Methodieken/ITIL","m")</f>
        <v/>
      </c>
      <c r="CT33" s="237" t="str">
        <f>desired_skills(C33,"Methodieken/ITIL","s")</f>
        <v/>
      </c>
      <c r="CU33" s="238" t="str">
        <f>desired_skills(C33,"Methodieken/ITIL","e")</f>
        <v/>
      </c>
      <c r="CW33" s="236" t="str">
        <f>calc_gap('Matrix 171007_1806'!$CK$33,'Matrix 171007_1806'!$CQ$33)</f>
        <v/>
      </c>
      <c r="CX33" s="237" t="str">
        <f>calc_gap('Matrix 171007_1806'!$CL$33,'Matrix 171007_1806'!$CR$33)</f>
        <v/>
      </c>
      <c r="CY33" s="237" t="str">
        <f>calc_gap('Matrix 171007_1806'!$CM$33,'Matrix 171007_1806'!$CS$33)</f>
        <v/>
      </c>
      <c r="CZ33" s="237" t="str">
        <f>calc_gap('Matrix 171007_1806'!$CN$33,'Matrix 171007_1806'!$CT$33)</f>
        <v/>
      </c>
      <c r="DA33" s="238" t="str">
        <f>calc_gap('Matrix 171007_1806'!$CO$33,'Matrix 171007_1806'!$CU$33)</f>
        <v/>
      </c>
    </row>
    <row r="34" spans="2:105" x14ac:dyDescent="0.25">
      <c r="B34" s="435"/>
      <c r="C34" s="291" t="s">
        <v>78</v>
      </c>
      <c r="D34" s="314"/>
      <c r="E34" s="315"/>
      <c r="F34" s="315"/>
      <c r="G34" s="315"/>
      <c r="H34" s="315"/>
      <c r="I34" s="315"/>
      <c r="J34" s="315"/>
      <c r="K34" s="316"/>
      <c r="L34" s="314"/>
      <c r="M34" s="315"/>
      <c r="N34" s="315"/>
      <c r="O34" s="316"/>
      <c r="P34" s="314"/>
      <c r="Q34" s="315"/>
      <c r="R34" s="315"/>
      <c r="S34" s="315"/>
      <c r="T34" s="315"/>
      <c r="U34" s="315"/>
      <c r="V34" s="315"/>
      <c r="W34" s="315"/>
      <c r="X34" s="315"/>
      <c r="Y34" s="315"/>
      <c r="Z34" s="315"/>
      <c r="AA34" s="315"/>
      <c r="AB34" s="315"/>
      <c r="AC34" s="315"/>
      <c r="AD34" s="315"/>
      <c r="AE34" s="315"/>
      <c r="AF34" s="315"/>
      <c r="AG34" s="315"/>
      <c r="AH34" s="315"/>
      <c r="AI34" s="316"/>
      <c r="AJ34" s="314"/>
      <c r="AK34" s="315"/>
      <c r="AL34" s="316"/>
      <c r="AM34" s="314"/>
      <c r="AN34" s="315"/>
      <c r="AO34" s="316"/>
      <c r="AP34" s="314"/>
      <c r="AQ34" s="315"/>
      <c r="AR34" s="315"/>
      <c r="AS34" s="315"/>
      <c r="AT34" s="316"/>
      <c r="AU34" s="314" t="s">
        <v>150</v>
      </c>
      <c r="AV34" s="315" t="s">
        <v>147</v>
      </c>
      <c r="AW34" s="315" t="s">
        <v>148</v>
      </c>
      <c r="AX34" s="315" t="s">
        <v>150</v>
      </c>
      <c r="AY34" s="315" t="s">
        <v>148</v>
      </c>
      <c r="AZ34" s="315" t="s">
        <v>150</v>
      </c>
      <c r="BA34" s="315" t="s">
        <v>47</v>
      </c>
      <c r="BB34" s="316" t="s">
        <v>148</v>
      </c>
      <c r="BC34" s="314" t="s">
        <v>147</v>
      </c>
      <c r="BD34" s="315" t="s">
        <v>149</v>
      </c>
      <c r="BE34" s="315"/>
      <c r="BF34" s="315" t="s">
        <v>150</v>
      </c>
      <c r="BG34" s="316"/>
      <c r="BH34" s="314"/>
      <c r="BI34" s="315" t="s">
        <v>148</v>
      </c>
      <c r="BJ34" s="316"/>
      <c r="BK34" s="314" t="s">
        <v>147</v>
      </c>
      <c r="BL34" s="315" t="s">
        <v>150</v>
      </c>
      <c r="BM34" s="315"/>
      <c r="BN34" s="316" t="s">
        <v>148</v>
      </c>
      <c r="BO34" s="314" t="s">
        <v>148</v>
      </c>
      <c r="BP34" s="315" t="s">
        <v>150</v>
      </c>
      <c r="BQ34" s="315" t="s">
        <v>148</v>
      </c>
      <c r="BR34" s="315"/>
      <c r="BS34" s="315"/>
      <c r="BT34" s="315" t="s">
        <v>148</v>
      </c>
      <c r="BU34" s="315" t="s">
        <v>148</v>
      </c>
      <c r="BV34" s="316"/>
      <c r="BW34" s="314" t="s">
        <v>150</v>
      </c>
      <c r="BX34" s="315" t="s">
        <v>148</v>
      </c>
      <c r="BY34" s="315" t="s">
        <v>150</v>
      </c>
      <c r="BZ34" s="315" t="s">
        <v>148</v>
      </c>
      <c r="CA34" s="315" t="s">
        <v>150</v>
      </c>
      <c r="CB34" s="316" t="s">
        <v>150</v>
      </c>
      <c r="CC34" s="314"/>
      <c r="CD34" s="315" t="s">
        <v>148</v>
      </c>
      <c r="CE34" s="316"/>
      <c r="CF34" s="314"/>
      <c r="CG34" s="315"/>
      <c r="CH34" s="315"/>
      <c r="CI34" s="317"/>
      <c r="CK34" s="236">
        <f t="shared" si="10"/>
        <v>1</v>
      </c>
      <c r="CL34" s="237">
        <f t="shared" si="11"/>
        <v>3</v>
      </c>
      <c r="CM34" s="237">
        <f t="shared" si="12"/>
        <v>12</v>
      </c>
      <c r="CN34" s="237">
        <f t="shared" si="13"/>
        <v>10</v>
      </c>
      <c r="CO34" s="238">
        <f t="shared" si="14"/>
        <v>1</v>
      </c>
      <c r="CQ34" s="236" t="str">
        <f>desired_skills(C34,"Methodieken/Prince 2","o")</f>
        <v/>
      </c>
      <c r="CR34" s="237" t="str">
        <f>desired_skills(C34,"Methodieken/Prince 2","j")</f>
        <v/>
      </c>
      <c r="CS34" s="237" t="str">
        <f>desired_skills(C34,"Methodieken/Prince 2","m")</f>
        <v/>
      </c>
      <c r="CT34" s="237" t="str">
        <f>desired_skills(C34,"Methodieken/Prince 2","s")</f>
        <v/>
      </c>
      <c r="CU34" s="238" t="str">
        <f>desired_skills(C34,"Methodieken/Prince 2","e")</f>
        <v/>
      </c>
      <c r="CW34" s="236" t="str">
        <f>calc_gap('Matrix 171007_1806'!$CK$34,'Matrix 171007_1806'!$CQ$34)</f>
        <v/>
      </c>
      <c r="CX34" s="237" t="str">
        <f>calc_gap('Matrix 171007_1806'!$CL$34,'Matrix 171007_1806'!$CR$34)</f>
        <v/>
      </c>
      <c r="CY34" s="237" t="str">
        <f>calc_gap('Matrix 171007_1806'!$CM$34,'Matrix 171007_1806'!$CS$34)</f>
        <v/>
      </c>
      <c r="CZ34" s="237" t="str">
        <f>calc_gap('Matrix 171007_1806'!$CN$34,'Matrix 171007_1806'!$CT$34)</f>
        <v/>
      </c>
      <c r="DA34" s="238" t="str">
        <f>calc_gap('Matrix 171007_1806'!$CO$34,'Matrix 171007_1806'!$CU$34)</f>
        <v/>
      </c>
    </row>
    <row r="35" spans="2:105" x14ac:dyDescent="0.25">
      <c r="B35" s="435"/>
      <c r="C35" s="291" t="s">
        <v>79</v>
      </c>
      <c r="D35" s="314"/>
      <c r="E35" s="315"/>
      <c r="F35" s="315"/>
      <c r="G35" s="315"/>
      <c r="H35" s="315"/>
      <c r="I35" s="315"/>
      <c r="J35" s="315"/>
      <c r="K35" s="316"/>
      <c r="L35" s="314"/>
      <c r="M35" s="315"/>
      <c r="N35" s="315"/>
      <c r="O35" s="316"/>
      <c r="P35" s="314"/>
      <c r="Q35" s="315"/>
      <c r="R35" s="315"/>
      <c r="S35" s="315"/>
      <c r="T35" s="315"/>
      <c r="U35" s="315"/>
      <c r="V35" s="315"/>
      <c r="W35" s="315"/>
      <c r="X35" s="315"/>
      <c r="Y35" s="315"/>
      <c r="Z35" s="315"/>
      <c r="AA35" s="315"/>
      <c r="AB35" s="315"/>
      <c r="AC35" s="315"/>
      <c r="AD35" s="315"/>
      <c r="AE35" s="315"/>
      <c r="AF35" s="315"/>
      <c r="AG35" s="315"/>
      <c r="AH35" s="315"/>
      <c r="AI35" s="316"/>
      <c r="AJ35" s="314"/>
      <c r="AK35" s="315"/>
      <c r="AL35" s="316"/>
      <c r="AM35" s="314"/>
      <c r="AN35" s="315"/>
      <c r="AO35" s="316"/>
      <c r="AP35" s="314"/>
      <c r="AQ35" s="315"/>
      <c r="AR35" s="315"/>
      <c r="AS35" s="315"/>
      <c r="AT35" s="316"/>
      <c r="AU35" s="314" t="s">
        <v>150</v>
      </c>
      <c r="AV35" s="315" t="s">
        <v>150</v>
      </c>
      <c r="AW35" s="315" t="s">
        <v>150</v>
      </c>
      <c r="AX35" s="315" t="s">
        <v>47</v>
      </c>
      <c r="AY35" s="315" t="s">
        <v>47</v>
      </c>
      <c r="AZ35" s="315"/>
      <c r="BA35" s="315" t="s">
        <v>150</v>
      </c>
      <c r="BB35" s="316" t="s">
        <v>148</v>
      </c>
      <c r="BC35" s="314" t="s">
        <v>147</v>
      </c>
      <c r="BD35" s="315" t="s">
        <v>149</v>
      </c>
      <c r="BE35" s="315"/>
      <c r="BF35" s="315"/>
      <c r="BG35" s="316"/>
      <c r="BH35" s="314"/>
      <c r="BI35" s="315"/>
      <c r="BJ35" s="316"/>
      <c r="BK35" s="314"/>
      <c r="BL35" s="315" t="s">
        <v>150</v>
      </c>
      <c r="BM35" s="315"/>
      <c r="BN35" s="316"/>
      <c r="BO35" s="314"/>
      <c r="BP35" s="315" t="s">
        <v>148</v>
      </c>
      <c r="BQ35" s="315" t="s">
        <v>147</v>
      </c>
      <c r="BR35" s="315"/>
      <c r="BS35" s="315"/>
      <c r="BT35" s="315" t="s">
        <v>148</v>
      </c>
      <c r="BU35" s="315" t="s">
        <v>148</v>
      </c>
      <c r="BV35" s="316"/>
      <c r="BW35" s="314" t="s">
        <v>148</v>
      </c>
      <c r="BX35" s="315" t="s">
        <v>148</v>
      </c>
      <c r="BY35" s="315" t="s">
        <v>150</v>
      </c>
      <c r="BZ35" s="315" t="s">
        <v>147</v>
      </c>
      <c r="CA35" s="315" t="s">
        <v>150</v>
      </c>
      <c r="CB35" s="316" t="s">
        <v>150</v>
      </c>
      <c r="CC35" s="314"/>
      <c r="CD35" s="315"/>
      <c r="CE35" s="316"/>
      <c r="CF35" s="314"/>
      <c r="CG35" s="315"/>
      <c r="CH35" s="315"/>
      <c r="CI35" s="317"/>
      <c r="CK35" s="236">
        <f t="shared" si="10"/>
        <v>1</v>
      </c>
      <c r="CL35" s="237">
        <f t="shared" si="11"/>
        <v>3</v>
      </c>
      <c r="CM35" s="237">
        <f t="shared" si="12"/>
        <v>6</v>
      </c>
      <c r="CN35" s="237">
        <f t="shared" si="13"/>
        <v>8</v>
      </c>
      <c r="CO35" s="238">
        <f t="shared" si="14"/>
        <v>2</v>
      </c>
      <c r="CQ35" s="236" t="str">
        <f>desired_skills(C35,"Methodieken/Sox","o")</f>
        <v/>
      </c>
      <c r="CR35" s="237" t="str">
        <f>desired_skills(C35,"Methodieken/Sox","j")</f>
        <v/>
      </c>
      <c r="CS35" s="237" t="str">
        <f>desired_skills(C35,"Methodieken/Sox","m")</f>
        <v/>
      </c>
      <c r="CT35" s="237" t="str">
        <f>desired_skills(C35,"Methodieken/Sox","s")</f>
        <v/>
      </c>
      <c r="CU35" s="238" t="str">
        <f>desired_skills(C35,"Methodieken/Sox","e")</f>
        <v/>
      </c>
      <c r="CW35" s="236" t="str">
        <f>calc_gap('Matrix 171007_1806'!$CK$35,'Matrix 171007_1806'!$CQ$35)</f>
        <v/>
      </c>
      <c r="CX35" s="237" t="str">
        <f>calc_gap('Matrix 171007_1806'!$CL$35,'Matrix 171007_1806'!$CR$35)</f>
        <v/>
      </c>
      <c r="CY35" s="237" t="str">
        <f>calc_gap('Matrix 171007_1806'!$CM$35,'Matrix 171007_1806'!$CS$35)</f>
        <v/>
      </c>
      <c r="CZ35" s="237" t="str">
        <f>calc_gap('Matrix 171007_1806'!$CN$35,'Matrix 171007_1806'!$CT$35)</f>
        <v/>
      </c>
      <c r="DA35" s="238" t="str">
        <f>calc_gap('Matrix 171007_1806'!$CO$35,'Matrix 171007_1806'!$CU$35)</f>
        <v/>
      </c>
    </row>
    <row r="36" spans="2:105" x14ac:dyDescent="0.25">
      <c r="B36" s="435"/>
      <c r="C36" s="291" t="s">
        <v>80</v>
      </c>
      <c r="D36" s="314"/>
      <c r="E36" s="315"/>
      <c r="F36" s="315"/>
      <c r="G36" s="315"/>
      <c r="H36" s="315"/>
      <c r="I36" s="315"/>
      <c r="J36" s="315"/>
      <c r="K36" s="316"/>
      <c r="L36" s="314"/>
      <c r="M36" s="315"/>
      <c r="N36" s="315"/>
      <c r="O36" s="316"/>
      <c r="P36" s="314"/>
      <c r="Q36" s="315"/>
      <c r="R36" s="315"/>
      <c r="S36" s="315"/>
      <c r="T36" s="315"/>
      <c r="U36" s="315"/>
      <c r="V36" s="315"/>
      <c r="W36" s="315"/>
      <c r="X36" s="315"/>
      <c r="Y36" s="315"/>
      <c r="Z36" s="315"/>
      <c r="AA36" s="315"/>
      <c r="AB36" s="315"/>
      <c r="AC36" s="315"/>
      <c r="AD36" s="315"/>
      <c r="AE36" s="315"/>
      <c r="AF36" s="315"/>
      <c r="AG36" s="315"/>
      <c r="AH36" s="315"/>
      <c r="AI36" s="316"/>
      <c r="AJ36" s="314"/>
      <c r="AK36" s="315"/>
      <c r="AL36" s="316"/>
      <c r="AM36" s="314"/>
      <c r="AN36" s="315"/>
      <c r="AO36" s="316"/>
      <c r="AP36" s="314"/>
      <c r="AQ36" s="315"/>
      <c r="AR36" s="315"/>
      <c r="AS36" s="315"/>
      <c r="AT36" s="316"/>
      <c r="AU36" s="314" t="s">
        <v>150</v>
      </c>
      <c r="AV36" s="315" t="s">
        <v>148</v>
      </c>
      <c r="AW36" s="315" t="s">
        <v>150</v>
      </c>
      <c r="AX36" s="315" t="s">
        <v>150</v>
      </c>
      <c r="AY36" s="315" t="s">
        <v>150</v>
      </c>
      <c r="AZ36" s="315"/>
      <c r="BA36" s="315" t="s">
        <v>147</v>
      </c>
      <c r="BB36" s="316" t="s">
        <v>148</v>
      </c>
      <c r="BC36" s="314" t="s">
        <v>147</v>
      </c>
      <c r="BD36" s="315"/>
      <c r="BE36" s="315"/>
      <c r="BF36" s="315"/>
      <c r="BG36" s="316"/>
      <c r="BH36" s="314"/>
      <c r="BI36" s="315" t="s">
        <v>148</v>
      </c>
      <c r="BJ36" s="316"/>
      <c r="BK36" s="314"/>
      <c r="BL36" s="315" t="s">
        <v>149</v>
      </c>
      <c r="BM36" s="315"/>
      <c r="BN36" s="316"/>
      <c r="BO36" s="314"/>
      <c r="BP36" s="315" t="s">
        <v>147</v>
      </c>
      <c r="BQ36" s="315"/>
      <c r="BR36" s="315"/>
      <c r="BS36" s="315"/>
      <c r="BT36" s="315"/>
      <c r="BU36" s="315" t="s">
        <v>148</v>
      </c>
      <c r="BV36" s="316"/>
      <c r="BW36" s="314" t="s">
        <v>148</v>
      </c>
      <c r="BX36" s="315"/>
      <c r="BY36" s="315" t="s">
        <v>147</v>
      </c>
      <c r="BZ36" s="315"/>
      <c r="CA36" s="315" t="s">
        <v>150</v>
      </c>
      <c r="CB36" s="316" t="s">
        <v>148</v>
      </c>
      <c r="CC36" s="314"/>
      <c r="CD36" s="315"/>
      <c r="CE36" s="316"/>
      <c r="CF36" s="314"/>
      <c r="CG36" s="315"/>
      <c r="CH36" s="315"/>
      <c r="CI36" s="317"/>
      <c r="CK36" s="236">
        <f t="shared" si="10"/>
        <v>1</v>
      </c>
      <c r="CL36" s="237">
        <f t="shared" si="11"/>
        <v>4</v>
      </c>
      <c r="CM36" s="237">
        <f t="shared" si="12"/>
        <v>6</v>
      </c>
      <c r="CN36" s="237">
        <f t="shared" si="13"/>
        <v>5</v>
      </c>
      <c r="CO36" s="238" t="str">
        <f t="shared" si="14"/>
        <v/>
      </c>
      <c r="CQ36" s="236" t="str">
        <f>desired_skills(C36,"Methodieken/Cobit","o")</f>
        <v/>
      </c>
      <c r="CR36" s="237" t="str">
        <f>desired_skills(C36,"Methodieken/Cobit","j")</f>
        <v/>
      </c>
      <c r="CS36" s="237" t="str">
        <f>desired_skills(C36,"Methodieken/Cobit","m")</f>
        <v/>
      </c>
      <c r="CT36" s="237" t="str">
        <f>desired_skills(C36,"Methodieken/Cobit","s")</f>
        <v/>
      </c>
      <c r="CU36" s="238" t="str">
        <f>desired_skills(C36,"Methodieken/Cobit","e")</f>
        <v/>
      </c>
      <c r="CW36" s="236" t="str">
        <f>calc_gap('Matrix 171007_1806'!$CK$36,'Matrix 171007_1806'!$CQ$36)</f>
        <v/>
      </c>
      <c r="CX36" s="237" t="str">
        <f>calc_gap('Matrix 171007_1806'!$CL$36,'Matrix 171007_1806'!$CR$36)</f>
        <v/>
      </c>
      <c r="CY36" s="237" t="str">
        <f>calc_gap('Matrix 171007_1806'!$CM$36,'Matrix 171007_1806'!$CS$36)</f>
        <v/>
      </c>
      <c r="CZ36" s="237" t="str">
        <f>calc_gap('Matrix 171007_1806'!$CN$36,'Matrix 171007_1806'!$CT$36)</f>
        <v/>
      </c>
      <c r="DA36" s="238" t="str">
        <f>calc_gap('Matrix 171007_1806'!$CO$36,'Matrix 171007_1806'!$CU$36)</f>
        <v/>
      </c>
    </row>
    <row r="37" spans="2:105" ht="15.75" thickBot="1" x14ac:dyDescent="0.3">
      <c r="B37" s="435"/>
      <c r="C37" s="292" t="s">
        <v>225</v>
      </c>
      <c r="D37" s="318"/>
      <c r="E37" s="319"/>
      <c r="F37" s="319"/>
      <c r="G37" s="319"/>
      <c r="H37" s="319"/>
      <c r="I37" s="319"/>
      <c r="J37" s="319"/>
      <c r="K37" s="320"/>
      <c r="L37" s="318"/>
      <c r="M37" s="319"/>
      <c r="N37" s="319"/>
      <c r="O37" s="320"/>
      <c r="P37" s="318"/>
      <c r="Q37" s="319"/>
      <c r="R37" s="319"/>
      <c r="S37" s="319"/>
      <c r="T37" s="319"/>
      <c r="U37" s="319"/>
      <c r="V37" s="319"/>
      <c r="W37" s="319"/>
      <c r="X37" s="319"/>
      <c r="Y37" s="319"/>
      <c r="Z37" s="319"/>
      <c r="AA37" s="319"/>
      <c r="AB37" s="319"/>
      <c r="AC37" s="319"/>
      <c r="AD37" s="319"/>
      <c r="AE37" s="319"/>
      <c r="AF37" s="319"/>
      <c r="AG37" s="319"/>
      <c r="AH37" s="319"/>
      <c r="AI37" s="320"/>
      <c r="AJ37" s="318"/>
      <c r="AK37" s="319"/>
      <c r="AL37" s="320"/>
      <c r="AM37" s="318"/>
      <c r="AN37" s="319"/>
      <c r="AO37" s="320"/>
      <c r="AP37" s="318"/>
      <c r="AQ37" s="319"/>
      <c r="AR37" s="319"/>
      <c r="AS37" s="319"/>
      <c r="AT37" s="320"/>
      <c r="AU37" s="318"/>
      <c r="AV37" s="319"/>
      <c r="AW37" s="319"/>
      <c r="AX37" s="319"/>
      <c r="AY37" s="319"/>
      <c r="AZ37" s="319"/>
      <c r="BA37" s="319"/>
      <c r="BB37" s="320"/>
      <c r="BC37" s="318"/>
      <c r="BD37" s="319"/>
      <c r="BE37" s="319"/>
      <c r="BF37" s="319"/>
      <c r="BG37" s="320"/>
      <c r="BH37" s="318"/>
      <c r="BI37" s="319"/>
      <c r="BJ37" s="320"/>
      <c r="BK37" s="318"/>
      <c r="BL37" s="319"/>
      <c r="BM37" s="319"/>
      <c r="BN37" s="320"/>
      <c r="BO37" s="318"/>
      <c r="BP37" s="319"/>
      <c r="BQ37" s="319"/>
      <c r="BR37" s="319"/>
      <c r="BS37" s="319"/>
      <c r="BT37" s="319"/>
      <c r="BU37" s="319"/>
      <c r="BV37" s="320"/>
      <c r="BW37" s="318"/>
      <c r="BX37" s="319"/>
      <c r="BY37" s="319"/>
      <c r="BZ37" s="319"/>
      <c r="CA37" s="319"/>
      <c r="CB37" s="320"/>
      <c r="CC37" s="318"/>
      <c r="CD37" s="319"/>
      <c r="CE37" s="320"/>
      <c r="CF37" s="318"/>
      <c r="CG37" s="319"/>
      <c r="CH37" s="319"/>
      <c r="CI37" s="321"/>
      <c r="CK37" s="239" t="str">
        <f t="shared" si="10"/>
        <v/>
      </c>
      <c r="CL37" s="240" t="str">
        <f t="shared" si="11"/>
        <v/>
      </c>
      <c r="CM37" s="240" t="str">
        <f t="shared" si="12"/>
        <v/>
      </c>
      <c r="CN37" s="240" t="str">
        <f t="shared" si="13"/>
        <v/>
      </c>
      <c r="CO37" s="241" t="str">
        <f t="shared" si="14"/>
        <v/>
      </c>
      <c r="CQ37" s="239" t="str">
        <f>desired_skills(C37,"Methodieken/CISM/CISSP","o")</f>
        <v/>
      </c>
      <c r="CR37" s="240" t="str">
        <f>desired_skills(C37,"Methodieken/CISM/CISSP","j")</f>
        <v/>
      </c>
      <c r="CS37" s="240" t="str">
        <f>desired_skills(C37,"Methodieken/CISM/CISSP","m")</f>
        <v/>
      </c>
      <c r="CT37" s="240" t="str">
        <f>desired_skills(C37,"Methodieken/CISM/CISSP","s")</f>
        <v/>
      </c>
      <c r="CU37" s="241" t="str">
        <f>desired_skills(C37,"Methodieken/CISM/CISSP","e")</f>
        <v/>
      </c>
      <c r="CW37" s="239" t="str">
        <f>calc_gap('Matrix 171007_1806'!$CK$37,'Matrix 171007_1806'!$CQ$37)</f>
        <v/>
      </c>
      <c r="CX37" s="240" t="str">
        <f>calc_gap('Matrix 171007_1806'!$CL$37,'Matrix 171007_1806'!$CR$37)</f>
        <v/>
      </c>
      <c r="CY37" s="240" t="str">
        <f>calc_gap('Matrix 171007_1806'!$CM$37,'Matrix 171007_1806'!$CS$37)</f>
        <v/>
      </c>
      <c r="CZ37" s="240" t="str">
        <f>calc_gap('Matrix 171007_1806'!$CN$37,'Matrix 171007_1806'!$CT$37)</f>
        <v/>
      </c>
      <c r="DA37" s="241" t="str">
        <f>calc_gap('Matrix 171007_1806'!$CO$37,'Matrix 171007_1806'!$CU$37)</f>
        <v/>
      </c>
    </row>
    <row r="38" spans="2:105" ht="12.75" customHeight="1" thickTop="1" thickBot="1" x14ac:dyDescent="0.3">
      <c r="B38" s="436"/>
      <c r="C38" s="248"/>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2"/>
      <c r="AC38" s="322"/>
      <c r="AD38" s="322"/>
      <c r="AE38" s="322"/>
      <c r="AF38" s="322"/>
      <c r="AG38" s="322"/>
      <c r="AH38" s="322"/>
      <c r="AI38" s="322"/>
      <c r="AJ38" s="322"/>
      <c r="AK38" s="322"/>
      <c r="AL38" s="322"/>
      <c r="AM38" s="322"/>
      <c r="AN38" s="322"/>
      <c r="AO38" s="322"/>
      <c r="AP38" s="322"/>
      <c r="AQ38" s="322"/>
      <c r="AR38" s="322"/>
      <c r="AS38" s="322"/>
      <c r="AT38" s="322"/>
      <c r="AU38" s="322"/>
      <c r="AV38" s="322"/>
      <c r="AW38" s="322"/>
      <c r="AX38" s="322"/>
      <c r="AY38" s="322"/>
      <c r="AZ38" s="322"/>
      <c r="BA38" s="322"/>
      <c r="BB38" s="322"/>
      <c r="BC38" s="322"/>
      <c r="BD38" s="322"/>
      <c r="BE38" s="322"/>
      <c r="BF38" s="322"/>
      <c r="BG38" s="322"/>
      <c r="BH38" s="322"/>
      <c r="BI38" s="322"/>
      <c r="BJ38" s="322"/>
      <c r="BK38" s="322"/>
      <c r="BL38" s="322"/>
      <c r="BM38" s="322"/>
      <c r="BN38" s="322"/>
      <c r="BO38" s="322"/>
      <c r="BP38" s="322"/>
      <c r="BQ38" s="322"/>
      <c r="BR38" s="322"/>
      <c r="BS38" s="322"/>
      <c r="BT38" s="322"/>
      <c r="BU38" s="322"/>
      <c r="BV38" s="322"/>
      <c r="BW38" s="322"/>
      <c r="BX38" s="322"/>
      <c r="BY38" s="322"/>
      <c r="BZ38" s="322"/>
      <c r="CA38" s="322"/>
      <c r="CB38" s="322"/>
      <c r="CC38" s="322"/>
      <c r="CD38" s="322"/>
      <c r="CE38" s="322"/>
      <c r="CF38" s="322"/>
      <c r="CG38" s="322"/>
      <c r="CH38" s="322"/>
      <c r="CI38" s="322"/>
      <c r="CK38" s="249"/>
      <c r="CL38" s="249"/>
      <c r="CM38" s="249"/>
      <c r="CN38" s="249"/>
      <c r="CO38" s="249"/>
      <c r="CQ38" s="249"/>
      <c r="CR38" s="249"/>
      <c r="CS38" s="249"/>
      <c r="CT38" s="249"/>
      <c r="CU38" s="249"/>
      <c r="CW38" s="249"/>
      <c r="CX38" s="249"/>
      <c r="CY38" s="249"/>
      <c r="CZ38" s="249"/>
      <c r="DA38" s="249"/>
    </row>
    <row r="39" spans="2:105" ht="15.75" thickTop="1" x14ac:dyDescent="0.25">
      <c r="B39" s="434" t="s">
        <v>81</v>
      </c>
      <c r="C39" s="290" t="s">
        <v>82</v>
      </c>
      <c r="D39" s="310"/>
      <c r="E39" s="311"/>
      <c r="F39" s="311"/>
      <c r="G39" s="311"/>
      <c r="H39" s="311"/>
      <c r="I39" s="311"/>
      <c r="J39" s="311"/>
      <c r="K39" s="312"/>
      <c r="L39" s="310"/>
      <c r="M39" s="311"/>
      <c r="N39" s="311"/>
      <c r="O39" s="312"/>
      <c r="P39" s="310"/>
      <c r="Q39" s="311"/>
      <c r="R39" s="311"/>
      <c r="S39" s="311"/>
      <c r="T39" s="311"/>
      <c r="U39" s="311"/>
      <c r="V39" s="311"/>
      <c r="W39" s="311"/>
      <c r="X39" s="311"/>
      <c r="Y39" s="311"/>
      <c r="Z39" s="311"/>
      <c r="AA39" s="311"/>
      <c r="AB39" s="311"/>
      <c r="AC39" s="311"/>
      <c r="AD39" s="311"/>
      <c r="AE39" s="311"/>
      <c r="AF39" s="311"/>
      <c r="AG39" s="311"/>
      <c r="AH39" s="311"/>
      <c r="AI39" s="312"/>
      <c r="AJ39" s="310"/>
      <c r="AK39" s="311"/>
      <c r="AL39" s="312"/>
      <c r="AM39" s="310"/>
      <c r="AN39" s="311"/>
      <c r="AO39" s="312"/>
      <c r="AP39" s="310"/>
      <c r="AQ39" s="311"/>
      <c r="AR39" s="311"/>
      <c r="AS39" s="311"/>
      <c r="AT39" s="312"/>
      <c r="AU39" s="310" t="s">
        <v>150</v>
      </c>
      <c r="AV39" s="311" t="s">
        <v>148</v>
      </c>
      <c r="AW39" s="311" t="s">
        <v>150</v>
      </c>
      <c r="AX39" s="311" t="s">
        <v>150</v>
      </c>
      <c r="AY39" s="311" t="s">
        <v>148</v>
      </c>
      <c r="AZ39" s="311" t="s">
        <v>148</v>
      </c>
      <c r="BA39" s="311" t="s">
        <v>148</v>
      </c>
      <c r="BB39" s="312" t="s">
        <v>150</v>
      </c>
      <c r="BC39" s="310" t="s">
        <v>148</v>
      </c>
      <c r="BD39" s="311" t="s">
        <v>148</v>
      </c>
      <c r="BE39" s="311"/>
      <c r="BF39" s="311" t="s">
        <v>150</v>
      </c>
      <c r="BG39" s="312"/>
      <c r="BH39" s="310"/>
      <c r="BI39" s="311" t="s">
        <v>147</v>
      </c>
      <c r="BJ39" s="312"/>
      <c r="BK39" s="310" t="s">
        <v>148</v>
      </c>
      <c r="BL39" s="311" t="s">
        <v>150</v>
      </c>
      <c r="BM39" s="311"/>
      <c r="BN39" s="312" t="s">
        <v>148</v>
      </c>
      <c r="BO39" s="310" t="s">
        <v>148</v>
      </c>
      <c r="BP39" s="311" t="s">
        <v>47</v>
      </c>
      <c r="BQ39" s="311" t="s">
        <v>148</v>
      </c>
      <c r="BR39" s="311"/>
      <c r="BS39" s="311"/>
      <c r="BT39" s="311" t="s">
        <v>150</v>
      </c>
      <c r="BU39" s="311" t="s">
        <v>148</v>
      </c>
      <c r="BV39" s="312"/>
      <c r="BW39" s="310" t="s">
        <v>147</v>
      </c>
      <c r="BX39" s="311" t="s">
        <v>148</v>
      </c>
      <c r="BY39" s="311" t="s">
        <v>148</v>
      </c>
      <c r="BZ39" s="311" t="s">
        <v>150</v>
      </c>
      <c r="CA39" s="311" t="s">
        <v>150</v>
      </c>
      <c r="CB39" s="312" t="s">
        <v>150</v>
      </c>
      <c r="CC39" s="310" t="s">
        <v>148</v>
      </c>
      <c r="CD39" s="311" t="s">
        <v>150</v>
      </c>
      <c r="CE39" s="312"/>
      <c r="CF39" s="310"/>
      <c r="CG39" s="311"/>
      <c r="CH39" s="311"/>
      <c r="CI39" s="313"/>
      <c r="CK39" s="233" t="str">
        <f t="shared" ref="CK39:CK50" si="15">IF(COUNTIF(D39:CI39,"o")&gt;0,COUNTIF(D39:CI39,"o"),"")</f>
        <v/>
      </c>
      <c r="CL39" s="234">
        <f t="shared" ref="CL39:CL50" si="16">IF(COUNTIF(D39:CI39,"j")&gt;0,COUNTIF(D39:CI39,"j"),"")</f>
        <v>2</v>
      </c>
      <c r="CM39" s="234">
        <f t="shared" ref="CM39:CM50" si="17">IF(COUNTIF(D39:CI39,"m")&gt;0,COUNTIF(D39:CI39,"m"),"")</f>
        <v>14</v>
      </c>
      <c r="CN39" s="234">
        <f t="shared" ref="CN39:CN50" si="18">IF(COUNTIF(D39:CI39,"s")&gt;0,COUNTIF(D39:CI39,"s"),"")</f>
        <v>11</v>
      </c>
      <c r="CO39" s="235">
        <f t="shared" ref="CO39:CO50" si="19">IF(COUNTIF(D39:CI39,"e")&gt;0,COUNTIF(D39:CI39,"e"),"")</f>
        <v>1</v>
      </c>
      <c r="CQ39" s="233" t="str">
        <f>desired_skills(C39,"Competenties/Overtuigingskracht","o")</f>
        <v>21</v>
      </c>
      <c r="CR39" s="234" t="str">
        <f>desired_skills(C39,"Competenties/Overtuigingskracht","j")</f>
        <v/>
      </c>
      <c r="CS39" s="234" t="str">
        <f>desired_skills(C39,"Competenties/Overtuigingskracht","m")</f>
        <v/>
      </c>
      <c r="CT39" s="234" t="str">
        <f>desired_skills(C39,"Competenties/Overtuigingskracht","s")</f>
        <v/>
      </c>
      <c r="CU39" s="235" t="str">
        <f>desired_skills(C39,"Competenties/Overtuigingskracht","e")</f>
        <v/>
      </c>
      <c r="CW39" s="233" t="str">
        <f>calc_gap('Matrix 171007_1806'!$CK$39,'Matrix 171007_1806'!$CQ$39)</f>
        <v/>
      </c>
      <c r="CX39" s="234" t="str">
        <f>calc_gap('Matrix 171007_1806'!$CL$39,'Matrix 171007_1806'!$CR$39)</f>
        <v/>
      </c>
      <c r="CY39" s="234" t="str">
        <f>calc_gap('Matrix 171007_1806'!$CM$39,'Matrix 171007_1806'!$CS$39)</f>
        <v/>
      </c>
      <c r="CZ39" s="234" t="str">
        <f>calc_gap('Matrix 171007_1806'!$CN$39,'Matrix 171007_1806'!$CT$39)</f>
        <v/>
      </c>
      <c r="DA39" s="235" t="str">
        <f>calc_gap('Matrix 171007_1806'!$CO$39,'Matrix 171007_1806'!$CU$39)</f>
        <v/>
      </c>
    </row>
    <row r="40" spans="2:105" x14ac:dyDescent="0.25">
      <c r="B40" s="435"/>
      <c r="C40" s="291" t="s">
        <v>83</v>
      </c>
      <c r="D40" s="314"/>
      <c r="E40" s="315"/>
      <c r="F40" s="315"/>
      <c r="G40" s="315"/>
      <c r="H40" s="315"/>
      <c r="I40" s="315"/>
      <c r="J40" s="315"/>
      <c r="K40" s="316"/>
      <c r="L40" s="314"/>
      <c r="M40" s="315"/>
      <c r="N40" s="315"/>
      <c r="O40" s="316"/>
      <c r="P40" s="314"/>
      <c r="Q40" s="315"/>
      <c r="R40" s="315"/>
      <c r="S40" s="315"/>
      <c r="T40" s="315"/>
      <c r="U40" s="315"/>
      <c r="V40" s="315"/>
      <c r="W40" s="315"/>
      <c r="X40" s="315"/>
      <c r="Y40" s="315"/>
      <c r="Z40" s="315"/>
      <c r="AA40" s="315"/>
      <c r="AB40" s="315"/>
      <c r="AC40" s="315"/>
      <c r="AD40" s="315"/>
      <c r="AE40" s="315"/>
      <c r="AF40" s="315"/>
      <c r="AG40" s="315"/>
      <c r="AH40" s="315"/>
      <c r="AI40" s="316"/>
      <c r="AJ40" s="314"/>
      <c r="AK40" s="315"/>
      <c r="AL40" s="316"/>
      <c r="AM40" s="314"/>
      <c r="AN40" s="315"/>
      <c r="AO40" s="316"/>
      <c r="AP40" s="314"/>
      <c r="AQ40" s="315"/>
      <c r="AR40" s="315"/>
      <c r="AS40" s="315"/>
      <c r="AT40" s="316"/>
      <c r="AU40" s="314" t="s">
        <v>47</v>
      </c>
      <c r="AV40" s="315" t="s">
        <v>150</v>
      </c>
      <c r="AW40" s="315" t="s">
        <v>150</v>
      </c>
      <c r="AX40" s="315" t="s">
        <v>150</v>
      </c>
      <c r="AY40" s="315" t="s">
        <v>150</v>
      </c>
      <c r="AZ40" s="315" t="s">
        <v>47</v>
      </c>
      <c r="BA40" s="315" t="s">
        <v>47</v>
      </c>
      <c r="BB40" s="316" t="s">
        <v>47</v>
      </c>
      <c r="BC40" s="314" t="s">
        <v>150</v>
      </c>
      <c r="BD40" s="315" t="s">
        <v>148</v>
      </c>
      <c r="BE40" s="315"/>
      <c r="BF40" s="315" t="s">
        <v>47</v>
      </c>
      <c r="BG40" s="316"/>
      <c r="BH40" s="314"/>
      <c r="BI40" s="315" t="s">
        <v>150</v>
      </c>
      <c r="BJ40" s="316"/>
      <c r="BK40" s="314" t="s">
        <v>147</v>
      </c>
      <c r="BL40" s="315" t="s">
        <v>148</v>
      </c>
      <c r="BM40" s="315"/>
      <c r="BN40" s="316" t="s">
        <v>149</v>
      </c>
      <c r="BO40" s="314" t="s">
        <v>148</v>
      </c>
      <c r="BP40" s="315" t="s">
        <v>150</v>
      </c>
      <c r="BQ40" s="315" t="s">
        <v>150</v>
      </c>
      <c r="BR40" s="315"/>
      <c r="BS40" s="315"/>
      <c r="BT40" s="315" t="s">
        <v>150</v>
      </c>
      <c r="BU40" s="315" t="s">
        <v>150</v>
      </c>
      <c r="BV40" s="316"/>
      <c r="BW40" s="314" t="s">
        <v>150</v>
      </c>
      <c r="BX40" s="315" t="s">
        <v>148</v>
      </c>
      <c r="BY40" s="315" t="s">
        <v>150</v>
      </c>
      <c r="BZ40" s="315" t="s">
        <v>150</v>
      </c>
      <c r="CA40" s="315" t="s">
        <v>150</v>
      </c>
      <c r="CB40" s="316" t="s">
        <v>150</v>
      </c>
      <c r="CC40" s="314" t="s">
        <v>147</v>
      </c>
      <c r="CD40" s="315" t="s">
        <v>150</v>
      </c>
      <c r="CE40" s="316"/>
      <c r="CF40" s="314"/>
      <c r="CG40" s="315"/>
      <c r="CH40" s="315"/>
      <c r="CI40" s="317"/>
      <c r="CK40" s="236">
        <f t="shared" si="15"/>
        <v>1</v>
      </c>
      <c r="CL40" s="237">
        <f t="shared" si="16"/>
        <v>2</v>
      </c>
      <c r="CM40" s="237">
        <f t="shared" si="17"/>
        <v>4</v>
      </c>
      <c r="CN40" s="237">
        <f t="shared" si="18"/>
        <v>16</v>
      </c>
      <c r="CO40" s="238">
        <f t="shared" si="19"/>
        <v>5</v>
      </c>
      <c r="CQ40" s="236" t="str">
        <f>desired_skills(C40,"Competenties/Ketendenken/helicopterview","o")</f>
        <v/>
      </c>
      <c r="CR40" s="237" t="str">
        <f>desired_skills(C40,"Competenties/Ketendenken/helicopterview","j")</f>
        <v>22</v>
      </c>
      <c r="CS40" s="237" t="str">
        <f>desired_skills(C40,"Competenties/Ketendenken/helicopterview","m")</f>
        <v/>
      </c>
      <c r="CT40" s="237" t="str">
        <f>desired_skills(C40,"Competenties/Ketendenken/helicopterview","s")</f>
        <v/>
      </c>
      <c r="CU40" s="238" t="str">
        <f>desired_skills(C40,"Competenties/Ketendenken/helicopterview","e")</f>
        <v/>
      </c>
      <c r="CW40" s="236" t="str">
        <f>calc_gap('Matrix 171007_1806'!$CK$40,'Matrix 171007_1806'!$CQ$40)</f>
        <v/>
      </c>
      <c r="CX40" s="237" t="str">
        <f>calc_gap('Matrix 171007_1806'!$CL$40,'Matrix 171007_1806'!$CR$40)</f>
        <v>20</v>
      </c>
      <c r="CY40" s="237" t="str">
        <f>calc_gap('Matrix 171007_1806'!$CM$40,'Matrix 171007_1806'!$CS$40)</f>
        <v/>
      </c>
      <c r="CZ40" s="237" t="str">
        <f>calc_gap('Matrix 171007_1806'!$CN$40,'Matrix 171007_1806'!$CT$40)</f>
        <v/>
      </c>
      <c r="DA40" s="238" t="str">
        <f>calc_gap('Matrix 171007_1806'!$CO$40,'Matrix 171007_1806'!$CU$40)</f>
        <v/>
      </c>
    </row>
    <row r="41" spans="2:105" x14ac:dyDescent="0.25">
      <c r="B41" s="435"/>
      <c r="C41" s="291" t="s">
        <v>84</v>
      </c>
      <c r="D41" s="314"/>
      <c r="E41" s="315"/>
      <c r="F41" s="315"/>
      <c r="G41" s="315"/>
      <c r="H41" s="315"/>
      <c r="I41" s="315"/>
      <c r="J41" s="315"/>
      <c r="K41" s="316"/>
      <c r="L41" s="314"/>
      <c r="M41" s="315"/>
      <c r="N41" s="315"/>
      <c r="O41" s="316"/>
      <c r="P41" s="314"/>
      <c r="Q41" s="315"/>
      <c r="R41" s="315"/>
      <c r="S41" s="315"/>
      <c r="T41" s="315"/>
      <c r="U41" s="315"/>
      <c r="V41" s="315"/>
      <c r="W41" s="315"/>
      <c r="X41" s="315"/>
      <c r="Y41" s="315"/>
      <c r="Z41" s="315"/>
      <c r="AA41" s="315"/>
      <c r="AB41" s="315"/>
      <c r="AC41" s="315"/>
      <c r="AD41" s="315"/>
      <c r="AE41" s="315"/>
      <c r="AF41" s="315"/>
      <c r="AG41" s="315"/>
      <c r="AH41" s="315"/>
      <c r="AI41" s="316"/>
      <c r="AJ41" s="314"/>
      <c r="AK41" s="315"/>
      <c r="AL41" s="316"/>
      <c r="AM41" s="314"/>
      <c r="AN41" s="315"/>
      <c r="AO41" s="316"/>
      <c r="AP41" s="314"/>
      <c r="AQ41" s="315"/>
      <c r="AR41" s="315"/>
      <c r="AS41" s="315"/>
      <c r="AT41" s="316"/>
      <c r="AU41" s="314" t="s">
        <v>150</v>
      </c>
      <c r="AV41" s="315" t="s">
        <v>150</v>
      </c>
      <c r="AW41" s="315" t="s">
        <v>150</v>
      </c>
      <c r="AX41" s="315" t="s">
        <v>150</v>
      </c>
      <c r="AY41" s="315" t="s">
        <v>148</v>
      </c>
      <c r="AZ41" s="315" t="s">
        <v>150</v>
      </c>
      <c r="BA41" s="315" t="s">
        <v>148</v>
      </c>
      <c r="BB41" s="316" t="s">
        <v>150</v>
      </c>
      <c r="BC41" s="314" t="s">
        <v>47</v>
      </c>
      <c r="BD41" s="315" t="s">
        <v>148</v>
      </c>
      <c r="BE41" s="315"/>
      <c r="BF41" s="315" t="s">
        <v>150</v>
      </c>
      <c r="BG41" s="316"/>
      <c r="BH41" s="314"/>
      <c r="BI41" s="315" t="s">
        <v>148</v>
      </c>
      <c r="BJ41" s="316"/>
      <c r="BK41" s="314" t="s">
        <v>147</v>
      </c>
      <c r="BL41" s="315" t="s">
        <v>150</v>
      </c>
      <c r="BM41" s="315"/>
      <c r="BN41" s="316" t="s">
        <v>148</v>
      </c>
      <c r="BO41" s="314" t="s">
        <v>147</v>
      </c>
      <c r="BP41" s="315" t="s">
        <v>148</v>
      </c>
      <c r="BQ41" s="315" t="s">
        <v>148</v>
      </c>
      <c r="BR41" s="315"/>
      <c r="BS41" s="315"/>
      <c r="BT41" s="315" t="s">
        <v>148</v>
      </c>
      <c r="BU41" s="315" t="s">
        <v>148</v>
      </c>
      <c r="BV41" s="316"/>
      <c r="BW41" s="314" t="s">
        <v>148</v>
      </c>
      <c r="BX41" s="315" t="s">
        <v>148</v>
      </c>
      <c r="BY41" s="315" t="s">
        <v>148</v>
      </c>
      <c r="BZ41" s="315" t="s">
        <v>150</v>
      </c>
      <c r="CA41" s="315" t="s">
        <v>148</v>
      </c>
      <c r="CB41" s="316" t="s">
        <v>148</v>
      </c>
      <c r="CC41" s="314" t="s">
        <v>147</v>
      </c>
      <c r="CD41" s="315" t="s">
        <v>148</v>
      </c>
      <c r="CE41" s="316"/>
      <c r="CF41" s="314"/>
      <c r="CG41" s="315"/>
      <c r="CH41" s="315"/>
      <c r="CI41" s="317"/>
      <c r="CK41" s="236" t="str">
        <f t="shared" si="15"/>
        <v/>
      </c>
      <c r="CL41" s="237">
        <f t="shared" si="16"/>
        <v>3</v>
      </c>
      <c r="CM41" s="237">
        <f t="shared" si="17"/>
        <v>15</v>
      </c>
      <c r="CN41" s="237">
        <f t="shared" si="18"/>
        <v>9</v>
      </c>
      <c r="CO41" s="238">
        <f t="shared" si="19"/>
        <v>1</v>
      </c>
      <c r="CQ41" s="236" t="str">
        <f>desired_skills(C41,"Competenties/Presentatievaardigheden","o")</f>
        <v/>
      </c>
      <c r="CR41" s="237" t="str">
        <f>desired_skills(C41,"Competenties/Presentatievaardigheden","j")</f>
        <v/>
      </c>
      <c r="CS41" s="237" t="str">
        <f>desired_skills(C41,"Competenties/Presentatievaardigheden","m")</f>
        <v>23</v>
      </c>
      <c r="CT41" s="237" t="str">
        <f>desired_skills(C41,"Competenties/Presentatievaardigheden","s")</f>
        <v/>
      </c>
      <c r="CU41" s="238" t="str">
        <f>desired_skills(C41,"Competenties/Presentatievaardigheden","e")</f>
        <v/>
      </c>
      <c r="CW41" s="236" t="str">
        <f>calc_gap('Matrix 171007_1806'!$CK$41,'Matrix 171007_1806'!$CQ$41)</f>
        <v/>
      </c>
      <c r="CX41" s="237" t="str">
        <f>calc_gap('Matrix 171007_1806'!$CL$41,'Matrix 171007_1806'!$CR$41)</f>
        <v/>
      </c>
      <c r="CY41" s="237" t="str">
        <f>calc_gap('Matrix 171007_1806'!$CM$41,'Matrix 171007_1806'!$CS$41)</f>
        <v>8</v>
      </c>
      <c r="CZ41" s="237" t="str">
        <f>calc_gap('Matrix 171007_1806'!$CN$41,'Matrix 171007_1806'!$CT$41)</f>
        <v/>
      </c>
      <c r="DA41" s="238" t="str">
        <f>calc_gap('Matrix 171007_1806'!$CO$41,'Matrix 171007_1806'!$CU$41)</f>
        <v/>
      </c>
    </row>
    <row r="42" spans="2:105" x14ac:dyDescent="0.25">
      <c r="B42" s="435"/>
      <c r="C42" s="291" t="s">
        <v>85</v>
      </c>
      <c r="D42" s="314"/>
      <c r="E42" s="315"/>
      <c r="F42" s="315"/>
      <c r="G42" s="315"/>
      <c r="H42" s="315"/>
      <c r="I42" s="315"/>
      <c r="J42" s="315"/>
      <c r="K42" s="316"/>
      <c r="L42" s="314"/>
      <c r="M42" s="315"/>
      <c r="N42" s="315"/>
      <c r="O42" s="316"/>
      <c r="P42" s="314"/>
      <c r="Q42" s="315"/>
      <c r="R42" s="315"/>
      <c r="S42" s="315"/>
      <c r="T42" s="315"/>
      <c r="U42" s="315"/>
      <c r="V42" s="315"/>
      <c r="W42" s="315"/>
      <c r="X42" s="315"/>
      <c r="Y42" s="315"/>
      <c r="Z42" s="315"/>
      <c r="AA42" s="315"/>
      <c r="AB42" s="315"/>
      <c r="AC42" s="315"/>
      <c r="AD42" s="315"/>
      <c r="AE42" s="315"/>
      <c r="AF42" s="315"/>
      <c r="AG42" s="315"/>
      <c r="AH42" s="315"/>
      <c r="AI42" s="316"/>
      <c r="AJ42" s="314"/>
      <c r="AK42" s="315"/>
      <c r="AL42" s="316"/>
      <c r="AM42" s="314"/>
      <c r="AN42" s="315"/>
      <c r="AO42" s="316"/>
      <c r="AP42" s="314"/>
      <c r="AQ42" s="315"/>
      <c r="AR42" s="315"/>
      <c r="AS42" s="315"/>
      <c r="AT42" s="316"/>
      <c r="AU42" s="314" t="s">
        <v>150</v>
      </c>
      <c r="AV42" s="315" t="s">
        <v>148</v>
      </c>
      <c r="AW42" s="315" t="s">
        <v>150</v>
      </c>
      <c r="AX42" s="315" t="s">
        <v>150</v>
      </c>
      <c r="AY42" s="315" t="s">
        <v>150</v>
      </c>
      <c r="AZ42" s="315" t="s">
        <v>150</v>
      </c>
      <c r="BA42" s="315" t="s">
        <v>150</v>
      </c>
      <c r="BB42" s="316" t="s">
        <v>150</v>
      </c>
      <c r="BC42" s="314" t="s">
        <v>150</v>
      </c>
      <c r="BD42" s="315" t="s">
        <v>148</v>
      </c>
      <c r="BE42" s="315"/>
      <c r="BF42" s="315" t="s">
        <v>150</v>
      </c>
      <c r="BG42" s="316"/>
      <c r="BH42" s="314"/>
      <c r="BI42" s="315" t="s">
        <v>149</v>
      </c>
      <c r="BJ42" s="316"/>
      <c r="BK42" s="314" t="s">
        <v>148</v>
      </c>
      <c r="BL42" s="315" t="s">
        <v>148</v>
      </c>
      <c r="BM42" s="315"/>
      <c r="BN42" s="316"/>
      <c r="BO42" s="314" t="s">
        <v>147</v>
      </c>
      <c r="BP42" s="315" t="s">
        <v>150</v>
      </c>
      <c r="BQ42" s="315" t="s">
        <v>148</v>
      </c>
      <c r="BR42" s="315"/>
      <c r="BS42" s="315"/>
      <c r="BT42" s="315" t="s">
        <v>148</v>
      </c>
      <c r="BU42" s="315" t="s">
        <v>148</v>
      </c>
      <c r="BV42" s="316"/>
      <c r="BW42" s="314" t="s">
        <v>148</v>
      </c>
      <c r="BX42" s="315"/>
      <c r="BY42" s="315" t="s">
        <v>150</v>
      </c>
      <c r="BZ42" s="315" t="s">
        <v>150</v>
      </c>
      <c r="CA42" s="315" t="s">
        <v>47</v>
      </c>
      <c r="CB42" s="316" t="s">
        <v>150</v>
      </c>
      <c r="CC42" s="314"/>
      <c r="CD42" s="315" t="s">
        <v>150</v>
      </c>
      <c r="CE42" s="316"/>
      <c r="CF42" s="314"/>
      <c r="CG42" s="315"/>
      <c r="CH42" s="315"/>
      <c r="CI42" s="317"/>
      <c r="CK42" s="236">
        <f t="shared" si="15"/>
        <v>1</v>
      </c>
      <c r="CL42" s="237">
        <f t="shared" si="16"/>
        <v>1</v>
      </c>
      <c r="CM42" s="237">
        <f t="shared" si="17"/>
        <v>8</v>
      </c>
      <c r="CN42" s="237">
        <f t="shared" si="18"/>
        <v>14</v>
      </c>
      <c r="CO42" s="238">
        <f t="shared" si="19"/>
        <v>1</v>
      </c>
      <c r="CQ42" s="236" t="str">
        <f>desired_skills(C42,"Competenties/Stakeholdermanagement","o")</f>
        <v/>
      </c>
      <c r="CR42" s="237" t="str">
        <f>desired_skills(C42,"Competenties/Stakeholdermanagement","j")</f>
        <v/>
      </c>
      <c r="CS42" s="237" t="str">
        <f>desired_skills(C42,"Competenties/Stakeholdermanagement","m")</f>
        <v/>
      </c>
      <c r="CT42" s="237" t="str">
        <f>desired_skills(C42,"Competenties/Stakeholdermanagement","s")</f>
        <v>24</v>
      </c>
      <c r="CU42" s="238" t="str">
        <f>desired_skills(C42,"Competenties/Stakeholdermanagement","e")</f>
        <v/>
      </c>
      <c r="CW42" s="236" t="str">
        <f>calc_gap('Matrix 171007_1806'!$CK$42,'Matrix 171007_1806'!$CQ$42)</f>
        <v/>
      </c>
      <c r="CX42" s="237" t="str">
        <f>calc_gap('Matrix 171007_1806'!$CL$42,'Matrix 171007_1806'!$CR$42)</f>
        <v/>
      </c>
      <c r="CY42" s="237" t="str">
        <f>calc_gap('Matrix 171007_1806'!$CM$42,'Matrix 171007_1806'!$CS$42)</f>
        <v/>
      </c>
      <c r="CZ42" s="237" t="str">
        <f>calc_gap('Matrix 171007_1806'!$CN$42,'Matrix 171007_1806'!$CT$42)</f>
        <v>10</v>
      </c>
      <c r="DA42" s="238" t="str">
        <f>calc_gap('Matrix 171007_1806'!$CO$42,'Matrix 171007_1806'!$CU$42)</f>
        <v/>
      </c>
    </row>
    <row r="43" spans="2:105" x14ac:dyDescent="0.25">
      <c r="B43" s="435"/>
      <c r="C43" s="291" t="s">
        <v>86</v>
      </c>
      <c r="D43" s="314"/>
      <c r="E43" s="315"/>
      <c r="F43" s="315"/>
      <c r="G43" s="315"/>
      <c r="H43" s="315"/>
      <c r="I43" s="315"/>
      <c r="J43" s="315"/>
      <c r="K43" s="316"/>
      <c r="L43" s="314"/>
      <c r="M43" s="315"/>
      <c r="N43" s="315"/>
      <c r="O43" s="316"/>
      <c r="P43" s="314"/>
      <c r="Q43" s="315"/>
      <c r="R43" s="315"/>
      <c r="S43" s="315"/>
      <c r="T43" s="315"/>
      <c r="U43" s="315"/>
      <c r="V43" s="315"/>
      <c r="W43" s="315"/>
      <c r="X43" s="315"/>
      <c r="Y43" s="315"/>
      <c r="Z43" s="315"/>
      <c r="AA43" s="315"/>
      <c r="AB43" s="315"/>
      <c r="AC43" s="315"/>
      <c r="AD43" s="315"/>
      <c r="AE43" s="315"/>
      <c r="AF43" s="315"/>
      <c r="AG43" s="315"/>
      <c r="AH43" s="315"/>
      <c r="AI43" s="316"/>
      <c r="AJ43" s="314"/>
      <c r="AK43" s="315"/>
      <c r="AL43" s="316"/>
      <c r="AM43" s="314"/>
      <c r="AN43" s="315"/>
      <c r="AO43" s="316"/>
      <c r="AP43" s="314"/>
      <c r="AQ43" s="315"/>
      <c r="AR43" s="315"/>
      <c r="AS43" s="315"/>
      <c r="AT43" s="316"/>
      <c r="AU43" s="314" t="s">
        <v>150</v>
      </c>
      <c r="AV43" s="315" t="s">
        <v>150</v>
      </c>
      <c r="AW43" s="315" t="s">
        <v>150</v>
      </c>
      <c r="AX43" s="315" t="s">
        <v>150</v>
      </c>
      <c r="AY43" s="315" t="s">
        <v>150</v>
      </c>
      <c r="AZ43" s="315" t="s">
        <v>150</v>
      </c>
      <c r="BA43" s="315" t="s">
        <v>148</v>
      </c>
      <c r="BB43" s="316" t="s">
        <v>150</v>
      </c>
      <c r="BC43" s="314" t="s">
        <v>150</v>
      </c>
      <c r="BD43" s="315" t="s">
        <v>148</v>
      </c>
      <c r="BE43" s="315"/>
      <c r="BF43" s="315" t="s">
        <v>47</v>
      </c>
      <c r="BG43" s="316"/>
      <c r="BH43" s="314"/>
      <c r="BI43" s="315" t="s">
        <v>150</v>
      </c>
      <c r="BJ43" s="316"/>
      <c r="BK43" s="314" t="s">
        <v>147</v>
      </c>
      <c r="BL43" s="315" t="s">
        <v>148</v>
      </c>
      <c r="BM43" s="315"/>
      <c r="BN43" s="316" t="s">
        <v>148</v>
      </c>
      <c r="BO43" s="314" t="s">
        <v>150</v>
      </c>
      <c r="BP43" s="315" t="s">
        <v>150</v>
      </c>
      <c r="BQ43" s="315" t="s">
        <v>150</v>
      </c>
      <c r="BR43" s="315"/>
      <c r="BS43" s="315" t="s">
        <v>147</v>
      </c>
      <c r="BT43" s="315" t="s">
        <v>150</v>
      </c>
      <c r="BU43" s="315" t="s">
        <v>150</v>
      </c>
      <c r="BV43" s="316"/>
      <c r="BW43" s="314" t="s">
        <v>150</v>
      </c>
      <c r="BX43" s="315" t="s">
        <v>148</v>
      </c>
      <c r="BY43" s="315" t="s">
        <v>47</v>
      </c>
      <c r="BZ43" s="315" t="s">
        <v>150</v>
      </c>
      <c r="CA43" s="315" t="s">
        <v>47</v>
      </c>
      <c r="CB43" s="316" t="s">
        <v>47</v>
      </c>
      <c r="CC43" s="314"/>
      <c r="CD43" s="315" t="s">
        <v>150</v>
      </c>
      <c r="CE43" s="316"/>
      <c r="CF43" s="314"/>
      <c r="CG43" s="315"/>
      <c r="CH43" s="315"/>
      <c r="CI43" s="317"/>
      <c r="CK43" s="236" t="str">
        <f t="shared" si="15"/>
        <v/>
      </c>
      <c r="CL43" s="237">
        <f t="shared" si="16"/>
        <v>2</v>
      </c>
      <c r="CM43" s="237">
        <f t="shared" si="17"/>
        <v>5</v>
      </c>
      <c r="CN43" s="237">
        <f t="shared" si="18"/>
        <v>17</v>
      </c>
      <c r="CO43" s="238">
        <f t="shared" si="19"/>
        <v>4</v>
      </c>
      <c r="CQ43" s="236" t="str">
        <f>desired_skills(C43,"Competenties/Analyse &amp; advies","o")</f>
        <v/>
      </c>
      <c r="CR43" s="237" t="str">
        <f>desired_skills(C43,"Competenties/Analyse &amp; advies","j")</f>
        <v/>
      </c>
      <c r="CS43" s="237" t="str">
        <f>desired_skills(C43,"Competenties/Analyse &amp; advies","m")</f>
        <v/>
      </c>
      <c r="CT43" s="237" t="str">
        <f>desired_skills(C43,"Competenties/Analyse &amp; advies","s")</f>
        <v/>
      </c>
      <c r="CU43" s="238" t="str">
        <f>desired_skills(C43,"Competenties/Analyse &amp; advies","e")</f>
        <v>25</v>
      </c>
      <c r="CW43" s="236" t="str">
        <f>calc_gap('Matrix 171007_1806'!$CK$43,'Matrix 171007_1806'!$CQ$43)</f>
        <v/>
      </c>
      <c r="CX43" s="237" t="str">
        <f>calc_gap('Matrix 171007_1806'!$CL$43,'Matrix 171007_1806'!$CR$43)</f>
        <v/>
      </c>
      <c r="CY43" s="237" t="str">
        <f>calc_gap('Matrix 171007_1806'!$CM$43,'Matrix 171007_1806'!$CS$43)</f>
        <v/>
      </c>
      <c r="CZ43" s="237" t="str">
        <f>calc_gap('Matrix 171007_1806'!$CN$43,'Matrix 171007_1806'!$CT$43)</f>
        <v/>
      </c>
      <c r="DA43" s="238" t="str">
        <f>calc_gap('Matrix 171007_1806'!$CO$43,'Matrix 171007_1806'!$CU$43)</f>
        <v>21</v>
      </c>
    </row>
    <row r="44" spans="2:105" x14ac:dyDescent="0.25">
      <c r="B44" s="435"/>
      <c r="C44" s="291" t="s">
        <v>87</v>
      </c>
      <c r="D44" s="314"/>
      <c r="E44" s="315"/>
      <c r="F44" s="315"/>
      <c r="G44" s="315"/>
      <c r="H44" s="315"/>
      <c r="I44" s="315"/>
      <c r="J44" s="315"/>
      <c r="K44" s="316"/>
      <c r="L44" s="314"/>
      <c r="M44" s="315"/>
      <c r="N44" s="315"/>
      <c r="O44" s="316"/>
      <c r="P44" s="314"/>
      <c r="Q44" s="315"/>
      <c r="R44" s="315"/>
      <c r="S44" s="315"/>
      <c r="T44" s="315"/>
      <c r="U44" s="315"/>
      <c r="V44" s="315"/>
      <c r="W44" s="315"/>
      <c r="X44" s="315"/>
      <c r="Y44" s="315"/>
      <c r="Z44" s="315"/>
      <c r="AA44" s="315"/>
      <c r="AB44" s="315"/>
      <c r="AC44" s="315"/>
      <c r="AD44" s="315"/>
      <c r="AE44" s="315"/>
      <c r="AF44" s="315"/>
      <c r="AG44" s="315"/>
      <c r="AH44" s="315"/>
      <c r="AI44" s="316"/>
      <c r="AJ44" s="314"/>
      <c r="AK44" s="315"/>
      <c r="AL44" s="316"/>
      <c r="AM44" s="314"/>
      <c r="AN44" s="315"/>
      <c r="AO44" s="316"/>
      <c r="AP44" s="314"/>
      <c r="AQ44" s="315"/>
      <c r="AR44" s="315"/>
      <c r="AS44" s="315"/>
      <c r="AT44" s="316"/>
      <c r="AU44" s="314" t="s">
        <v>150</v>
      </c>
      <c r="AV44" s="315" t="s">
        <v>148</v>
      </c>
      <c r="AW44" s="315" t="s">
        <v>150</v>
      </c>
      <c r="AX44" s="315" t="s">
        <v>150</v>
      </c>
      <c r="AY44" s="315" t="s">
        <v>150</v>
      </c>
      <c r="AZ44" s="315" t="s">
        <v>150</v>
      </c>
      <c r="BA44" s="315" t="s">
        <v>150</v>
      </c>
      <c r="BB44" s="316" t="s">
        <v>150</v>
      </c>
      <c r="BC44" s="314" t="s">
        <v>148</v>
      </c>
      <c r="BD44" s="315" t="s">
        <v>148</v>
      </c>
      <c r="BE44" s="315"/>
      <c r="BF44" s="315" t="s">
        <v>150</v>
      </c>
      <c r="BG44" s="316"/>
      <c r="BH44" s="314"/>
      <c r="BI44" s="315" t="s">
        <v>149</v>
      </c>
      <c r="BJ44" s="316"/>
      <c r="BK44" s="314" t="s">
        <v>148</v>
      </c>
      <c r="BL44" s="315" t="s">
        <v>148</v>
      </c>
      <c r="BM44" s="315"/>
      <c r="BN44" s="316" t="s">
        <v>150</v>
      </c>
      <c r="BO44" s="314" t="s">
        <v>148</v>
      </c>
      <c r="BP44" s="315" t="s">
        <v>150</v>
      </c>
      <c r="BQ44" s="315" t="s">
        <v>148</v>
      </c>
      <c r="BR44" s="315"/>
      <c r="BS44" s="315"/>
      <c r="BT44" s="315" t="s">
        <v>150</v>
      </c>
      <c r="BU44" s="315" t="s">
        <v>148</v>
      </c>
      <c r="BV44" s="316"/>
      <c r="BW44" s="314" t="s">
        <v>148</v>
      </c>
      <c r="BX44" s="315" t="s">
        <v>148</v>
      </c>
      <c r="BY44" s="315" t="s">
        <v>47</v>
      </c>
      <c r="BZ44" s="315" t="s">
        <v>148</v>
      </c>
      <c r="CA44" s="315" t="s">
        <v>150</v>
      </c>
      <c r="CB44" s="316" t="s">
        <v>150</v>
      </c>
      <c r="CC44" s="314"/>
      <c r="CD44" s="315" t="s">
        <v>47</v>
      </c>
      <c r="CE44" s="316"/>
      <c r="CF44" s="314"/>
      <c r="CG44" s="315"/>
      <c r="CH44" s="315"/>
      <c r="CI44" s="317"/>
      <c r="CK44" s="236">
        <f t="shared" si="15"/>
        <v>1</v>
      </c>
      <c r="CL44" s="237" t="str">
        <f t="shared" si="16"/>
        <v/>
      </c>
      <c r="CM44" s="237">
        <f t="shared" si="17"/>
        <v>11</v>
      </c>
      <c r="CN44" s="237">
        <f t="shared" si="18"/>
        <v>13</v>
      </c>
      <c r="CO44" s="238">
        <f t="shared" si="19"/>
        <v>2</v>
      </c>
      <c r="CQ44" s="236" t="str">
        <f>desired_skills(C44,"Competenties/Veranderkracht","o")</f>
        <v/>
      </c>
      <c r="CR44" s="237" t="str">
        <f>desired_skills(C44,"Competenties/Veranderkracht","j")</f>
        <v/>
      </c>
      <c r="CS44" s="237" t="str">
        <f>desired_skills(C44,"Competenties/Veranderkracht","m")</f>
        <v/>
      </c>
      <c r="CT44" s="237" t="str">
        <f>desired_skills(C44,"Competenties/Veranderkracht","s")</f>
        <v/>
      </c>
      <c r="CU44" s="238" t="str">
        <f>desired_skills(C44,"Competenties/Veranderkracht","e")</f>
        <v/>
      </c>
      <c r="CW44" s="236" t="str">
        <f>calc_gap('Matrix 171007_1806'!$CK$44,'Matrix 171007_1806'!$CQ$44)</f>
        <v/>
      </c>
      <c r="CX44" s="237" t="str">
        <f>calc_gap('Matrix 171007_1806'!$CL$44,'Matrix 171007_1806'!$CR$44)</f>
        <v/>
      </c>
      <c r="CY44" s="237" t="str">
        <f>calc_gap('Matrix 171007_1806'!$CM$44,'Matrix 171007_1806'!$CS$44)</f>
        <v/>
      </c>
      <c r="CZ44" s="237" t="str">
        <f>calc_gap('Matrix 171007_1806'!$CN$44,'Matrix 171007_1806'!$CT$44)</f>
        <v/>
      </c>
      <c r="DA44" s="238" t="str">
        <f>calc_gap('Matrix 171007_1806'!$CO$44,'Matrix 171007_1806'!$CU$44)</f>
        <v/>
      </c>
    </row>
    <row r="45" spans="2:105" x14ac:dyDescent="0.25">
      <c r="B45" s="435"/>
      <c r="C45" s="291" t="s">
        <v>88</v>
      </c>
      <c r="D45" s="314"/>
      <c r="E45" s="315"/>
      <c r="F45" s="315"/>
      <c r="G45" s="315"/>
      <c r="H45" s="315"/>
      <c r="I45" s="315"/>
      <c r="J45" s="315"/>
      <c r="K45" s="316"/>
      <c r="L45" s="314"/>
      <c r="M45" s="315"/>
      <c r="N45" s="315"/>
      <c r="O45" s="316"/>
      <c r="P45" s="314"/>
      <c r="Q45" s="315"/>
      <c r="R45" s="315"/>
      <c r="S45" s="315"/>
      <c r="T45" s="315"/>
      <c r="U45" s="315"/>
      <c r="V45" s="315"/>
      <c r="W45" s="315"/>
      <c r="X45" s="315"/>
      <c r="Y45" s="315"/>
      <c r="Z45" s="315"/>
      <c r="AA45" s="315"/>
      <c r="AB45" s="315"/>
      <c r="AC45" s="315"/>
      <c r="AD45" s="315"/>
      <c r="AE45" s="315"/>
      <c r="AF45" s="315"/>
      <c r="AG45" s="315"/>
      <c r="AH45" s="315"/>
      <c r="AI45" s="316"/>
      <c r="AJ45" s="314"/>
      <c r="AK45" s="315"/>
      <c r="AL45" s="316"/>
      <c r="AM45" s="314"/>
      <c r="AN45" s="315"/>
      <c r="AO45" s="316"/>
      <c r="AP45" s="314"/>
      <c r="AQ45" s="315"/>
      <c r="AR45" s="315"/>
      <c r="AS45" s="315"/>
      <c r="AT45" s="316"/>
      <c r="AU45" s="314" t="s">
        <v>47</v>
      </c>
      <c r="AV45" s="315" t="s">
        <v>150</v>
      </c>
      <c r="AW45" s="315" t="s">
        <v>150</v>
      </c>
      <c r="AX45" s="315" t="s">
        <v>150</v>
      </c>
      <c r="AY45" s="315" t="s">
        <v>150</v>
      </c>
      <c r="AZ45" s="315" t="s">
        <v>150</v>
      </c>
      <c r="BA45" s="315" t="s">
        <v>150</v>
      </c>
      <c r="BB45" s="316" t="s">
        <v>150</v>
      </c>
      <c r="BC45" s="314" t="s">
        <v>150</v>
      </c>
      <c r="BD45" s="315" t="s">
        <v>150</v>
      </c>
      <c r="BE45" s="315"/>
      <c r="BF45" s="315" t="s">
        <v>150</v>
      </c>
      <c r="BG45" s="316"/>
      <c r="BH45" s="314"/>
      <c r="BI45" s="315" t="s">
        <v>148</v>
      </c>
      <c r="BJ45" s="316"/>
      <c r="BK45" s="314" t="s">
        <v>148</v>
      </c>
      <c r="BL45" s="315" t="s">
        <v>148</v>
      </c>
      <c r="BM45" s="315"/>
      <c r="BN45" s="316" t="s">
        <v>150</v>
      </c>
      <c r="BO45" s="314" t="s">
        <v>150</v>
      </c>
      <c r="BP45" s="315" t="s">
        <v>150</v>
      </c>
      <c r="BQ45" s="315" t="s">
        <v>150</v>
      </c>
      <c r="BR45" s="315"/>
      <c r="BS45" s="315" t="s">
        <v>147</v>
      </c>
      <c r="BT45" s="315" t="s">
        <v>150</v>
      </c>
      <c r="BU45" s="315" t="s">
        <v>150</v>
      </c>
      <c r="BV45" s="316"/>
      <c r="BW45" s="314" t="s">
        <v>150</v>
      </c>
      <c r="BX45" s="315" t="s">
        <v>148</v>
      </c>
      <c r="BY45" s="315" t="s">
        <v>150</v>
      </c>
      <c r="BZ45" s="315" t="s">
        <v>150</v>
      </c>
      <c r="CA45" s="315" t="s">
        <v>47</v>
      </c>
      <c r="CB45" s="316" t="s">
        <v>47</v>
      </c>
      <c r="CC45" s="314" t="s">
        <v>150</v>
      </c>
      <c r="CD45" s="315" t="s">
        <v>150</v>
      </c>
      <c r="CE45" s="316"/>
      <c r="CF45" s="314"/>
      <c r="CG45" s="315"/>
      <c r="CH45" s="315"/>
      <c r="CI45" s="317"/>
      <c r="CK45" s="236" t="str">
        <f t="shared" si="15"/>
        <v/>
      </c>
      <c r="CL45" s="237">
        <f t="shared" si="16"/>
        <v>1</v>
      </c>
      <c r="CM45" s="237">
        <f t="shared" si="17"/>
        <v>4</v>
      </c>
      <c r="CN45" s="237">
        <f t="shared" si="18"/>
        <v>21</v>
      </c>
      <c r="CO45" s="238">
        <f t="shared" si="19"/>
        <v>3</v>
      </c>
      <c r="CQ45" s="236" t="str">
        <f>desired_skills(C45,"Competenties/Zelfsturend","o")</f>
        <v/>
      </c>
      <c r="CR45" s="237" t="str">
        <f>desired_skills(C45,"Competenties/Zelfsturend","j")</f>
        <v/>
      </c>
      <c r="CS45" s="237" t="str">
        <f>desired_skills(C45,"Competenties/Zelfsturend","m")</f>
        <v/>
      </c>
      <c r="CT45" s="237" t="str">
        <f>desired_skills(C45,"Competenties/Zelfsturend","s")</f>
        <v/>
      </c>
      <c r="CU45" s="238" t="str">
        <f>desired_skills(C45,"Competenties/Zelfsturend","e")</f>
        <v/>
      </c>
      <c r="CW45" s="236" t="str">
        <f>calc_gap('Matrix 171007_1806'!$CK$45,'Matrix 171007_1806'!$CQ$45)</f>
        <v/>
      </c>
      <c r="CX45" s="237" t="str">
        <f>calc_gap('Matrix 171007_1806'!$CL$45,'Matrix 171007_1806'!$CR$45)</f>
        <v/>
      </c>
      <c r="CY45" s="237" t="str">
        <f>calc_gap('Matrix 171007_1806'!$CM$45,'Matrix 171007_1806'!$CS$45)</f>
        <v/>
      </c>
      <c r="CZ45" s="237" t="str">
        <f>calc_gap('Matrix 171007_1806'!$CN$45,'Matrix 171007_1806'!$CT$45)</f>
        <v/>
      </c>
      <c r="DA45" s="238" t="str">
        <f>calc_gap('Matrix 171007_1806'!$CO$45,'Matrix 171007_1806'!$CU$45)</f>
        <v/>
      </c>
    </row>
    <row r="46" spans="2:105" x14ac:dyDescent="0.25">
      <c r="B46" s="435"/>
      <c r="C46" s="291" t="s">
        <v>89</v>
      </c>
      <c r="D46" s="314"/>
      <c r="E46" s="315"/>
      <c r="F46" s="315"/>
      <c r="G46" s="315"/>
      <c r="H46" s="315"/>
      <c r="I46" s="315"/>
      <c r="J46" s="315"/>
      <c r="K46" s="316"/>
      <c r="L46" s="314"/>
      <c r="M46" s="315"/>
      <c r="N46" s="315"/>
      <c r="O46" s="316"/>
      <c r="P46" s="314"/>
      <c r="Q46" s="315"/>
      <c r="R46" s="315"/>
      <c r="S46" s="315"/>
      <c r="T46" s="315"/>
      <c r="U46" s="315"/>
      <c r="V46" s="315"/>
      <c r="W46" s="315"/>
      <c r="X46" s="315"/>
      <c r="Y46" s="315"/>
      <c r="Z46" s="315"/>
      <c r="AA46" s="315"/>
      <c r="AB46" s="315"/>
      <c r="AC46" s="315"/>
      <c r="AD46" s="315"/>
      <c r="AE46" s="315"/>
      <c r="AF46" s="315"/>
      <c r="AG46" s="315"/>
      <c r="AH46" s="315"/>
      <c r="AI46" s="316"/>
      <c r="AJ46" s="314"/>
      <c r="AK46" s="315"/>
      <c r="AL46" s="316"/>
      <c r="AM46" s="314"/>
      <c r="AN46" s="315"/>
      <c r="AO46" s="316"/>
      <c r="AP46" s="314"/>
      <c r="AQ46" s="315"/>
      <c r="AR46" s="315"/>
      <c r="AS46" s="315"/>
      <c r="AT46" s="316"/>
      <c r="AU46" s="314" t="s">
        <v>150</v>
      </c>
      <c r="AV46" s="315" t="s">
        <v>148</v>
      </c>
      <c r="AW46" s="315" t="s">
        <v>150</v>
      </c>
      <c r="AX46" s="315" t="s">
        <v>150</v>
      </c>
      <c r="AY46" s="315" t="s">
        <v>148</v>
      </c>
      <c r="AZ46" s="315" t="s">
        <v>150</v>
      </c>
      <c r="BA46" s="315" t="s">
        <v>150</v>
      </c>
      <c r="BB46" s="316" t="s">
        <v>150</v>
      </c>
      <c r="BC46" s="314" t="s">
        <v>150</v>
      </c>
      <c r="BD46" s="315" t="s">
        <v>148</v>
      </c>
      <c r="BE46" s="315"/>
      <c r="BF46" s="315" t="s">
        <v>148</v>
      </c>
      <c r="BG46" s="316"/>
      <c r="BH46" s="314"/>
      <c r="BI46" s="315" t="s">
        <v>147</v>
      </c>
      <c r="BJ46" s="316"/>
      <c r="BK46" s="314" t="s">
        <v>147</v>
      </c>
      <c r="BL46" s="315" t="s">
        <v>148</v>
      </c>
      <c r="BM46" s="315"/>
      <c r="BN46" s="316" t="s">
        <v>148</v>
      </c>
      <c r="BO46" s="314" t="s">
        <v>148</v>
      </c>
      <c r="BP46" s="315" t="s">
        <v>150</v>
      </c>
      <c r="BQ46" s="315" t="s">
        <v>148</v>
      </c>
      <c r="BR46" s="315"/>
      <c r="BS46" s="315"/>
      <c r="BT46" s="315" t="s">
        <v>148</v>
      </c>
      <c r="BU46" s="315" t="s">
        <v>150</v>
      </c>
      <c r="BV46" s="316"/>
      <c r="BW46" s="314" t="s">
        <v>148</v>
      </c>
      <c r="BX46" s="315" t="s">
        <v>148</v>
      </c>
      <c r="BY46" s="315" t="s">
        <v>148</v>
      </c>
      <c r="BZ46" s="315" t="s">
        <v>150</v>
      </c>
      <c r="CA46" s="315" t="s">
        <v>150</v>
      </c>
      <c r="CB46" s="316" t="s">
        <v>148</v>
      </c>
      <c r="CC46" s="314" t="s">
        <v>148</v>
      </c>
      <c r="CD46" s="315" t="s">
        <v>47</v>
      </c>
      <c r="CE46" s="316"/>
      <c r="CF46" s="314"/>
      <c r="CG46" s="315"/>
      <c r="CH46" s="315"/>
      <c r="CI46" s="317"/>
      <c r="CK46" s="236" t="str">
        <f t="shared" si="15"/>
        <v/>
      </c>
      <c r="CL46" s="237">
        <f t="shared" si="16"/>
        <v>2</v>
      </c>
      <c r="CM46" s="237">
        <f t="shared" si="17"/>
        <v>14</v>
      </c>
      <c r="CN46" s="237">
        <f t="shared" si="18"/>
        <v>11</v>
      </c>
      <c r="CO46" s="238">
        <f t="shared" si="19"/>
        <v>1</v>
      </c>
      <c r="CQ46" s="236" t="str">
        <f>desired_skills(C46,"Competenties/Inspireren &amp; beïnvloeden","o")</f>
        <v/>
      </c>
      <c r="CR46" s="237" t="str">
        <f>desired_skills(C46,"Competenties/Inspireren &amp; beïnvloeden","j")</f>
        <v/>
      </c>
      <c r="CS46" s="237" t="str">
        <f>desired_skills(C46,"Competenties/Inspireren &amp; beïnvloeden","m")</f>
        <v/>
      </c>
      <c r="CT46" s="237" t="str">
        <f>desired_skills(C46,"Competenties/Inspireren &amp; beïnvloeden","s")</f>
        <v/>
      </c>
      <c r="CU46" s="238" t="str">
        <f>desired_skills(C46,"Competenties/Inspireren &amp; beïnvloeden","e")</f>
        <v/>
      </c>
      <c r="CW46" s="236" t="str">
        <f>calc_gap('Matrix 171007_1806'!$CK$46,'Matrix 171007_1806'!$CQ$46)</f>
        <v/>
      </c>
      <c r="CX46" s="237" t="str">
        <f>calc_gap('Matrix 171007_1806'!$CL$46,'Matrix 171007_1806'!$CR$46)</f>
        <v/>
      </c>
      <c r="CY46" s="237" t="str">
        <f>calc_gap('Matrix 171007_1806'!$CM$46,'Matrix 171007_1806'!$CS$46)</f>
        <v/>
      </c>
      <c r="CZ46" s="237" t="str">
        <f>calc_gap('Matrix 171007_1806'!$CN$46,'Matrix 171007_1806'!$CT$46)</f>
        <v/>
      </c>
      <c r="DA46" s="238" t="str">
        <f>calc_gap('Matrix 171007_1806'!$CO$46,'Matrix 171007_1806'!$CU$46)</f>
        <v/>
      </c>
    </row>
    <row r="47" spans="2:105" x14ac:dyDescent="0.25">
      <c r="B47" s="435"/>
      <c r="C47" s="291" t="s">
        <v>90</v>
      </c>
      <c r="D47" s="314"/>
      <c r="E47" s="315"/>
      <c r="F47" s="315"/>
      <c r="G47" s="315"/>
      <c r="H47" s="315"/>
      <c r="I47" s="315"/>
      <c r="J47" s="315"/>
      <c r="K47" s="316"/>
      <c r="L47" s="314"/>
      <c r="M47" s="315"/>
      <c r="N47" s="315"/>
      <c r="O47" s="316"/>
      <c r="P47" s="314"/>
      <c r="Q47" s="315"/>
      <c r="R47" s="315"/>
      <c r="S47" s="315"/>
      <c r="T47" s="315"/>
      <c r="U47" s="315"/>
      <c r="V47" s="315"/>
      <c r="W47" s="315"/>
      <c r="X47" s="315"/>
      <c r="Y47" s="315"/>
      <c r="Z47" s="315"/>
      <c r="AA47" s="315"/>
      <c r="AB47" s="315"/>
      <c r="AC47" s="315"/>
      <c r="AD47" s="315"/>
      <c r="AE47" s="315"/>
      <c r="AF47" s="315"/>
      <c r="AG47" s="315"/>
      <c r="AH47" s="315"/>
      <c r="AI47" s="316"/>
      <c r="AJ47" s="314"/>
      <c r="AK47" s="315"/>
      <c r="AL47" s="316"/>
      <c r="AM47" s="314"/>
      <c r="AN47" s="315"/>
      <c r="AO47" s="316"/>
      <c r="AP47" s="314"/>
      <c r="AQ47" s="315"/>
      <c r="AR47" s="315"/>
      <c r="AS47" s="315"/>
      <c r="AT47" s="316"/>
      <c r="AU47" s="314" t="s">
        <v>47</v>
      </c>
      <c r="AV47" s="315" t="s">
        <v>150</v>
      </c>
      <c r="AW47" s="315" t="s">
        <v>150</v>
      </c>
      <c r="AX47" s="315" t="s">
        <v>150</v>
      </c>
      <c r="AY47" s="315" t="s">
        <v>150</v>
      </c>
      <c r="AZ47" s="315" t="s">
        <v>150</v>
      </c>
      <c r="BA47" s="315" t="s">
        <v>150</v>
      </c>
      <c r="BB47" s="316" t="s">
        <v>150</v>
      </c>
      <c r="BC47" s="314" t="s">
        <v>150</v>
      </c>
      <c r="BD47" s="315" t="s">
        <v>148</v>
      </c>
      <c r="BE47" s="315"/>
      <c r="BF47" s="315" t="s">
        <v>150</v>
      </c>
      <c r="BG47" s="316"/>
      <c r="BH47" s="314"/>
      <c r="BI47" s="315" t="s">
        <v>148</v>
      </c>
      <c r="BJ47" s="316"/>
      <c r="BK47" s="314" t="s">
        <v>148</v>
      </c>
      <c r="BL47" s="315" t="s">
        <v>148</v>
      </c>
      <c r="BM47" s="315"/>
      <c r="BN47" s="316" t="s">
        <v>150</v>
      </c>
      <c r="BO47" s="314" t="s">
        <v>148</v>
      </c>
      <c r="BP47" s="315" t="s">
        <v>150</v>
      </c>
      <c r="BQ47" s="315" t="s">
        <v>150</v>
      </c>
      <c r="BR47" s="315"/>
      <c r="BS47" s="315"/>
      <c r="BT47" s="315" t="s">
        <v>150</v>
      </c>
      <c r="BU47" s="315" t="s">
        <v>150</v>
      </c>
      <c r="BV47" s="316"/>
      <c r="BW47" s="314" t="s">
        <v>150</v>
      </c>
      <c r="BX47" s="315" t="s">
        <v>150</v>
      </c>
      <c r="BY47" s="315" t="s">
        <v>47</v>
      </c>
      <c r="BZ47" s="315" t="s">
        <v>148</v>
      </c>
      <c r="CA47" s="315" t="s">
        <v>47</v>
      </c>
      <c r="CB47" s="316" t="s">
        <v>150</v>
      </c>
      <c r="CC47" s="314" t="s">
        <v>147</v>
      </c>
      <c r="CD47" s="315" t="s">
        <v>150</v>
      </c>
      <c r="CE47" s="316"/>
      <c r="CF47" s="314"/>
      <c r="CG47" s="315"/>
      <c r="CH47" s="315"/>
      <c r="CI47" s="317"/>
      <c r="CK47" s="236" t="str">
        <f t="shared" si="15"/>
        <v/>
      </c>
      <c r="CL47" s="237">
        <f t="shared" si="16"/>
        <v>1</v>
      </c>
      <c r="CM47" s="237">
        <f t="shared" si="17"/>
        <v>6</v>
      </c>
      <c r="CN47" s="237">
        <f t="shared" si="18"/>
        <v>18</v>
      </c>
      <c r="CO47" s="238">
        <f t="shared" si="19"/>
        <v>3</v>
      </c>
      <c r="CQ47" s="236" t="str">
        <f>desired_skills(C47,"Competenties/Resultaatgerichtheid","o")</f>
        <v/>
      </c>
      <c r="CR47" s="237" t="str">
        <f>desired_skills(C47,"Competenties/Resultaatgerichtheid","j")</f>
        <v/>
      </c>
      <c r="CS47" s="237" t="str">
        <f>desired_skills(C47,"Competenties/Resultaatgerichtheid","m")</f>
        <v/>
      </c>
      <c r="CT47" s="237" t="str">
        <f>desired_skills(C47,"Competenties/Resultaatgerichtheid","s")</f>
        <v/>
      </c>
      <c r="CU47" s="238" t="str">
        <f>desired_skills(C47,"Competenties/Resultaatgerichtheid","e")</f>
        <v/>
      </c>
      <c r="CW47" s="236" t="str">
        <f>calc_gap('Matrix 171007_1806'!$CK$47,'Matrix 171007_1806'!$CQ$47)</f>
        <v/>
      </c>
      <c r="CX47" s="237" t="str">
        <f>calc_gap('Matrix 171007_1806'!$CL$47,'Matrix 171007_1806'!$CR$47)</f>
        <v/>
      </c>
      <c r="CY47" s="237" t="str">
        <f>calc_gap('Matrix 171007_1806'!$CM$47,'Matrix 171007_1806'!$CS$47)</f>
        <v/>
      </c>
      <c r="CZ47" s="237" t="str">
        <f>calc_gap('Matrix 171007_1806'!$CN$47,'Matrix 171007_1806'!$CT$47)</f>
        <v/>
      </c>
      <c r="DA47" s="238" t="str">
        <f>calc_gap('Matrix 171007_1806'!$CO$47,'Matrix 171007_1806'!$CU$47)</f>
        <v/>
      </c>
    </row>
    <row r="48" spans="2:105" x14ac:dyDescent="0.25">
      <c r="B48" s="435"/>
      <c r="C48" s="291" t="s">
        <v>91</v>
      </c>
      <c r="D48" s="314"/>
      <c r="E48" s="315"/>
      <c r="F48" s="315"/>
      <c r="G48" s="315"/>
      <c r="H48" s="315"/>
      <c r="I48" s="315"/>
      <c r="J48" s="315"/>
      <c r="K48" s="316"/>
      <c r="L48" s="314"/>
      <c r="M48" s="315"/>
      <c r="N48" s="315"/>
      <c r="O48" s="316"/>
      <c r="P48" s="314"/>
      <c r="Q48" s="315"/>
      <c r="R48" s="315"/>
      <c r="S48" s="315"/>
      <c r="T48" s="315"/>
      <c r="U48" s="315"/>
      <c r="V48" s="315"/>
      <c r="W48" s="315"/>
      <c r="X48" s="315"/>
      <c r="Y48" s="315"/>
      <c r="Z48" s="315"/>
      <c r="AA48" s="315"/>
      <c r="AB48" s="315"/>
      <c r="AC48" s="315"/>
      <c r="AD48" s="315"/>
      <c r="AE48" s="315"/>
      <c r="AF48" s="315"/>
      <c r="AG48" s="315"/>
      <c r="AH48" s="315"/>
      <c r="AI48" s="316"/>
      <c r="AJ48" s="314"/>
      <c r="AK48" s="315"/>
      <c r="AL48" s="316"/>
      <c r="AM48" s="314"/>
      <c r="AN48" s="315"/>
      <c r="AO48" s="316"/>
      <c r="AP48" s="314"/>
      <c r="AQ48" s="315"/>
      <c r="AR48" s="315"/>
      <c r="AS48" s="315"/>
      <c r="AT48" s="316"/>
      <c r="AU48" s="314" t="s">
        <v>148</v>
      </c>
      <c r="AV48" s="315" t="s">
        <v>150</v>
      </c>
      <c r="AW48" s="315" t="s">
        <v>150</v>
      </c>
      <c r="AX48" s="315" t="s">
        <v>148</v>
      </c>
      <c r="AY48" s="315" t="s">
        <v>148</v>
      </c>
      <c r="AZ48" s="315" t="s">
        <v>150</v>
      </c>
      <c r="BA48" s="315" t="s">
        <v>150</v>
      </c>
      <c r="BB48" s="316" t="s">
        <v>150</v>
      </c>
      <c r="BC48" s="314" t="s">
        <v>150</v>
      </c>
      <c r="BD48" s="315" t="s">
        <v>148</v>
      </c>
      <c r="BE48" s="315"/>
      <c r="BF48" s="315" t="s">
        <v>150</v>
      </c>
      <c r="BG48" s="316"/>
      <c r="BH48" s="314"/>
      <c r="BI48" s="315" t="s">
        <v>148</v>
      </c>
      <c r="BJ48" s="316"/>
      <c r="BK48" s="314" t="s">
        <v>147</v>
      </c>
      <c r="BL48" s="315" t="s">
        <v>148</v>
      </c>
      <c r="BM48" s="315"/>
      <c r="BN48" s="316" t="s">
        <v>150</v>
      </c>
      <c r="BO48" s="314" t="s">
        <v>148</v>
      </c>
      <c r="BP48" s="315" t="s">
        <v>150</v>
      </c>
      <c r="BQ48" s="315" t="s">
        <v>148</v>
      </c>
      <c r="BR48" s="315"/>
      <c r="BS48" s="315" t="s">
        <v>147</v>
      </c>
      <c r="BT48" s="315" t="s">
        <v>150</v>
      </c>
      <c r="BU48" s="315" t="s">
        <v>148</v>
      </c>
      <c r="BV48" s="316"/>
      <c r="BW48" s="314" t="s">
        <v>150</v>
      </c>
      <c r="BX48" s="315" t="s">
        <v>150</v>
      </c>
      <c r="BY48" s="315" t="s">
        <v>150</v>
      </c>
      <c r="BZ48" s="315" t="s">
        <v>148</v>
      </c>
      <c r="CA48" s="315" t="s">
        <v>47</v>
      </c>
      <c r="CB48" s="316" t="s">
        <v>150</v>
      </c>
      <c r="CC48" s="314" t="s">
        <v>148</v>
      </c>
      <c r="CD48" s="315" t="s">
        <v>150</v>
      </c>
      <c r="CE48" s="316"/>
      <c r="CF48" s="314"/>
      <c r="CG48" s="315"/>
      <c r="CH48" s="315"/>
      <c r="CI48" s="317"/>
      <c r="CK48" s="236" t="str">
        <f t="shared" si="15"/>
        <v/>
      </c>
      <c r="CL48" s="237">
        <f t="shared" si="16"/>
        <v>2</v>
      </c>
      <c r="CM48" s="237">
        <f t="shared" si="17"/>
        <v>11</v>
      </c>
      <c r="CN48" s="237">
        <f t="shared" si="18"/>
        <v>15</v>
      </c>
      <c r="CO48" s="238">
        <f t="shared" si="19"/>
        <v>1</v>
      </c>
      <c r="CQ48" s="236" t="str">
        <f>desired_skills(C48,"Competenties/Organisatiesensitiviteit","o")</f>
        <v/>
      </c>
      <c r="CR48" s="237" t="str">
        <f>desired_skills(C48,"Competenties/Organisatiesensitiviteit","j")</f>
        <v/>
      </c>
      <c r="CS48" s="237" t="str">
        <f>desired_skills(C48,"Competenties/Organisatiesensitiviteit","m")</f>
        <v/>
      </c>
      <c r="CT48" s="237" t="str">
        <f>desired_skills(C48,"Competenties/Organisatiesensitiviteit","s")</f>
        <v/>
      </c>
      <c r="CU48" s="238" t="str">
        <f>desired_skills(C48,"Competenties/Organisatiesensitiviteit","e")</f>
        <v/>
      </c>
      <c r="CW48" s="236" t="str">
        <f>calc_gap('Matrix 171007_1806'!$CK$48,'Matrix 171007_1806'!$CQ$48)</f>
        <v/>
      </c>
      <c r="CX48" s="237" t="str">
        <f>calc_gap('Matrix 171007_1806'!$CL$48,'Matrix 171007_1806'!$CR$48)</f>
        <v/>
      </c>
      <c r="CY48" s="237" t="str">
        <f>calc_gap('Matrix 171007_1806'!$CM$48,'Matrix 171007_1806'!$CS$48)</f>
        <v/>
      </c>
      <c r="CZ48" s="237" t="str">
        <f>calc_gap('Matrix 171007_1806'!$CN$48,'Matrix 171007_1806'!$CT$48)</f>
        <v/>
      </c>
      <c r="DA48" s="238" t="str">
        <f>calc_gap('Matrix 171007_1806'!$CO$48,'Matrix 171007_1806'!$CU$48)</f>
        <v/>
      </c>
    </row>
    <row r="49" spans="2:105" x14ac:dyDescent="0.25">
      <c r="B49" s="435"/>
      <c r="C49" s="291" t="s">
        <v>226</v>
      </c>
      <c r="D49" s="314"/>
      <c r="E49" s="315"/>
      <c r="F49" s="315"/>
      <c r="G49" s="315"/>
      <c r="H49" s="315"/>
      <c r="I49" s="315"/>
      <c r="J49" s="315"/>
      <c r="K49" s="316"/>
      <c r="L49" s="314"/>
      <c r="M49" s="315"/>
      <c r="N49" s="315"/>
      <c r="O49" s="316"/>
      <c r="P49" s="314"/>
      <c r="Q49" s="315"/>
      <c r="R49" s="315"/>
      <c r="S49" s="315"/>
      <c r="T49" s="315"/>
      <c r="U49" s="315"/>
      <c r="V49" s="315"/>
      <c r="W49" s="315"/>
      <c r="X49" s="315"/>
      <c r="Y49" s="315"/>
      <c r="Z49" s="315"/>
      <c r="AA49" s="315"/>
      <c r="AB49" s="315"/>
      <c r="AC49" s="315"/>
      <c r="AD49" s="315"/>
      <c r="AE49" s="315"/>
      <c r="AF49" s="315"/>
      <c r="AG49" s="315"/>
      <c r="AH49" s="315"/>
      <c r="AI49" s="316"/>
      <c r="AJ49" s="314"/>
      <c r="AK49" s="315"/>
      <c r="AL49" s="316"/>
      <c r="AM49" s="314"/>
      <c r="AN49" s="315"/>
      <c r="AO49" s="316"/>
      <c r="AP49" s="314"/>
      <c r="AQ49" s="315"/>
      <c r="AR49" s="315"/>
      <c r="AS49" s="315"/>
      <c r="AT49" s="316"/>
      <c r="AU49" s="314"/>
      <c r="AV49" s="315"/>
      <c r="AW49" s="315"/>
      <c r="AX49" s="315"/>
      <c r="AY49" s="315"/>
      <c r="AZ49" s="315"/>
      <c r="BA49" s="315"/>
      <c r="BB49" s="316"/>
      <c r="BC49" s="314"/>
      <c r="BD49" s="315"/>
      <c r="BE49" s="315"/>
      <c r="BF49" s="315"/>
      <c r="BG49" s="316"/>
      <c r="BH49" s="314"/>
      <c r="BI49" s="315"/>
      <c r="BJ49" s="316"/>
      <c r="BK49" s="314"/>
      <c r="BL49" s="315"/>
      <c r="BM49" s="315"/>
      <c r="BN49" s="316"/>
      <c r="BO49" s="314"/>
      <c r="BP49" s="315"/>
      <c r="BQ49" s="315"/>
      <c r="BR49" s="315"/>
      <c r="BS49" s="315"/>
      <c r="BT49" s="315"/>
      <c r="BU49" s="315"/>
      <c r="BV49" s="316"/>
      <c r="BW49" s="314"/>
      <c r="BX49" s="315"/>
      <c r="BY49" s="315"/>
      <c r="BZ49" s="315"/>
      <c r="CA49" s="315"/>
      <c r="CB49" s="316"/>
      <c r="CC49" s="314"/>
      <c r="CD49" s="315"/>
      <c r="CE49" s="316"/>
      <c r="CF49" s="314"/>
      <c r="CG49" s="315"/>
      <c r="CH49" s="315"/>
      <c r="CI49" s="317"/>
      <c r="CK49" s="236" t="str">
        <f t="shared" si="15"/>
        <v/>
      </c>
      <c r="CL49" s="237" t="str">
        <f t="shared" si="16"/>
        <v/>
      </c>
      <c r="CM49" s="237" t="str">
        <f t="shared" si="17"/>
        <v/>
      </c>
      <c r="CN49" s="237" t="str">
        <f t="shared" si="18"/>
        <v/>
      </c>
      <c r="CO49" s="238" t="str">
        <f t="shared" si="19"/>
        <v/>
      </c>
      <c r="CQ49" s="236" t="str">
        <f>desired_skills(C49,"Competenties/Netwerken en contacten onderhouden en uitbouwen","o")</f>
        <v/>
      </c>
      <c r="CR49" s="237" t="str">
        <f>desired_skills(C49,"Competenties/Netwerken en contacten onderhouden en uitbouwen","j")</f>
        <v/>
      </c>
      <c r="CS49" s="237" t="str">
        <f>desired_skills(C49,"Competenties/Netwerken en contacten onderhouden en uitbouwen","m")</f>
        <v/>
      </c>
      <c r="CT49" s="237" t="str">
        <f>desired_skills(C49,"Competenties/Netwerken en contacten onderhouden en uitbouwen","s")</f>
        <v/>
      </c>
      <c r="CU49" s="238" t="str">
        <f>desired_skills(C49,"Competenties/Netwerken en contacten onderhouden en uitbouwen","e")</f>
        <v/>
      </c>
      <c r="CW49" s="236" t="str">
        <f>calc_gap('Matrix 171007_1806'!$CK$49,'Matrix 171007_1806'!$CQ$49)</f>
        <v/>
      </c>
      <c r="CX49" s="237" t="str">
        <f>calc_gap('Matrix 171007_1806'!$CL$49,'Matrix 171007_1806'!$CR$49)</f>
        <v/>
      </c>
      <c r="CY49" s="237" t="str">
        <f>calc_gap('Matrix 171007_1806'!$CM$49,'Matrix 171007_1806'!$CS$49)</f>
        <v/>
      </c>
      <c r="CZ49" s="237" t="str">
        <f>calc_gap('Matrix 171007_1806'!$CN$49,'Matrix 171007_1806'!$CT$49)</f>
        <v/>
      </c>
      <c r="DA49" s="238" t="str">
        <f>calc_gap('Matrix 171007_1806'!$CO$49,'Matrix 171007_1806'!$CU$49)</f>
        <v/>
      </c>
    </row>
    <row r="50" spans="2:105" ht="15.75" thickBot="1" x14ac:dyDescent="0.3">
      <c r="B50" s="435"/>
      <c r="C50" s="292" t="s">
        <v>227</v>
      </c>
      <c r="D50" s="318"/>
      <c r="E50" s="319"/>
      <c r="F50" s="319"/>
      <c r="G50" s="319"/>
      <c r="H50" s="319"/>
      <c r="I50" s="319"/>
      <c r="J50" s="319"/>
      <c r="K50" s="320"/>
      <c r="L50" s="318"/>
      <c r="M50" s="319"/>
      <c r="N50" s="319"/>
      <c r="O50" s="320"/>
      <c r="P50" s="318"/>
      <c r="Q50" s="319"/>
      <c r="R50" s="319"/>
      <c r="S50" s="319"/>
      <c r="T50" s="319"/>
      <c r="U50" s="319"/>
      <c r="V50" s="319"/>
      <c r="W50" s="319"/>
      <c r="X50" s="319"/>
      <c r="Y50" s="319"/>
      <c r="Z50" s="319"/>
      <c r="AA50" s="319"/>
      <c r="AB50" s="319"/>
      <c r="AC50" s="319"/>
      <c r="AD50" s="319"/>
      <c r="AE50" s="319"/>
      <c r="AF50" s="319"/>
      <c r="AG50" s="319"/>
      <c r="AH50" s="319"/>
      <c r="AI50" s="320"/>
      <c r="AJ50" s="318"/>
      <c r="AK50" s="319"/>
      <c r="AL50" s="320"/>
      <c r="AM50" s="318"/>
      <c r="AN50" s="319"/>
      <c r="AO50" s="320"/>
      <c r="AP50" s="318"/>
      <c r="AQ50" s="319"/>
      <c r="AR50" s="319"/>
      <c r="AS50" s="319"/>
      <c r="AT50" s="320"/>
      <c r="AU50" s="318"/>
      <c r="AV50" s="319"/>
      <c r="AW50" s="319"/>
      <c r="AX50" s="319"/>
      <c r="AY50" s="319"/>
      <c r="AZ50" s="319"/>
      <c r="BA50" s="319"/>
      <c r="BB50" s="320"/>
      <c r="BC50" s="318"/>
      <c r="BD50" s="319"/>
      <c r="BE50" s="319"/>
      <c r="BF50" s="319"/>
      <c r="BG50" s="320"/>
      <c r="BH50" s="318"/>
      <c r="BI50" s="319"/>
      <c r="BJ50" s="320"/>
      <c r="BK50" s="318"/>
      <c r="BL50" s="319"/>
      <c r="BM50" s="319"/>
      <c r="BN50" s="320"/>
      <c r="BO50" s="318"/>
      <c r="BP50" s="319"/>
      <c r="BQ50" s="319"/>
      <c r="BR50" s="319"/>
      <c r="BS50" s="319"/>
      <c r="BT50" s="319"/>
      <c r="BU50" s="319"/>
      <c r="BV50" s="320"/>
      <c r="BW50" s="318"/>
      <c r="BX50" s="319"/>
      <c r="BY50" s="319"/>
      <c r="BZ50" s="319"/>
      <c r="CA50" s="319"/>
      <c r="CB50" s="320"/>
      <c r="CC50" s="318"/>
      <c r="CD50" s="319"/>
      <c r="CE50" s="320"/>
      <c r="CF50" s="318"/>
      <c r="CG50" s="319"/>
      <c r="CH50" s="319"/>
      <c r="CI50" s="321"/>
      <c r="CK50" s="239" t="str">
        <f t="shared" si="15"/>
        <v/>
      </c>
      <c r="CL50" s="240" t="str">
        <f t="shared" si="16"/>
        <v/>
      </c>
      <c r="CM50" s="240" t="str">
        <f t="shared" si="17"/>
        <v/>
      </c>
      <c r="CN50" s="240" t="str">
        <f t="shared" si="18"/>
        <v/>
      </c>
      <c r="CO50" s="241" t="str">
        <f t="shared" si="19"/>
        <v/>
      </c>
      <c r="CQ50" s="239" t="str">
        <f>desired_skills(C50,"Competenties/Werken in zelfsturend team","o")</f>
        <v/>
      </c>
      <c r="CR50" s="240" t="str">
        <f>desired_skills(C50,"Competenties/Werken in zelfsturend team","j")</f>
        <v/>
      </c>
      <c r="CS50" s="240" t="str">
        <f>desired_skills(C50,"Competenties/Werken in zelfsturend team","m")</f>
        <v/>
      </c>
      <c r="CT50" s="240" t="str">
        <f>desired_skills(C50,"Competenties/Werken in zelfsturend team","s")</f>
        <v/>
      </c>
      <c r="CU50" s="241" t="str">
        <f>desired_skills(C50,"Competenties/Werken in zelfsturend team","e")</f>
        <v/>
      </c>
      <c r="CW50" s="239" t="str">
        <f>calc_gap('Matrix 171007_1806'!$CK$50,'Matrix 171007_1806'!$CQ$50)</f>
        <v/>
      </c>
      <c r="CX50" s="240" t="str">
        <f>calc_gap('Matrix 171007_1806'!$CL$50,'Matrix 171007_1806'!$CR$50)</f>
        <v/>
      </c>
      <c r="CY50" s="240" t="str">
        <f>calc_gap('Matrix 171007_1806'!$CM$50,'Matrix 171007_1806'!$CS$50)</f>
        <v/>
      </c>
      <c r="CZ50" s="240" t="str">
        <f>calc_gap('Matrix 171007_1806'!$CN$50,'Matrix 171007_1806'!$CT$50)</f>
        <v/>
      </c>
      <c r="DA50" s="241" t="str">
        <f>calc_gap('Matrix 171007_1806'!$CO$50,'Matrix 171007_1806'!$CU$50)</f>
        <v/>
      </c>
    </row>
    <row r="51" spans="2:105" ht="12.75" customHeight="1" thickTop="1" thickBot="1" x14ac:dyDescent="0.3">
      <c r="B51" s="436"/>
      <c r="C51" s="248"/>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322"/>
      <c r="BC51" s="322"/>
      <c r="BD51" s="322"/>
      <c r="BE51" s="322"/>
      <c r="BF51" s="322"/>
      <c r="BG51" s="322"/>
      <c r="BH51" s="322"/>
      <c r="BI51" s="322"/>
      <c r="BJ51" s="322"/>
      <c r="BK51" s="322"/>
      <c r="BL51" s="322"/>
      <c r="BM51" s="322"/>
      <c r="BN51" s="322"/>
      <c r="BO51" s="322"/>
      <c r="BP51" s="322"/>
      <c r="BQ51" s="322"/>
      <c r="BR51" s="322"/>
      <c r="BS51" s="322"/>
      <c r="BT51" s="322"/>
      <c r="BU51" s="322"/>
      <c r="BV51" s="322"/>
      <c r="BW51" s="322"/>
      <c r="BX51" s="322"/>
      <c r="BY51" s="322"/>
      <c r="BZ51" s="322"/>
      <c r="CA51" s="322"/>
      <c r="CB51" s="322"/>
      <c r="CC51" s="322"/>
      <c r="CD51" s="322"/>
      <c r="CE51" s="322"/>
      <c r="CF51" s="322"/>
      <c r="CG51" s="322"/>
      <c r="CH51" s="322"/>
      <c r="CI51" s="322"/>
      <c r="CK51" s="249"/>
      <c r="CL51" s="249"/>
      <c r="CM51" s="249"/>
      <c r="CN51" s="249"/>
      <c r="CO51" s="249"/>
      <c r="CQ51" s="249"/>
      <c r="CR51" s="249"/>
      <c r="CS51" s="249"/>
      <c r="CT51" s="249"/>
      <c r="CU51" s="249"/>
      <c r="CW51" s="249"/>
      <c r="CX51" s="249"/>
      <c r="CY51" s="249"/>
      <c r="CZ51" s="249"/>
      <c r="DA51" s="249"/>
    </row>
    <row r="52" spans="2:105" ht="15.75" thickTop="1" x14ac:dyDescent="0.25">
      <c r="B52" s="434" t="s">
        <v>122</v>
      </c>
      <c r="C52" s="290" t="s">
        <v>92</v>
      </c>
      <c r="D52" s="310"/>
      <c r="E52" s="311"/>
      <c r="F52" s="311"/>
      <c r="G52" s="311"/>
      <c r="H52" s="311"/>
      <c r="I52" s="311"/>
      <c r="J52" s="311"/>
      <c r="K52" s="312"/>
      <c r="L52" s="310"/>
      <c r="M52" s="311"/>
      <c r="N52" s="311"/>
      <c r="O52" s="312"/>
      <c r="P52" s="310"/>
      <c r="Q52" s="311"/>
      <c r="R52" s="311"/>
      <c r="S52" s="311"/>
      <c r="T52" s="311"/>
      <c r="U52" s="311"/>
      <c r="V52" s="311"/>
      <c r="W52" s="311"/>
      <c r="X52" s="311"/>
      <c r="Y52" s="311"/>
      <c r="Z52" s="311"/>
      <c r="AA52" s="311"/>
      <c r="AB52" s="311"/>
      <c r="AC52" s="311"/>
      <c r="AD52" s="311"/>
      <c r="AE52" s="311"/>
      <c r="AF52" s="311"/>
      <c r="AG52" s="311"/>
      <c r="AH52" s="311"/>
      <c r="AI52" s="312"/>
      <c r="AJ52" s="310"/>
      <c r="AK52" s="311"/>
      <c r="AL52" s="312"/>
      <c r="AM52" s="310"/>
      <c r="AN52" s="311"/>
      <c r="AO52" s="312"/>
      <c r="AP52" s="310"/>
      <c r="AQ52" s="311"/>
      <c r="AR52" s="311"/>
      <c r="AS52" s="311"/>
      <c r="AT52" s="312"/>
      <c r="AU52" s="310" t="s">
        <v>148</v>
      </c>
      <c r="AV52" s="311" t="s">
        <v>148</v>
      </c>
      <c r="AW52" s="311" t="s">
        <v>147</v>
      </c>
      <c r="AX52" s="311" t="s">
        <v>148</v>
      </c>
      <c r="AY52" s="311" t="s">
        <v>148</v>
      </c>
      <c r="AZ52" s="311" t="s">
        <v>147</v>
      </c>
      <c r="BA52" s="311" t="s">
        <v>147</v>
      </c>
      <c r="BB52" s="312" t="s">
        <v>148</v>
      </c>
      <c r="BC52" s="310" t="s">
        <v>147</v>
      </c>
      <c r="BD52" s="311" t="s">
        <v>148</v>
      </c>
      <c r="BE52" s="311"/>
      <c r="BF52" s="311" t="s">
        <v>150</v>
      </c>
      <c r="BG52" s="312"/>
      <c r="BH52" s="310"/>
      <c r="BI52" s="311" t="s">
        <v>148</v>
      </c>
      <c r="BJ52" s="312"/>
      <c r="BK52" s="310" t="s">
        <v>147</v>
      </c>
      <c r="BL52" s="311" t="s">
        <v>148</v>
      </c>
      <c r="BM52" s="311"/>
      <c r="BN52" s="312" t="s">
        <v>150</v>
      </c>
      <c r="BO52" s="310" t="s">
        <v>148</v>
      </c>
      <c r="BP52" s="311" t="s">
        <v>148</v>
      </c>
      <c r="BQ52" s="311" t="s">
        <v>150</v>
      </c>
      <c r="BR52" s="311"/>
      <c r="BS52" s="311" t="s">
        <v>147</v>
      </c>
      <c r="BT52" s="311" t="s">
        <v>148</v>
      </c>
      <c r="BU52" s="311" t="s">
        <v>148</v>
      </c>
      <c r="BV52" s="312"/>
      <c r="BW52" s="310" t="s">
        <v>150</v>
      </c>
      <c r="BX52" s="311" t="s">
        <v>148</v>
      </c>
      <c r="BY52" s="311" t="s">
        <v>150</v>
      </c>
      <c r="BZ52" s="311" t="s">
        <v>148</v>
      </c>
      <c r="CA52" s="311" t="s">
        <v>150</v>
      </c>
      <c r="CB52" s="312" t="s">
        <v>150</v>
      </c>
      <c r="CC52" s="310" t="s">
        <v>150</v>
      </c>
      <c r="CD52" s="311" t="s">
        <v>148</v>
      </c>
      <c r="CE52" s="312"/>
      <c r="CF52" s="310"/>
      <c r="CG52" s="311"/>
      <c r="CH52" s="311"/>
      <c r="CI52" s="313"/>
      <c r="CK52" s="233" t="str">
        <f t="shared" ref="CK52:CK59" si="20">IF(COUNTIF(D52:CI52,"o")&gt;0,COUNTIF(D52:CI52,"o"),"")</f>
        <v/>
      </c>
      <c r="CL52" s="234">
        <f t="shared" ref="CL52:CL59" si="21">IF(COUNTIF(D52:CI52,"j")&gt;0,COUNTIF(D52:CI52,"j"),"")</f>
        <v>6</v>
      </c>
      <c r="CM52" s="234">
        <f t="shared" ref="CM52:CM59" si="22">IF(COUNTIF(D52:CI52,"m")&gt;0,COUNTIF(D52:CI52,"m"),"")</f>
        <v>15</v>
      </c>
      <c r="CN52" s="234">
        <f t="shared" ref="CN52:CN59" si="23">IF(COUNTIF(D52:CI52,"s")&gt;0,COUNTIF(D52:CI52,"s"),"")</f>
        <v>8</v>
      </c>
      <c r="CO52" s="235" t="str">
        <f t="shared" ref="CO52:CO59" si="24">IF(COUNTIF(D52:CI52,"e")&gt;0,COUNTIF(D52:CI52,"e"),"")</f>
        <v/>
      </c>
      <c r="CQ52" s="233" t="str">
        <f>desired_skills(C52,"Vaardigheden/Excel/VBA","o")</f>
        <v>26</v>
      </c>
      <c r="CR52" s="234" t="str">
        <f>desired_skills(C52,"Vaardigheden/Excel/VBA","j")</f>
        <v/>
      </c>
      <c r="CS52" s="234" t="str">
        <f>desired_skills(C52,"Vaardigheden/Excel/VBA","m")</f>
        <v/>
      </c>
      <c r="CT52" s="234" t="str">
        <f>desired_skills(C52,"Vaardigheden/Excel/VBA","s")</f>
        <v/>
      </c>
      <c r="CU52" s="235" t="str">
        <f>desired_skills(C52,"Vaardigheden/Excel/VBA","e")</f>
        <v/>
      </c>
      <c r="CW52" s="233" t="str">
        <f>calc_gap('Matrix 171007_1806'!$CK$52,'Matrix 171007_1806'!$CQ$52)</f>
        <v/>
      </c>
      <c r="CX52" s="234" t="str">
        <f>calc_gap('Matrix 171007_1806'!$CL$52,'Matrix 171007_1806'!$CR$52)</f>
        <v/>
      </c>
      <c r="CY52" s="234" t="str">
        <f>calc_gap('Matrix 171007_1806'!$CM$52,'Matrix 171007_1806'!$CS$52)</f>
        <v/>
      </c>
      <c r="CZ52" s="234" t="str">
        <f>calc_gap('Matrix 171007_1806'!$CN$52,'Matrix 171007_1806'!$CT$52)</f>
        <v/>
      </c>
      <c r="DA52" s="235" t="str">
        <f>calc_gap('Matrix 171007_1806'!$CO$52,'Matrix 171007_1806'!$CU$52)</f>
        <v/>
      </c>
    </row>
    <row r="53" spans="2:105" x14ac:dyDescent="0.25">
      <c r="B53" s="435"/>
      <c r="C53" s="291" t="s">
        <v>93</v>
      </c>
      <c r="D53" s="314"/>
      <c r="E53" s="315"/>
      <c r="F53" s="315"/>
      <c r="G53" s="315"/>
      <c r="H53" s="315"/>
      <c r="I53" s="315"/>
      <c r="J53" s="315"/>
      <c r="K53" s="316"/>
      <c r="L53" s="314"/>
      <c r="M53" s="315"/>
      <c r="N53" s="315"/>
      <c r="O53" s="316"/>
      <c r="P53" s="314"/>
      <c r="Q53" s="315"/>
      <c r="R53" s="315"/>
      <c r="S53" s="315"/>
      <c r="T53" s="315"/>
      <c r="U53" s="315"/>
      <c r="V53" s="315"/>
      <c r="W53" s="315"/>
      <c r="X53" s="315"/>
      <c r="Y53" s="315"/>
      <c r="Z53" s="315"/>
      <c r="AA53" s="315"/>
      <c r="AB53" s="315"/>
      <c r="AC53" s="315"/>
      <c r="AD53" s="315"/>
      <c r="AE53" s="315"/>
      <c r="AF53" s="315"/>
      <c r="AG53" s="315"/>
      <c r="AH53" s="315"/>
      <c r="AI53" s="316"/>
      <c r="AJ53" s="314"/>
      <c r="AK53" s="315"/>
      <c r="AL53" s="316"/>
      <c r="AM53" s="314"/>
      <c r="AN53" s="315"/>
      <c r="AO53" s="316"/>
      <c r="AP53" s="314"/>
      <c r="AQ53" s="315"/>
      <c r="AR53" s="315"/>
      <c r="AS53" s="315"/>
      <c r="AT53" s="316"/>
      <c r="AU53" s="314" t="s">
        <v>147</v>
      </c>
      <c r="AV53" s="315" t="s">
        <v>148</v>
      </c>
      <c r="AW53" s="315" t="s">
        <v>150</v>
      </c>
      <c r="AX53" s="315" t="s">
        <v>150</v>
      </c>
      <c r="AY53" s="315" t="s">
        <v>150</v>
      </c>
      <c r="AZ53" s="315" t="s">
        <v>148</v>
      </c>
      <c r="BA53" s="315"/>
      <c r="BB53" s="316" t="s">
        <v>150</v>
      </c>
      <c r="BC53" s="314" t="s">
        <v>47</v>
      </c>
      <c r="BD53" s="315" t="s">
        <v>149</v>
      </c>
      <c r="BE53" s="315"/>
      <c r="BF53" s="315" t="s">
        <v>150</v>
      </c>
      <c r="BG53" s="316"/>
      <c r="BH53" s="314"/>
      <c r="BI53" s="315"/>
      <c r="BJ53" s="316"/>
      <c r="BK53" s="314"/>
      <c r="BL53" s="315" t="s">
        <v>148</v>
      </c>
      <c r="BM53" s="315"/>
      <c r="BN53" s="316" t="s">
        <v>148</v>
      </c>
      <c r="BO53" s="314"/>
      <c r="BP53" s="315" t="s">
        <v>148</v>
      </c>
      <c r="BQ53" s="315"/>
      <c r="BR53" s="315"/>
      <c r="BS53" s="315"/>
      <c r="BT53" s="315"/>
      <c r="BU53" s="315" t="s">
        <v>150</v>
      </c>
      <c r="BV53" s="316"/>
      <c r="BW53" s="314" t="s">
        <v>147</v>
      </c>
      <c r="BX53" s="315"/>
      <c r="BY53" s="315"/>
      <c r="BZ53" s="315"/>
      <c r="CA53" s="315" t="s">
        <v>147</v>
      </c>
      <c r="CB53" s="316"/>
      <c r="CC53" s="314"/>
      <c r="CD53" s="315" t="s">
        <v>148</v>
      </c>
      <c r="CE53" s="316"/>
      <c r="CF53" s="314"/>
      <c r="CG53" s="315"/>
      <c r="CH53" s="315"/>
      <c r="CI53" s="317"/>
      <c r="CK53" s="236">
        <f t="shared" si="20"/>
        <v>1</v>
      </c>
      <c r="CL53" s="237">
        <f t="shared" si="21"/>
        <v>3</v>
      </c>
      <c r="CM53" s="237">
        <f t="shared" si="22"/>
        <v>6</v>
      </c>
      <c r="CN53" s="237">
        <f t="shared" si="23"/>
        <v>6</v>
      </c>
      <c r="CO53" s="238">
        <f t="shared" si="24"/>
        <v>1</v>
      </c>
      <c r="CQ53" s="236" t="str">
        <f>desired_skills(C53,"Vaardigheden/Product ownership","o")</f>
        <v/>
      </c>
      <c r="CR53" s="237" t="str">
        <f>desired_skills(C53,"Vaardigheden/Product ownership","j")</f>
        <v>27</v>
      </c>
      <c r="CS53" s="237" t="str">
        <f>desired_skills(C53,"Vaardigheden/Product ownership","m")</f>
        <v/>
      </c>
      <c r="CT53" s="237" t="str">
        <f>desired_skills(C53,"Vaardigheden/Product ownership","s")</f>
        <v/>
      </c>
      <c r="CU53" s="238" t="str">
        <f>desired_skills(C53,"Vaardigheden/Product ownership","e")</f>
        <v/>
      </c>
      <c r="CW53" s="236" t="str">
        <f>calc_gap('Matrix 171007_1806'!$CK$53,'Matrix 171007_1806'!$CQ$53)</f>
        <v/>
      </c>
      <c r="CX53" s="237" t="str">
        <f>calc_gap('Matrix 171007_1806'!$CL$53,'Matrix 171007_1806'!$CR$53)</f>
        <v>24</v>
      </c>
      <c r="CY53" s="237" t="str">
        <f>calc_gap('Matrix 171007_1806'!$CM$53,'Matrix 171007_1806'!$CS$53)</f>
        <v/>
      </c>
      <c r="CZ53" s="237" t="str">
        <f>calc_gap('Matrix 171007_1806'!$CN$53,'Matrix 171007_1806'!$CT$53)</f>
        <v/>
      </c>
      <c r="DA53" s="238" t="str">
        <f>calc_gap('Matrix 171007_1806'!$CO$53,'Matrix 171007_1806'!$CU$53)</f>
        <v/>
      </c>
    </row>
    <row r="54" spans="2:105" x14ac:dyDescent="0.25">
      <c r="B54" s="435"/>
      <c r="C54" s="291" t="s">
        <v>94</v>
      </c>
      <c r="D54" s="314"/>
      <c r="E54" s="315"/>
      <c r="F54" s="315"/>
      <c r="G54" s="315"/>
      <c r="H54" s="315"/>
      <c r="I54" s="315"/>
      <c r="J54" s="315"/>
      <c r="K54" s="316"/>
      <c r="L54" s="314"/>
      <c r="M54" s="315"/>
      <c r="N54" s="315"/>
      <c r="O54" s="316"/>
      <c r="P54" s="314"/>
      <c r="Q54" s="315"/>
      <c r="R54" s="315"/>
      <c r="S54" s="315"/>
      <c r="T54" s="315"/>
      <c r="U54" s="315"/>
      <c r="V54" s="315"/>
      <c r="W54" s="315"/>
      <c r="X54" s="315"/>
      <c r="Y54" s="315"/>
      <c r="Z54" s="315"/>
      <c r="AA54" s="315"/>
      <c r="AB54" s="315"/>
      <c r="AC54" s="315"/>
      <c r="AD54" s="315"/>
      <c r="AE54" s="315"/>
      <c r="AF54" s="315"/>
      <c r="AG54" s="315"/>
      <c r="AH54" s="315"/>
      <c r="AI54" s="316"/>
      <c r="AJ54" s="314"/>
      <c r="AK54" s="315"/>
      <c r="AL54" s="316"/>
      <c r="AM54" s="314"/>
      <c r="AN54" s="315"/>
      <c r="AO54" s="316"/>
      <c r="AP54" s="314"/>
      <c r="AQ54" s="315"/>
      <c r="AR54" s="315"/>
      <c r="AS54" s="315"/>
      <c r="AT54" s="316"/>
      <c r="AU54" s="314" t="s">
        <v>147</v>
      </c>
      <c r="AV54" s="315" t="s">
        <v>148</v>
      </c>
      <c r="AW54" s="315" t="s">
        <v>149</v>
      </c>
      <c r="AX54" s="315" t="s">
        <v>148</v>
      </c>
      <c r="AY54" s="315" t="s">
        <v>148</v>
      </c>
      <c r="AZ54" s="315" t="s">
        <v>47</v>
      </c>
      <c r="BA54" s="315"/>
      <c r="BB54" s="316" t="s">
        <v>147</v>
      </c>
      <c r="BC54" s="314" t="s">
        <v>147</v>
      </c>
      <c r="BD54" s="315" t="s">
        <v>149</v>
      </c>
      <c r="BE54" s="315"/>
      <c r="BF54" s="315" t="s">
        <v>148</v>
      </c>
      <c r="BG54" s="316"/>
      <c r="BH54" s="314"/>
      <c r="BI54" s="315" t="s">
        <v>47</v>
      </c>
      <c r="BJ54" s="316"/>
      <c r="BK54" s="314"/>
      <c r="BL54" s="315"/>
      <c r="BM54" s="315"/>
      <c r="BN54" s="316"/>
      <c r="BO54" s="314"/>
      <c r="BP54" s="315"/>
      <c r="BQ54" s="315"/>
      <c r="BR54" s="315"/>
      <c r="BS54" s="315"/>
      <c r="BT54" s="315"/>
      <c r="BU54" s="315" t="s">
        <v>150</v>
      </c>
      <c r="BV54" s="316"/>
      <c r="BW54" s="314" t="s">
        <v>148</v>
      </c>
      <c r="BX54" s="315"/>
      <c r="BY54" s="315" t="s">
        <v>147</v>
      </c>
      <c r="BZ54" s="315" t="s">
        <v>148</v>
      </c>
      <c r="CA54" s="315" t="s">
        <v>147</v>
      </c>
      <c r="CB54" s="316"/>
      <c r="CC54" s="314"/>
      <c r="CD54" s="315"/>
      <c r="CE54" s="316"/>
      <c r="CF54" s="314"/>
      <c r="CG54" s="315"/>
      <c r="CH54" s="315"/>
      <c r="CI54" s="317"/>
      <c r="CK54" s="236">
        <f t="shared" si="20"/>
        <v>2</v>
      </c>
      <c r="CL54" s="237">
        <f t="shared" si="21"/>
        <v>5</v>
      </c>
      <c r="CM54" s="237">
        <f t="shared" si="22"/>
        <v>6</v>
      </c>
      <c r="CN54" s="237">
        <f t="shared" si="23"/>
        <v>1</v>
      </c>
      <c r="CO54" s="238">
        <f t="shared" si="24"/>
        <v>2</v>
      </c>
      <c r="CQ54" s="236" t="str">
        <f>desired_skills(C54,"Vaardigheden/Proces mining","o")</f>
        <v/>
      </c>
      <c r="CR54" s="237" t="str">
        <f>desired_skills(C54,"Vaardigheden/Proces mining","j")</f>
        <v/>
      </c>
      <c r="CS54" s="237" t="str">
        <f>desired_skills(C54,"Vaardigheden/Proces mining","m")</f>
        <v>28</v>
      </c>
      <c r="CT54" s="237" t="str">
        <f>desired_skills(C54,"Vaardigheden/Proces mining","s")</f>
        <v/>
      </c>
      <c r="CU54" s="238" t="str">
        <f>desired_skills(C54,"Vaardigheden/Proces mining","e")</f>
        <v/>
      </c>
      <c r="CW54" s="236" t="str">
        <f>calc_gap('Matrix 171007_1806'!$CK$54,'Matrix 171007_1806'!$CQ$54)</f>
        <v/>
      </c>
      <c r="CX54" s="237" t="str">
        <f>calc_gap('Matrix 171007_1806'!$CL$54,'Matrix 171007_1806'!$CR$54)</f>
        <v/>
      </c>
      <c r="CY54" s="237" t="str">
        <f>calc_gap('Matrix 171007_1806'!$CM$54,'Matrix 171007_1806'!$CS$54)</f>
        <v>22</v>
      </c>
      <c r="CZ54" s="237" t="str">
        <f>calc_gap('Matrix 171007_1806'!$CN$54,'Matrix 171007_1806'!$CT$54)</f>
        <v/>
      </c>
      <c r="DA54" s="238" t="str">
        <f>calc_gap('Matrix 171007_1806'!$CO$54,'Matrix 171007_1806'!$CU$54)</f>
        <v/>
      </c>
    </row>
    <row r="55" spans="2:105" x14ac:dyDescent="0.25">
      <c r="B55" s="435"/>
      <c r="C55" s="291" t="s">
        <v>95</v>
      </c>
      <c r="D55" s="314"/>
      <c r="E55" s="315"/>
      <c r="F55" s="315"/>
      <c r="G55" s="315"/>
      <c r="H55" s="315"/>
      <c r="I55" s="315"/>
      <c r="J55" s="315"/>
      <c r="K55" s="316"/>
      <c r="L55" s="314"/>
      <c r="M55" s="315"/>
      <c r="N55" s="315"/>
      <c r="O55" s="316"/>
      <c r="P55" s="314"/>
      <c r="Q55" s="315"/>
      <c r="R55" s="315"/>
      <c r="S55" s="315"/>
      <c r="T55" s="315"/>
      <c r="U55" s="315"/>
      <c r="V55" s="315"/>
      <c r="W55" s="315"/>
      <c r="X55" s="315"/>
      <c r="Y55" s="315"/>
      <c r="Z55" s="315"/>
      <c r="AA55" s="315"/>
      <c r="AB55" s="315"/>
      <c r="AC55" s="315"/>
      <c r="AD55" s="315"/>
      <c r="AE55" s="315"/>
      <c r="AF55" s="315"/>
      <c r="AG55" s="315"/>
      <c r="AH55" s="315"/>
      <c r="AI55" s="316"/>
      <c r="AJ55" s="314"/>
      <c r="AK55" s="315"/>
      <c r="AL55" s="316"/>
      <c r="AM55" s="314"/>
      <c r="AN55" s="315"/>
      <c r="AO55" s="316"/>
      <c r="AP55" s="314"/>
      <c r="AQ55" s="315"/>
      <c r="AR55" s="315"/>
      <c r="AS55" s="315"/>
      <c r="AT55" s="316"/>
      <c r="AU55" s="314"/>
      <c r="AV55" s="315" t="s">
        <v>149</v>
      </c>
      <c r="AW55" s="315" t="s">
        <v>149</v>
      </c>
      <c r="AX55" s="315" t="s">
        <v>148</v>
      </c>
      <c r="AY55" s="315" t="s">
        <v>147</v>
      </c>
      <c r="AZ55" s="315"/>
      <c r="BA55" s="315"/>
      <c r="BB55" s="316" t="s">
        <v>147</v>
      </c>
      <c r="BC55" s="314" t="s">
        <v>147</v>
      </c>
      <c r="BD55" s="315" t="s">
        <v>149</v>
      </c>
      <c r="BE55" s="315"/>
      <c r="BF55" s="315" t="s">
        <v>147</v>
      </c>
      <c r="BG55" s="316"/>
      <c r="BH55" s="314"/>
      <c r="BI55" s="315" t="s">
        <v>147</v>
      </c>
      <c r="BJ55" s="316"/>
      <c r="BK55" s="314"/>
      <c r="BL55" s="315"/>
      <c r="BM55" s="315"/>
      <c r="BN55" s="316"/>
      <c r="BO55" s="314"/>
      <c r="BP55" s="315"/>
      <c r="BQ55" s="315" t="s">
        <v>148</v>
      </c>
      <c r="BR55" s="315"/>
      <c r="BS55" s="315" t="s">
        <v>149</v>
      </c>
      <c r="BT55" s="315" t="s">
        <v>147</v>
      </c>
      <c r="BU55" s="315" t="s">
        <v>150</v>
      </c>
      <c r="BV55" s="316"/>
      <c r="BW55" s="314" t="s">
        <v>148</v>
      </c>
      <c r="BX55" s="315"/>
      <c r="BY55" s="315" t="s">
        <v>147</v>
      </c>
      <c r="BZ55" s="315" t="s">
        <v>147</v>
      </c>
      <c r="CA55" s="315" t="s">
        <v>147</v>
      </c>
      <c r="CB55" s="316" t="s">
        <v>147</v>
      </c>
      <c r="CC55" s="314"/>
      <c r="CD55" s="315"/>
      <c r="CE55" s="316"/>
      <c r="CF55" s="314"/>
      <c r="CG55" s="315"/>
      <c r="CH55" s="315"/>
      <c r="CI55" s="317"/>
      <c r="CK55" s="236">
        <f t="shared" si="20"/>
        <v>4</v>
      </c>
      <c r="CL55" s="237">
        <f t="shared" si="21"/>
        <v>10</v>
      </c>
      <c r="CM55" s="237">
        <f t="shared" si="22"/>
        <v>3</v>
      </c>
      <c r="CN55" s="237">
        <f t="shared" si="23"/>
        <v>1</v>
      </c>
      <c r="CO55" s="238" t="str">
        <f t="shared" si="24"/>
        <v/>
      </c>
      <c r="CQ55" s="236" t="str">
        <f>desired_skills(C55,"Vaardigheden/Data mining / big data","o")</f>
        <v/>
      </c>
      <c r="CR55" s="237" t="str">
        <f>desired_skills(C55,"Vaardigheden/Data mining / big data","j")</f>
        <v/>
      </c>
      <c r="CS55" s="237" t="str">
        <f>desired_skills(C55,"Vaardigheden/Data mining / big data","m")</f>
        <v/>
      </c>
      <c r="CT55" s="237" t="str">
        <f>desired_skills(C55,"Vaardigheden/Data mining / big data","s")</f>
        <v>29</v>
      </c>
      <c r="CU55" s="238" t="str">
        <f>desired_skills(C55,"Vaardigheden/Data mining / big data","e")</f>
        <v/>
      </c>
      <c r="CW55" s="236" t="str">
        <f>calc_gap('Matrix 171007_1806'!$CK$55,'Matrix 171007_1806'!$CQ$55)</f>
        <v/>
      </c>
      <c r="CX55" s="237" t="str">
        <f>calc_gap('Matrix 171007_1806'!$CL$55,'Matrix 171007_1806'!$CR$55)</f>
        <v/>
      </c>
      <c r="CY55" s="237" t="str">
        <f>calc_gap('Matrix 171007_1806'!$CM$55,'Matrix 171007_1806'!$CS$55)</f>
        <v/>
      </c>
      <c r="CZ55" s="237" t="str">
        <f>calc_gap('Matrix 171007_1806'!$CN$55,'Matrix 171007_1806'!$CT$55)</f>
        <v>28</v>
      </c>
      <c r="DA55" s="238" t="str">
        <f>calc_gap('Matrix 171007_1806'!$CO$55,'Matrix 171007_1806'!$CU$55)</f>
        <v/>
      </c>
    </row>
    <row r="56" spans="2:105" x14ac:dyDescent="0.25">
      <c r="B56" s="435"/>
      <c r="C56" s="291" t="s">
        <v>96</v>
      </c>
      <c r="D56" s="314"/>
      <c r="E56" s="315"/>
      <c r="F56" s="315"/>
      <c r="G56" s="315"/>
      <c r="H56" s="315"/>
      <c r="I56" s="315"/>
      <c r="J56" s="315"/>
      <c r="K56" s="316"/>
      <c r="L56" s="314"/>
      <c r="M56" s="315"/>
      <c r="N56" s="315"/>
      <c r="O56" s="316"/>
      <c r="P56" s="314"/>
      <c r="Q56" s="315"/>
      <c r="R56" s="315"/>
      <c r="S56" s="315"/>
      <c r="T56" s="315"/>
      <c r="U56" s="315"/>
      <c r="V56" s="315"/>
      <c r="W56" s="315"/>
      <c r="X56" s="315"/>
      <c r="Y56" s="315"/>
      <c r="Z56" s="315"/>
      <c r="AA56" s="315"/>
      <c r="AB56" s="315"/>
      <c r="AC56" s="315"/>
      <c r="AD56" s="315"/>
      <c r="AE56" s="315"/>
      <c r="AF56" s="315"/>
      <c r="AG56" s="315"/>
      <c r="AH56" s="315"/>
      <c r="AI56" s="316"/>
      <c r="AJ56" s="314"/>
      <c r="AK56" s="315"/>
      <c r="AL56" s="316"/>
      <c r="AM56" s="314"/>
      <c r="AN56" s="315"/>
      <c r="AO56" s="316"/>
      <c r="AP56" s="314"/>
      <c r="AQ56" s="315"/>
      <c r="AR56" s="315"/>
      <c r="AS56" s="315"/>
      <c r="AT56" s="316"/>
      <c r="AU56" s="314" t="s">
        <v>148</v>
      </c>
      <c r="AV56" s="315" t="s">
        <v>149</v>
      </c>
      <c r="AW56" s="315" t="s">
        <v>148</v>
      </c>
      <c r="AX56" s="315" t="s">
        <v>148</v>
      </c>
      <c r="AY56" s="315" t="s">
        <v>148</v>
      </c>
      <c r="AZ56" s="315" t="s">
        <v>150</v>
      </c>
      <c r="BA56" s="315"/>
      <c r="BB56" s="316" t="s">
        <v>147</v>
      </c>
      <c r="BC56" s="314" t="s">
        <v>148</v>
      </c>
      <c r="BD56" s="315" t="s">
        <v>149</v>
      </c>
      <c r="BE56" s="315"/>
      <c r="BF56" s="315" t="s">
        <v>148</v>
      </c>
      <c r="BG56" s="316"/>
      <c r="BH56" s="314"/>
      <c r="BI56" s="315" t="s">
        <v>147</v>
      </c>
      <c r="BJ56" s="316"/>
      <c r="BK56" s="314"/>
      <c r="BL56" s="315" t="s">
        <v>149</v>
      </c>
      <c r="BM56" s="315"/>
      <c r="BN56" s="316" t="s">
        <v>147</v>
      </c>
      <c r="BO56" s="314"/>
      <c r="BP56" s="315"/>
      <c r="BQ56" s="315"/>
      <c r="BR56" s="315"/>
      <c r="BS56" s="315"/>
      <c r="BT56" s="315"/>
      <c r="BU56" s="315" t="s">
        <v>148</v>
      </c>
      <c r="BV56" s="316"/>
      <c r="BW56" s="314" t="s">
        <v>148</v>
      </c>
      <c r="BX56" s="315"/>
      <c r="BY56" s="315"/>
      <c r="BZ56" s="315" t="s">
        <v>150</v>
      </c>
      <c r="CA56" s="315" t="s">
        <v>147</v>
      </c>
      <c r="CB56" s="316" t="s">
        <v>147</v>
      </c>
      <c r="CC56" s="314"/>
      <c r="CD56" s="315"/>
      <c r="CE56" s="316"/>
      <c r="CF56" s="314"/>
      <c r="CG56" s="315"/>
      <c r="CH56" s="315"/>
      <c r="CI56" s="317"/>
      <c r="CK56" s="236">
        <f t="shared" si="20"/>
        <v>3</v>
      </c>
      <c r="CL56" s="237">
        <f t="shared" si="21"/>
        <v>5</v>
      </c>
      <c r="CM56" s="237">
        <f t="shared" si="22"/>
        <v>8</v>
      </c>
      <c r="CN56" s="237">
        <f t="shared" si="23"/>
        <v>2</v>
      </c>
      <c r="CO56" s="238" t="str">
        <f t="shared" si="24"/>
        <v/>
      </c>
      <c r="CQ56" s="236" t="str">
        <f>desired_skills(C56,"Vaardigheden/Business Intelligence","o")</f>
        <v/>
      </c>
      <c r="CR56" s="237" t="str">
        <f>desired_skills(C56,"Vaardigheden/Business Intelligence","j")</f>
        <v/>
      </c>
      <c r="CS56" s="237" t="str">
        <f>desired_skills(C56,"Vaardigheden/Business Intelligence","m")</f>
        <v/>
      </c>
      <c r="CT56" s="237" t="str">
        <f>desired_skills(C56,"Vaardigheden/Business Intelligence","s")</f>
        <v/>
      </c>
      <c r="CU56" s="238" t="str">
        <f>desired_skills(C56,"Vaardigheden/Business Intelligence","e")</f>
        <v>30</v>
      </c>
      <c r="CW56" s="236" t="str">
        <f>calc_gap('Matrix 171007_1806'!$CK$56,'Matrix 171007_1806'!$CQ$56)</f>
        <v/>
      </c>
      <c r="CX56" s="237" t="str">
        <f>calc_gap('Matrix 171007_1806'!$CL$56,'Matrix 171007_1806'!$CR$56)</f>
        <v/>
      </c>
      <c r="CY56" s="237" t="str">
        <f>calc_gap('Matrix 171007_1806'!$CM$56,'Matrix 171007_1806'!$CS$56)</f>
        <v/>
      </c>
      <c r="CZ56" s="237" t="str">
        <f>calc_gap('Matrix 171007_1806'!$CN$56,'Matrix 171007_1806'!$CT$56)</f>
        <v/>
      </c>
      <c r="DA56" s="238" t="str">
        <f>calc_gap('Matrix 171007_1806'!$CO$56,'Matrix 171007_1806'!$CU$56)</f>
        <v/>
      </c>
    </row>
    <row r="57" spans="2:105" x14ac:dyDescent="0.25">
      <c r="B57" s="435"/>
      <c r="C57" s="291" t="s">
        <v>97</v>
      </c>
      <c r="D57" s="314"/>
      <c r="E57" s="315"/>
      <c r="F57" s="315"/>
      <c r="G57" s="315"/>
      <c r="H57" s="315"/>
      <c r="I57" s="315"/>
      <c r="J57" s="315"/>
      <c r="K57" s="316"/>
      <c r="L57" s="314"/>
      <c r="M57" s="315"/>
      <c r="N57" s="315"/>
      <c r="O57" s="316"/>
      <c r="P57" s="314"/>
      <c r="Q57" s="315"/>
      <c r="R57" s="315"/>
      <c r="S57" s="315"/>
      <c r="T57" s="315"/>
      <c r="U57" s="315"/>
      <c r="V57" s="315"/>
      <c r="W57" s="315"/>
      <c r="X57" s="315"/>
      <c r="Y57" s="315"/>
      <c r="Z57" s="315"/>
      <c r="AA57" s="315"/>
      <c r="AB57" s="315"/>
      <c r="AC57" s="315"/>
      <c r="AD57" s="315"/>
      <c r="AE57" s="315"/>
      <c r="AF57" s="315"/>
      <c r="AG57" s="315"/>
      <c r="AH57" s="315"/>
      <c r="AI57" s="316"/>
      <c r="AJ57" s="314"/>
      <c r="AK57" s="315"/>
      <c r="AL57" s="316"/>
      <c r="AM57" s="314"/>
      <c r="AN57" s="315"/>
      <c r="AO57" s="316"/>
      <c r="AP57" s="314"/>
      <c r="AQ57" s="315"/>
      <c r="AR57" s="315"/>
      <c r="AS57" s="315"/>
      <c r="AT57" s="316"/>
      <c r="AU57" s="314" t="s">
        <v>47</v>
      </c>
      <c r="AV57" s="315" t="s">
        <v>150</v>
      </c>
      <c r="AW57" s="315" t="s">
        <v>150</v>
      </c>
      <c r="AX57" s="315" t="s">
        <v>150</v>
      </c>
      <c r="AY57" s="315" t="s">
        <v>47</v>
      </c>
      <c r="AZ57" s="315" t="s">
        <v>150</v>
      </c>
      <c r="BA57" s="315" t="s">
        <v>150</v>
      </c>
      <c r="BB57" s="316" t="s">
        <v>150</v>
      </c>
      <c r="BC57" s="314" t="s">
        <v>148</v>
      </c>
      <c r="BD57" s="315" t="s">
        <v>148</v>
      </c>
      <c r="BE57" s="315"/>
      <c r="BF57" s="315" t="s">
        <v>150</v>
      </c>
      <c r="BG57" s="316"/>
      <c r="BH57" s="314"/>
      <c r="BI57" s="315" t="s">
        <v>148</v>
      </c>
      <c r="BJ57" s="316"/>
      <c r="BK57" s="314" t="s">
        <v>148</v>
      </c>
      <c r="BL57" s="315"/>
      <c r="BM57" s="315"/>
      <c r="BN57" s="316"/>
      <c r="BO57" s="314"/>
      <c r="BP57" s="315"/>
      <c r="BQ57" s="315"/>
      <c r="BR57" s="315"/>
      <c r="BS57" s="315"/>
      <c r="BT57" s="315"/>
      <c r="BU57" s="315" t="s">
        <v>148</v>
      </c>
      <c r="BV57" s="316"/>
      <c r="BW57" s="314" t="s">
        <v>148</v>
      </c>
      <c r="BX57" s="315" t="s">
        <v>150</v>
      </c>
      <c r="BY57" s="315" t="s">
        <v>150</v>
      </c>
      <c r="BZ57" s="315" t="s">
        <v>148</v>
      </c>
      <c r="CA57" s="315" t="s">
        <v>150</v>
      </c>
      <c r="CB57" s="316" t="s">
        <v>150</v>
      </c>
      <c r="CC57" s="314"/>
      <c r="CD57" s="315" t="s">
        <v>150</v>
      </c>
      <c r="CE57" s="316"/>
      <c r="CF57" s="314"/>
      <c r="CG57" s="315"/>
      <c r="CH57" s="315"/>
      <c r="CI57" s="317"/>
      <c r="CK57" s="236" t="str">
        <f t="shared" si="20"/>
        <v/>
      </c>
      <c r="CL57" s="237" t="str">
        <f t="shared" si="21"/>
        <v/>
      </c>
      <c r="CM57" s="237">
        <f t="shared" si="22"/>
        <v>7</v>
      </c>
      <c r="CN57" s="237">
        <f t="shared" si="23"/>
        <v>12</v>
      </c>
      <c r="CO57" s="238">
        <f t="shared" si="24"/>
        <v>2</v>
      </c>
      <c r="CQ57" s="236" t="str">
        <f>desired_skills(C57,"Vaardigheden/PDCA (in het algemeen)","o")</f>
        <v/>
      </c>
      <c r="CR57" s="237" t="str">
        <f>desired_skills(C57,"Vaardigheden/PDCA (in het algemeen)","j")</f>
        <v/>
      </c>
      <c r="CS57" s="237" t="str">
        <f>desired_skills(C57,"Vaardigheden/PDCA (in het algemeen)","m")</f>
        <v/>
      </c>
      <c r="CT57" s="237" t="str">
        <f>desired_skills(C57,"Vaardigheden/PDCA (in het algemeen)","s")</f>
        <v/>
      </c>
      <c r="CU57" s="238" t="str">
        <f>desired_skills(C57,"Vaardigheden/PDCA (in het algemeen)","e")</f>
        <v/>
      </c>
      <c r="CW57" s="236" t="str">
        <f>calc_gap('Matrix 171007_1806'!$CK$57,'Matrix 171007_1806'!$CQ$57)</f>
        <v/>
      </c>
      <c r="CX57" s="237" t="str">
        <f>calc_gap('Matrix 171007_1806'!$CL$57,'Matrix 171007_1806'!$CR$57)</f>
        <v/>
      </c>
      <c r="CY57" s="237" t="str">
        <f>calc_gap('Matrix 171007_1806'!$CM$57,'Matrix 171007_1806'!$CS$57)</f>
        <v/>
      </c>
      <c r="CZ57" s="237" t="str">
        <f>calc_gap('Matrix 171007_1806'!$CN$57,'Matrix 171007_1806'!$CT$57)</f>
        <v/>
      </c>
      <c r="DA57" s="238" t="str">
        <f>calc_gap('Matrix 171007_1806'!$CO$57,'Matrix 171007_1806'!$CU$57)</f>
        <v/>
      </c>
    </row>
    <row r="58" spans="2:105" x14ac:dyDescent="0.25">
      <c r="B58" s="435"/>
      <c r="C58" s="291" t="s">
        <v>228</v>
      </c>
      <c r="D58" s="314"/>
      <c r="E58" s="315"/>
      <c r="F58" s="315"/>
      <c r="G58" s="315"/>
      <c r="H58" s="315"/>
      <c r="I58" s="315"/>
      <c r="J58" s="315"/>
      <c r="K58" s="316"/>
      <c r="L58" s="314"/>
      <c r="M58" s="315"/>
      <c r="N58" s="315"/>
      <c r="O58" s="316"/>
      <c r="P58" s="314"/>
      <c r="Q58" s="315"/>
      <c r="R58" s="315"/>
      <c r="S58" s="315"/>
      <c r="T58" s="315"/>
      <c r="U58" s="315"/>
      <c r="V58" s="315"/>
      <c r="W58" s="315"/>
      <c r="X58" s="315"/>
      <c r="Y58" s="315"/>
      <c r="Z58" s="315"/>
      <c r="AA58" s="315"/>
      <c r="AB58" s="315"/>
      <c r="AC58" s="315"/>
      <c r="AD58" s="315"/>
      <c r="AE58" s="315"/>
      <c r="AF58" s="315"/>
      <c r="AG58" s="315"/>
      <c r="AH58" s="315"/>
      <c r="AI58" s="316"/>
      <c r="AJ58" s="314"/>
      <c r="AK58" s="315"/>
      <c r="AL58" s="316"/>
      <c r="AM58" s="314"/>
      <c r="AN58" s="315"/>
      <c r="AO58" s="316"/>
      <c r="AP58" s="314"/>
      <c r="AQ58" s="315"/>
      <c r="AR58" s="315"/>
      <c r="AS58" s="315"/>
      <c r="AT58" s="316"/>
      <c r="AU58" s="314"/>
      <c r="AV58" s="315"/>
      <c r="AW58" s="315"/>
      <c r="AX58" s="315"/>
      <c r="AY58" s="315"/>
      <c r="AZ58" s="315"/>
      <c r="BA58" s="315"/>
      <c r="BB58" s="316"/>
      <c r="BC58" s="314"/>
      <c r="BD58" s="315"/>
      <c r="BE58" s="315"/>
      <c r="BF58" s="315"/>
      <c r="BG58" s="316"/>
      <c r="BH58" s="314"/>
      <c r="BI58" s="315"/>
      <c r="BJ58" s="316"/>
      <c r="BK58" s="314"/>
      <c r="BL58" s="315"/>
      <c r="BM58" s="315"/>
      <c r="BN58" s="316"/>
      <c r="BO58" s="314"/>
      <c r="BP58" s="315"/>
      <c r="BQ58" s="315"/>
      <c r="BR58" s="315"/>
      <c r="BS58" s="315"/>
      <c r="BT58" s="315"/>
      <c r="BU58" s="315"/>
      <c r="BV58" s="316"/>
      <c r="BW58" s="314"/>
      <c r="BX58" s="315"/>
      <c r="BY58" s="315"/>
      <c r="BZ58" s="315"/>
      <c r="CA58" s="315"/>
      <c r="CB58" s="316"/>
      <c r="CC58" s="314"/>
      <c r="CD58" s="315"/>
      <c r="CE58" s="316"/>
      <c r="CF58" s="314"/>
      <c r="CG58" s="315"/>
      <c r="CH58" s="315"/>
      <c r="CI58" s="317"/>
      <c r="CK58" s="236" t="str">
        <f t="shared" si="20"/>
        <v/>
      </c>
      <c r="CL58" s="237" t="str">
        <f t="shared" si="21"/>
        <v/>
      </c>
      <c r="CM58" s="237" t="str">
        <f t="shared" si="22"/>
        <v/>
      </c>
      <c r="CN58" s="237" t="str">
        <f t="shared" si="23"/>
        <v/>
      </c>
      <c r="CO58" s="238" t="str">
        <f t="shared" si="24"/>
        <v/>
      </c>
      <c r="CQ58" s="236" t="str">
        <f>desired_skills(C58,"Vaardigheden/PowerPoint (Presentaties)","o")</f>
        <v/>
      </c>
      <c r="CR58" s="237" t="str">
        <f>desired_skills(C58,"Vaardigheden/PowerPoint (Presentaties)","j")</f>
        <v/>
      </c>
      <c r="CS58" s="237" t="str">
        <f>desired_skills(C58,"Vaardigheden/PowerPoint (Presentaties)","m")</f>
        <v/>
      </c>
      <c r="CT58" s="237" t="str">
        <f>desired_skills(C58,"Vaardigheden/PowerPoint (Presentaties)","s")</f>
        <v/>
      </c>
      <c r="CU58" s="238" t="str">
        <f>desired_skills(C58,"Vaardigheden/PowerPoint (Presentaties)","e")</f>
        <v/>
      </c>
      <c r="CW58" s="236" t="str">
        <f>calc_gap('Matrix 171007_1806'!$CK$58,'Matrix 171007_1806'!$CQ$58)</f>
        <v/>
      </c>
      <c r="CX58" s="237" t="str">
        <f>calc_gap('Matrix 171007_1806'!$CL$58,'Matrix 171007_1806'!$CR$58)</f>
        <v/>
      </c>
      <c r="CY58" s="237" t="str">
        <f>calc_gap('Matrix 171007_1806'!$CM$58,'Matrix 171007_1806'!$CS$58)</f>
        <v/>
      </c>
      <c r="CZ58" s="237" t="str">
        <f>calc_gap('Matrix 171007_1806'!$CN$58,'Matrix 171007_1806'!$CT$58)</f>
        <v/>
      </c>
      <c r="DA58" s="238" t="str">
        <f>calc_gap('Matrix 171007_1806'!$CO$58,'Matrix 171007_1806'!$CU$58)</f>
        <v/>
      </c>
    </row>
    <row r="59" spans="2:105" ht="15.75" thickBot="1" x14ac:dyDescent="0.3">
      <c r="B59" s="435"/>
      <c r="C59" s="292" t="s">
        <v>229</v>
      </c>
      <c r="D59" s="318"/>
      <c r="E59" s="319"/>
      <c r="F59" s="319"/>
      <c r="G59" s="319"/>
      <c r="H59" s="319"/>
      <c r="I59" s="319"/>
      <c r="J59" s="319"/>
      <c r="K59" s="320"/>
      <c r="L59" s="318"/>
      <c r="M59" s="319"/>
      <c r="N59" s="319"/>
      <c r="O59" s="320"/>
      <c r="P59" s="318"/>
      <c r="Q59" s="319"/>
      <c r="R59" s="319"/>
      <c r="S59" s="319"/>
      <c r="T59" s="319"/>
      <c r="U59" s="319"/>
      <c r="V59" s="319"/>
      <c r="W59" s="319"/>
      <c r="X59" s="319"/>
      <c r="Y59" s="319"/>
      <c r="Z59" s="319"/>
      <c r="AA59" s="319"/>
      <c r="AB59" s="319"/>
      <c r="AC59" s="319"/>
      <c r="AD59" s="319"/>
      <c r="AE59" s="319"/>
      <c r="AF59" s="319"/>
      <c r="AG59" s="319"/>
      <c r="AH59" s="319"/>
      <c r="AI59" s="320"/>
      <c r="AJ59" s="318"/>
      <c r="AK59" s="319"/>
      <c r="AL59" s="320"/>
      <c r="AM59" s="318"/>
      <c r="AN59" s="319"/>
      <c r="AO59" s="320"/>
      <c r="AP59" s="318"/>
      <c r="AQ59" s="319"/>
      <c r="AR59" s="319"/>
      <c r="AS59" s="319"/>
      <c r="AT59" s="320"/>
      <c r="AU59" s="318"/>
      <c r="AV59" s="319"/>
      <c r="AW59" s="319"/>
      <c r="AX59" s="319"/>
      <c r="AY59" s="319"/>
      <c r="AZ59" s="319"/>
      <c r="BA59" s="319"/>
      <c r="BB59" s="320"/>
      <c r="BC59" s="318"/>
      <c r="BD59" s="319"/>
      <c r="BE59" s="319"/>
      <c r="BF59" s="319"/>
      <c r="BG59" s="320"/>
      <c r="BH59" s="318"/>
      <c r="BI59" s="319"/>
      <c r="BJ59" s="320"/>
      <c r="BK59" s="318"/>
      <c r="BL59" s="319"/>
      <c r="BM59" s="319"/>
      <c r="BN59" s="320"/>
      <c r="BO59" s="318"/>
      <c r="BP59" s="319"/>
      <c r="BQ59" s="319"/>
      <c r="BR59" s="319"/>
      <c r="BS59" s="319"/>
      <c r="BT59" s="319"/>
      <c r="BU59" s="319"/>
      <c r="BV59" s="320"/>
      <c r="BW59" s="318"/>
      <c r="BX59" s="319"/>
      <c r="BY59" s="319"/>
      <c r="BZ59" s="319"/>
      <c r="CA59" s="319"/>
      <c r="CB59" s="320"/>
      <c r="CC59" s="318"/>
      <c r="CD59" s="319"/>
      <c r="CE59" s="320"/>
      <c r="CF59" s="318"/>
      <c r="CG59" s="319"/>
      <c r="CH59" s="319"/>
      <c r="CI59" s="321"/>
      <c r="CK59" s="239" t="str">
        <f t="shared" si="20"/>
        <v/>
      </c>
      <c r="CL59" s="240" t="str">
        <f t="shared" si="21"/>
        <v/>
      </c>
      <c r="CM59" s="240" t="str">
        <f t="shared" si="22"/>
        <v/>
      </c>
      <c r="CN59" s="240" t="str">
        <f t="shared" si="23"/>
        <v/>
      </c>
      <c r="CO59" s="241" t="str">
        <f t="shared" si="24"/>
        <v/>
      </c>
      <c r="CQ59" s="239" t="str">
        <f>desired_skills(C59,"Vaardigheden/Uitvoeren impactanalyse","o")</f>
        <v/>
      </c>
      <c r="CR59" s="240" t="str">
        <f>desired_skills(C59,"Vaardigheden/Uitvoeren impactanalyse","j")</f>
        <v/>
      </c>
      <c r="CS59" s="240" t="str">
        <f>desired_skills(C59,"Vaardigheden/Uitvoeren impactanalyse","m")</f>
        <v/>
      </c>
      <c r="CT59" s="240" t="str">
        <f>desired_skills(C59,"Vaardigheden/Uitvoeren impactanalyse","s")</f>
        <v/>
      </c>
      <c r="CU59" s="241" t="str">
        <f>desired_skills(C59,"Vaardigheden/Uitvoeren impactanalyse","e")</f>
        <v/>
      </c>
      <c r="CW59" s="239" t="str">
        <f>calc_gap('Matrix 171007_1806'!$CK$59,'Matrix 171007_1806'!$CQ$59)</f>
        <v/>
      </c>
      <c r="CX59" s="240" t="str">
        <f>calc_gap('Matrix 171007_1806'!$CL$59,'Matrix 171007_1806'!$CR$59)</f>
        <v/>
      </c>
      <c r="CY59" s="240" t="str">
        <f>calc_gap('Matrix 171007_1806'!$CM$59,'Matrix 171007_1806'!$CS$59)</f>
        <v/>
      </c>
      <c r="CZ59" s="240" t="str">
        <f>calc_gap('Matrix 171007_1806'!$CN$59,'Matrix 171007_1806'!$CT$59)</f>
        <v/>
      </c>
      <c r="DA59" s="241" t="str">
        <f>calc_gap('Matrix 171007_1806'!$CO$59,'Matrix 171007_1806'!$CU$59)</f>
        <v/>
      </c>
    </row>
    <row r="60" spans="2:105" ht="12.75" customHeight="1" thickTop="1" thickBot="1" x14ac:dyDescent="0.3">
      <c r="B60" s="436"/>
      <c r="C60" s="248"/>
      <c r="D60" s="322"/>
      <c r="E60" s="322"/>
      <c r="F60" s="322"/>
      <c r="G60" s="322"/>
      <c r="H60" s="322"/>
      <c r="I60" s="322"/>
      <c r="J60" s="322"/>
      <c r="K60" s="322"/>
      <c r="L60" s="322"/>
      <c r="M60" s="322"/>
      <c r="N60" s="322"/>
      <c r="O60" s="322"/>
      <c r="P60" s="322"/>
      <c r="Q60" s="322"/>
      <c r="R60" s="322"/>
      <c r="S60" s="322"/>
      <c r="T60" s="322"/>
      <c r="U60" s="322"/>
      <c r="V60" s="322"/>
      <c r="W60" s="322"/>
      <c r="X60" s="322"/>
      <c r="Y60" s="322"/>
      <c r="Z60" s="322"/>
      <c r="AA60" s="322"/>
      <c r="AB60" s="322"/>
      <c r="AC60" s="322"/>
      <c r="AD60" s="322"/>
      <c r="AE60" s="322"/>
      <c r="AF60" s="322"/>
      <c r="AG60" s="322"/>
      <c r="AH60" s="322"/>
      <c r="AI60" s="322"/>
      <c r="AJ60" s="322"/>
      <c r="AK60" s="322"/>
      <c r="AL60" s="322"/>
      <c r="AM60" s="322"/>
      <c r="AN60" s="322"/>
      <c r="AO60" s="322"/>
      <c r="AP60" s="322"/>
      <c r="AQ60" s="322"/>
      <c r="AR60" s="322"/>
      <c r="AS60" s="322"/>
      <c r="AT60" s="322"/>
      <c r="AU60" s="322"/>
      <c r="AV60" s="322"/>
      <c r="AW60" s="322"/>
      <c r="AX60" s="322"/>
      <c r="AY60" s="322"/>
      <c r="AZ60" s="322"/>
      <c r="BA60" s="322"/>
      <c r="BB60" s="322"/>
      <c r="BC60" s="322"/>
      <c r="BD60" s="322"/>
      <c r="BE60" s="322"/>
      <c r="BF60" s="322"/>
      <c r="BG60" s="322"/>
      <c r="BH60" s="322"/>
      <c r="BI60" s="322"/>
      <c r="BJ60" s="322"/>
      <c r="BK60" s="322"/>
      <c r="BL60" s="322"/>
      <c r="BM60" s="322"/>
      <c r="BN60" s="322"/>
      <c r="BO60" s="322"/>
      <c r="BP60" s="322"/>
      <c r="BQ60" s="322"/>
      <c r="BR60" s="322"/>
      <c r="BS60" s="322"/>
      <c r="BT60" s="322"/>
      <c r="BU60" s="322"/>
      <c r="BV60" s="322"/>
      <c r="BW60" s="322"/>
      <c r="BX60" s="322"/>
      <c r="BY60" s="322"/>
      <c r="BZ60" s="322"/>
      <c r="CA60" s="322"/>
      <c r="CB60" s="322"/>
      <c r="CC60" s="322"/>
      <c r="CD60" s="322"/>
      <c r="CE60" s="322"/>
      <c r="CF60" s="322"/>
      <c r="CG60" s="322"/>
      <c r="CH60" s="322"/>
      <c r="CI60" s="322"/>
      <c r="CK60" s="249"/>
      <c r="CL60" s="249"/>
      <c r="CM60" s="249"/>
      <c r="CN60" s="249"/>
      <c r="CO60" s="249"/>
      <c r="CQ60" s="249"/>
      <c r="CR60" s="249"/>
      <c r="CS60" s="249"/>
      <c r="CT60" s="249"/>
      <c r="CU60" s="249"/>
      <c r="CW60" s="249"/>
      <c r="CX60" s="249"/>
      <c r="CY60" s="249"/>
      <c r="CZ60" s="249"/>
      <c r="DA60" s="249"/>
    </row>
    <row r="61" spans="2:105" ht="15.75" thickTop="1" x14ac:dyDescent="0.25">
      <c r="B61" s="434" t="s">
        <v>98</v>
      </c>
      <c r="C61" s="290" t="s">
        <v>99</v>
      </c>
      <c r="D61" s="310"/>
      <c r="E61" s="311"/>
      <c r="F61" s="311"/>
      <c r="G61" s="311"/>
      <c r="H61" s="311"/>
      <c r="I61" s="311"/>
      <c r="J61" s="311"/>
      <c r="K61" s="312"/>
      <c r="L61" s="310"/>
      <c r="M61" s="311"/>
      <c r="N61" s="311"/>
      <c r="O61" s="312"/>
      <c r="P61" s="310"/>
      <c r="Q61" s="311"/>
      <c r="R61" s="311"/>
      <c r="S61" s="311"/>
      <c r="T61" s="311"/>
      <c r="U61" s="311"/>
      <c r="V61" s="311"/>
      <c r="W61" s="311"/>
      <c r="X61" s="311"/>
      <c r="Y61" s="311"/>
      <c r="Z61" s="311"/>
      <c r="AA61" s="311"/>
      <c r="AB61" s="311"/>
      <c r="AC61" s="311"/>
      <c r="AD61" s="311"/>
      <c r="AE61" s="311"/>
      <c r="AF61" s="311"/>
      <c r="AG61" s="311"/>
      <c r="AH61" s="311"/>
      <c r="AI61" s="312"/>
      <c r="AJ61" s="310"/>
      <c r="AK61" s="311"/>
      <c r="AL61" s="312"/>
      <c r="AM61" s="310"/>
      <c r="AN61" s="311"/>
      <c r="AO61" s="312"/>
      <c r="AP61" s="310"/>
      <c r="AQ61" s="311"/>
      <c r="AR61" s="311"/>
      <c r="AS61" s="311"/>
      <c r="AT61" s="312"/>
      <c r="AU61" s="310" t="s">
        <v>147</v>
      </c>
      <c r="AV61" s="311" t="s">
        <v>47</v>
      </c>
      <c r="AW61" s="311" t="s">
        <v>148</v>
      </c>
      <c r="AX61" s="311" t="s">
        <v>150</v>
      </c>
      <c r="AY61" s="311" t="s">
        <v>148</v>
      </c>
      <c r="AZ61" s="311" t="s">
        <v>147</v>
      </c>
      <c r="BA61" s="311"/>
      <c r="BB61" s="312" t="s">
        <v>148</v>
      </c>
      <c r="BC61" s="310" t="s">
        <v>149</v>
      </c>
      <c r="BD61" s="311" t="s">
        <v>147</v>
      </c>
      <c r="BE61" s="311"/>
      <c r="BF61" s="311" t="s">
        <v>147</v>
      </c>
      <c r="BG61" s="312"/>
      <c r="BH61" s="310"/>
      <c r="BI61" s="311"/>
      <c r="BJ61" s="312"/>
      <c r="BK61" s="310"/>
      <c r="BL61" s="311"/>
      <c r="BM61" s="311"/>
      <c r="BN61" s="312"/>
      <c r="BO61" s="310"/>
      <c r="BP61" s="311"/>
      <c r="BQ61" s="311"/>
      <c r="BR61" s="311"/>
      <c r="BS61" s="311" t="s">
        <v>149</v>
      </c>
      <c r="BT61" s="311"/>
      <c r="BU61" s="311" t="s">
        <v>150</v>
      </c>
      <c r="BV61" s="312"/>
      <c r="BW61" s="310" t="s">
        <v>147</v>
      </c>
      <c r="BX61" s="311" t="s">
        <v>148</v>
      </c>
      <c r="BY61" s="311" t="s">
        <v>150</v>
      </c>
      <c r="BZ61" s="311" t="s">
        <v>147</v>
      </c>
      <c r="CA61" s="311" t="s">
        <v>47</v>
      </c>
      <c r="CB61" s="312" t="s">
        <v>47</v>
      </c>
      <c r="CC61" s="310"/>
      <c r="CD61" s="311" t="s">
        <v>148</v>
      </c>
      <c r="CE61" s="312"/>
      <c r="CF61" s="310"/>
      <c r="CG61" s="311"/>
      <c r="CH61" s="311"/>
      <c r="CI61" s="313"/>
      <c r="CK61" s="233">
        <f t="shared" ref="CK61:CK78" si="25">IF(COUNTIF(D61:CI61,"o")&gt;0,COUNTIF(D61:CI61,"o"),"")</f>
        <v>2</v>
      </c>
      <c r="CL61" s="234">
        <f t="shared" ref="CL61:CL78" si="26">IF(COUNTIF(D61:CI61,"j")&gt;0,COUNTIF(D61:CI61,"j"),"")</f>
        <v>6</v>
      </c>
      <c r="CM61" s="234">
        <f t="shared" ref="CM61:CM78" si="27">IF(COUNTIF(D61:CI61,"m")&gt;0,COUNTIF(D61:CI61,"m"),"")</f>
        <v>5</v>
      </c>
      <c r="CN61" s="234">
        <f t="shared" ref="CN61:CN78" si="28">IF(COUNTIF(D61:CI61,"s")&gt;0,COUNTIF(D61:CI61,"s"),"")</f>
        <v>3</v>
      </c>
      <c r="CO61" s="235">
        <f t="shared" ref="CO61:CO78" si="29">IF(COUNTIF(D61:CI61,"e")&gt;0,COUNTIF(D61:CI61,"e"),"")</f>
        <v>3</v>
      </c>
      <c r="CQ61" s="233" t="str">
        <f>desired_skills(C61,"Organisatie / klantomgeving/LB - PPB","o")</f>
        <v>31</v>
      </c>
      <c r="CR61" s="234" t="str">
        <f>desired_skills(C61,"Organisatie / klantomgeving/LB - PPB","j")</f>
        <v/>
      </c>
      <c r="CS61" s="234" t="str">
        <f>desired_skills(C61,"Organisatie / klantomgeving/LB - PPB","m")</f>
        <v/>
      </c>
      <c r="CT61" s="234" t="str">
        <f>desired_skills(C61,"Organisatie / klantomgeving/LB - PPB","s")</f>
        <v/>
      </c>
      <c r="CU61" s="235" t="str">
        <f>desired_skills(C61,"Organisatie / klantomgeving/LB - PPB","e")</f>
        <v/>
      </c>
      <c r="CW61" s="233" t="str">
        <f>calc_gap('Matrix 171007_1806'!$CK$61,'Matrix 171007_1806'!$CQ$61)</f>
        <v>29</v>
      </c>
      <c r="CX61" s="234" t="str">
        <f>calc_gap('Matrix 171007_1806'!$CL$61,'Matrix 171007_1806'!$CR$61)</f>
        <v/>
      </c>
      <c r="CY61" s="234" t="str">
        <f>calc_gap('Matrix 171007_1806'!$CM$61,'Matrix 171007_1806'!$CS$61)</f>
        <v/>
      </c>
      <c r="CZ61" s="234" t="str">
        <f>calc_gap('Matrix 171007_1806'!$CN$61,'Matrix 171007_1806'!$CT$61)</f>
        <v/>
      </c>
      <c r="DA61" s="235" t="str">
        <f>calc_gap('Matrix 171007_1806'!$CO$61,'Matrix 171007_1806'!$CU$61)</f>
        <v/>
      </c>
    </row>
    <row r="62" spans="2:105" x14ac:dyDescent="0.25">
      <c r="B62" s="435"/>
      <c r="C62" s="291" t="s">
        <v>100</v>
      </c>
      <c r="D62" s="314"/>
      <c r="E62" s="315"/>
      <c r="F62" s="315"/>
      <c r="G62" s="315"/>
      <c r="H62" s="315"/>
      <c r="I62" s="315"/>
      <c r="J62" s="315"/>
      <c r="K62" s="316"/>
      <c r="L62" s="314"/>
      <c r="M62" s="315"/>
      <c r="N62" s="315"/>
      <c r="O62" s="316"/>
      <c r="P62" s="314"/>
      <c r="Q62" s="315"/>
      <c r="R62" s="315"/>
      <c r="S62" s="315"/>
      <c r="T62" s="315"/>
      <c r="U62" s="315"/>
      <c r="V62" s="315"/>
      <c r="W62" s="315"/>
      <c r="X62" s="315"/>
      <c r="Y62" s="315"/>
      <c r="Z62" s="315"/>
      <c r="AA62" s="315"/>
      <c r="AB62" s="315"/>
      <c r="AC62" s="315"/>
      <c r="AD62" s="315"/>
      <c r="AE62" s="315"/>
      <c r="AF62" s="315"/>
      <c r="AG62" s="315"/>
      <c r="AH62" s="315"/>
      <c r="AI62" s="316"/>
      <c r="AJ62" s="314"/>
      <c r="AK62" s="315"/>
      <c r="AL62" s="316"/>
      <c r="AM62" s="314"/>
      <c r="AN62" s="315"/>
      <c r="AO62" s="316"/>
      <c r="AP62" s="314"/>
      <c r="AQ62" s="315"/>
      <c r="AR62" s="315"/>
      <c r="AS62" s="315"/>
      <c r="AT62" s="316"/>
      <c r="AU62" s="314" t="s">
        <v>147</v>
      </c>
      <c r="AV62" s="315" t="s">
        <v>150</v>
      </c>
      <c r="AW62" s="315" t="s">
        <v>148</v>
      </c>
      <c r="AX62" s="315" t="s">
        <v>150</v>
      </c>
      <c r="AY62" s="315" t="s">
        <v>148</v>
      </c>
      <c r="AZ62" s="315" t="s">
        <v>147</v>
      </c>
      <c r="BA62" s="315"/>
      <c r="BB62" s="316" t="s">
        <v>148</v>
      </c>
      <c r="BC62" s="314" t="s">
        <v>149</v>
      </c>
      <c r="BD62" s="315" t="s">
        <v>147</v>
      </c>
      <c r="BE62" s="315"/>
      <c r="BF62" s="315" t="s">
        <v>147</v>
      </c>
      <c r="BG62" s="316"/>
      <c r="BH62" s="314"/>
      <c r="BI62" s="315"/>
      <c r="BJ62" s="316"/>
      <c r="BK62" s="314"/>
      <c r="BL62" s="315"/>
      <c r="BM62" s="315"/>
      <c r="BN62" s="316"/>
      <c r="BO62" s="314"/>
      <c r="BP62" s="315"/>
      <c r="BQ62" s="315"/>
      <c r="BR62" s="315"/>
      <c r="BS62" s="315" t="s">
        <v>149</v>
      </c>
      <c r="BT62" s="315"/>
      <c r="BU62" s="315" t="s">
        <v>150</v>
      </c>
      <c r="BV62" s="316"/>
      <c r="BW62" s="314" t="s">
        <v>147</v>
      </c>
      <c r="BX62" s="315" t="s">
        <v>148</v>
      </c>
      <c r="BY62" s="315" t="s">
        <v>150</v>
      </c>
      <c r="BZ62" s="315" t="s">
        <v>147</v>
      </c>
      <c r="CA62" s="315" t="s">
        <v>47</v>
      </c>
      <c r="CB62" s="316" t="s">
        <v>150</v>
      </c>
      <c r="CC62" s="314"/>
      <c r="CD62" s="315" t="s">
        <v>148</v>
      </c>
      <c r="CE62" s="316"/>
      <c r="CF62" s="314"/>
      <c r="CG62" s="315"/>
      <c r="CH62" s="315"/>
      <c r="CI62" s="317"/>
      <c r="CK62" s="236">
        <f t="shared" si="25"/>
        <v>2</v>
      </c>
      <c r="CL62" s="237">
        <f t="shared" si="26"/>
        <v>6</v>
      </c>
      <c r="CM62" s="237">
        <f t="shared" si="27"/>
        <v>5</v>
      </c>
      <c r="CN62" s="237">
        <f t="shared" si="28"/>
        <v>5</v>
      </c>
      <c r="CO62" s="238">
        <f t="shared" si="29"/>
        <v>1</v>
      </c>
      <c r="CQ62" s="236" t="str">
        <f>desired_skills(C62,"Organisatie / klantomgeving/LB - Bedrijven","o")</f>
        <v/>
      </c>
      <c r="CR62" s="237" t="str">
        <f>desired_skills(C62,"Organisatie / klantomgeving/LB - Bedrijven","j")</f>
        <v>32</v>
      </c>
      <c r="CS62" s="237" t="str">
        <f>desired_skills(C62,"Organisatie / klantomgeving/LB - Bedrijven","m")</f>
        <v/>
      </c>
      <c r="CT62" s="237" t="str">
        <f>desired_skills(C62,"Organisatie / klantomgeving/LB - Bedrijven","s")</f>
        <v/>
      </c>
      <c r="CU62" s="238" t="str">
        <f>desired_skills(C62,"Organisatie / klantomgeving/LB - Bedrijven","e")</f>
        <v/>
      </c>
      <c r="CW62" s="236" t="str">
        <f>calc_gap('Matrix 171007_1806'!$CK$62,'Matrix 171007_1806'!$CQ$62)</f>
        <v/>
      </c>
      <c r="CX62" s="237" t="str">
        <f>calc_gap('Matrix 171007_1806'!$CL$62,'Matrix 171007_1806'!$CR$62)</f>
        <v>26</v>
      </c>
      <c r="CY62" s="237" t="str">
        <f>calc_gap('Matrix 171007_1806'!$CM$62,'Matrix 171007_1806'!$CS$62)</f>
        <v/>
      </c>
      <c r="CZ62" s="237" t="str">
        <f>calc_gap('Matrix 171007_1806'!$CN$62,'Matrix 171007_1806'!$CT$62)</f>
        <v/>
      </c>
      <c r="DA62" s="238" t="str">
        <f>calc_gap('Matrix 171007_1806'!$CO$62,'Matrix 171007_1806'!$CU$62)</f>
        <v/>
      </c>
    </row>
    <row r="63" spans="2:105" x14ac:dyDescent="0.25">
      <c r="B63" s="435"/>
      <c r="C63" s="291" t="s">
        <v>101</v>
      </c>
      <c r="D63" s="314"/>
      <c r="E63" s="315"/>
      <c r="F63" s="315"/>
      <c r="G63" s="315"/>
      <c r="H63" s="315"/>
      <c r="I63" s="315"/>
      <c r="J63" s="315"/>
      <c r="K63" s="316"/>
      <c r="L63" s="314"/>
      <c r="M63" s="315"/>
      <c r="N63" s="315"/>
      <c r="O63" s="316"/>
      <c r="P63" s="314"/>
      <c r="Q63" s="315"/>
      <c r="R63" s="315"/>
      <c r="S63" s="315"/>
      <c r="T63" s="315"/>
      <c r="U63" s="315"/>
      <c r="V63" s="315"/>
      <c r="W63" s="315"/>
      <c r="X63" s="315"/>
      <c r="Y63" s="315"/>
      <c r="Z63" s="315"/>
      <c r="AA63" s="315"/>
      <c r="AB63" s="315"/>
      <c r="AC63" s="315"/>
      <c r="AD63" s="315"/>
      <c r="AE63" s="315"/>
      <c r="AF63" s="315"/>
      <c r="AG63" s="315"/>
      <c r="AH63" s="315"/>
      <c r="AI63" s="316"/>
      <c r="AJ63" s="314"/>
      <c r="AK63" s="315"/>
      <c r="AL63" s="316"/>
      <c r="AM63" s="314"/>
      <c r="AN63" s="315"/>
      <c r="AO63" s="316"/>
      <c r="AP63" s="314"/>
      <c r="AQ63" s="315"/>
      <c r="AR63" s="315"/>
      <c r="AS63" s="315"/>
      <c r="AT63" s="316"/>
      <c r="AU63" s="314" t="s">
        <v>150</v>
      </c>
      <c r="AV63" s="315" t="s">
        <v>47</v>
      </c>
      <c r="AW63" s="315" t="s">
        <v>148</v>
      </c>
      <c r="AX63" s="315" t="s">
        <v>150</v>
      </c>
      <c r="AY63" s="315" t="s">
        <v>148</v>
      </c>
      <c r="AZ63" s="315"/>
      <c r="BA63" s="315"/>
      <c r="BB63" s="316" t="s">
        <v>148</v>
      </c>
      <c r="BC63" s="314" t="s">
        <v>149</v>
      </c>
      <c r="BD63" s="315" t="s">
        <v>147</v>
      </c>
      <c r="BE63" s="315"/>
      <c r="BF63" s="315" t="s">
        <v>150</v>
      </c>
      <c r="BG63" s="316"/>
      <c r="BH63" s="314"/>
      <c r="BI63" s="315"/>
      <c r="BJ63" s="316"/>
      <c r="BK63" s="314"/>
      <c r="BL63" s="315"/>
      <c r="BM63" s="315"/>
      <c r="BN63" s="316"/>
      <c r="BO63" s="314"/>
      <c r="BP63" s="315"/>
      <c r="BQ63" s="315"/>
      <c r="BR63" s="315"/>
      <c r="BS63" s="315" t="s">
        <v>149</v>
      </c>
      <c r="BT63" s="315"/>
      <c r="BU63" s="315" t="s">
        <v>150</v>
      </c>
      <c r="BV63" s="316"/>
      <c r="BW63" s="314" t="s">
        <v>147</v>
      </c>
      <c r="BX63" s="315" t="s">
        <v>148</v>
      </c>
      <c r="BY63" s="315" t="s">
        <v>47</v>
      </c>
      <c r="BZ63" s="315" t="s">
        <v>147</v>
      </c>
      <c r="CA63" s="315" t="s">
        <v>150</v>
      </c>
      <c r="CB63" s="316" t="s">
        <v>47</v>
      </c>
      <c r="CC63" s="314"/>
      <c r="CD63" s="315" t="s">
        <v>148</v>
      </c>
      <c r="CE63" s="316"/>
      <c r="CF63" s="314"/>
      <c r="CG63" s="315"/>
      <c r="CH63" s="315"/>
      <c r="CI63" s="317"/>
      <c r="CK63" s="236">
        <f t="shared" si="25"/>
        <v>2</v>
      </c>
      <c r="CL63" s="237">
        <f t="shared" si="26"/>
        <v>3</v>
      </c>
      <c r="CM63" s="237">
        <f t="shared" si="27"/>
        <v>5</v>
      </c>
      <c r="CN63" s="237">
        <f t="shared" si="28"/>
        <v>5</v>
      </c>
      <c r="CO63" s="238">
        <f t="shared" si="29"/>
        <v>3</v>
      </c>
      <c r="CQ63" s="236" t="str">
        <f>desired_skills(C63,"Organisatie / klantomgeving/LB - Business Support","o")</f>
        <v/>
      </c>
      <c r="CR63" s="237" t="str">
        <f>desired_skills(C63,"Organisatie / klantomgeving/LB - Business Support","j")</f>
        <v/>
      </c>
      <c r="CS63" s="237" t="str">
        <f>desired_skills(C63,"Organisatie / klantomgeving/LB - Business Support","m")</f>
        <v>33</v>
      </c>
      <c r="CT63" s="237" t="str">
        <f>desired_skills(C63,"Organisatie / klantomgeving/LB - Business Support","s")</f>
        <v/>
      </c>
      <c r="CU63" s="238" t="str">
        <f>desired_skills(C63,"Organisatie / klantomgeving/LB - Business Support","e")</f>
        <v/>
      </c>
      <c r="CW63" s="236" t="str">
        <f>calc_gap('Matrix 171007_1806'!$CK$63,'Matrix 171007_1806'!$CQ$63)</f>
        <v/>
      </c>
      <c r="CX63" s="237" t="str">
        <f>calc_gap('Matrix 171007_1806'!$CL$63,'Matrix 171007_1806'!$CR$63)</f>
        <v/>
      </c>
      <c r="CY63" s="237" t="str">
        <f>calc_gap('Matrix 171007_1806'!$CM$63,'Matrix 171007_1806'!$CS$63)</f>
        <v>28</v>
      </c>
      <c r="CZ63" s="237" t="str">
        <f>calc_gap('Matrix 171007_1806'!$CN$63,'Matrix 171007_1806'!$CT$63)</f>
        <v/>
      </c>
      <c r="DA63" s="238" t="str">
        <f>calc_gap('Matrix 171007_1806'!$CO$63,'Matrix 171007_1806'!$CU$63)</f>
        <v/>
      </c>
    </row>
    <row r="64" spans="2:105" x14ac:dyDescent="0.25">
      <c r="B64" s="435"/>
      <c r="C64" s="291" t="s">
        <v>102</v>
      </c>
      <c r="D64" s="314"/>
      <c r="E64" s="315"/>
      <c r="F64" s="315"/>
      <c r="G64" s="315"/>
      <c r="H64" s="315"/>
      <c r="I64" s="315"/>
      <c r="J64" s="315"/>
      <c r="K64" s="316"/>
      <c r="L64" s="314"/>
      <c r="M64" s="315"/>
      <c r="N64" s="315"/>
      <c r="O64" s="316"/>
      <c r="P64" s="314"/>
      <c r="Q64" s="315"/>
      <c r="R64" s="315"/>
      <c r="S64" s="315"/>
      <c r="T64" s="315"/>
      <c r="U64" s="315"/>
      <c r="V64" s="315"/>
      <c r="W64" s="315"/>
      <c r="X64" s="315"/>
      <c r="Y64" s="315"/>
      <c r="Z64" s="315"/>
      <c r="AA64" s="315"/>
      <c r="AB64" s="315"/>
      <c r="AC64" s="315"/>
      <c r="AD64" s="315"/>
      <c r="AE64" s="315"/>
      <c r="AF64" s="315"/>
      <c r="AG64" s="315"/>
      <c r="AH64" s="315"/>
      <c r="AI64" s="316"/>
      <c r="AJ64" s="314"/>
      <c r="AK64" s="315"/>
      <c r="AL64" s="316"/>
      <c r="AM64" s="314"/>
      <c r="AN64" s="315"/>
      <c r="AO64" s="316"/>
      <c r="AP64" s="314"/>
      <c r="AQ64" s="315"/>
      <c r="AR64" s="315"/>
      <c r="AS64" s="315"/>
      <c r="AT64" s="316"/>
      <c r="AU64" s="314" t="s">
        <v>147</v>
      </c>
      <c r="AV64" s="315" t="s">
        <v>47</v>
      </c>
      <c r="AW64" s="315" t="s">
        <v>148</v>
      </c>
      <c r="AX64" s="315" t="s">
        <v>150</v>
      </c>
      <c r="AY64" s="315" t="s">
        <v>148</v>
      </c>
      <c r="AZ64" s="315"/>
      <c r="BA64" s="315"/>
      <c r="BB64" s="316" t="s">
        <v>148</v>
      </c>
      <c r="BC64" s="314" t="s">
        <v>149</v>
      </c>
      <c r="BD64" s="315" t="s">
        <v>147</v>
      </c>
      <c r="BE64" s="315"/>
      <c r="BF64" s="315" t="s">
        <v>147</v>
      </c>
      <c r="BG64" s="316"/>
      <c r="BH64" s="314"/>
      <c r="BI64" s="315"/>
      <c r="BJ64" s="316"/>
      <c r="BK64" s="314"/>
      <c r="BL64" s="315"/>
      <c r="BM64" s="315"/>
      <c r="BN64" s="316"/>
      <c r="BO64" s="314" t="s">
        <v>148</v>
      </c>
      <c r="BP64" s="315" t="s">
        <v>150</v>
      </c>
      <c r="BQ64" s="315"/>
      <c r="BR64" s="315"/>
      <c r="BS64" s="315" t="s">
        <v>149</v>
      </c>
      <c r="BT64" s="315"/>
      <c r="BU64" s="315" t="s">
        <v>150</v>
      </c>
      <c r="BV64" s="316"/>
      <c r="BW64" s="314" t="s">
        <v>148</v>
      </c>
      <c r="BX64" s="315" t="s">
        <v>147</v>
      </c>
      <c r="BY64" s="315" t="s">
        <v>147</v>
      </c>
      <c r="BZ64" s="315" t="s">
        <v>148</v>
      </c>
      <c r="CA64" s="315" t="s">
        <v>150</v>
      </c>
      <c r="CB64" s="316" t="s">
        <v>47</v>
      </c>
      <c r="CC64" s="314"/>
      <c r="CD64" s="315" t="s">
        <v>148</v>
      </c>
      <c r="CE64" s="316"/>
      <c r="CF64" s="314"/>
      <c r="CG64" s="315"/>
      <c r="CH64" s="315"/>
      <c r="CI64" s="317"/>
      <c r="CK64" s="236">
        <f t="shared" si="25"/>
        <v>2</v>
      </c>
      <c r="CL64" s="237">
        <f t="shared" si="26"/>
        <v>5</v>
      </c>
      <c r="CM64" s="237">
        <f t="shared" si="27"/>
        <v>7</v>
      </c>
      <c r="CN64" s="237">
        <f t="shared" si="28"/>
        <v>4</v>
      </c>
      <c r="CO64" s="238">
        <f t="shared" si="29"/>
        <v>2</v>
      </c>
      <c r="CQ64" s="236" t="str">
        <f>desired_skills(C64,"Organisatie / klantomgeving/PPB","o")</f>
        <v/>
      </c>
      <c r="CR64" s="237" t="str">
        <f>desired_skills(C64,"Organisatie / klantomgeving/PPB","j")</f>
        <v/>
      </c>
      <c r="CS64" s="237" t="str">
        <f>desired_skills(C64,"Organisatie / klantomgeving/PPB","m")</f>
        <v/>
      </c>
      <c r="CT64" s="237" t="str">
        <f>desired_skills(C64,"Organisatie / klantomgeving/PPB","s")</f>
        <v>34</v>
      </c>
      <c r="CU64" s="238" t="str">
        <f>desired_skills(C64,"Organisatie / klantomgeving/PPB","e")</f>
        <v/>
      </c>
      <c r="CW64" s="236" t="str">
        <f>calc_gap('Matrix 171007_1806'!$CK$64,'Matrix 171007_1806'!$CQ$64)</f>
        <v/>
      </c>
      <c r="CX64" s="237" t="str">
        <f>calc_gap('Matrix 171007_1806'!$CL$64,'Matrix 171007_1806'!$CR$64)</f>
        <v/>
      </c>
      <c r="CY64" s="237" t="str">
        <f>calc_gap('Matrix 171007_1806'!$CM$64,'Matrix 171007_1806'!$CS$64)</f>
        <v/>
      </c>
      <c r="CZ64" s="237" t="str">
        <f>calc_gap('Matrix 171007_1806'!$CN$64,'Matrix 171007_1806'!$CT$64)</f>
        <v>30</v>
      </c>
      <c r="DA64" s="238" t="str">
        <f>calc_gap('Matrix 171007_1806'!$CO$64,'Matrix 171007_1806'!$CU$64)</f>
        <v/>
      </c>
    </row>
    <row r="65" spans="2:105" x14ac:dyDescent="0.25">
      <c r="B65" s="435"/>
      <c r="C65" s="291" t="s">
        <v>103</v>
      </c>
      <c r="D65" s="314"/>
      <c r="E65" s="315"/>
      <c r="F65" s="315"/>
      <c r="G65" s="315"/>
      <c r="H65" s="315"/>
      <c r="I65" s="315"/>
      <c r="J65" s="315"/>
      <c r="K65" s="316"/>
      <c r="L65" s="314"/>
      <c r="M65" s="315"/>
      <c r="N65" s="315"/>
      <c r="O65" s="316"/>
      <c r="P65" s="314"/>
      <c r="Q65" s="315"/>
      <c r="R65" s="315"/>
      <c r="S65" s="315"/>
      <c r="T65" s="315"/>
      <c r="U65" s="315"/>
      <c r="V65" s="315"/>
      <c r="W65" s="315"/>
      <c r="X65" s="315"/>
      <c r="Y65" s="315"/>
      <c r="Z65" s="315"/>
      <c r="AA65" s="315"/>
      <c r="AB65" s="315"/>
      <c r="AC65" s="315"/>
      <c r="AD65" s="315"/>
      <c r="AE65" s="315"/>
      <c r="AF65" s="315"/>
      <c r="AG65" s="315"/>
      <c r="AH65" s="315"/>
      <c r="AI65" s="316"/>
      <c r="AJ65" s="314"/>
      <c r="AK65" s="315"/>
      <c r="AL65" s="316"/>
      <c r="AM65" s="314"/>
      <c r="AN65" s="315"/>
      <c r="AO65" s="316"/>
      <c r="AP65" s="314"/>
      <c r="AQ65" s="315"/>
      <c r="AR65" s="315"/>
      <c r="AS65" s="315"/>
      <c r="AT65" s="316"/>
      <c r="AU65" s="314" t="s">
        <v>148</v>
      </c>
      <c r="AV65" s="315" t="s">
        <v>148</v>
      </c>
      <c r="AW65" s="315" t="s">
        <v>148</v>
      </c>
      <c r="AX65" s="315" t="s">
        <v>150</v>
      </c>
      <c r="AY65" s="315" t="s">
        <v>148</v>
      </c>
      <c r="AZ65" s="315"/>
      <c r="BA65" s="315"/>
      <c r="BB65" s="316" t="s">
        <v>148</v>
      </c>
      <c r="BC65" s="314" t="s">
        <v>149</v>
      </c>
      <c r="BD65" s="315" t="s">
        <v>147</v>
      </c>
      <c r="BE65" s="315"/>
      <c r="BF65" s="315" t="s">
        <v>147</v>
      </c>
      <c r="BG65" s="316"/>
      <c r="BH65" s="314"/>
      <c r="BI65" s="315"/>
      <c r="BJ65" s="316"/>
      <c r="BK65" s="314"/>
      <c r="BL65" s="315"/>
      <c r="BM65" s="315"/>
      <c r="BN65" s="316"/>
      <c r="BO65" s="314" t="s">
        <v>148</v>
      </c>
      <c r="BP65" s="315" t="s">
        <v>150</v>
      </c>
      <c r="BQ65" s="315"/>
      <c r="BR65" s="315"/>
      <c r="BS65" s="315" t="s">
        <v>149</v>
      </c>
      <c r="BT65" s="315"/>
      <c r="BU65" s="315" t="s">
        <v>150</v>
      </c>
      <c r="BV65" s="316"/>
      <c r="BW65" s="314" t="s">
        <v>148</v>
      </c>
      <c r="BX65" s="315" t="s">
        <v>147</v>
      </c>
      <c r="BY65" s="315" t="s">
        <v>147</v>
      </c>
      <c r="BZ65" s="315" t="s">
        <v>148</v>
      </c>
      <c r="CA65" s="315" t="s">
        <v>47</v>
      </c>
      <c r="CB65" s="316" t="s">
        <v>148</v>
      </c>
      <c r="CC65" s="314"/>
      <c r="CD65" s="315" t="s">
        <v>148</v>
      </c>
      <c r="CE65" s="316"/>
      <c r="CF65" s="314"/>
      <c r="CG65" s="315"/>
      <c r="CH65" s="315"/>
      <c r="CI65" s="317"/>
      <c r="CK65" s="236">
        <f t="shared" si="25"/>
        <v>2</v>
      </c>
      <c r="CL65" s="237">
        <f t="shared" si="26"/>
        <v>4</v>
      </c>
      <c r="CM65" s="237">
        <f t="shared" si="27"/>
        <v>10</v>
      </c>
      <c r="CN65" s="237">
        <f t="shared" si="28"/>
        <v>3</v>
      </c>
      <c r="CO65" s="238">
        <f t="shared" si="29"/>
        <v>1</v>
      </c>
      <c r="CQ65" s="236" t="str">
        <f>desired_skills(C65,"Organisatie / klantomgeving/Bedrijven","o")</f>
        <v/>
      </c>
      <c r="CR65" s="237" t="str">
        <f>desired_skills(C65,"Organisatie / klantomgeving/Bedrijven","j")</f>
        <v/>
      </c>
      <c r="CS65" s="237" t="str">
        <f>desired_skills(C65,"Organisatie / klantomgeving/Bedrijven","m")</f>
        <v/>
      </c>
      <c r="CT65" s="237" t="str">
        <f>desired_skills(C65,"Organisatie / klantomgeving/Bedrijven","s")</f>
        <v/>
      </c>
      <c r="CU65" s="238" t="str">
        <f>desired_skills(C65,"Organisatie / klantomgeving/Bedrijven","e")</f>
        <v>35</v>
      </c>
      <c r="CW65" s="236" t="str">
        <f>calc_gap('Matrix 171007_1806'!$CK$65,'Matrix 171007_1806'!$CQ$65)</f>
        <v/>
      </c>
      <c r="CX65" s="237" t="str">
        <f>calc_gap('Matrix 171007_1806'!$CL$65,'Matrix 171007_1806'!$CR$65)</f>
        <v/>
      </c>
      <c r="CY65" s="237" t="str">
        <f>calc_gap('Matrix 171007_1806'!$CM$65,'Matrix 171007_1806'!$CS$65)</f>
        <v/>
      </c>
      <c r="CZ65" s="237" t="str">
        <f>calc_gap('Matrix 171007_1806'!$CN$65,'Matrix 171007_1806'!$CT$65)</f>
        <v/>
      </c>
      <c r="DA65" s="238" t="str">
        <f>calc_gap('Matrix 171007_1806'!$CO$65,'Matrix 171007_1806'!$CU$65)</f>
        <v>34</v>
      </c>
    </row>
    <row r="66" spans="2:105" x14ac:dyDescent="0.25">
      <c r="B66" s="435"/>
      <c r="C66" s="291" t="s">
        <v>104</v>
      </c>
      <c r="D66" s="314"/>
      <c r="E66" s="315"/>
      <c r="F66" s="315"/>
      <c r="G66" s="315"/>
      <c r="H66" s="315"/>
      <c r="I66" s="315"/>
      <c r="J66" s="315"/>
      <c r="K66" s="316"/>
      <c r="L66" s="314"/>
      <c r="M66" s="315"/>
      <c r="N66" s="315"/>
      <c r="O66" s="316"/>
      <c r="P66" s="314"/>
      <c r="Q66" s="315"/>
      <c r="R66" s="315"/>
      <c r="S66" s="315"/>
      <c r="T66" s="315"/>
      <c r="U66" s="315"/>
      <c r="V66" s="315"/>
      <c r="W66" s="315"/>
      <c r="X66" s="315"/>
      <c r="Y66" s="315"/>
      <c r="Z66" s="315"/>
      <c r="AA66" s="315"/>
      <c r="AB66" s="315"/>
      <c r="AC66" s="315"/>
      <c r="AD66" s="315"/>
      <c r="AE66" s="315"/>
      <c r="AF66" s="315"/>
      <c r="AG66" s="315"/>
      <c r="AH66" s="315"/>
      <c r="AI66" s="316"/>
      <c r="AJ66" s="314"/>
      <c r="AK66" s="315"/>
      <c r="AL66" s="316"/>
      <c r="AM66" s="314"/>
      <c r="AN66" s="315"/>
      <c r="AO66" s="316"/>
      <c r="AP66" s="314"/>
      <c r="AQ66" s="315"/>
      <c r="AR66" s="315"/>
      <c r="AS66" s="315"/>
      <c r="AT66" s="316"/>
      <c r="AU66" s="314" t="s">
        <v>147</v>
      </c>
      <c r="AV66" s="315" t="s">
        <v>148</v>
      </c>
      <c r="AW66" s="315" t="s">
        <v>147</v>
      </c>
      <c r="AX66" s="315" t="s">
        <v>150</v>
      </c>
      <c r="AY66" s="315" t="s">
        <v>148</v>
      </c>
      <c r="AZ66" s="315"/>
      <c r="BA66" s="315"/>
      <c r="BB66" s="316" t="s">
        <v>148</v>
      </c>
      <c r="BC66" s="314" t="s">
        <v>149</v>
      </c>
      <c r="BD66" s="315" t="s">
        <v>147</v>
      </c>
      <c r="BE66" s="315"/>
      <c r="BF66" s="315" t="s">
        <v>147</v>
      </c>
      <c r="BG66" s="316"/>
      <c r="BH66" s="314"/>
      <c r="BI66" s="315"/>
      <c r="BJ66" s="316"/>
      <c r="BK66" s="314"/>
      <c r="BL66" s="315"/>
      <c r="BM66" s="315"/>
      <c r="BN66" s="316"/>
      <c r="BO66" s="314" t="s">
        <v>147</v>
      </c>
      <c r="BP66" s="315" t="s">
        <v>147</v>
      </c>
      <c r="BQ66" s="315"/>
      <c r="BR66" s="315"/>
      <c r="BS66" s="315" t="s">
        <v>149</v>
      </c>
      <c r="BT66" s="315"/>
      <c r="BU66" s="315" t="s">
        <v>148</v>
      </c>
      <c r="BV66" s="316"/>
      <c r="BW66" s="314" t="s">
        <v>148</v>
      </c>
      <c r="BX66" s="315"/>
      <c r="BY66" s="315" t="s">
        <v>150</v>
      </c>
      <c r="BZ66" s="315" t="s">
        <v>148</v>
      </c>
      <c r="CA66" s="315" t="s">
        <v>47</v>
      </c>
      <c r="CB66" s="316" t="s">
        <v>150</v>
      </c>
      <c r="CC66" s="314"/>
      <c r="CD66" s="315" t="s">
        <v>148</v>
      </c>
      <c r="CE66" s="316"/>
      <c r="CF66" s="314"/>
      <c r="CG66" s="315"/>
      <c r="CH66" s="315"/>
      <c r="CI66" s="317"/>
      <c r="CK66" s="236">
        <f t="shared" si="25"/>
        <v>2</v>
      </c>
      <c r="CL66" s="237">
        <f t="shared" si="26"/>
        <v>6</v>
      </c>
      <c r="CM66" s="237">
        <f t="shared" si="27"/>
        <v>7</v>
      </c>
      <c r="CN66" s="237">
        <f t="shared" si="28"/>
        <v>3</v>
      </c>
      <c r="CO66" s="238">
        <f t="shared" si="29"/>
        <v>1</v>
      </c>
      <c r="CQ66" s="236" t="str">
        <f>desired_skills(C66,"Organisatie / klantomgeving/Digitale Bank","o")</f>
        <v/>
      </c>
      <c r="CR66" s="237" t="str">
        <f>desired_skills(C66,"Organisatie / klantomgeving/Digitale Bank","j")</f>
        <v/>
      </c>
      <c r="CS66" s="237" t="str">
        <f>desired_skills(C66,"Organisatie / klantomgeving/Digitale Bank","m")</f>
        <v/>
      </c>
      <c r="CT66" s="237" t="str">
        <f>desired_skills(C66,"Organisatie / klantomgeving/Digitale Bank","s")</f>
        <v/>
      </c>
      <c r="CU66" s="238" t="str">
        <f>desired_skills(C66,"Organisatie / klantomgeving/Digitale Bank","e")</f>
        <v/>
      </c>
      <c r="CW66" s="236" t="str">
        <f>calc_gap('Matrix 171007_1806'!$CK$66,'Matrix 171007_1806'!$CQ$66)</f>
        <v/>
      </c>
      <c r="CX66" s="237" t="str">
        <f>calc_gap('Matrix 171007_1806'!$CL$66,'Matrix 171007_1806'!$CR$66)</f>
        <v/>
      </c>
      <c r="CY66" s="237" t="str">
        <f>calc_gap('Matrix 171007_1806'!$CM$66,'Matrix 171007_1806'!$CS$66)</f>
        <v/>
      </c>
      <c r="CZ66" s="237" t="str">
        <f>calc_gap('Matrix 171007_1806'!$CN$66,'Matrix 171007_1806'!$CT$66)</f>
        <v/>
      </c>
      <c r="DA66" s="238" t="str">
        <f>calc_gap('Matrix 171007_1806'!$CO$66,'Matrix 171007_1806'!$CU$66)</f>
        <v/>
      </c>
    </row>
    <row r="67" spans="2:105" x14ac:dyDescent="0.25">
      <c r="B67" s="435"/>
      <c r="C67" s="291" t="s">
        <v>105</v>
      </c>
      <c r="D67" s="314"/>
      <c r="E67" s="315"/>
      <c r="F67" s="315"/>
      <c r="G67" s="315"/>
      <c r="H67" s="315"/>
      <c r="I67" s="315"/>
      <c r="J67" s="315"/>
      <c r="K67" s="316"/>
      <c r="L67" s="314"/>
      <c r="M67" s="315"/>
      <c r="N67" s="315"/>
      <c r="O67" s="316"/>
      <c r="P67" s="314"/>
      <c r="Q67" s="315"/>
      <c r="R67" s="315"/>
      <c r="S67" s="315"/>
      <c r="T67" s="315"/>
      <c r="U67" s="315"/>
      <c r="V67" s="315"/>
      <c r="W67" s="315"/>
      <c r="X67" s="315"/>
      <c r="Y67" s="315"/>
      <c r="Z67" s="315"/>
      <c r="AA67" s="315"/>
      <c r="AB67" s="315"/>
      <c r="AC67" s="315"/>
      <c r="AD67" s="315"/>
      <c r="AE67" s="315"/>
      <c r="AF67" s="315"/>
      <c r="AG67" s="315"/>
      <c r="AH67" s="315"/>
      <c r="AI67" s="316"/>
      <c r="AJ67" s="314"/>
      <c r="AK67" s="315"/>
      <c r="AL67" s="316"/>
      <c r="AM67" s="314"/>
      <c r="AN67" s="315"/>
      <c r="AO67" s="316"/>
      <c r="AP67" s="314"/>
      <c r="AQ67" s="315"/>
      <c r="AR67" s="315"/>
      <c r="AS67" s="315"/>
      <c r="AT67" s="316"/>
      <c r="AU67" s="314" t="s">
        <v>150</v>
      </c>
      <c r="AV67" s="315" t="s">
        <v>150</v>
      </c>
      <c r="AW67" s="315" t="s">
        <v>147</v>
      </c>
      <c r="AX67" s="315" t="s">
        <v>150</v>
      </c>
      <c r="AY67" s="315" t="s">
        <v>150</v>
      </c>
      <c r="AZ67" s="315"/>
      <c r="BA67" s="315"/>
      <c r="BB67" s="316" t="s">
        <v>147</v>
      </c>
      <c r="BC67" s="314" t="s">
        <v>149</v>
      </c>
      <c r="BD67" s="315" t="s">
        <v>147</v>
      </c>
      <c r="BE67" s="315"/>
      <c r="BF67" s="315" t="s">
        <v>147</v>
      </c>
      <c r="BG67" s="316"/>
      <c r="BH67" s="314"/>
      <c r="BI67" s="315"/>
      <c r="BJ67" s="316"/>
      <c r="BK67" s="314"/>
      <c r="BL67" s="315"/>
      <c r="BM67" s="315"/>
      <c r="BN67" s="316"/>
      <c r="BO67" s="314" t="s">
        <v>148</v>
      </c>
      <c r="BP67" s="315" t="s">
        <v>148</v>
      </c>
      <c r="BQ67" s="315"/>
      <c r="BR67" s="315"/>
      <c r="BS67" s="315" t="s">
        <v>149</v>
      </c>
      <c r="BT67" s="315"/>
      <c r="BU67" s="315" t="s">
        <v>150</v>
      </c>
      <c r="BV67" s="316"/>
      <c r="BW67" s="314" t="s">
        <v>148</v>
      </c>
      <c r="BX67" s="315"/>
      <c r="BY67" s="315"/>
      <c r="BZ67" s="315" t="s">
        <v>148</v>
      </c>
      <c r="CA67" s="315" t="s">
        <v>147</v>
      </c>
      <c r="CB67" s="316" t="s">
        <v>147</v>
      </c>
      <c r="CC67" s="314"/>
      <c r="CD67" s="315" t="s">
        <v>147</v>
      </c>
      <c r="CE67" s="316"/>
      <c r="CF67" s="314"/>
      <c r="CG67" s="315"/>
      <c r="CH67" s="315"/>
      <c r="CI67" s="317"/>
      <c r="CK67" s="236">
        <f t="shared" si="25"/>
        <v>2</v>
      </c>
      <c r="CL67" s="237">
        <f t="shared" si="26"/>
        <v>7</v>
      </c>
      <c r="CM67" s="237">
        <f t="shared" si="27"/>
        <v>4</v>
      </c>
      <c r="CN67" s="237">
        <f t="shared" si="28"/>
        <v>5</v>
      </c>
      <c r="CO67" s="238" t="str">
        <f t="shared" si="29"/>
        <v/>
      </c>
      <c r="CQ67" s="236" t="str">
        <f>desired_skills(C67,"Organisatie / klantomgeving/CRO","o")</f>
        <v/>
      </c>
      <c r="CR67" s="237" t="str">
        <f>desired_skills(C67,"Organisatie / klantomgeving/CRO","j")</f>
        <v/>
      </c>
      <c r="CS67" s="237" t="str">
        <f>desired_skills(C67,"Organisatie / klantomgeving/CRO","m")</f>
        <v/>
      </c>
      <c r="CT67" s="237" t="str">
        <f>desired_skills(C67,"Organisatie / klantomgeving/CRO","s")</f>
        <v/>
      </c>
      <c r="CU67" s="238" t="str">
        <f>desired_skills(C67,"Organisatie / klantomgeving/CRO","e")</f>
        <v/>
      </c>
      <c r="CW67" s="236" t="str">
        <f>calc_gap('Matrix 171007_1806'!$CK$67,'Matrix 171007_1806'!$CQ$67)</f>
        <v/>
      </c>
      <c r="CX67" s="237" t="str">
        <f>calc_gap('Matrix 171007_1806'!$CL$67,'Matrix 171007_1806'!$CR$67)</f>
        <v/>
      </c>
      <c r="CY67" s="237" t="str">
        <f>calc_gap('Matrix 171007_1806'!$CM$67,'Matrix 171007_1806'!$CS$67)</f>
        <v/>
      </c>
      <c r="CZ67" s="237" t="str">
        <f>calc_gap('Matrix 171007_1806'!$CN$67,'Matrix 171007_1806'!$CT$67)</f>
        <v/>
      </c>
      <c r="DA67" s="238" t="str">
        <f>calc_gap('Matrix 171007_1806'!$CO$67,'Matrix 171007_1806'!$CU$67)</f>
        <v/>
      </c>
    </row>
    <row r="68" spans="2:105" x14ac:dyDescent="0.25">
      <c r="B68" s="435"/>
      <c r="C68" s="291" t="s">
        <v>106</v>
      </c>
      <c r="D68" s="314"/>
      <c r="E68" s="315"/>
      <c r="F68" s="315"/>
      <c r="G68" s="315"/>
      <c r="H68" s="315"/>
      <c r="I68" s="315"/>
      <c r="J68" s="315"/>
      <c r="K68" s="316"/>
      <c r="L68" s="314"/>
      <c r="M68" s="315"/>
      <c r="N68" s="315"/>
      <c r="O68" s="316"/>
      <c r="P68" s="314"/>
      <c r="Q68" s="315"/>
      <c r="R68" s="315"/>
      <c r="S68" s="315"/>
      <c r="T68" s="315"/>
      <c r="U68" s="315"/>
      <c r="V68" s="315"/>
      <c r="W68" s="315"/>
      <c r="X68" s="315"/>
      <c r="Y68" s="315"/>
      <c r="Z68" s="315"/>
      <c r="AA68" s="315"/>
      <c r="AB68" s="315"/>
      <c r="AC68" s="315"/>
      <c r="AD68" s="315"/>
      <c r="AE68" s="315"/>
      <c r="AF68" s="315"/>
      <c r="AG68" s="315"/>
      <c r="AH68" s="315"/>
      <c r="AI68" s="316"/>
      <c r="AJ68" s="314"/>
      <c r="AK68" s="315"/>
      <c r="AL68" s="316"/>
      <c r="AM68" s="314"/>
      <c r="AN68" s="315"/>
      <c r="AO68" s="316"/>
      <c r="AP68" s="314"/>
      <c r="AQ68" s="315"/>
      <c r="AR68" s="315"/>
      <c r="AS68" s="315"/>
      <c r="AT68" s="316"/>
      <c r="AU68" s="314" t="s">
        <v>148</v>
      </c>
      <c r="AV68" s="315" t="s">
        <v>148</v>
      </c>
      <c r="AW68" s="315" t="s">
        <v>147</v>
      </c>
      <c r="AX68" s="315" t="s">
        <v>150</v>
      </c>
      <c r="AY68" s="315" t="s">
        <v>150</v>
      </c>
      <c r="AZ68" s="315"/>
      <c r="BA68" s="315"/>
      <c r="BB68" s="316" t="s">
        <v>148</v>
      </c>
      <c r="BC68" s="314" t="s">
        <v>149</v>
      </c>
      <c r="BD68" s="315" t="s">
        <v>147</v>
      </c>
      <c r="BE68" s="315"/>
      <c r="BF68" s="315"/>
      <c r="BG68" s="316"/>
      <c r="BH68" s="314"/>
      <c r="BI68" s="315"/>
      <c r="BJ68" s="316"/>
      <c r="BK68" s="314"/>
      <c r="BL68" s="315"/>
      <c r="BM68" s="315"/>
      <c r="BN68" s="316"/>
      <c r="BO68" s="314" t="s">
        <v>148</v>
      </c>
      <c r="BP68" s="315" t="s">
        <v>148</v>
      </c>
      <c r="BQ68" s="315"/>
      <c r="BR68" s="315"/>
      <c r="BS68" s="315" t="s">
        <v>149</v>
      </c>
      <c r="BT68" s="315"/>
      <c r="BU68" s="315" t="s">
        <v>150</v>
      </c>
      <c r="BV68" s="316"/>
      <c r="BW68" s="314" t="s">
        <v>148</v>
      </c>
      <c r="BX68" s="315"/>
      <c r="BY68" s="315"/>
      <c r="BZ68" s="315" t="s">
        <v>148</v>
      </c>
      <c r="CA68" s="315" t="s">
        <v>147</v>
      </c>
      <c r="CB68" s="316" t="s">
        <v>147</v>
      </c>
      <c r="CC68" s="314"/>
      <c r="CD68" s="315" t="s">
        <v>147</v>
      </c>
      <c r="CE68" s="316"/>
      <c r="CF68" s="314"/>
      <c r="CG68" s="315"/>
      <c r="CH68" s="315"/>
      <c r="CI68" s="317"/>
      <c r="CK68" s="236">
        <f t="shared" si="25"/>
        <v>2</v>
      </c>
      <c r="CL68" s="237">
        <f t="shared" si="26"/>
        <v>5</v>
      </c>
      <c r="CM68" s="237">
        <f t="shared" si="27"/>
        <v>7</v>
      </c>
      <c r="CN68" s="237">
        <f t="shared" si="28"/>
        <v>3</v>
      </c>
      <c r="CO68" s="238" t="str">
        <f t="shared" si="29"/>
        <v/>
      </c>
      <c r="CQ68" s="236" t="str">
        <f>desired_skills(C68,"Organisatie / klantomgeving/CFO","o")</f>
        <v/>
      </c>
      <c r="CR68" s="237" t="str">
        <f>desired_skills(C68,"Organisatie / klantomgeving/CFO","j")</f>
        <v/>
      </c>
      <c r="CS68" s="237" t="str">
        <f>desired_skills(C68,"Organisatie / klantomgeving/CFO","m")</f>
        <v/>
      </c>
      <c r="CT68" s="237" t="str">
        <f>desired_skills(C68,"Organisatie / klantomgeving/CFO","s")</f>
        <v/>
      </c>
      <c r="CU68" s="238" t="str">
        <f>desired_skills(C68,"Organisatie / klantomgeving/CFO","e")</f>
        <v/>
      </c>
      <c r="CW68" s="236" t="str">
        <f>calc_gap('Matrix 171007_1806'!$CK$68,'Matrix 171007_1806'!$CQ$68)</f>
        <v/>
      </c>
      <c r="CX68" s="237" t="str">
        <f>calc_gap('Matrix 171007_1806'!$CL$68,'Matrix 171007_1806'!$CR$68)</f>
        <v/>
      </c>
      <c r="CY68" s="237" t="str">
        <f>calc_gap('Matrix 171007_1806'!$CM$68,'Matrix 171007_1806'!$CS$68)</f>
        <v/>
      </c>
      <c r="CZ68" s="237" t="str">
        <f>calc_gap('Matrix 171007_1806'!$CN$68,'Matrix 171007_1806'!$CT$68)</f>
        <v/>
      </c>
      <c r="DA68" s="238" t="str">
        <f>calc_gap('Matrix 171007_1806'!$CO$68,'Matrix 171007_1806'!$CU$68)</f>
        <v/>
      </c>
    </row>
    <row r="69" spans="2:105" x14ac:dyDescent="0.25">
      <c r="B69" s="435"/>
      <c r="C69" s="291" t="s">
        <v>107</v>
      </c>
      <c r="D69" s="314"/>
      <c r="E69" s="315"/>
      <c r="F69" s="315"/>
      <c r="G69" s="315"/>
      <c r="H69" s="315"/>
      <c r="I69" s="315"/>
      <c r="J69" s="315"/>
      <c r="K69" s="316"/>
      <c r="L69" s="314"/>
      <c r="M69" s="315"/>
      <c r="N69" s="315"/>
      <c r="O69" s="316"/>
      <c r="P69" s="314"/>
      <c r="Q69" s="315"/>
      <c r="R69" s="315"/>
      <c r="S69" s="315"/>
      <c r="T69" s="315"/>
      <c r="U69" s="315"/>
      <c r="V69" s="315"/>
      <c r="W69" s="315"/>
      <c r="X69" s="315"/>
      <c r="Y69" s="315"/>
      <c r="Z69" s="315"/>
      <c r="AA69" s="315"/>
      <c r="AB69" s="315"/>
      <c r="AC69" s="315"/>
      <c r="AD69" s="315"/>
      <c r="AE69" s="315"/>
      <c r="AF69" s="315"/>
      <c r="AG69" s="315"/>
      <c r="AH69" s="315"/>
      <c r="AI69" s="316"/>
      <c r="AJ69" s="314"/>
      <c r="AK69" s="315"/>
      <c r="AL69" s="316"/>
      <c r="AM69" s="314"/>
      <c r="AN69" s="315"/>
      <c r="AO69" s="316"/>
      <c r="AP69" s="314"/>
      <c r="AQ69" s="315"/>
      <c r="AR69" s="315"/>
      <c r="AS69" s="315"/>
      <c r="AT69" s="316"/>
      <c r="AU69" s="314" t="s">
        <v>148</v>
      </c>
      <c r="AV69" s="315" t="s">
        <v>148</v>
      </c>
      <c r="AW69" s="315" t="s">
        <v>147</v>
      </c>
      <c r="AX69" s="315" t="s">
        <v>150</v>
      </c>
      <c r="AY69" s="315" t="s">
        <v>150</v>
      </c>
      <c r="AZ69" s="315"/>
      <c r="BA69" s="315"/>
      <c r="BB69" s="316" t="s">
        <v>148</v>
      </c>
      <c r="BC69" s="314" t="s">
        <v>149</v>
      </c>
      <c r="BD69" s="315" t="s">
        <v>147</v>
      </c>
      <c r="BE69" s="315"/>
      <c r="BF69" s="315"/>
      <c r="BG69" s="316"/>
      <c r="BH69" s="314"/>
      <c r="BI69" s="315"/>
      <c r="BJ69" s="316"/>
      <c r="BK69" s="314"/>
      <c r="BL69" s="315"/>
      <c r="BM69" s="315"/>
      <c r="BN69" s="316"/>
      <c r="BO69" s="314" t="s">
        <v>147</v>
      </c>
      <c r="BP69" s="315" t="s">
        <v>150</v>
      </c>
      <c r="BQ69" s="315"/>
      <c r="BR69" s="315"/>
      <c r="BS69" s="315" t="s">
        <v>149</v>
      </c>
      <c r="BT69" s="315"/>
      <c r="BU69" s="315" t="s">
        <v>150</v>
      </c>
      <c r="BV69" s="316"/>
      <c r="BW69" s="314" t="s">
        <v>148</v>
      </c>
      <c r="BX69" s="315"/>
      <c r="BY69" s="315"/>
      <c r="BZ69" s="315" t="s">
        <v>150</v>
      </c>
      <c r="CA69" s="315" t="s">
        <v>148</v>
      </c>
      <c r="CB69" s="316" t="s">
        <v>147</v>
      </c>
      <c r="CC69" s="314"/>
      <c r="CD69" s="315" t="s">
        <v>147</v>
      </c>
      <c r="CE69" s="316"/>
      <c r="CF69" s="314"/>
      <c r="CG69" s="315"/>
      <c r="CH69" s="315"/>
      <c r="CI69" s="317"/>
      <c r="CK69" s="236">
        <f t="shared" si="25"/>
        <v>2</v>
      </c>
      <c r="CL69" s="237">
        <f t="shared" si="26"/>
        <v>5</v>
      </c>
      <c r="CM69" s="237">
        <f t="shared" si="27"/>
        <v>5</v>
      </c>
      <c r="CN69" s="237">
        <f t="shared" si="28"/>
        <v>5</v>
      </c>
      <c r="CO69" s="238" t="str">
        <f t="shared" si="29"/>
        <v/>
      </c>
      <c r="CQ69" s="236" t="str">
        <f>desired_skills(C69,"Organisatie / klantomgeving/COO - OPS B&amp;V","o")</f>
        <v/>
      </c>
      <c r="CR69" s="237" t="str">
        <f>desired_skills(C69,"Organisatie / klantomgeving/COO - OPS B&amp;V","j")</f>
        <v/>
      </c>
      <c r="CS69" s="237" t="str">
        <f>desired_skills(C69,"Organisatie / klantomgeving/COO - OPS B&amp;V","m")</f>
        <v/>
      </c>
      <c r="CT69" s="237" t="str">
        <f>desired_skills(C69,"Organisatie / klantomgeving/COO - OPS B&amp;V","s")</f>
        <v/>
      </c>
      <c r="CU69" s="238" t="str">
        <f>desired_skills(C69,"Organisatie / klantomgeving/COO - OPS B&amp;V","e")</f>
        <v/>
      </c>
      <c r="CW69" s="236" t="str">
        <f>calc_gap('Matrix 171007_1806'!$CK$69,'Matrix 171007_1806'!$CQ$69)</f>
        <v/>
      </c>
      <c r="CX69" s="237" t="str">
        <f>calc_gap('Matrix 171007_1806'!$CL$69,'Matrix 171007_1806'!$CR$69)</f>
        <v/>
      </c>
      <c r="CY69" s="237" t="str">
        <f>calc_gap('Matrix 171007_1806'!$CM$69,'Matrix 171007_1806'!$CS$69)</f>
        <v/>
      </c>
      <c r="CZ69" s="237" t="str">
        <f>calc_gap('Matrix 171007_1806'!$CN$69,'Matrix 171007_1806'!$CT$69)</f>
        <v/>
      </c>
      <c r="DA69" s="238" t="str">
        <f>calc_gap('Matrix 171007_1806'!$CO$69,'Matrix 171007_1806'!$CU$69)</f>
        <v/>
      </c>
    </row>
    <row r="70" spans="2:105" x14ac:dyDescent="0.25">
      <c r="B70" s="435"/>
      <c r="C70" s="291" t="s">
        <v>108</v>
      </c>
      <c r="D70" s="314"/>
      <c r="E70" s="315"/>
      <c r="F70" s="315"/>
      <c r="G70" s="315"/>
      <c r="H70" s="315"/>
      <c r="I70" s="315"/>
      <c r="J70" s="315"/>
      <c r="K70" s="316"/>
      <c r="L70" s="314"/>
      <c r="M70" s="315"/>
      <c r="N70" s="315"/>
      <c r="O70" s="316"/>
      <c r="P70" s="314"/>
      <c r="Q70" s="315"/>
      <c r="R70" s="315"/>
      <c r="S70" s="315"/>
      <c r="T70" s="315"/>
      <c r="U70" s="315"/>
      <c r="V70" s="315"/>
      <c r="W70" s="315"/>
      <c r="X70" s="315"/>
      <c r="Y70" s="315"/>
      <c r="Z70" s="315"/>
      <c r="AA70" s="315"/>
      <c r="AB70" s="315"/>
      <c r="AC70" s="315"/>
      <c r="AD70" s="315"/>
      <c r="AE70" s="315"/>
      <c r="AF70" s="315"/>
      <c r="AG70" s="315"/>
      <c r="AH70" s="315"/>
      <c r="AI70" s="316"/>
      <c r="AJ70" s="314"/>
      <c r="AK70" s="315"/>
      <c r="AL70" s="316"/>
      <c r="AM70" s="314"/>
      <c r="AN70" s="315"/>
      <c r="AO70" s="316"/>
      <c r="AP70" s="314"/>
      <c r="AQ70" s="315"/>
      <c r="AR70" s="315"/>
      <c r="AS70" s="315"/>
      <c r="AT70" s="316"/>
      <c r="AU70" s="314" t="s">
        <v>148</v>
      </c>
      <c r="AV70" s="315" t="s">
        <v>148</v>
      </c>
      <c r="AW70" s="315" t="s">
        <v>147</v>
      </c>
      <c r="AX70" s="315" t="s">
        <v>150</v>
      </c>
      <c r="AY70" s="315" t="s">
        <v>150</v>
      </c>
      <c r="AZ70" s="315"/>
      <c r="BA70" s="315"/>
      <c r="BB70" s="316" t="s">
        <v>148</v>
      </c>
      <c r="BC70" s="314" t="s">
        <v>148</v>
      </c>
      <c r="BD70" s="315" t="s">
        <v>147</v>
      </c>
      <c r="BE70" s="315"/>
      <c r="BF70" s="315"/>
      <c r="BG70" s="316"/>
      <c r="BH70" s="314"/>
      <c r="BI70" s="315"/>
      <c r="BJ70" s="316"/>
      <c r="BK70" s="314"/>
      <c r="BL70" s="315"/>
      <c r="BM70" s="315"/>
      <c r="BN70" s="316"/>
      <c r="BO70" s="314" t="s">
        <v>147</v>
      </c>
      <c r="BP70" s="315" t="s">
        <v>150</v>
      </c>
      <c r="BQ70" s="315"/>
      <c r="BR70" s="315"/>
      <c r="BS70" s="315" t="s">
        <v>149</v>
      </c>
      <c r="BT70" s="315"/>
      <c r="BU70" s="315" t="s">
        <v>150</v>
      </c>
      <c r="BV70" s="316"/>
      <c r="BW70" s="314" t="s">
        <v>148</v>
      </c>
      <c r="BX70" s="315"/>
      <c r="BY70" s="315"/>
      <c r="BZ70" s="315" t="s">
        <v>150</v>
      </c>
      <c r="CA70" s="315" t="s">
        <v>150</v>
      </c>
      <c r="CB70" s="316" t="s">
        <v>147</v>
      </c>
      <c r="CC70" s="314"/>
      <c r="CD70" s="315" t="s">
        <v>147</v>
      </c>
      <c r="CE70" s="316"/>
      <c r="CF70" s="314"/>
      <c r="CG70" s="315"/>
      <c r="CH70" s="315"/>
      <c r="CI70" s="317"/>
      <c r="CK70" s="236">
        <f t="shared" si="25"/>
        <v>1</v>
      </c>
      <c r="CL70" s="237">
        <f t="shared" si="26"/>
        <v>5</v>
      </c>
      <c r="CM70" s="237">
        <f t="shared" si="27"/>
        <v>5</v>
      </c>
      <c r="CN70" s="237">
        <f t="shared" si="28"/>
        <v>6</v>
      </c>
      <c r="CO70" s="238" t="str">
        <f t="shared" si="29"/>
        <v/>
      </c>
      <c r="CQ70" s="236" t="str">
        <f>desired_skills(C70,"Organisatie / klantomgeving/COO - OPS FIN","o")</f>
        <v/>
      </c>
      <c r="CR70" s="237" t="str">
        <f>desired_skills(C70,"Organisatie / klantomgeving/COO - OPS FIN","j")</f>
        <v/>
      </c>
      <c r="CS70" s="237" t="str">
        <f>desired_skills(C70,"Organisatie / klantomgeving/COO - OPS FIN","m")</f>
        <v/>
      </c>
      <c r="CT70" s="237" t="str">
        <f>desired_skills(C70,"Organisatie / klantomgeving/COO - OPS FIN","s")</f>
        <v/>
      </c>
      <c r="CU70" s="238" t="str">
        <f>desired_skills(C70,"Organisatie / klantomgeving/COO - OPS FIN","e")</f>
        <v/>
      </c>
      <c r="CW70" s="236" t="str">
        <f>calc_gap('Matrix 171007_1806'!$CK$70,'Matrix 171007_1806'!$CQ$70)</f>
        <v/>
      </c>
      <c r="CX70" s="237" t="str">
        <f>calc_gap('Matrix 171007_1806'!$CL$70,'Matrix 171007_1806'!$CR$70)</f>
        <v/>
      </c>
      <c r="CY70" s="237" t="str">
        <f>calc_gap('Matrix 171007_1806'!$CM$70,'Matrix 171007_1806'!$CS$70)</f>
        <v/>
      </c>
      <c r="CZ70" s="237" t="str">
        <f>calc_gap('Matrix 171007_1806'!$CN$70,'Matrix 171007_1806'!$CT$70)</f>
        <v/>
      </c>
      <c r="DA70" s="238" t="str">
        <f>calc_gap('Matrix 171007_1806'!$CO$70,'Matrix 171007_1806'!$CU$70)</f>
        <v/>
      </c>
    </row>
    <row r="71" spans="2:105" x14ac:dyDescent="0.25">
      <c r="B71" s="435"/>
      <c r="C71" s="291" t="s">
        <v>109</v>
      </c>
      <c r="D71" s="314"/>
      <c r="E71" s="315"/>
      <c r="F71" s="315"/>
      <c r="G71" s="315"/>
      <c r="H71" s="315"/>
      <c r="I71" s="315"/>
      <c r="J71" s="315"/>
      <c r="K71" s="316"/>
      <c r="L71" s="314"/>
      <c r="M71" s="315"/>
      <c r="N71" s="315"/>
      <c r="O71" s="316"/>
      <c r="P71" s="314"/>
      <c r="Q71" s="315"/>
      <c r="R71" s="315"/>
      <c r="S71" s="315"/>
      <c r="T71" s="315"/>
      <c r="U71" s="315"/>
      <c r="V71" s="315"/>
      <c r="W71" s="315"/>
      <c r="X71" s="315"/>
      <c r="Y71" s="315"/>
      <c r="Z71" s="315"/>
      <c r="AA71" s="315"/>
      <c r="AB71" s="315"/>
      <c r="AC71" s="315"/>
      <c r="AD71" s="315"/>
      <c r="AE71" s="315"/>
      <c r="AF71" s="315"/>
      <c r="AG71" s="315"/>
      <c r="AH71" s="315"/>
      <c r="AI71" s="316"/>
      <c r="AJ71" s="314"/>
      <c r="AK71" s="315"/>
      <c r="AL71" s="316"/>
      <c r="AM71" s="314"/>
      <c r="AN71" s="315"/>
      <c r="AO71" s="316"/>
      <c r="AP71" s="314"/>
      <c r="AQ71" s="315"/>
      <c r="AR71" s="315"/>
      <c r="AS71" s="315"/>
      <c r="AT71" s="316"/>
      <c r="AU71" s="314" t="s">
        <v>147</v>
      </c>
      <c r="AV71" s="315" t="s">
        <v>148</v>
      </c>
      <c r="AW71" s="315" t="s">
        <v>147</v>
      </c>
      <c r="AX71" s="315" t="s">
        <v>150</v>
      </c>
      <c r="AY71" s="315" t="s">
        <v>150</v>
      </c>
      <c r="AZ71" s="315"/>
      <c r="BA71" s="315"/>
      <c r="BB71" s="316" t="s">
        <v>148</v>
      </c>
      <c r="BC71" s="314" t="s">
        <v>149</v>
      </c>
      <c r="BD71" s="315" t="s">
        <v>147</v>
      </c>
      <c r="BE71" s="315"/>
      <c r="BF71" s="315"/>
      <c r="BG71" s="316"/>
      <c r="BH71" s="314"/>
      <c r="BI71" s="315"/>
      <c r="BJ71" s="316"/>
      <c r="BK71" s="314"/>
      <c r="BL71" s="315"/>
      <c r="BM71" s="315"/>
      <c r="BN71" s="316"/>
      <c r="BO71" s="314" t="s">
        <v>147</v>
      </c>
      <c r="BP71" s="315" t="s">
        <v>150</v>
      </c>
      <c r="BQ71" s="315"/>
      <c r="BR71" s="315"/>
      <c r="BS71" s="315" t="s">
        <v>149</v>
      </c>
      <c r="BT71" s="315"/>
      <c r="BU71" s="315" t="s">
        <v>150</v>
      </c>
      <c r="BV71" s="316"/>
      <c r="BW71" s="314" t="s">
        <v>148</v>
      </c>
      <c r="BX71" s="315"/>
      <c r="BY71" s="315"/>
      <c r="BZ71" s="315" t="s">
        <v>150</v>
      </c>
      <c r="CA71" s="315" t="s">
        <v>148</v>
      </c>
      <c r="CB71" s="316" t="s">
        <v>147</v>
      </c>
      <c r="CC71" s="314"/>
      <c r="CD71" s="315" t="s">
        <v>147</v>
      </c>
      <c r="CE71" s="316"/>
      <c r="CF71" s="314"/>
      <c r="CG71" s="315"/>
      <c r="CH71" s="315"/>
      <c r="CI71" s="317"/>
      <c r="CK71" s="236">
        <f t="shared" si="25"/>
        <v>2</v>
      </c>
      <c r="CL71" s="237">
        <f t="shared" si="26"/>
        <v>6</v>
      </c>
      <c r="CM71" s="237">
        <f t="shared" si="27"/>
        <v>4</v>
      </c>
      <c r="CN71" s="237">
        <f t="shared" si="28"/>
        <v>5</v>
      </c>
      <c r="CO71" s="238" t="str">
        <f t="shared" si="29"/>
        <v/>
      </c>
      <c r="CQ71" s="236" t="str">
        <f>desired_skills(C71,"Organisatie / klantomgeving/COO - OPS Beleggen","o")</f>
        <v/>
      </c>
      <c r="CR71" s="237" t="str">
        <f>desired_skills(C71,"Organisatie / klantomgeving/COO - OPS Beleggen","j")</f>
        <v/>
      </c>
      <c r="CS71" s="237" t="str">
        <f>desired_skills(C71,"Organisatie / klantomgeving/COO - OPS Beleggen","m")</f>
        <v/>
      </c>
      <c r="CT71" s="237" t="str">
        <f>desired_skills(C71,"Organisatie / klantomgeving/COO - OPS Beleggen","s")</f>
        <v/>
      </c>
      <c r="CU71" s="238" t="str">
        <f>desired_skills(C71,"Organisatie / klantomgeving/COO - OPS Beleggen","e")</f>
        <v/>
      </c>
      <c r="CW71" s="236" t="str">
        <f>calc_gap('Matrix 171007_1806'!$CK$71,'Matrix 171007_1806'!$CQ$71)</f>
        <v/>
      </c>
      <c r="CX71" s="237" t="str">
        <f>calc_gap('Matrix 171007_1806'!$CL$71,'Matrix 171007_1806'!$CR$71)</f>
        <v/>
      </c>
      <c r="CY71" s="237" t="str">
        <f>calc_gap('Matrix 171007_1806'!$CM$71,'Matrix 171007_1806'!$CS$71)</f>
        <v/>
      </c>
      <c r="CZ71" s="237" t="str">
        <f>calc_gap('Matrix 171007_1806'!$CN$71,'Matrix 171007_1806'!$CT$71)</f>
        <v/>
      </c>
      <c r="DA71" s="238" t="str">
        <f>calc_gap('Matrix 171007_1806'!$CO$71,'Matrix 171007_1806'!$CU$71)</f>
        <v/>
      </c>
    </row>
    <row r="72" spans="2:105" x14ac:dyDescent="0.25">
      <c r="B72" s="435"/>
      <c r="C72" s="291" t="s">
        <v>110</v>
      </c>
      <c r="D72" s="314"/>
      <c r="E72" s="315"/>
      <c r="F72" s="315"/>
      <c r="G72" s="315"/>
      <c r="H72" s="315"/>
      <c r="I72" s="315"/>
      <c r="J72" s="315"/>
      <c r="K72" s="316"/>
      <c r="L72" s="314"/>
      <c r="M72" s="315"/>
      <c r="N72" s="315"/>
      <c r="O72" s="316"/>
      <c r="P72" s="314"/>
      <c r="Q72" s="315"/>
      <c r="R72" s="315"/>
      <c r="S72" s="315"/>
      <c r="T72" s="315"/>
      <c r="U72" s="315"/>
      <c r="V72" s="315"/>
      <c r="W72" s="315"/>
      <c r="X72" s="315"/>
      <c r="Y72" s="315"/>
      <c r="Z72" s="315"/>
      <c r="AA72" s="315"/>
      <c r="AB72" s="315"/>
      <c r="AC72" s="315"/>
      <c r="AD72" s="315"/>
      <c r="AE72" s="315"/>
      <c r="AF72" s="315"/>
      <c r="AG72" s="315"/>
      <c r="AH72" s="315"/>
      <c r="AI72" s="316"/>
      <c r="AJ72" s="314"/>
      <c r="AK72" s="315"/>
      <c r="AL72" s="316"/>
      <c r="AM72" s="314"/>
      <c r="AN72" s="315"/>
      <c r="AO72" s="316"/>
      <c r="AP72" s="314"/>
      <c r="AQ72" s="315"/>
      <c r="AR72" s="315"/>
      <c r="AS72" s="315"/>
      <c r="AT72" s="316"/>
      <c r="AU72" s="314" t="s">
        <v>147</v>
      </c>
      <c r="AV72" s="315" t="s">
        <v>148</v>
      </c>
      <c r="AW72" s="315" t="s">
        <v>147</v>
      </c>
      <c r="AX72" s="315" t="s">
        <v>150</v>
      </c>
      <c r="AY72" s="315" t="s">
        <v>148</v>
      </c>
      <c r="AZ72" s="315"/>
      <c r="BA72" s="315"/>
      <c r="BB72" s="316" t="s">
        <v>148</v>
      </c>
      <c r="BC72" s="314" t="s">
        <v>149</v>
      </c>
      <c r="BD72" s="315" t="s">
        <v>147</v>
      </c>
      <c r="BE72" s="315"/>
      <c r="BF72" s="315"/>
      <c r="BG72" s="316"/>
      <c r="BH72" s="314"/>
      <c r="BI72" s="315"/>
      <c r="BJ72" s="316"/>
      <c r="BK72" s="314"/>
      <c r="BL72" s="315"/>
      <c r="BM72" s="315"/>
      <c r="BN72" s="316"/>
      <c r="BO72" s="314" t="s">
        <v>147</v>
      </c>
      <c r="BP72" s="315" t="s">
        <v>150</v>
      </c>
      <c r="BQ72" s="315"/>
      <c r="BR72" s="315"/>
      <c r="BS72" s="315" t="s">
        <v>149</v>
      </c>
      <c r="BT72" s="315"/>
      <c r="BU72" s="315" t="s">
        <v>150</v>
      </c>
      <c r="BV72" s="316"/>
      <c r="BW72" s="314" t="s">
        <v>148</v>
      </c>
      <c r="BX72" s="315"/>
      <c r="BY72" s="315"/>
      <c r="BZ72" s="315" t="s">
        <v>150</v>
      </c>
      <c r="CA72" s="315" t="s">
        <v>147</v>
      </c>
      <c r="CB72" s="316"/>
      <c r="CC72" s="314"/>
      <c r="CD72" s="315" t="s">
        <v>147</v>
      </c>
      <c r="CE72" s="316"/>
      <c r="CF72" s="314"/>
      <c r="CG72" s="315"/>
      <c r="CH72" s="315"/>
      <c r="CI72" s="317"/>
      <c r="CK72" s="236">
        <f t="shared" si="25"/>
        <v>2</v>
      </c>
      <c r="CL72" s="237">
        <f t="shared" si="26"/>
        <v>6</v>
      </c>
      <c r="CM72" s="237">
        <f t="shared" si="27"/>
        <v>4</v>
      </c>
      <c r="CN72" s="237">
        <f t="shared" si="28"/>
        <v>4</v>
      </c>
      <c r="CO72" s="238" t="str">
        <f t="shared" si="29"/>
        <v/>
      </c>
      <c r="CQ72" s="236" t="str">
        <f>desired_skills(C72,"Organisatie / klantomgeving/COO - OPS overig","o")</f>
        <v/>
      </c>
      <c r="CR72" s="237" t="str">
        <f>desired_skills(C72,"Organisatie / klantomgeving/COO - OPS overig","j")</f>
        <v/>
      </c>
      <c r="CS72" s="237" t="str">
        <f>desired_skills(C72,"Organisatie / klantomgeving/COO - OPS overig","m")</f>
        <v/>
      </c>
      <c r="CT72" s="237" t="str">
        <f>desired_skills(C72,"Organisatie / klantomgeving/COO - OPS overig","s")</f>
        <v/>
      </c>
      <c r="CU72" s="238" t="str">
        <f>desired_skills(C72,"Organisatie / klantomgeving/COO - OPS overig","e")</f>
        <v/>
      </c>
      <c r="CW72" s="236" t="str">
        <f>calc_gap('Matrix 171007_1806'!$CK$72,'Matrix 171007_1806'!$CQ$72)</f>
        <v/>
      </c>
      <c r="CX72" s="237" t="str">
        <f>calc_gap('Matrix 171007_1806'!$CL$72,'Matrix 171007_1806'!$CR$72)</f>
        <v/>
      </c>
      <c r="CY72" s="237" t="str">
        <f>calc_gap('Matrix 171007_1806'!$CM$72,'Matrix 171007_1806'!$CS$72)</f>
        <v/>
      </c>
      <c r="CZ72" s="237" t="str">
        <f>calc_gap('Matrix 171007_1806'!$CN$72,'Matrix 171007_1806'!$CT$72)</f>
        <v/>
      </c>
      <c r="DA72" s="238" t="str">
        <f>calc_gap('Matrix 171007_1806'!$CO$72,'Matrix 171007_1806'!$CU$72)</f>
        <v/>
      </c>
    </row>
    <row r="73" spans="2:105" x14ac:dyDescent="0.25">
      <c r="B73" s="435"/>
      <c r="C73" s="291" t="s">
        <v>111</v>
      </c>
      <c r="D73" s="314"/>
      <c r="E73" s="315"/>
      <c r="F73" s="315"/>
      <c r="G73" s="315"/>
      <c r="H73" s="315"/>
      <c r="I73" s="315"/>
      <c r="J73" s="315"/>
      <c r="K73" s="316"/>
      <c r="L73" s="314"/>
      <c r="M73" s="315"/>
      <c r="N73" s="315"/>
      <c r="O73" s="316"/>
      <c r="P73" s="314"/>
      <c r="Q73" s="315"/>
      <c r="R73" s="315"/>
      <c r="S73" s="315"/>
      <c r="T73" s="315"/>
      <c r="U73" s="315"/>
      <c r="V73" s="315"/>
      <c r="W73" s="315"/>
      <c r="X73" s="315"/>
      <c r="Y73" s="315"/>
      <c r="Z73" s="315"/>
      <c r="AA73" s="315"/>
      <c r="AB73" s="315"/>
      <c r="AC73" s="315"/>
      <c r="AD73" s="315"/>
      <c r="AE73" s="315"/>
      <c r="AF73" s="315"/>
      <c r="AG73" s="315"/>
      <c r="AH73" s="315"/>
      <c r="AI73" s="316"/>
      <c r="AJ73" s="314"/>
      <c r="AK73" s="315"/>
      <c r="AL73" s="316"/>
      <c r="AM73" s="314"/>
      <c r="AN73" s="315"/>
      <c r="AO73" s="316"/>
      <c r="AP73" s="314"/>
      <c r="AQ73" s="315"/>
      <c r="AR73" s="315"/>
      <c r="AS73" s="315"/>
      <c r="AT73" s="316"/>
      <c r="AU73" s="314" t="s">
        <v>148</v>
      </c>
      <c r="AV73" s="315" t="s">
        <v>147</v>
      </c>
      <c r="AW73" s="315" t="s">
        <v>147</v>
      </c>
      <c r="AX73" s="315" t="s">
        <v>150</v>
      </c>
      <c r="AY73" s="315" t="s">
        <v>148</v>
      </c>
      <c r="AZ73" s="315"/>
      <c r="BA73" s="315"/>
      <c r="BB73" s="316" t="s">
        <v>148</v>
      </c>
      <c r="BC73" s="314" t="s">
        <v>149</v>
      </c>
      <c r="BD73" s="315" t="s">
        <v>147</v>
      </c>
      <c r="BE73" s="315"/>
      <c r="BF73" s="315"/>
      <c r="BG73" s="316"/>
      <c r="BH73" s="314"/>
      <c r="BI73" s="315"/>
      <c r="BJ73" s="316"/>
      <c r="BK73" s="314"/>
      <c r="BL73" s="315"/>
      <c r="BM73" s="315"/>
      <c r="BN73" s="316"/>
      <c r="BO73" s="314" t="s">
        <v>148</v>
      </c>
      <c r="BP73" s="315" t="s">
        <v>148</v>
      </c>
      <c r="BQ73" s="315"/>
      <c r="BR73" s="315"/>
      <c r="BS73" s="315" t="s">
        <v>149</v>
      </c>
      <c r="BT73" s="315"/>
      <c r="BU73" s="315" t="s">
        <v>150</v>
      </c>
      <c r="BV73" s="316"/>
      <c r="BW73" s="314" t="s">
        <v>148</v>
      </c>
      <c r="BX73" s="315"/>
      <c r="BY73" s="315"/>
      <c r="BZ73" s="315" t="s">
        <v>150</v>
      </c>
      <c r="CA73" s="315" t="s">
        <v>147</v>
      </c>
      <c r="CB73" s="316"/>
      <c r="CC73" s="314"/>
      <c r="CD73" s="315" t="s">
        <v>147</v>
      </c>
      <c r="CE73" s="316"/>
      <c r="CF73" s="314"/>
      <c r="CG73" s="315"/>
      <c r="CH73" s="315"/>
      <c r="CI73" s="317"/>
      <c r="CK73" s="236">
        <f t="shared" si="25"/>
        <v>2</v>
      </c>
      <c r="CL73" s="237">
        <f t="shared" si="26"/>
        <v>5</v>
      </c>
      <c r="CM73" s="237">
        <f t="shared" si="27"/>
        <v>6</v>
      </c>
      <c r="CN73" s="237">
        <f t="shared" si="28"/>
        <v>3</v>
      </c>
      <c r="CO73" s="238" t="str">
        <f t="shared" si="29"/>
        <v/>
      </c>
      <c r="CQ73" s="236" t="str">
        <f>desired_skills(C73,"Organisatie / klantomgeving/COO - ITS","o")</f>
        <v/>
      </c>
      <c r="CR73" s="237" t="str">
        <f>desired_skills(C73,"Organisatie / klantomgeving/COO - ITS","j")</f>
        <v/>
      </c>
      <c r="CS73" s="237" t="str">
        <f>desired_skills(C73,"Organisatie / klantomgeving/COO - ITS","m")</f>
        <v/>
      </c>
      <c r="CT73" s="237" t="str">
        <f>desired_skills(C73,"Organisatie / klantomgeving/COO - ITS","s")</f>
        <v/>
      </c>
      <c r="CU73" s="238" t="str">
        <f>desired_skills(C73,"Organisatie / klantomgeving/COO - ITS","e")</f>
        <v/>
      </c>
      <c r="CW73" s="236" t="str">
        <f>calc_gap('Matrix 171007_1806'!$CK$73,'Matrix 171007_1806'!$CQ$73)</f>
        <v/>
      </c>
      <c r="CX73" s="237" t="str">
        <f>calc_gap('Matrix 171007_1806'!$CL$73,'Matrix 171007_1806'!$CR$73)</f>
        <v/>
      </c>
      <c r="CY73" s="237" t="str">
        <f>calc_gap('Matrix 171007_1806'!$CM$73,'Matrix 171007_1806'!$CS$73)</f>
        <v/>
      </c>
      <c r="CZ73" s="237" t="str">
        <f>calc_gap('Matrix 171007_1806'!$CN$73,'Matrix 171007_1806'!$CT$73)</f>
        <v/>
      </c>
      <c r="DA73" s="238" t="str">
        <f>calc_gap('Matrix 171007_1806'!$CO$73,'Matrix 171007_1806'!$CU$73)</f>
        <v/>
      </c>
    </row>
    <row r="74" spans="2:105" x14ac:dyDescent="0.25">
      <c r="B74" s="435"/>
      <c r="C74" s="291" t="s">
        <v>112</v>
      </c>
      <c r="D74" s="314"/>
      <c r="E74" s="315"/>
      <c r="F74" s="315"/>
      <c r="G74" s="315"/>
      <c r="H74" s="315"/>
      <c r="I74" s="315"/>
      <c r="J74" s="315"/>
      <c r="K74" s="316"/>
      <c r="L74" s="314"/>
      <c r="M74" s="315"/>
      <c r="N74" s="315"/>
      <c r="O74" s="316"/>
      <c r="P74" s="314"/>
      <c r="Q74" s="315"/>
      <c r="R74" s="315"/>
      <c r="S74" s="315"/>
      <c r="T74" s="315"/>
      <c r="U74" s="315"/>
      <c r="V74" s="315"/>
      <c r="W74" s="315"/>
      <c r="X74" s="315"/>
      <c r="Y74" s="315"/>
      <c r="Z74" s="315"/>
      <c r="AA74" s="315"/>
      <c r="AB74" s="315"/>
      <c r="AC74" s="315"/>
      <c r="AD74" s="315"/>
      <c r="AE74" s="315"/>
      <c r="AF74" s="315"/>
      <c r="AG74" s="315"/>
      <c r="AH74" s="315"/>
      <c r="AI74" s="316"/>
      <c r="AJ74" s="314"/>
      <c r="AK74" s="315"/>
      <c r="AL74" s="316"/>
      <c r="AM74" s="314"/>
      <c r="AN74" s="315"/>
      <c r="AO74" s="316"/>
      <c r="AP74" s="314"/>
      <c r="AQ74" s="315"/>
      <c r="AR74" s="315"/>
      <c r="AS74" s="315"/>
      <c r="AT74" s="316"/>
      <c r="AU74" s="314" t="s">
        <v>147</v>
      </c>
      <c r="AV74" s="315" t="s">
        <v>147</v>
      </c>
      <c r="AW74" s="315" t="s">
        <v>147</v>
      </c>
      <c r="AX74" s="315" t="s">
        <v>150</v>
      </c>
      <c r="AY74" s="315" t="s">
        <v>148</v>
      </c>
      <c r="AZ74" s="315"/>
      <c r="BA74" s="315"/>
      <c r="BB74" s="316" t="s">
        <v>147</v>
      </c>
      <c r="BC74" s="314" t="s">
        <v>149</v>
      </c>
      <c r="BD74" s="315" t="s">
        <v>148</v>
      </c>
      <c r="BE74" s="315"/>
      <c r="BF74" s="315"/>
      <c r="BG74" s="316"/>
      <c r="BH74" s="314"/>
      <c r="BI74" s="315"/>
      <c r="BJ74" s="316"/>
      <c r="BK74" s="314"/>
      <c r="BL74" s="315"/>
      <c r="BM74" s="315"/>
      <c r="BN74" s="316"/>
      <c r="BO74" s="314" t="s">
        <v>148</v>
      </c>
      <c r="BP74" s="315" t="s">
        <v>148</v>
      </c>
      <c r="BQ74" s="315"/>
      <c r="BR74" s="315"/>
      <c r="BS74" s="315" t="s">
        <v>149</v>
      </c>
      <c r="BT74" s="315"/>
      <c r="BU74" s="315" t="s">
        <v>150</v>
      </c>
      <c r="BV74" s="316"/>
      <c r="BW74" s="314" t="s">
        <v>148</v>
      </c>
      <c r="BX74" s="315"/>
      <c r="BY74" s="315"/>
      <c r="BZ74" s="315" t="s">
        <v>148</v>
      </c>
      <c r="CA74" s="315" t="s">
        <v>147</v>
      </c>
      <c r="CB74" s="316"/>
      <c r="CC74" s="314"/>
      <c r="CD74" s="315" t="s">
        <v>147</v>
      </c>
      <c r="CE74" s="316"/>
      <c r="CF74" s="314"/>
      <c r="CG74" s="315"/>
      <c r="CH74" s="315"/>
      <c r="CI74" s="317"/>
      <c r="CK74" s="236">
        <f t="shared" si="25"/>
        <v>2</v>
      </c>
      <c r="CL74" s="237">
        <f t="shared" si="26"/>
        <v>6</v>
      </c>
      <c r="CM74" s="237">
        <f t="shared" si="27"/>
        <v>6</v>
      </c>
      <c r="CN74" s="237">
        <f t="shared" si="28"/>
        <v>2</v>
      </c>
      <c r="CO74" s="238" t="str">
        <f t="shared" si="29"/>
        <v/>
      </c>
      <c r="CQ74" s="236" t="str">
        <f>desired_skills(C74,"Organisatie / klantomgeving/COO - Infra","o")</f>
        <v/>
      </c>
      <c r="CR74" s="237" t="str">
        <f>desired_skills(C74,"Organisatie / klantomgeving/COO - Infra","j")</f>
        <v/>
      </c>
      <c r="CS74" s="237" t="str">
        <f>desired_skills(C74,"Organisatie / klantomgeving/COO - Infra","m")</f>
        <v/>
      </c>
      <c r="CT74" s="237" t="str">
        <f>desired_skills(C74,"Organisatie / klantomgeving/COO - Infra","s")</f>
        <v/>
      </c>
      <c r="CU74" s="238" t="str">
        <f>desired_skills(C74,"Organisatie / klantomgeving/COO - Infra","e")</f>
        <v/>
      </c>
      <c r="CW74" s="236" t="str">
        <f>calc_gap('Matrix 171007_1806'!$CK$74,'Matrix 171007_1806'!$CQ$74)</f>
        <v/>
      </c>
      <c r="CX74" s="237" t="str">
        <f>calc_gap('Matrix 171007_1806'!$CL$74,'Matrix 171007_1806'!$CR$74)</f>
        <v/>
      </c>
      <c r="CY74" s="237" t="str">
        <f>calc_gap('Matrix 171007_1806'!$CM$74,'Matrix 171007_1806'!$CS$74)</f>
        <v/>
      </c>
      <c r="CZ74" s="237" t="str">
        <f>calc_gap('Matrix 171007_1806'!$CN$74,'Matrix 171007_1806'!$CT$74)</f>
        <v/>
      </c>
      <c r="DA74" s="238" t="str">
        <f>calc_gap('Matrix 171007_1806'!$CO$74,'Matrix 171007_1806'!$CU$74)</f>
        <v/>
      </c>
    </row>
    <row r="75" spans="2:105" x14ac:dyDescent="0.25">
      <c r="B75" s="435"/>
      <c r="C75" s="291" t="s">
        <v>113</v>
      </c>
      <c r="D75" s="314"/>
      <c r="E75" s="315"/>
      <c r="F75" s="315"/>
      <c r="G75" s="315"/>
      <c r="H75" s="315"/>
      <c r="I75" s="315"/>
      <c r="J75" s="315"/>
      <c r="K75" s="316"/>
      <c r="L75" s="314"/>
      <c r="M75" s="315"/>
      <c r="N75" s="315"/>
      <c r="O75" s="316"/>
      <c r="P75" s="314"/>
      <c r="Q75" s="315"/>
      <c r="R75" s="315"/>
      <c r="S75" s="315"/>
      <c r="T75" s="315"/>
      <c r="U75" s="315"/>
      <c r="V75" s="315"/>
      <c r="W75" s="315"/>
      <c r="X75" s="315"/>
      <c r="Y75" s="315"/>
      <c r="Z75" s="315"/>
      <c r="AA75" s="315"/>
      <c r="AB75" s="315"/>
      <c r="AC75" s="315"/>
      <c r="AD75" s="315"/>
      <c r="AE75" s="315"/>
      <c r="AF75" s="315"/>
      <c r="AG75" s="315"/>
      <c r="AH75" s="315"/>
      <c r="AI75" s="316"/>
      <c r="AJ75" s="314"/>
      <c r="AK75" s="315"/>
      <c r="AL75" s="316"/>
      <c r="AM75" s="314"/>
      <c r="AN75" s="315"/>
      <c r="AO75" s="316"/>
      <c r="AP75" s="314"/>
      <c r="AQ75" s="315"/>
      <c r="AR75" s="315"/>
      <c r="AS75" s="315"/>
      <c r="AT75" s="316"/>
      <c r="AU75" s="314" t="s">
        <v>148</v>
      </c>
      <c r="AV75" s="315" t="s">
        <v>150</v>
      </c>
      <c r="AW75" s="315" t="s">
        <v>147</v>
      </c>
      <c r="AX75" s="315" t="s">
        <v>150</v>
      </c>
      <c r="AY75" s="315" t="s">
        <v>150</v>
      </c>
      <c r="AZ75" s="315"/>
      <c r="BA75" s="315"/>
      <c r="BB75" s="316" t="s">
        <v>148</v>
      </c>
      <c r="BC75" s="314" t="s">
        <v>149</v>
      </c>
      <c r="BD75" s="315" t="s">
        <v>148</v>
      </c>
      <c r="BE75" s="315"/>
      <c r="BF75" s="315"/>
      <c r="BG75" s="316"/>
      <c r="BH75" s="314"/>
      <c r="BI75" s="315"/>
      <c r="BJ75" s="316"/>
      <c r="BK75" s="314"/>
      <c r="BL75" s="315"/>
      <c r="BM75" s="315"/>
      <c r="BN75" s="316"/>
      <c r="BO75" s="314" t="s">
        <v>148</v>
      </c>
      <c r="BP75" s="315" t="s">
        <v>148</v>
      </c>
      <c r="BQ75" s="315"/>
      <c r="BR75" s="315"/>
      <c r="BS75" s="315" t="s">
        <v>149</v>
      </c>
      <c r="BT75" s="315"/>
      <c r="BU75" s="315" t="s">
        <v>150</v>
      </c>
      <c r="BV75" s="316"/>
      <c r="BW75" s="314" t="s">
        <v>148</v>
      </c>
      <c r="BX75" s="315"/>
      <c r="BY75" s="315"/>
      <c r="BZ75" s="315" t="s">
        <v>148</v>
      </c>
      <c r="CA75" s="315" t="s">
        <v>147</v>
      </c>
      <c r="CB75" s="316"/>
      <c r="CC75" s="314"/>
      <c r="CD75" s="315" t="s">
        <v>147</v>
      </c>
      <c r="CE75" s="316"/>
      <c r="CF75" s="314"/>
      <c r="CG75" s="315"/>
      <c r="CH75" s="315"/>
      <c r="CI75" s="317"/>
      <c r="CK75" s="236">
        <f t="shared" si="25"/>
        <v>2</v>
      </c>
      <c r="CL75" s="237">
        <f t="shared" si="26"/>
        <v>3</v>
      </c>
      <c r="CM75" s="237">
        <f t="shared" si="27"/>
        <v>7</v>
      </c>
      <c r="CN75" s="237">
        <f t="shared" si="28"/>
        <v>4</v>
      </c>
      <c r="CO75" s="238" t="str">
        <f t="shared" si="29"/>
        <v/>
      </c>
      <c r="CQ75" s="236" t="str">
        <f>desired_skills(C75,"Organisatie / klantomgeving/COO - RRS","o")</f>
        <v/>
      </c>
      <c r="CR75" s="237" t="str">
        <f>desired_skills(C75,"Organisatie / klantomgeving/COO - RRS","j")</f>
        <v/>
      </c>
      <c r="CS75" s="237" t="str">
        <f>desired_skills(C75,"Organisatie / klantomgeving/COO - RRS","m")</f>
        <v/>
      </c>
      <c r="CT75" s="237" t="str">
        <f>desired_skills(C75,"Organisatie / klantomgeving/COO - RRS","s")</f>
        <v/>
      </c>
      <c r="CU75" s="238" t="str">
        <f>desired_skills(C75,"Organisatie / klantomgeving/COO - RRS","e")</f>
        <v/>
      </c>
      <c r="CW75" s="236" t="str">
        <f>calc_gap('Matrix 171007_1806'!$CK$75,'Matrix 171007_1806'!$CQ$75)</f>
        <v/>
      </c>
      <c r="CX75" s="237" t="str">
        <f>calc_gap('Matrix 171007_1806'!$CL$75,'Matrix 171007_1806'!$CR$75)</f>
        <v/>
      </c>
      <c r="CY75" s="237" t="str">
        <f>calc_gap('Matrix 171007_1806'!$CM$75,'Matrix 171007_1806'!$CS$75)</f>
        <v/>
      </c>
      <c r="CZ75" s="237" t="str">
        <f>calc_gap('Matrix 171007_1806'!$CN$75,'Matrix 171007_1806'!$CT$75)</f>
        <v/>
      </c>
      <c r="DA75" s="238" t="str">
        <f>calc_gap('Matrix 171007_1806'!$CO$75,'Matrix 171007_1806'!$CU$75)</f>
        <v/>
      </c>
    </row>
    <row r="76" spans="2:105" x14ac:dyDescent="0.25">
      <c r="B76" s="435"/>
      <c r="C76" s="291" t="s">
        <v>114</v>
      </c>
      <c r="D76" s="314"/>
      <c r="E76" s="315"/>
      <c r="F76" s="315"/>
      <c r="G76" s="315"/>
      <c r="H76" s="315"/>
      <c r="I76" s="315"/>
      <c r="J76" s="315"/>
      <c r="K76" s="316"/>
      <c r="L76" s="314"/>
      <c r="M76" s="315"/>
      <c r="N76" s="315"/>
      <c r="O76" s="316"/>
      <c r="P76" s="314"/>
      <c r="Q76" s="315"/>
      <c r="R76" s="315"/>
      <c r="S76" s="315"/>
      <c r="T76" s="315"/>
      <c r="U76" s="315"/>
      <c r="V76" s="315"/>
      <c r="W76" s="315"/>
      <c r="X76" s="315"/>
      <c r="Y76" s="315"/>
      <c r="Z76" s="315"/>
      <c r="AA76" s="315"/>
      <c r="AB76" s="315"/>
      <c r="AC76" s="315"/>
      <c r="AD76" s="315"/>
      <c r="AE76" s="315"/>
      <c r="AF76" s="315"/>
      <c r="AG76" s="315"/>
      <c r="AH76" s="315"/>
      <c r="AI76" s="316"/>
      <c r="AJ76" s="314"/>
      <c r="AK76" s="315"/>
      <c r="AL76" s="316"/>
      <c r="AM76" s="314"/>
      <c r="AN76" s="315"/>
      <c r="AO76" s="316"/>
      <c r="AP76" s="314"/>
      <c r="AQ76" s="315"/>
      <c r="AR76" s="315"/>
      <c r="AS76" s="315"/>
      <c r="AT76" s="316"/>
      <c r="AU76" s="314" t="s">
        <v>148</v>
      </c>
      <c r="AV76" s="315" t="s">
        <v>150</v>
      </c>
      <c r="AW76" s="315" t="s">
        <v>150</v>
      </c>
      <c r="AX76" s="315" t="s">
        <v>150</v>
      </c>
      <c r="AY76" s="315" t="s">
        <v>150</v>
      </c>
      <c r="AZ76" s="315" t="s">
        <v>148</v>
      </c>
      <c r="BA76" s="315"/>
      <c r="BB76" s="316" t="s">
        <v>150</v>
      </c>
      <c r="BC76" s="314" t="s">
        <v>148</v>
      </c>
      <c r="BD76" s="315" t="s">
        <v>150</v>
      </c>
      <c r="BE76" s="315"/>
      <c r="BF76" s="315"/>
      <c r="BG76" s="316"/>
      <c r="BH76" s="314"/>
      <c r="BI76" s="315"/>
      <c r="BJ76" s="316"/>
      <c r="BK76" s="314"/>
      <c r="BL76" s="315"/>
      <c r="BM76" s="315"/>
      <c r="BN76" s="316"/>
      <c r="BO76" s="314" t="s">
        <v>148</v>
      </c>
      <c r="BP76" s="315" t="s">
        <v>148</v>
      </c>
      <c r="BQ76" s="315"/>
      <c r="BR76" s="315"/>
      <c r="BS76" s="315" t="s">
        <v>149</v>
      </c>
      <c r="BT76" s="315"/>
      <c r="BU76" s="315" t="s">
        <v>150</v>
      </c>
      <c r="BV76" s="316"/>
      <c r="BW76" s="314" t="s">
        <v>150</v>
      </c>
      <c r="BX76" s="315"/>
      <c r="BY76" s="315"/>
      <c r="BZ76" s="315" t="s">
        <v>150</v>
      </c>
      <c r="CA76" s="315" t="s">
        <v>147</v>
      </c>
      <c r="CB76" s="316" t="s">
        <v>147</v>
      </c>
      <c r="CC76" s="314"/>
      <c r="CD76" s="315" t="s">
        <v>147</v>
      </c>
      <c r="CE76" s="316"/>
      <c r="CF76" s="314"/>
      <c r="CG76" s="315"/>
      <c r="CH76" s="315"/>
      <c r="CI76" s="317"/>
      <c r="CK76" s="236">
        <f t="shared" si="25"/>
        <v>1</v>
      </c>
      <c r="CL76" s="237">
        <f t="shared" si="26"/>
        <v>3</v>
      </c>
      <c r="CM76" s="237">
        <f t="shared" si="27"/>
        <v>5</v>
      </c>
      <c r="CN76" s="237">
        <f t="shared" si="28"/>
        <v>9</v>
      </c>
      <c r="CO76" s="238" t="str">
        <f t="shared" si="29"/>
        <v/>
      </c>
      <c r="CQ76" s="236" t="str">
        <f>desired_skills(C76,"Organisatie / klantomgeving/COO - IAM","o")</f>
        <v/>
      </c>
      <c r="CR76" s="237" t="str">
        <f>desired_skills(C76,"Organisatie / klantomgeving/COO - IAM","j")</f>
        <v/>
      </c>
      <c r="CS76" s="237" t="str">
        <f>desired_skills(C76,"Organisatie / klantomgeving/COO - IAM","m")</f>
        <v/>
      </c>
      <c r="CT76" s="237" t="str">
        <f>desired_skills(C76,"Organisatie / klantomgeving/COO - IAM","s")</f>
        <v/>
      </c>
      <c r="CU76" s="238" t="str">
        <f>desired_skills(C76,"Organisatie / klantomgeving/COO - IAM","e")</f>
        <v/>
      </c>
      <c r="CW76" s="236" t="str">
        <f>calc_gap('Matrix 171007_1806'!$CK$76,'Matrix 171007_1806'!$CQ$76)</f>
        <v/>
      </c>
      <c r="CX76" s="237" t="str">
        <f>calc_gap('Matrix 171007_1806'!$CL$76,'Matrix 171007_1806'!$CR$76)</f>
        <v/>
      </c>
      <c r="CY76" s="237" t="str">
        <f>calc_gap('Matrix 171007_1806'!$CM$76,'Matrix 171007_1806'!$CS$76)</f>
        <v/>
      </c>
      <c r="CZ76" s="237" t="str">
        <f>calc_gap('Matrix 171007_1806'!$CN$76,'Matrix 171007_1806'!$CT$76)</f>
        <v/>
      </c>
      <c r="DA76" s="238" t="str">
        <f>calc_gap('Matrix 171007_1806'!$CO$76,'Matrix 171007_1806'!$CU$76)</f>
        <v/>
      </c>
    </row>
    <row r="77" spans="2:105" x14ac:dyDescent="0.25">
      <c r="B77" s="435"/>
      <c r="C77" s="291" t="s">
        <v>115</v>
      </c>
      <c r="D77" s="314"/>
      <c r="E77" s="315"/>
      <c r="F77" s="315"/>
      <c r="G77" s="315"/>
      <c r="H77" s="315"/>
      <c r="I77" s="315"/>
      <c r="J77" s="315"/>
      <c r="K77" s="316"/>
      <c r="L77" s="314"/>
      <c r="M77" s="315"/>
      <c r="N77" s="315"/>
      <c r="O77" s="316"/>
      <c r="P77" s="314"/>
      <c r="Q77" s="315"/>
      <c r="R77" s="315"/>
      <c r="S77" s="315"/>
      <c r="T77" s="315"/>
      <c r="U77" s="315"/>
      <c r="V77" s="315"/>
      <c r="W77" s="315"/>
      <c r="X77" s="315"/>
      <c r="Y77" s="315"/>
      <c r="Z77" s="315"/>
      <c r="AA77" s="315"/>
      <c r="AB77" s="315"/>
      <c r="AC77" s="315"/>
      <c r="AD77" s="315"/>
      <c r="AE77" s="315"/>
      <c r="AF77" s="315"/>
      <c r="AG77" s="315"/>
      <c r="AH77" s="315"/>
      <c r="AI77" s="316"/>
      <c r="AJ77" s="314"/>
      <c r="AK77" s="315"/>
      <c r="AL77" s="316"/>
      <c r="AM77" s="314"/>
      <c r="AN77" s="315"/>
      <c r="AO77" s="316"/>
      <c r="AP77" s="314"/>
      <c r="AQ77" s="315"/>
      <c r="AR77" s="315"/>
      <c r="AS77" s="315"/>
      <c r="AT77" s="316"/>
      <c r="AU77" s="314" t="s">
        <v>47</v>
      </c>
      <c r="AV77" s="315" t="s">
        <v>148</v>
      </c>
      <c r="AW77" s="315" t="s">
        <v>148</v>
      </c>
      <c r="AX77" s="315" t="s">
        <v>150</v>
      </c>
      <c r="AY77" s="315" t="s">
        <v>150</v>
      </c>
      <c r="AZ77" s="315" t="s">
        <v>148</v>
      </c>
      <c r="BA77" s="315" t="s">
        <v>148</v>
      </c>
      <c r="BB77" s="316" t="s">
        <v>148</v>
      </c>
      <c r="BC77" s="314" t="s">
        <v>148</v>
      </c>
      <c r="BD77" s="315" t="s">
        <v>148</v>
      </c>
      <c r="BE77" s="315"/>
      <c r="BF77" s="315"/>
      <c r="BG77" s="316"/>
      <c r="BH77" s="314"/>
      <c r="BI77" s="315" t="s">
        <v>148</v>
      </c>
      <c r="BJ77" s="316"/>
      <c r="BK77" s="314" t="s">
        <v>148</v>
      </c>
      <c r="BL77" s="315" t="s">
        <v>148</v>
      </c>
      <c r="BM77" s="315"/>
      <c r="BN77" s="316"/>
      <c r="BO77" s="314" t="s">
        <v>148</v>
      </c>
      <c r="BP77" s="315" t="s">
        <v>148</v>
      </c>
      <c r="BQ77" s="315"/>
      <c r="BR77" s="315"/>
      <c r="BS77" s="315" t="s">
        <v>149</v>
      </c>
      <c r="BT77" s="315" t="s">
        <v>147</v>
      </c>
      <c r="BU77" s="315" t="s">
        <v>150</v>
      </c>
      <c r="BV77" s="316"/>
      <c r="BW77" s="314" t="s">
        <v>148</v>
      </c>
      <c r="BX77" s="315"/>
      <c r="BY77" s="315" t="s">
        <v>147</v>
      </c>
      <c r="BZ77" s="315" t="s">
        <v>150</v>
      </c>
      <c r="CA77" s="315" t="s">
        <v>147</v>
      </c>
      <c r="CB77" s="316" t="s">
        <v>147</v>
      </c>
      <c r="CC77" s="314" t="s">
        <v>147</v>
      </c>
      <c r="CD77" s="315" t="s">
        <v>148</v>
      </c>
      <c r="CE77" s="316"/>
      <c r="CF77" s="314"/>
      <c r="CG77" s="315"/>
      <c r="CH77" s="315"/>
      <c r="CI77" s="317"/>
      <c r="CK77" s="236">
        <f t="shared" si="25"/>
        <v>1</v>
      </c>
      <c r="CL77" s="237">
        <f t="shared" si="26"/>
        <v>5</v>
      </c>
      <c r="CM77" s="237">
        <f t="shared" si="27"/>
        <v>14</v>
      </c>
      <c r="CN77" s="237">
        <f t="shared" si="28"/>
        <v>4</v>
      </c>
      <c r="CO77" s="238">
        <f t="shared" si="29"/>
        <v>1</v>
      </c>
      <c r="CQ77" s="236" t="str">
        <f>desired_skills(C77,"Organisatie / klantomgeving/HR (processen)","o")</f>
        <v/>
      </c>
      <c r="CR77" s="237" t="str">
        <f>desired_skills(C77,"Organisatie / klantomgeving/HR (processen)","j")</f>
        <v/>
      </c>
      <c r="CS77" s="237" t="str">
        <f>desired_skills(C77,"Organisatie / klantomgeving/HR (processen)","m")</f>
        <v/>
      </c>
      <c r="CT77" s="237" t="str">
        <f>desired_skills(C77,"Organisatie / klantomgeving/HR (processen)","s")</f>
        <v/>
      </c>
      <c r="CU77" s="238" t="str">
        <f>desired_skills(C77,"Organisatie / klantomgeving/HR (processen)","e")</f>
        <v/>
      </c>
      <c r="CW77" s="236" t="str">
        <f>calc_gap('Matrix 171007_1806'!$CK$77,'Matrix 171007_1806'!$CQ$77)</f>
        <v/>
      </c>
      <c r="CX77" s="237" t="str">
        <f>calc_gap('Matrix 171007_1806'!$CL$77,'Matrix 171007_1806'!$CR$77)</f>
        <v/>
      </c>
      <c r="CY77" s="237" t="str">
        <f>calc_gap('Matrix 171007_1806'!$CM$77,'Matrix 171007_1806'!$CS$77)</f>
        <v/>
      </c>
      <c r="CZ77" s="237" t="str">
        <f>calc_gap('Matrix 171007_1806'!$CN$77,'Matrix 171007_1806'!$CT$77)</f>
        <v/>
      </c>
      <c r="DA77" s="238" t="str">
        <f>calc_gap('Matrix 171007_1806'!$CO$77,'Matrix 171007_1806'!$CU$77)</f>
        <v/>
      </c>
    </row>
    <row r="78" spans="2:105" ht="15.75" thickBot="1" x14ac:dyDescent="0.3">
      <c r="B78" s="435"/>
      <c r="C78" s="292" t="s">
        <v>116</v>
      </c>
      <c r="D78" s="318"/>
      <c r="E78" s="319"/>
      <c r="F78" s="319"/>
      <c r="G78" s="319"/>
      <c r="H78" s="319"/>
      <c r="I78" s="319"/>
      <c r="J78" s="319"/>
      <c r="K78" s="320"/>
      <c r="L78" s="318"/>
      <c r="M78" s="319"/>
      <c r="N78" s="319"/>
      <c r="O78" s="320"/>
      <c r="P78" s="318"/>
      <c r="Q78" s="319"/>
      <c r="R78" s="319"/>
      <c r="S78" s="319"/>
      <c r="T78" s="319"/>
      <c r="U78" s="319"/>
      <c r="V78" s="319"/>
      <c r="W78" s="319"/>
      <c r="X78" s="319"/>
      <c r="Y78" s="319"/>
      <c r="Z78" s="319"/>
      <c r="AA78" s="319"/>
      <c r="AB78" s="319"/>
      <c r="AC78" s="319"/>
      <c r="AD78" s="319"/>
      <c r="AE78" s="319"/>
      <c r="AF78" s="319"/>
      <c r="AG78" s="319"/>
      <c r="AH78" s="319"/>
      <c r="AI78" s="320"/>
      <c r="AJ78" s="318"/>
      <c r="AK78" s="319"/>
      <c r="AL78" s="320"/>
      <c r="AM78" s="318"/>
      <c r="AN78" s="319"/>
      <c r="AO78" s="320"/>
      <c r="AP78" s="318"/>
      <c r="AQ78" s="319"/>
      <c r="AR78" s="319"/>
      <c r="AS78" s="319"/>
      <c r="AT78" s="320"/>
      <c r="AU78" s="318" t="s">
        <v>148</v>
      </c>
      <c r="AV78" s="319" t="s">
        <v>47</v>
      </c>
      <c r="AW78" s="319" t="s">
        <v>150</v>
      </c>
      <c r="AX78" s="319" t="s">
        <v>150</v>
      </c>
      <c r="AY78" s="319" t="s">
        <v>150</v>
      </c>
      <c r="AZ78" s="319" t="s">
        <v>147</v>
      </c>
      <c r="BA78" s="319" t="s">
        <v>148</v>
      </c>
      <c r="BB78" s="320" t="s">
        <v>150</v>
      </c>
      <c r="BC78" s="318" t="s">
        <v>147</v>
      </c>
      <c r="BD78" s="319" t="s">
        <v>148</v>
      </c>
      <c r="BE78" s="319"/>
      <c r="BF78" s="319" t="s">
        <v>147</v>
      </c>
      <c r="BG78" s="320"/>
      <c r="BH78" s="318"/>
      <c r="BI78" s="319"/>
      <c r="BJ78" s="320"/>
      <c r="BK78" s="318" t="s">
        <v>148</v>
      </c>
      <c r="BL78" s="319" t="s">
        <v>148</v>
      </c>
      <c r="BM78" s="319"/>
      <c r="BN78" s="320" t="s">
        <v>149</v>
      </c>
      <c r="BO78" s="318" t="s">
        <v>147</v>
      </c>
      <c r="BP78" s="319" t="s">
        <v>148</v>
      </c>
      <c r="BQ78" s="319" t="s">
        <v>148</v>
      </c>
      <c r="BR78" s="319"/>
      <c r="BS78" s="319" t="s">
        <v>149</v>
      </c>
      <c r="BT78" s="319" t="s">
        <v>148</v>
      </c>
      <c r="BU78" s="319" t="s">
        <v>150</v>
      </c>
      <c r="BV78" s="320"/>
      <c r="BW78" s="318" t="s">
        <v>150</v>
      </c>
      <c r="BX78" s="319"/>
      <c r="BY78" s="319" t="s">
        <v>150</v>
      </c>
      <c r="BZ78" s="319" t="s">
        <v>150</v>
      </c>
      <c r="CA78" s="319" t="s">
        <v>150</v>
      </c>
      <c r="CB78" s="320" t="s">
        <v>150</v>
      </c>
      <c r="CC78" s="318" t="s">
        <v>147</v>
      </c>
      <c r="CD78" s="319" t="s">
        <v>148</v>
      </c>
      <c r="CE78" s="320"/>
      <c r="CF78" s="318"/>
      <c r="CG78" s="319"/>
      <c r="CH78" s="319"/>
      <c r="CI78" s="321"/>
      <c r="CK78" s="239">
        <f t="shared" si="25"/>
        <v>2</v>
      </c>
      <c r="CL78" s="240">
        <f t="shared" si="26"/>
        <v>5</v>
      </c>
      <c r="CM78" s="240">
        <f t="shared" si="27"/>
        <v>9</v>
      </c>
      <c r="CN78" s="240">
        <f t="shared" si="28"/>
        <v>10</v>
      </c>
      <c r="CO78" s="241">
        <f t="shared" si="29"/>
        <v>1</v>
      </c>
      <c r="CQ78" s="239" t="str">
        <f>desired_skills(C78,"Organisatie / klantomgeving/LEX-en","o")</f>
        <v/>
      </c>
      <c r="CR78" s="240" t="str">
        <f>desired_skills(C78,"Organisatie / klantomgeving/LEX-en","j")</f>
        <v/>
      </c>
      <c r="CS78" s="240" t="str">
        <f>desired_skills(C78,"Organisatie / klantomgeving/LEX-en","m")</f>
        <v/>
      </c>
      <c r="CT78" s="240" t="str">
        <f>desired_skills(C78,"Organisatie / klantomgeving/LEX-en","s")</f>
        <v/>
      </c>
      <c r="CU78" s="241" t="str">
        <f>desired_skills(C78,"Organisatie / klantomgeving/LEX-en","e")</f>
        <v/>
      </c>
      <c r="CW78" s="239" t="str">
        <f>calc_gap('Matrix 171007_1806'!$CK$78,'Matrix 171007_1806'!$CQ$78)</f>
        <v/>
      </c>
      <c r="CX78" s="240" t="str">
        <f>calc_gap('Matrix 171007_1806'!$CL$78,'Matrix 171007_1806'!$CR$78)</f>
        <v/>
      </c>
      <c r="CY78" s="240" t="str">
        <f>calc_gap('Matrix 171007_1806'!$CM$78,'Matrix 171007_1806'!$CS$78)</f>
        <v/>
      </c>
      <c r="CZ78" s="240" t="str">
        <f>calc_gap('Matrix 171007_1806'!$CN$78,'Matrix 171007_1806'!$CT$78)</f>
        <v/>
      </c>
      <c r="DA78" s="241" t="str">
        <f>calc_gap('Matrix 171007_1806'!$CO$78,'Matrix 171007_1806'!$CU$78)</f>
        <v/>
      </c>
    </row>
    <row r="79" spans="2:105" ht="12.75" customHeight="1" thickTop="1" thickBot="1" x14ac:dyDescent="0.3">
      <c r="B79" s="436"/>
      <c r="C79" s="248"/>
      <c r="D79" s="322"/>
      <c r="E79" s="322"/>
      <c r="F79" s="322"/>
      <c r="G79" s="322"/>
      <c r="H79" s="322"/>
      <c r="I79" s="322"/>
      <c r="J79" s="322"/>
      <c r="K79" s="322"/>
      <c r="L79" s="322"/>
      <c r="M79" s="322"/>
      <c r="N79" s="322"/>
      <c r="O79" s="322"/>
      <c r="P79" s="322"/>
      <c r="Q79" s="322"/>
      <c r="R79" s="322"/>
      <c r="S79" s="322"/>
      <c r="T79" s="322"/>
      <c r="U79" s="322"/>
      <c r="V79" s="322"/>
      <c r="W79" s="322"/>
      <c r="X79" s="322"/>
      <c r="Y79" s="322"/>
      <c r="Z79" s="322"/>
      <c r="AA79" s="322"/>
      <c r="AB79" s="322"/>
      <c r="AC79" s="322"/>
      <c r="AD79" s="322"/>
      <c r="AE79" s="322"/>
      <c r="AF79" s="322"/>
      <c r="AG79" s="322"/>
      <c r="AH79" s="322"/>
      <c r="AI79" s="322"/>
      <c r="AJ79" s="322"/>
      <c r="AK79" s="322"/>
      <c r="AL79" s="322"/>
      <c r="AM79" s="322"/>
      <c r="AN79" s="322"/>
      <c r="AO79" s="322"/>
      <c r="AP79" s="322"/>
      <c r="AQ79" s="322"/>
      <c r="AR79" s="322"/>
      <c r="AS79" s="322"/>
      <c r="AT79" s="322"/>
      <c r="AU79" s="322"/>
      <c r="AV79" s="322"/>
      <c r="AW79" s="322"/>
      <c r="AX79" s="322"/>
      <c r="AY79" s="322"/>
      <c r="AZ79" s="322"/>
      <c r="BA79" s="322"/>
      <c r="BB79" s="322"/>
      <c r="BC79" s="322"/>
      <c r="BD79" s="322"/>
      <c r="BE79" s="322"/>
      <c r="BF79" s="322"/>
      <c r="BG79" s="322"/>
      <c r="BH79" s="322"/>
      <c r="BI79" s="322"/>
      <c r="BJ79" s="322"/>
      <c r="BK79" s="322"/>
      <c r="BL79" s="322"/>
      <c r="BM79" s="322"/>
      <c r="BN79" s="322"/>
      <c r="BO79" s="322"/>
      <c r="BP79" s="322"/>
      <c r="BQ79" s="322"/>
      <c r="BR79" s="322"/>
      <c r="BS79" s="322"/>
      <c r="BT79" s="322"/>
      <c r="BU79" s="322"/>
      <c r="BV79" s="322"/>
      <c r="BW79" s="322"/>
      <c r="BX79" s="322"/>
      <c r="BY79" s="322"/>
      <c r="BZ79" s="322"/>
      <c r="CA79" s="322"/>
      <c r="CB79" s="322"/>
      <c r="CC79" s="322"/>
      <c r="CD79" s="322"/>
      <c r="CE79" s="322"/>
      <c r="CF79" s="322"/>
      <c r="CG79" s="322"/>
      <c r="CH79" s="322"/>
      <c r="CI79" s="322"/>
      <c r="CK79" s="249"/>
      <c r="CL79" s="249"/>
      <c r="CM79" s="249"/>
      <c r="CN79" s="249"/>
      <c r="CO79" s="249"/>
      <c r="CQ79" s="249"/>
      <c r="CR79" s="249"/>
      <c r="CS79" s="249"/>
      <c r="CT79" s="249"/>
      <c r="CU79" s="249"/>
      <c r="CW79" s="249"/>
      <c r="CX79" s="249"/>
      <c r="CY79" s="249"/>
      <c r="CZ79" s="249"/>
      <c r="DA79" s="249"/>
    </row>
    <row r="80" spans="2:105" ht="15.75" thickTop="1" x14ac:dyDescent="0.25">
      <c r="B80" s="434" t="s">
        <v>266</v>
      </c>
      <c r="C80" s="290" t="s">
        <v>184</v>
      </c>
      <c r="D80" s="310"/>
      <c r="E80" s="311"/>
      <c r="F80" s="311"/>
      <c r="G80" s="311"/>
      <c r="H80" s="311"/>
      <c r="I80" s="311"/>
      <c r="J80" s="311"/>
      <c r="K80" s="312"/>
      <c r="L80" s="310"/>
      <c r="M80" s="311"/>
      <c r="N80" s="311"/>
      <c r="O80" s="312"/>
      <c r="P80" s="310"/>
      <c r="Q80" s="311"/>
      <c r="R80" s="311"/>
      <c r="S80" s="311"/>
      <c r="T80" s="311"/>
      <c r="U80" s="311"/>
      <c r="V80" s="311"/>
      <c r="W80" s="311"/>
      <c r="X80" s="311"/>
      <c r="Y80" s="311"/>
      <c r="Z80" s="311"/>
      <c r="AA80" s="311"/>
      <c r="AB80" s="311"/>
      <c r="AC80" s="311"/>
      <c r="AD80" s="311"/>
      <c r="AE80" s="311"/>
      <c r="AF80" s="311"/>
      <c r="AG80" s="311"/>
      <c r="AH80" s="311"/>
      <c r="AI80" s="312"/>
      <c r="AJ80" s="310"/>
      <c r="AK80" s="311"/>
      <c r="AL80" s="312"/>
      <c r="AM80" s="310"/>
      <c r="AN80" s="311"/>
      <c r="AO80" s="312"/>
      <c r="AP80" s="310"/>
      <c r="AQ80" s="311"/>
      <c r="AR80" s="311"/>
      <c r="AS80" s="311"/>
      <c r="AT80" s="312"/>
      <c r="AU80" s="310"/>
      <c r="AV80" s="311"/>
      <c r="AW80" s="311"/>
      <c r="AX80" s="311"/>
      <c r="AY80" s="311"/>
      <c r="AZ80" s="311"/>
      <c r="BA80" s="311"/>
      <c r="BB80" s="312"/>
      <c r="BC80" s="310"/>
      <c r="BD80" s="311"/>
      <c r="BE80" s="311"/>
      <c r="BF80" s="311"/>
      <c r="BG80" s="312"/>
      <c r="BH80" s="310"/>
      <c r="BI80" s="311"/>
      <c r="BJ80" s="312"/>
      <c r="BK80" s="310"/>
      <c r="BL80" s="311"/>
      <c r="BM80" s="311"/>
      <c r="BN80" s="312"/>
      <c r="BO80" s="310"/>
      <c r="BP80" s="311"/>
      <c r="BQ80" s="311"/>
      <c r="BR80" s="311"/>
      <c r="BS80" s="311"/>
      <c r="BT80" s="311"/>
      <c r="BU80" s="311"/>
      <c r="BV80" s="312"/>
      <c r="BW80" s="310"/>
      <c r="BX80" s="311"/>
      <c r="BY80" s="311"/>
      <c r="BZ80" s="311"/>
      <c r="CA80" s="311"/>
      <c r="CB80" s="312"/>
      <c r="CC80" s="310"/>
      <c r="CD80" s="311"/>
      <c r="CE80" s="312"/>
      <c r="CF80" s="310"/>
      <c r="CG80" s="311"/>
      <c r="CH80" s="311"/>
      <c r="CI80" s="313"/>
      <c r="CK80" s="233" t="str">
        <f>IF(COUNTIF(D80:CI80,"o")&gt;0,COUNTIF(D80:CI80,"o"),"")</f>
        <v/>
      </c>
      <c r="CL80" s="234" t="str">
        <f>IF(COUNTIF(D80:CI80,"j")&gt;0,COUNTIF(D80:CI80,"j"),"")</f>
        <v/>
      </c>
      <c r="CM80" s="234" t="str">
        <f>IF(COUNTIF(D80:CI80,"m")&gt;0,COUNTIF(D80:CI80,"m"),"")</f>
        <v/>
      </c>
      <c r="CN80" s="234" t="str">
        <f>IF(COUNTIF(D80:CI80,"s")&gt;0,COUNTIF(D80:CI80,"s"),"")</f>
        <v/>
      </c>
      <c r="CO80" s="235" t="str">
        <f>IF(COUNTIF(D80:CI80,"e")&gt;0,COUNTIF(D80:CI80,"e"),"")</f>
        <v/>
      </c>
      <c r="CQ80" s="233" t="str">
        <f>desired_skills(C80,"Talen/Nederlands","o")</f>
        <v/>
      </c>
      <c r="CR80" s="234" t="str">
        <f>desired_skills(C80,"Talen/Nederlands","j")</f>
        <v/>
      </c>
      <c r="CS80" s="234" t="str">
        <f>desired_skills(C80,"Talen/Nederlands","m")</f>
        <v/>
      </c>
      <c r="CT80" s="234" t="str">
        <f>desired_skills(C80,"Talen/Nederlands","s")</f>
        <v/>
      </c>
      <c r="CU80" s="235" t="str">
        <f>desired_skills(C80,"Talen/Nederlands","e")</f>
        <v/>
      </c>
      <c r="CW80" s="233" t="str">
        <f>calc_gap('Matrix 171007_1806'!$CK$80,'Matrix 171007_1806'!$CQ$80)</f>
        <v/>
      </c>
      <c r="CX80" s="234" t="str">
        <f>calc_gap('Matrix 171007_1806'!$CL$80,'Matrix 171007_1806'!$CR$80)</f>
        <v/>
      </c>
      <c r="CY80" s="234" t="str">
        <f>calc_gap('Matrix 171007_1806'!$CM$80,'Matrix 171007_1806'!$CS$80)</f>
        <v/>
      </c>
      <c r="CZ80" s="234" t="str">
        <f>calc_gap('Matrix 171007_1806'!$CN$80,'Matrix 171007_1806'!$CT$80)</f>
        <v/>
      </c>
      <c r="DA80" s="235" t="str">
        <f>calc_gap('Matrix 171007_1806'!$CO$80,'Matrix 171007_1806'!$CU$80)</f>
        <v/>
      </c>
    </row>
    <row r="81" spans="2:105" x14ac:dyDescent="0.25">
      <c r="B81" s="435"/>
      <c r="C81" s="291" t="s">
        <v>123</v>
      </c>
      <c r="D81" s="314"/>
      <c r="E81" s="315"/>
      <c r="F81" s="315"/>
      <c r="G81" s="315"/>
      <c r="H81" s="315"/>
      <c r="I81" s="315"/>
      <c r="J81" s="315"/>
      <c r="K81" s="316"/>
      <c r="L81" s="314"/>
      <c r="M81" s="315"/>
      <c r="N81" s="315"/>
      <c r="O81" s="316"/>
      <c r="P81" s="314"/>
      <c r="Q81" s="315"/>
      <c r="R81" s="315"/>
      <c r="S81" s="315"/>
      <c r="T81" s="315"/>
      <c r="U81" s="315"/>
      <c r="V81" s="315"/>
      <c r="W81" s="315"/>
      <c r="X81" s="315"/>
      <c r="Y81" s="315"/>
      <c r="Z81" s="315"/>
      <c r="AA81" s="315"/>
      <c r="AB81" s="315"/>
      <c r="AC81" s="315"/>
      <c r="AD81" s="315"/>
      <c r="AE81" s="315"/>
      <c r="AF81" s="315"/>
      <c r="AG81" s="315"/>
      <c r="AH81" s="315"/>
      <c r="AI81" s="316"/>
      <c r="AJ81" s="314"/>
      <c r="AK81" s="315"/>
      <c r="AL81" s="316"/>
      <c r="AM81" s="314"/>
      <c r="AN81" s="315"/>
      <c r="AO81" s="316"/>
      <c r="AP81" s="314"/>
      <c r="AQ81" s="315"/>
      <c r="AR81" s="315"/>
      <c r="AS81" s="315"/>
      <c r="AT81" s="316"/>
      <c r="AU81" s="314"/>
      <c r="AV81" s="315"/>
      <c r="AW81" s="315"/>
      <c r="AX81" s="315"/>
      <c r="AY81" s="315"/>
      <c r="AZ81" s="315"/>
      <c r="BA81" s="315"/>
      <c r="BB81" s="316"/>
      <c r="BC81" s="314"/>
      <c r="BD81" s="315"/>
      <c r="BE81" s="315"/>
      <c r="BF81" s="315"/>
      <c r="BG81" s="316"/>
      <c r="BH81" s="314"/>
      <c r="BI81" s="315"/>
      <c r="BJ81" s="316"/>
      <c r="BK81" s="314"/>
      <c r="BL81" s="315"/>
      <c r="BM81" s="315"/>
      <c r="BN81" s="316"/>
      <c r="BO81" s="314"/>
      <c r="BP81" s="315"/>
      <c r="BQ81" s="315"/>
      <c r="BR81" s="315"/>
      <c r="BS81" s="315"/>
      <c r="BT81" s="315"/>
      <c r="BU81" s="315"/>
      <c r="BV81" s="316"/>
      <c r="BW81" s="314"/>
      <c r="BX81" s="315"/>
      <c r="BY81" s="315"/>
      <c r="BZ81" s="315"/>
      <c r="CA81" s="315"/>
      <c r="CB81" s="316"/>
      <c r="CC81" s="314"/>
      <c r="CD81" s="315"/>
      <c r="CE81" s="316"/>
      <c r="CF81" s="314"/>
      <c r="CG81" s="315"/>
      <c r="CH81" s="315"/>
      <c r="CI81" s="317"/>
      <c r="CK81" s="236" t="str">
        <f>IF(COUNTIF(D81:CI81,"o")&gt;0,COUNTIF(D81:CI81,"o"),"")</f>
        <v/>
      </c>
      <c r="CL81" s="237" t="str">
        <f>IF(COUNTIF(D81:CI81,"j")&gt;0,COUNTIF(D81:CI81,"j"),"")</f>
        <v/>
      </c>
      <c r="CM81" s="237" t="str">
        <f>IF(COUNTIF(D81:CI81,"m")&gt;0,COUNTIF(D81:CI81,"m"),"")</f>
        <v/>
      </c>
      <c r="CN81" s="237" t="str">
        <f>IF(COUNTIF(D81:CI81,"s")&gt;0,COUNTIF(D81:CI81,"s"),"")</f>
        <v/>
      </c>
      <c r="CO81" s="238" t="str">
        <f>IF(COUNTIF(D81:CI81,"e")&gt;0,COUNTIF(D81:CI81,"e"),"")</f>
        <v/>
      </c>
      <c r="CQ81" s="236" t="str">
        <f>desired_skills(C81,"Talen/Engels","o")</f>
        <v/>
      </c>
      <c r="CR81" s="237" t="str">
        <f>desired_skills(C81,"Talen/Engels","j")</f>
        <v/>
      </c>
      <c r="CS81" s="237" t="str">
        <f>desired_skills(C81,"Talen/Engels","m")</f>
        <v/>
      </c>
      <c r="CT81" s="237" t="str">
        <f>desired_skills(C81,"Talen/Engels","s")</f>
        <v/>
      </c>
      <c r="CU81" s="238" t="str">
        <f>desired_skills(C81,"Talen/Engels","e")</f>
        <v/>
      </c>
      <c r="CW81" s="236" t="str">
        <f>calc_gap('Matrix 171007_1806'!$CK$81,'Matrix 171007_1806'!$CQ$81)</f>
        <v/>
      </c>
      <c r="CX81" s="237" t="str">
        <f>calc_gap('Matrix 171007_1806'!$CL$81,'Matrix 171007_1806'!$CR$81)</f>
        <v/>
      </c>
      <c r="CY81" s="237" t="str">
        <f>calc_gap('Matrix 171007_1806'!$CM$81,'Matrix 171007_1806'!$CS$81)</f>
        <v/>
      </c>
      <c r="CZ81" s="237" t="str">
        <f>calc_gap('Matrix 171007_1806'!$CN$81,'Matrix 171007_1806'!$CT$81)</f>
        <v/>
      </c>
      <c r="DA81" s="238" t="str">
        <f>calc_gap('Matrix 171007_1806'!$CO$81,'Matrix 171007_1806'!$CU$81)</f>
        <v/>
      </c>
    </row>
    <row r="82" spans="2:105" x14ac:dyDescent="0.25">
      <c r="B82" s="435"/>
      <c r="C82" s="291" t="s">
        <v>268</v>
      </c>
      <c r="D82" s="314"/>
      <c r="E82" s="315"/>
      <c r="F82" s="315"/>
      <c r="G82" s="315"/>
      <c r="H82" s="315"/>
      <c r="I82" s="315"/>
      <c r="J82" s="315"/>
      <c r="K82" s="316"/>
      <c r="L82" s="314"/>
      <c r="M82" s="315"/>
      <c r="N82" s="315"/>
      <c r="O82" s="316"/>
      <c r="P82" s="314"/>
      <c r="Q82" s="315"/>
      <c r="R82" s="315"/>
      <c r="S82" s="315"/>
      <c r="T82" s="315"/>
      <c r="U82" s="315"/>
      <c r="V82" s="315"/>
      <c r="W82" s="315"/>
      <c r="X82" s="315"/>
      <c r="Y82" s="315"/>
      <c r="Z82" s="315"/>
      <c r="AA82" s="315"/>
      <c r="AB82" s="315"/>
      <c r="AC82" s="315"/>
      <c r="AD82" s="315"/>
      <c r="AE82" s="315"/>
      <c r="AF82" s="315"/>
      <c r="AG82" s="315"/>
      <c r="AH82" s="315"/>
      <c r="AI82" s="316"/>
      <c r="AJ82" s="314"/>
      <c r="AK82" s="315"/>
      <c r="AL82" s="316"/>
      <c r="AM82" s="314"/>
      <c r="AN82" s="315"/>
      <c r="AO82" s="316"/>
      <c r="AP82" s="314"/>
      <c r="AQ82" s="315"/>
      <c r="AR82" s="315"/>
      <c r="AS82" s="315"/>
      <c r="AT82" s="316"/>
      <c r="AU82" s="314"/>
      <c r="AV82" s="315"/>
      <c r="AW82" s="315"/>
      <c r="AX82" s="315"/>
      <c r="AY82" s="315"/>
      <c r="AZ82" s="315"/>
      <c r="BA82" s="315"/>
      <c r="BB82" s="316"/>
      <c r="BC82" s="314"/>
      <c r="BD82" s="315"/>
      <c r="BE82" s="315"/>
      <c r="BF82" s="315"/>
      <c r="BG82" s="316"/>
      <c r="BH82" s="314"/>
      <c r="BI82" s="315"/>
      <c r="BJ82" s="316"/>
      <c r="BK82" s="314"/>
      <c r="BL82" s="315"/>
      <c r="BM82" s="315"/>
      <c r="BN82" s="316"/>
      <c r="BO82" s="314"/>
      <c r="BP82" s="315"/>
      <c r="BQ82" s="315"/>
      <c r="BR82" s="315"/>
      <c r="BS82" s="315"/>
      <c r="BT82" s="315"/>
      <c r="BU82" s="315"/>
      <c r="BV82" s="316"/>
      <c r="BW82" s="314"/>
      <c r="BX82" s="315"/>
      <c r="BY82" s="315"/>
      <c r="BZ82" s="315"/>
      <c r="CA82" s="315"/>
      <c r="CB82" s="316"/>
      <c r="CC82" s="314"/>
      <c r="CD82" s="315"/>
      <c r="CE82" s="316"/>
      <c r="CF82" s="314"/>
      <c r="CG82" s="315"/>
      <c r="CH82" s="315"/>
      <c r="CI82" s="317"/>
      <c r="CK82" s="236" t="str">
        <f>IF(COUNTIF(D82:CI82,"o")&gt;0,COUNTIF(D82:CI82,"o"),"")</f>
        <v/>
      </c>
      <c r="CL82" s="237" t="str">
        <f>IF(COUNTIF(D82:CI82,"j")&gt;0,COUNTIF(D82:CI82,"j"),"")</f>
        <v/>
      </c>
      <c r="CM82" s="237" t="str">
        <f>IF(COUNTIF(D82:CI82,"m")&gt;0,COUNTIF(D82:CI82,"m"),"")</f>
        <v/>
      </c>
      <c r="CN82" s="237" t="str">
        <f>IF(COUNTIF(D82:CI82,"s")&gt;0,COUNTIF(D82:CI82,"s"),"")</f>
        <v/>
      </c>
      <c r="CO82" s="238" t="str">
        <f>IF(COUNTIF(D82:CI82,"e")&gt;0,COUNTIF(D82:CI82,"e"),"")</f>
        <v/>
      </c>
      <c r="CQ82" s="236" t="str">
        <f>desired_skills(C82,"Talen/Duits","o")</f>
        <v/>
      </c>
      <c r="CR82" s="237" t="str">
        <f>desired_skills(C82,"Talen/Duits","j")</f>
        <v/>
      </c>
      <c r="CS82" s="237" t="str">
        <f>desired_skills(C82,"Talen/Duits","m")</f>
        <v/>
      </c>
      <c r="CT82" s="237" t="str">
        <f>desired_skills(C82,"Talen/Duits","s")</f>
        <v/>
      </c>
      <c r="CU82" s="238" t="str">
        <f>desired_skills(C82,"Talen/Duits","e")</f>
        <v/>
      </c>
      <c r="CW82" s="236" t="str">
        <f>calc_gap('Matrix 171007_1806'!$CK$82,'Matrix 171007_1806'!$CQ$82)</f>
        <v/>
      </c>
      <c r="CX82" s="237" t="str">
        <f>calc_gap('Matrix 171007_1806'!$CL$82,'Matrix 171007_1806'!$CR$82)</f>
        <v/>
      </c>
      <c r="CY82" s="237" t="str">
        <f>calc_gap('Matrix 171007_1806'!$CM$82,'Matrix 171007_1806'!$CS$82)</f>
        <v/>
      </c>
      <c r="CZ82" s="237" t="str">
        <f>calc_gap('Matrix 171007_1806'!$CN$82,'Matrix 171007_1806'!$CT$82)</f>
        <v/>
      </c>
      <c r="DA82" s="238" t="str">
        <f>calc_gap('Matrix 171007_1806'!$CO$82,'Matrix 171007_1806'!$CU$82)</f>
        <v/>
      </c>
    </row>
    <row r="83" spans="2:105" ht="15.75" thickBot="1" x14ac:dyDescent="0.3">
      <c r="B83" s="435"/>
      <c r="C83" s="292" t="s">
        <v>143</v>
      </c>
      <c r="D83" s="318"/>
      <c r="E83" s="319"/>
      <c r="F83" s="319"/>
      <c r="G83" s="319"/>
      <c r="H83" s="319"/>
      <c r="I83" s="319"/>
      <c r="J83" s="319"/>
      <c r="K83" s="320"/>
      <c r="L83" s="318"/>
      <c r="M83" s="319"/>
      <c r="N83" s="319"/>
      <c r="O83" s="320"/>
      <c r="P83" s="318"/>
      <c r="Q83" s="319"/>
      <c r="R83" s="319"/>
      <c r="S83" s="319"/>
      <c r="T83" s="319"/>
      <c r="U83" s="319"/>
      <c r="V83" s="319"/>
      <c r="W83" s="319"/>
      <c r="X83" s="319"/>
      <c r="Y83" s="319"/>
      <c r="Z83" s="319"/>
      <c r="AA83" s="319"/>
      <c r="AB83" s="319"/>
      <c r="AC83" s="319"/>
      <c r="AD83" s="319"/>
      <c r="AE83" s="319"/>
      <c r="AF83" s="319"/>
      <c r="AG83" s="319"/>
      <c r="AH83" s="319"/>
      <c r="AI83" s="320"/>
      <c r="AJ83" s="318"/>
      <c r="AK83" s="319"/>
      <c r="AL83" s="320"/>
      <c r="AM83" s="318"/>
      <c r="AN83" s="319"/>
      <c r="AO83" s="320"/>
      <c r="AP83" s="318"/>
      <c r="AQ83" s="319"/>
      <c r="AR83" s="319"/>
      <c r="AS83" s="319"/>
      <c r="AT83" s="320"/>
      <c r="AU83" s="318"/>
      <c r="AV83" s="319"/>
      <c r="AW83" s="319"/>
      <c r="AX83" s="319"/>
      <c r="AY83" s="319"/>
      <c r="AZ83" s="319"/>
      <c r="BA83" s="319"/>
      <c r="BB83" s="320"/>
      <c r="BC83" s="318"/>
      <c r="BD83" s="319"/>
      <c r="BE83" s="319"/>
      <c r="BF83" s="319"/>
      <c r="BG83" s="320"/>
      <c r="BH83" s="318"/>
      <c r="BI83" s="319"/>
      <c r="BJ83" s="320"/>
      <c r="BK83" s="318"/>
      <c r="BL83" s="319"/>
      <c r="BM83" s="319"/>
      <c r="BN83" s="320"/>
      <c r="BO83" s="318"/>
      <c r="BP83" s="319"/>
      <c r="BQ83" s="319"/>
      <c r="BR83" s="319"/>
      <c r="BS83" s="319"/>
      <c r="BT83" s="319"/>
      <c r="BU83" s="319"/>
      <c r="BV83" s="320"/>
      <c r="BW83" s="318"/>
      <c r="BX83" s="319"/>
      <c r="BY83" s="319"/>
      <c r="BZ83" s="319"/>
      <c r="CA83" s="319"/>
      <c r="CB83" s="320"/>
      <c r="CC83" s="318"/>
      <c r="CD83" s="319"/>
      <c r="CE83" s="320"/>
      <c r="CF83" s="318"/>
      <c r="CG83" s="319"/>
      <c r="CH83" s="319"/>
      <c r="CI83" s="321"/>
      <c r="CK83" s="239" t="str">
        <f>IF(COUNTIF(D83:CI83,"o")&gt;0,COUNTIF(D83:CI83,"o"),"")</f>
        <v/>
      </c>
      <c r="CL83" s="240" t="str">
        <f>IF(COUNTIF(D83:CI83,"j")&gt;0,COUNTIF(D83:CI83,"j"),"")</f>
        <v/>
      </c>
      <c r="CM83" s="240" t="str">
        <f>IF(COUNTIF(D83:CI83,"m")&gt;0,COUNTIF(D83:CI83,"m"),"")</f>
        <v/>
      </c>
      <c r="CN83" s="240" t="str">
        <f>IF(COUNTIF(D83:CI83,"s")&gt;0,COUNTIF(D83:CI83,"s"),"")</f>
        <v/>
      </c>
      <c r="CO83" s="241" t="str">
        <f>IF(COUNTIF(D83:CI83,"e")&gt;0,COUNTIF(D83:CI83,"e"),"")</f>
        <v/>
      </c>
      <c r="CQ83" s="239" t="str">
        <f>desired_skills(C83,"Talen/Frans","o")</f>
        <v/>
      </c>
      <c r="CR83" s="240" t="str">
        <f>desired_skills(C83,"Talen/Frans","j")</f>
        <v/>
      </c>
      <c r="CS83" s="240" t="str">
        <f>desired_skills(C83,"Talen/Frans","m")</f>
        <v/>
      </c>
      <c r="CT83" s="240" t="str">
        <f>desired_skills(C83,"Talen/Frans","s")</f>
        <v/>
      </c>
      <c r="CU83" s="241" t="str">
        <f>desired_skills(C83,"Talen/Frans","e")</f>
        <v/>
      </c>
      <c r="CW83" s="239" t="str">
        <f>calc_gap('Matrix 171007_1806'!$CK$83,'Matrix 171007_1806'!$CQ$83)</f>
        <v/>
      </c>
      <c r="CX83" s="240" t="str">
        <f>calc_gap('Matrix 171007_1806'!$CL$83,'Matrix 171007_1806'!$CR$83)</f>
        <v/>
      </c>
      <c r="CY83" s="240" t="str">
        <f>calc_gap('Matrix 171007_1806'!$CM$83,'Matrix 171007_1806'!$CS$83)</f>
        <v/>
      </c>
      <c r="CZ83" s="240" t="str">
        <f>calc_gap('Matrix 171007_1806'!$CN$83,'Matrix 171007_1806'!$CT$83)</f>
        <v/>
      </c>
      <c r="DA83" s="241" t="str">
        <f>calc_gap('Matrix 171007_1806'!$CO$83,'Matrix 171007_1806'!$CU$83)</f>
        <v/>
      </c>
    </row>
    <row r="84" spans="2:105" ht="12.75" customHeight="1" thickTop="1" thickBot="1" x14ac:dyDescent="0.3">
      <c r="B84" s="436"/>
      <c r="C84" s="248"/>
      <c r="D84" s="322"/>
      <c r="E84" s="322"/>
      <c r="F84" s="322"/>
      <c r="G84" s="322"/>
      <c r="H84" s="322"/>
      <c r="I84" s="322"/>
      <c r="J84" s="322"/>
      <c r="K84" s="322"/>
      <c r="L84" s="322"/>
      <c r="M84" s="322"/>
      <c r="N84" s="322"/>
      <c r="O84" s="322"/>
      <c r="P84" s="322"/>
      <c r="Q84" s="322"/>
      <c r="R84" s="322"/>
      <c r="S84" s="322"/>
      <c r="T84" s="322"/>
      <c r="U84" s="322"/>
      <c r="V84" s="322"/>
      <c r="W84" s="322"/>
      <c r="X84" s="322"/>
      <c r="Y84" s="322"/>
      <c r="Z84" s="322"/>
      <c r="AA84" s="322"/>
      <c r="AB84" s="322"/>
      <c r="AC84" s="322"/>
      <c r="AD84" s="322"/>
      <c r="AE84" s="322"/>
      <c r="AF84" s="322"/>
      <c r="AG84" s="322"/>
      <c r="AH84" s="322"/>
      <c r="AI84" s="322"/>
      <c r="AJ84" s="322"/>
      <c r="AK84" s="322"/>
      <c r="AL84" s="322"/>
      <c r="AM84" s="322"/>
      <c r="AN84" s="322"/>
      <c r="AO84" s="322"/>
      <c r="AP84" s="322"/>
      <c r="AQ84" s="322"/>
      <c r="AR84" s="322"/>
      <c r="AS84" s="322"/>
      <c r="AT84" s="322"/>
      <c r="AU84" s="322"/>
      <c r="AV84" s="322"/>
      <c r="AW84" s="322"/>
      <c r="AX84" s="322"/>
      <c r="AY84" s="322"/>
      <c r="AZ84" s="322"/>
      <c r="BA84" s="322"/>
      <c r="BB84" s="322"/>
      <c r="BC84" s="322"/>
      <c r="BD84" s="322"/>
      <c r="BE84" s="322"/>
      <c r="BF84" s="322"/>
      <c r="BG84" s="322"/>
      <c r="BH84" s="322"/>
      <c r="BI84" s="322"/>
      <c r="BJ84" s="322"/>
      <c r="BK84" s="322"/>
      <c r="BL84" s="322"/>
      <c r="BM84" s="322"/>
      <c r="BN84" s="322"/>
      <c r="BO84" s="322"/>
      <c r="BP84" s="322"/>
      <c r="BQ84" s="322"/>
      <c r="BR84" s="322"/>
      <c r="BS84" s="322"/>
      <c r="BT84" s="322"/>
      <c r="BU84" s="322"/>
      <c r="BV84" s="322"/>
      <c r="BW84" s="322"/>
      <c r="BX84" s="322"/>
      <c r="BY84" s="322"/>
      <c r="BZ84" s="322"/>
      <c r="CA84" s="322"/>
      <c r="CB84" s="322"/>
      <c r="CC84" s="322"/>
      <c r="CD84" s="322"/>
      <c r="CE84" s="322"/>
      <c r="CF84" s="322"/>
      <c r="CG84" s="322"/>
      <c r="CH84" s="322"/>
      <c r="CI84" s="322"/>
      <c r="CK84" s="249"/>
      <c r="CL84" s="249"/>
      <c r="CM84" s="249"/>
      <c r="CN84" s="249"/>
      <c r="CO84" s="249"/>
      <c r="CQ84" s="249"/>
      <c r="CR84" s="249"/>
      <c r="CS84" s="249"/>
      <c r="CT84" s="249"/>
      <c r="CU84" s="249"/>
      <c r="CW84" s="249"/>
      <c r="CX84" s="249"/>
      <c r="CY84" s="249"/>
      <c r="CZ84" s="249"/>
      <c r="DA84" s="249"/>
    </row>
    <row r="85" spans="2:105" ht="15.75" thickTop="1" x14ac:dyDescent="0.25">
      <c r="B85" s="434" t="s">
        <v>267</v>
      </c>
      <c r="C85" s="290" t="s">
        <v>269</v>
      </c>
      <c r="D85" s="310"/>
      <c r="E85" s="311"/>
      <c r="F85" s="311"/>
      <c r="G85" s="311"/>
      <c r="H85" s="311"/>
      <c r="I85" s="311"/>
      <c r="J85" s="311"/>
      <c r="K85" s="312"/>
      <c r="L85" s="310"/>
      <c r="M85" s="311"/>
      <c r="N85" s="311"/>
      <c r="O85" s="312"/>
      <c r="P85" s="310"/>
      <c r="Q85" s="311"/>
      <c r="R85" s="311"/>
      <c r="S85" s="311"/>
      <c r="T85" s="311"/>
      <c r="U85" s="311"/>
      <c r="V85" s="311"/>
      <c r="W85" s="311"/>
      <c r="X85" s="311"/>
      <c r="Y85" s="311"/>
      <c r="Z85" s="311"/>
      <c r="AA85" s="311"/>
      <c r="AB85" s="311"/>
      <c r="AC85" s="311"/>
      <c r="AD85" s="311"/>
      <c r="AE85" s="311"/>
      <c r="AF85" s="311"/>
      <c r="AG85" s="311"/>
      <c r="AH85" s="311"/>
      <c r="AI85" s="312"/>
      <c r="AJ85" s="310"/>
      <c r="AK85" s="311"/>
      <c r="AL85" s="312"/>
      <c r="AM85" s="310"/>
      <c r="AN85" s="311"/>
      <c r="AO85" s="312"/>
      <c r="AP85" s="310"/>
      <c r="AQ85" s="311"/>
      <c r="AR85" s="311"/>
      <c r="AS85" s="311"/>
      <c r="AT85" s="312"/>
      <c r="AU85" s="310"/>
      <c r="AV85" s="311"/>
      <c r="AW85" s="311"/>
      <c r="AX85" s="311"/>
      <c r="AY85" s="311"/>
      <c r="AZ85" s="311"/>
      <c r="BA85" s="311"/>
      <c r="BB85" s="312"/>
      <c r="BC85" s="310"/>
      <c r="BD85" s="311"/>
      <c r="BE85" s="311"/>
      <c r="BF85" s="311"/>
      <c r="BG85" s="312"/>
      <c r="BH85" s="310"/>
      <c r="BI85" s="311"/>
      <c r="BJ85" s="312"/>
      <c r="BK85" s="310"/>
      <c r="BL85" s="311"/>
      <c r="BM85" s="311"/>
      <c r="BN85" s="312"/>
      <c r="BO85" s="310"/>
      <c r="BP85" s="311"/>
      <c r="BQ85" s="311"/>
      <c r="BR85" s="311"/>
      <c r="BS85" s="311"/>
      <c r="BT85" s="311"/>
      <c r="BU85" s="311"/>
      <c r="BV85" s="312"/>
      <c r="BW85" s="310"/>
      <c r="BX85" s="311"/>
      <c r="BY85" s="311"/>
      <c r="BZ85" s="311"/>
      <c r="CA85" s="311"/>
      <c r="CB85" s="312"/>
      <c r="CC85" s="310"/>
      <c r="CD85" s="311"/>
      <c r="CE85" s="312"/>
      <c r="CF85" s="310"/>
      <c r="CG85" s="311"/>
      <c r="CH85" s="311"/>
      <c r="CI85" s="313"/>
      <c r="CK85" s="233" t="str">
        <f t="shared" ref="CK85:CK99" si="30">IF(COUNTIF(D85:CI85,"o")&gt;0,COUNTIF(D85:CI85,"o"),"")</f>
        <v/>
      </c>
      <c r="CL85" s="234" t="str">
        <f t="shared" ref="CL85:CL99" si="31">IF(COUNTIF(D85:CI85,"j")&gt;0,COUNTIF(D85:CI85,"j"),"")</f>
        <v/>
      </c>
      <c r="CM85" s="234" t="str">
        <f t="shared" ref="CM85:CM99" si="32">IF(COUNTIF(D85:CI85,"m")&gt;0,COUNTIF(D85:CI85,"m"),"")</f>
        <v/>
      </c>
      <c r="CN85" s="234" t="str">
        <f t="shared" ref="CN85:CN99" si="33">IF(COUNTIF(D85:CI85,"s")&gt;0,COUNTIF(D85:CI85,"s"),"")</f>
        <v/>
      </c>
      <c r="CO85" s="235" t="str">
        <f t="shared" ref="CO85:CO99" si="34">IF(COUNTIF(D85:CI85,"e")&gt;0,COUNTIF(D85:CI85,"e"),"")</f>
        <v/>
      </c>
      <c r="CQ85" s="233" t="str">
        <f>desired_skills(C85,"Extra vaardigheden/Vormgeving/ontwerpen","o")</f>
        <v/>
      </c>
      <c r="CR85" s="234" t="str">
        <f>desired_skills(C85,"Extra vaardigheden/Vormgeving/ontwerpen","j")</f>
        <v/>
      </c>
      <c r="CS85" s="234" t="str">
        <f>desired_skills(C85,"Extra vaardigheden/Vormgeving/ontwerpen","m")</f>
        <v/>
      </c>
      <c r="CT85" s="234" t="str">
        <f>desired_skills(C85,"Extra vaardigheden/Vormgeving/ontwerpen","s")</f>
        <v/>
      </c>
      <c r="CU85" s="235" t="str">
        <f>desired_skills(C85,"Extra vaardigheden/Vormgeving/ontwerpen","e")</f>
        <v/>
      </c>
      <c r="CW85" s="233" t="str">
        <f>calc_gap('Matrix 171007_1806'!$CK$85,'Matrix 171007_1806'!$CQ$85)</f>
        <v/>
      </c>
      <c r="CX85" s="234" t="str">
        <f>calc_gap('Matrix 171007_1806'!$CL$85,'Matrix 171007_1806'!$CR$85)</f>
        <v/>
      </c>
      <c r="CY85" s="234" t="str">
        <f>calc_gap('Matrix 171007_1806'!$CM$85,'Matrix 171007_1806'!$CS$85)</f>
        <v/>
      </c>
      <c r="CZ85" s="234" t="str">
        <f>calc_gap('Matrix 171007_1806'!$CN$85,'Matrix 171007_1806'!$CT$85)</f>
        <v/>
      </c>
      <c r="DA85" s="235" t="str">
        <f>calc_gap('Matrix 171007_1806'!$CO$85,'Matrix 171007_1806'!$CU$85)</f>
        <v/>
      </c>
    </row>
    <row r="86" spans="2:105" x14ac:dyDescent="0.25">
      <c r="B86" s="435"/>
      <c r="C86" s="291" t="s">
        <v>270</v>
      </c>
      <c r="D86" s="314"/>
      <c r="E86" s="315"/>
      <c r="F86" s="315"/>
      <c r="G86" s="315"/>
      <c r="H86" s="315"/>
      <c r="I86" s="315"/>
      <c r="J86" s="315"/>
      <c r="K86" s="316"/>
      <c r="L86" s="314"/>
      <c r="M86" s="315"/>
      <c r="N86" s="315"/>
      <c r="O86" s="316"/>
      <c r="P86" s="314"/>
      <c r="Q86" s="315"/>
      <c r="R86" s="315"/>
      <c r="S86" s="315"/>
      <c r="T86" s="315"/>
      <c r="U86" s="315"/>
      <c r="V86" s="315"/>
      <c r="W86" s="315"/>
      <c r="X86" s="315"/>
      <c r="Y86" s="315"/>
      <c r="Z86" s="315"/>
      <c r="AA86" s="315"/>
      <c r="AB86" s="315"/>
      <c r="AC86" s="315"/>
      <c r="AD86" s="315"/>
      <c r="AE86" s="315"/>
      <c r="AF86" s="315"/>
      <c r="AG86" s="315"/>
      <c r="AH86" s="315"/>
      <c r="AI86" s="316"/>
      <c r="AJ86" s="314"/>
      <c r="AK86" s="315"/>
      <c r="AL86" s="316"/>
      <c r="AM86" s="314"/>
      <c r="AN86" s="315"/>
      <c r="AO86" s="316"/>
      <c r="AP86" s="314"/>
      <c r="AQ86" s="315"/>
      <c r="AR86" s="315"/>
      <c r="AS86" s="315"/>
      <c r="AT86" s="316"/>
      <c r="AU86" s="314"/>
      <c r="AV86" s="315"/>
      <c r="AW86" s="315"/>
      <c r="AX86" s="315"/>
      <c r="AY86" s="315"/>
      <c r="AZ86" s="315"/>
      <c r="BA86" s="315"/>
      <c r="BB86" s="316"/>
      <c r="BC86" s="314"/>
      <c r="BD86" s="315"/>
      <c r="BE86" s="315"/>
      <c r="BF86" s="315"/>
      <c r="BG86" s="316"/>
      <c r="BH86" s="314"/>
      <c r="BI86" s="315"/>
      <c r="BJ86" s="316"/>
      <c r="BK86" s="314"/>
      <c r="BL86" s="315"/>
      <c r="BM86" s="315"/>
      <c r="BN86" s="316"/>
      <c r="BO86" s="314"/>
      <c r="BP86" s="315"/>
      <c r="BQ86" s="315"/>
      <c r="BR86" s="315"/>
      <c r="BS86" s="315"/>
      <c r="BT86" s="315"/>
      <c r="BU86" s="315"/>
      <c r="BV86" s="316"/>
      <c r="BW86" s="314"/>
      <c r="BX86" s="315"/>
      <c r="BY86" s="315"/>
      <c r="BZ86" s="315"/>
      <c r="CA86" s="315"/>
      <c r="CB86" s="316"/>
      <c r="CC86" s="314"/>
      <c r="CD86" s="315"/>
      <c r="CE86" s="316"/>
      <c r="CF86" s="314"/>
      <c r="CG86" s="315"/>
      <c r="CH86" s="315"/>
      <c r="CI86" s="317"/>
      <c r="CK86" s="236" t="str">
        <f t="shared" si="30"/>
        <v/>
      </c>
      <c r="CL86" s="237" t="str">
        <f t="shared" si="31"/>
        <v/>
      </c>
      <c r="CM86" s="237" t="str">
        <f t="shared" si="32"/>
        <v/>
      </c>
      <c r="CN86" s="237" t="str">
        <f t="shared" si="33"/>
        <v/>
      </c>
      <c r="CO86" s="238" t="str">
        <f t="shared" si="34"/>
        <v/>
      </c>
      <c r="CQ86" s="236" t="str">
        <f>desired_skills(C86,"Extra vaardigheden/Organiseren","o")</f>
        <v/>
      </c>
      <c r="CR86" s="237" t="str">
        <f>desired_skills(C86,"Extra vaardigheden/Organiseren","j")</f>
        <v/>
      </c>
      <c r="CS86" s="237" t="str">
        <f>desired_skills(C86,"Extra vaardigheden/Organiseren","m")</f>
        <v/>
      </c>
      <c r="CT86" s="237" t="str">
        <f>desired_skills(C86,"Extra vaardigheden/Organiseren","s")</f>
        <v/>
      </c>
      <c r="CU86" s="238" t="str">
        <f>desired_skills(C86,"Extra vaardigheden/Organiseren","e")</f>
        <v/>
      </c>
      <c r="CW86" s="236" t="str">
        <f>calc_gap('Matrix 171007_1806'!$CK$86,'Matrix 171007_1806'!$CQ$86)</f>
        <v/>
      </c>
      <c r="CX86" s="237" t="str">
        <f>calc_gap('Matrix 171007_1806'!$CL$86,'Matrix 171007_1806'!$CR$86)</f>
        <v/>
      </c>
      <c r="CY86" s="237" t="str">
        <f>calc_gap('Matrix 171007_1806'!$CM$86,'Matrix 171007_1806'!$CS$86)</f>
        <v/>
      </c>
      <c r="CZ86" s="237" t="str">
        <f>calc_gap('Matrix 171007_1806'!$CN$86,'Matrix 171007_1806'!$CT$86)</f>
        <v/>
      </c>
      <c r="DA86" s="238" t="str">
        <f>calc_gap('Matrix 171007_1806'!$CO$86,'Matrix 171007_1806'!$CU$86)</f>
        <v/>
      </c>
    </row>
    <row r="87" spans="2:105" x14ac:dyDescent="0.25">
      <c r="B87" s="435"/>
      <c r="C87" s="291" t="s">
        <v>271</v>
      </c>
      <c r="D87" s="314"/>
      <c r="E87" s="315"/>
      <c r="F87" s="315"/>
      <c r="G87" s="315"/>
      <c r="H87" s="315"/>
      <c r="I87" s="315"/>
      <c r="J87" s="315"/>
      <c r="K87" s="316"/>
      <c r="L87" s="314"/>
      <c r="M87" s="315"/>
      <c r="N87" s="315"/>
      <c r="O87" s="316"/>
      <c r="P87" s="314"/>
      <c r="Q87" s="315"/>
      <c r="R87" s="315"/>
      <c r="S87" s="315"/>
      <c r="T87" s="315"/>
      <c r="U87" s="315"/>
      <c r="V87" s="315"/>
      <c r="W87" s="315"/>
      <c r="X87" s="315"/>
      <c r="Y87" s="315"/>
      <c r="Z87" s="315"/>
      <c r="AA87" s="315"/>
      <c r="AB87" s="315"/>
      <c r="AC87" s="315"/>
      <c r="AD87" s="315"/>
      <c r="AE87" s="315"/>
      <c r="AF87" s="315"/>
      <c r="AG87" s="315"/>
      <c r="AH87" s="315"/>
      <c r="AI87" s="316"/>
      <c r="AJ87" s="314"/>
      <c r="AK87" s="315"/>
      <c r="AL87" s="316"/>
      <c r="AM87" s="314"/>
      <c r="AN87" s="315"/>
      <c r="AO87" s="316"/>
      <c r="AP87" s="314"/>
      <c r="AQ87" s="315"/>
      <c r="AR87" s="315"/>
      <c r="AS87" s="315"/>
      <c r="AT87" s="316"/>
      <c r="AU87" s="314"/>
      <c r="AV87" s="315"/>
      <c r="AW87" s="315"/>
      <c r="AX87" s="315"/>
      <c r="AY87" s="315"/>
      <c r="AZ87" s="315"/>
      <c r="BA87" s="315"/>
      <c r="BB87" s="316"/>
      <c r="BC87" s="314"/>
      <c r="BD87" s="315"/>
      <c r="BE87" s="315"/>
      <c r="BF87" s="315"/>
      <c r="BG87" s="316"/>
      <c r="BH87" s="314"/>
      <c r="BI87" s="315"/>
      <c r="BJ87" s="316"/>
      <c r="BK87" s="314"/>
      <c r="BL87" s="315"/>
      <c r="BM87" s="315"/>
      <c r="BN87" s="316"/>
      <c r="BO87" s="314"/>
      <c r="BP87" s="315"/>
      <c r="BQ87" s="315"/>
      <c r="BR87" s="315"/>
      <c r="BS87" s="315"/>
      <c r="BT87" s="315"/>
      <c r="BU87" s="315"/>
      <c r="BV87" s="316"/>
      <c r="BW87" s="314"/>
      <c r="BX87" s="315"/>
      <c r="BY87" s="315"/>
      <c r="BZ87" s="315"/>
      <c r="CA87" s="315"/>
      <c r="CB87" s="316"/>
      <c r="CC87" s="314"/>
      <c r="CD87" s="315"/>
      <c r="CE87" s="316"/>
      <c r="CF87" s="314"/>
      <c r="CG87" s="315"/>
      <c r="CH87" s="315"/>
      <c r="CI87" s="317"/>
      <c r="CK87" s="236" t="str">
        <f t="shared" si="30"/>
        <v/>
      </c>
      <c r="CL87" s="237" t="str">
        <f t="shared" si="31"/>
        <v/>
      </c>
      <c r="CM87" s="237" t="str">
        <f t="shared" si="32"/>
        <v/>
      </c>
      <c r="CN87" s="237" t="str">
        <f t="shared" si="33"/>
        <v/>
      </c>
      <c r="CO87" s="238" t="str">
        <f t="shared" si="34"/>
        <v/>
      </c>
      <c r="CQ87" s="236" t="str">
        <f>desired_skills(C87,"Extra vaardigheden/Fotografie","o")</f>
        <v/>
      </c>
      <c r="CR87" s="237" t="str">
        <f>desired_skills(C87,"Extra vaardigheden/Fotografie","j")</f>
        <v/>
      </c>
      <c r="CS87" s="237" t="str">
        <f>desired_skills(C87,"Extra vaardigheden/Fotografie","m")</f>
        <v/>
      </c>
      <c r="CT87" s="237" t="str">
        <f>desired_skills(C87,"Extra vaardigheden/Fotografie","s")</f>
        <v/>
      </c>
      <c r="CU87" s="238" t="str">
        <f>desired_skills(C87,"Extra vaardigheden/Fotografie","e")</f>
        <v/>
      </c>
      <c r="CW87" s="236" t="str">
        <f>calc_gap('Matrix 171007_1806'!$CK$87,'Matrix 171007_1806'!$CQ$87)</f>
        <v/>
      </c>
      <c r="CX87" s="237" t="str">
        <f>calc_gap('Matrix 171007_1806'!$CL$87,'Matrix 171007_1806'!$CR$87)</f>
        <v/>
      </c>
      <c r="CY87" s="237" t="str">
        <f>calc_gap('Matrix 171007_1806'!$CM$87,'Matrix 171007_1806'!$CS$87)</f>
        <v/>
      </c>
      <c r="CZ87" s="237" t="str">
        <f>calc_gap('Matrix 171007_1806'!$CN$87,'Matrix 171007_1806'!$CT$87)</f>
        <v/>
      </c>
      <c r="DA87" s="238" t="str">
        <f>calc_gap('Matrix 171007_1806'!$CO$87,'Matrix 171007_1806'!$CU$87)</f>
        <v/>
      </c>
    </row>
    <row r="88" spans="2:105" x14ac:dyDescent="0.25">
      <c r="B88" s="435"/>
      <c r="C88" s="291" t="s">
        <v>272</v>
      </c>
      <c r="D88" s="314"/>
      <c r="E88" s="315"/>
      <c r="F88" s="315"/>
      <c r="G88" s="315"/>
      <c r="H88" s="315"/>
      <c r="I88" s="315"/>
      <c r="J88" s="315"/>
      <c r="K88" s="316"/>
      <c r="L88" s="314"/>
      <c r="M88" s="315"/>
      <c r="N88" s="315"/>
      <c r="O88" s="316"/>
      <c r="P88" s="314"/>
      <c r="Q88" s="315"/>
      <c r="R88" s="315"/>
      <c r="S88" s="315"/>
      <c r="T88" s="315"/>
      <c r="U88" s="315"/>
      <c r="V88" s="315"/>
      <c r="W88" s="315"/>
      <c r="X88" s="315"/>
      <c r="Y88" s="315"/>
      <c r="Z88" s="315"/>
      <c r="AA88" s="315"/>
      <c r="AB88" s="315"/>
      <c r="AC88" s="315"/>
      <c r="AD88" s="315"/>
      <c r="AE88" s="315"/>
      <c r="AF88" s="315"/>
      <c r="AG88" s="315"/>
      <c r="AH88" s="315"/>
      <c r="AI88" s="316"/>
      <c r="AJ88" s="314"/>
      <c r="AK88" s="315"/>
      <c r="AL88" s="316"/>
      <c r="AM88" s="314"/>
      <c r="AN88" s="315"/>
      <c r="AO88" s="316"/>
      <c r="AP88" s="314"/>
      <c r="AQ88" s="315"/>
      <c r="AR88" s="315"/>
      <c r="AS88" s="315"/>
      <c r="AT88" s="316"/>
      <c r="AU88" s="314"/>
      <c r="AV88" s="315"/>
      <c r="AW88" s="315"/>
      <c r="AX88" s="315"/>
      <c r="AY88" s="315"/>
      <c r="AZ88" s="315"/>
      <c r="BA88" s="315"/>
      <c r="BB88" s="316"/>
      <c r="BC88" s="314"/>
      <c r="BD88" s="315"/>
      <c r="BE88" s="315"/>
      <c r="BF88" s="315"/>
      <c r="BG88" s="316"/>
      <c r="BH88" s="314"/>
      <c r="BI88" s="315"/>
      <c r="BJ88" s="316"/>
      <c r="BK88" s="314"/>
      <c r="BL88" s="315"/>
      <c r="BM88" s="315"/>
      <c r="BN88" s="316"/>
      <c r="BO88" s="314"/>
      <c r="BP88" s="315"/>
      <c r="BQ88" s="315"/>
      <c r="BR88" s="315"/>
      <c r="BS88" s="315"/>
      <c r="BT88" s="315"/>
      <c r="BU88" s="315"/>
      <c r="BV88" s="316"/>
      <c r="BW88" s="314"/>
      <c r="BX88" s="315"/>
      <c r="BY88" s="315"/>
      <c r="BZ88" s="315"/>
      <c r="CA88" s="315"/>
      <c r="CB88" s="316"/>
      <c r="CC88" s="314"/>
      <c r="CD88" s="315"/>
      <c r="CE88" s="316"/>
      <c r="CF88" s="314"/>
      <c r="CG88" s="315"/>
      <c r="CH88" s="315"/>
      <c r="CI88" s="317"/>
      <c r="CK88" s="236" t="str">
        <f t="shared" si="30"/>
        <v/>
      </c>
      <c r="CL88" s="237" t="str">
        <f t="shared" si="31"/>
        <v/>
      </c>
      <c r="CM88" s="237" t="str">
        <f t="shared" si="32"/>
        <v/>
      </c>
      <c r="CN88" s="237" t="str">
        <f t="shared" si="33"/>
        <v/>
      </c>
      <c r="CO88" s="238" t="str">
        <f t="shared" si="34"/>
        <v/>
      </c>
      <c r="CQ88" s="236" t="str">
        <f>desired_skills(C88,"Extra vaardigheden/Tekenen","o")</f>
        <v/>
      </c>
      <c r="CR88" s="237" t="str">
        <f>desired_skills(C88,"Extra vaardigheden/Tekenen","j")</f>
        <v/>
      </c>
      <c r="CS88" s="237" t="str">
        <f>desired_skills(C88,"Extra vaardigheden/Tekenen","m")</f>
        <v/>
      </c>
      <c r="CT88" s="237" t="str">
        <f>desired_skills(C88,"Extra vaardigheden/Tekenen","s")</f>
        <v/>
      </c>
      <c r="CU88" s="238" t="str">
        <f>desired_skills(C88,"Extra vaardigheden/Tekenen","e")</f>
        <v/>
      </c>
      <c r="CW88" s="236" t="str">
        <f>calc_gap('Matrix 171007_1806'!$CK$88,'Matrix 171007_1806'!$CQ$88)</f>
        <v/>
      </c>
      <c r="CX88" s="237" t="str">
        <f>calc_gap('Matrix 171007_1806'!$CL$88,'Matrix 171007_1806'!$CR$88)</f>
        <v/>
      </c>
      <c r="CY88" s="237" t="str">
        <f>calc_gap('Matrix 171007_1806'!$CM$88,'Matrix 171007_1806'!$CS$88)</f>
        <v/>
      </c>
      <c r="CZ88" s="237" t="str">
        <f>calc_gap('Matrix 171007_1806'!$CN$88,'Matrix 171007_1806'!$CT$88)</f>
        <v/>
      </c>
      <c r="DA88" s="238" t="str">
        <f>calc_gap('Matrix 171007_1806'!$CO$88,'Matrix 171007_1806'!$CU$88)</f>
        <v/>
      </c>
    </row>
    <row r="89" spans="2:105" x14ac:dyDescent="0.25">
      <c r="B89" s="435"/>
      <c r="C89" s="291" t="s">
        <v>273</v>
      </c>
      <c r="D89" s="314"/>
      <c r="E89" s="315"/>
      <c r="F89" s="315"/>
      <c r="G89" s="315"/>
      <c r="H89" s="315"/>
      <c r="I89" s="315"/>
      <c r="J89" s="315"/>
      <c r="K89" s="316"/>
      <c r="L89" s="314"/>
      <c r="M89" s="315"/>
      <c r="N89" s="315"/>
      <c r="O89" s="316"/>
      <c r="P89" s="314"/>
      <c r="Q89" s="315"/>
      <c r="R89" s="315"/>
      <c r="S89" s="315"/>
      <c r="T89" s="315"/>
      <c r="U89" s="315"/>
      <c r="V89" s="315"/>
      <c r="W89" s="315"/>
      <c r="X89" s="315"/>
      <c r="Y89" s="315"/>
      <c r="Z89" s="315"/>
      <c r="AA89" s="315"/>
      <c r="AB89" s="315"/>
      <c r="AC89" s="315"/>
      <c r="AD89" s="315"/>
      <c r="AE89" s="315"/>
      <c r="AF89" s="315"/>
      <c r="AG89" s="315"/>
      <c r="AH89" s="315"/>
      <c r="AI89" s="316"/>
      <c r="AJ89" s="314"/>
      <c r="AK89" s="315"/>
      <c r="AL89" s="316"/>
      <c r="AM89" s="314"/>
      <c r="AN89" s="315"/>
      <c r="AO89" s="316"/>
      <c r="AP89" s="314"/>
      <c r="AQ89" s="315"/>
      <c r="AR89" s="315"/>
      <c r="AS89" s="315"/>
      <c r="AT89" s="316"/>
      <c r="AU89" s="314"/>
      <c r="AV89" s="315"/>
      <c r="AW89" s="315"/>
      <c r="AX89" s="315"/>
      <c r="AY89" s="315"/>
      <c r="AZ89" s="315"/>
      <c r="BA89" s="315"/>
      <c r="BB89" s="316"/>
      <c r="BC89" s="314"/>
      <c r="BD89" s="315"/>
      <c r="BE89" s="315"/>
      <c r="BF89" s="315"/>
      <c r="BG89" s="316"/>
      <c r="BH89" s="314"/>
      <c r="BI89" s="315"/>
      <c r="BJ89" s="316"/>
      <c r="BK89" s="314"/>
      <c r="BL89" s="315"/>
      <c r="BM89" s="315"/>
      <c r="BN89" s="316"/>
      <c r="BO89" s="314"/>
      <c r="BP89" s="315"/>
      <c r="BQ89" s="315"/>
      <c r="BR89" s="315"/>
      <c r="BS89" s="315"/>
      <c r="BT89" s="315"/>
      <c r="BU89" s="315"/>
      <c r="BV89" s="316"/>
      <c r="BW89" s="314"/>
      <c r="BX89" s="315"/>
      <c r="BY89" s="315"/>
      <c r="BZ89" s="315"/>
      <c r="CA89" s="315"/>
      <c r="CB89" s="316"/>
      <c r="CC89" s="314"/>
      <c r="CD89" s="315"/>
      <c r="CE89" s="316"/>
      <c r="CF89" s="314"/>
      <c r="CG89" s="315"/>
      <c r="CH89" s="315"/>
      <c r="CI89" s="317"/>
      <c r="CK89" s="236" t="str">
        <f t="shared" si="30"/>
        <v/>
      </c>
      <c r="CL89" s="237" t="str">
        <f t="shared" si="31"/>
        <v/>
      </c>
      <c r="CM89" s="237" t="str">
        <f t="shared" si="32"/>
        <v/>
      </c>
      <c r="CN89" s="237" t="str">
        <f t="shared" si="33"/>
        <v/>
      </c>
      <c r="CO89" s="238" t="str">
        <f t="shared" si="34"/>
        <v/>
      </c>
      <c r="CQ89" s="236" t="str">
        <f>desired_skills(C89,"Extra vaardigheden/Creatief","o")</f>
        <v/>
      </c>
      <c r="CR89" s="237" t="str">
        <f>desired_skills(C89,"Extra vaardigheden/Creatief","j")</f>
        <v/>
      </c>
      <c r="CS89" s="237" t="str">
        <f>desired_skills(C89,"Extra vaardigheden/Creatief","m")</f>
        <v/>
      </c>
      <c r="CT89" s="237" t="str">
        <f>desired_skills(C89,"Extra vaardigheden/Creatief","s")</f>
        <v/>
      </c>
      <c r="CU89" s="238" t="str">
        <f>desired_skills(C89,"Extra vaardigheden/Creatief","e")</f>
        <v/>
      </c>
      <c r="CW89" s="236" t="str">
        <f>calc_gap('Matrix 171007_1806'!$CK$89,'Matrix 171007_1806'!$CQ$89)</f>
        <v/>
      </c>
      <c r="CX89" s="237" t="str">
        <f>calc_gap('Matrix 171007_1806'!$CL$89,'Matrix 171007_1806'!$CR$89)</f>
        <v/>
      </c>
      <c r="CY89" s="237" t="str">
        <f>calc_gap('Matrix 171007_1806'!$CM$89,'Matrix 171007_1806'!$CS$89)</f>
        <v/>
      </c>
      <c r="CZ89" s="237" t="str">
        <f>calc_gap('Matrix 171007_1806'!$CN$89,'Matrix 171007_1806'!$CT$89)</f>
        <v/>
      </c>
      <c r="DA89" s="238" t="str">
        <f>calc_gap('Matrix 171007_1806'!$CO$89,'Matrix 171007_1806'!$CU$89)</f>
        <v/>
      </c>
    </row>
    <row r="90" spans="2:105" x14ac:dyDescent="0.25">
      <c r="B90" s="435"/>
      <c r="C90" s="291" t="s">
        <v>274</v>
      </c>
      <c r="D90" s="314"/>
      <c r="E90" s="315"/>
      <c r="F90" s="315"/>
      <c r="G90" s="315"/>
      <c r="H90" s="315"/>
      <c r="I90" s="315"/>
      <c r="J90" s="315"/>
      <c r="K90" s="316"/>
      <c r="L90" s="314"/>
      <c r="M90" s="315"/>
      <c r="N90" s="315"/>
      <c r="O90" s="316"/>
      <c r="P90" s="314"/>
      <c r="Q90" s="315"/>
      <c r="R90" s="315"/>
      <c r="S90" s="315"/>
      <c r="T90" s="315"/>
      <c r="U90" s="315"/>
      <c r="V90" s="315"/>
      <c r="W90" s="315"/>
      <c r="X90" s="315"/>
      <c r="Y90" s="315"/>
      <c r="Z90" s="315"/>
      <c r="AA90" s="315"/>
      <c r="AB90" s="315"/>
      <c r="AC90" s="315"/>
      <c r="AD90" s="315"/>
      <c r="AE90" s="315"/>
      <c r="AF90" s="315"/>
      <c r="AG90" s="315"/>
      <c r="AH90" s="315"/>
      <c r="AI90" s="316"/>
      <c r="AJ90" s="314"/>
      <c r="AK90" s="315"/>
      <c r="AL90" s="316"/>
      <c r="AM90" s="314"/>
      <c r="AN90" s="315"/>
      <c r="AO90" s="316"/>
      <c r="AP90" s="314"/>
      <c r="AQ90" s="315"/>
      <c r="AR90" s="315"/>
      <c r="AS90" s="315"/>
      <c r="AT90" s="316"/>
      <c r="AU90" s="314"/>
      <c r="AV90" s="315"/>
      <c r="AW90" s="315"/>
      <c r="AX90" s="315"/>
      <c r="AY90" s="315"/>
      <c r="AZ90" s="315"/>
      <c r="BA90" s="315"/>
      <c r="BB90" s="316"/>
      <c r="BC90" s="314"/>
      <c r="BD90" s="315"/>
      <c r="BE90" s="315"/>
      <c r="BF90" s="315"/>
      <c r="BG90" s="316"/>
      <c r="BH90" s="314"/>
      <c r="BI90" s="315"/>
      <c r="BJ90" s="316"/>
      <c r="BK90" s="314"/>
      <c r="BL90" s="315"/>
      <c r="BM90" s="315"/>
      <c r="BN90" s="316"/>
      <c r="BO90" s="314"/>
      <c r="BP90" s="315"/>
      <c r="BQ90" s="315"/>
      <c r="BR90" s="315"/>
      <c r="BS90" s="315"/>
      <c r="BT90" s="315"/>
      <c r="BU90" s="315"/>
      <c r="BV90" s="316"/>
      <c r="BW90" s="314"/>
      <c r="BX90" s="315"/>
      <c r="BY90" s="315"/>
      <c r="BZ90" s="315"/>
      <c r="CA90" s="315"/>
      <c r="CB90" s="316"/>
      <c r="CC90" s="314"/>
      <c r="CD90" s="315"/>
      <c r="CE90" s="316"/>
      <c r="CF90" s="314"/>
      <c r="CG90" s="315"/>
      <c r="CH90" s="315"/>
      <c r="CI90" s="317"/>
      <c r="CK90" s="236" t="str">
        <f t="shared" si="30"/>
        <v/>
      </c>
      <c r="CL90" s="237" t="str">
        <f t="shared" si="31"/>
        <v/>
      </c>
      <c r="CM90" s="237" t="str">
        <f t="shared" si="32"/>
        <v/>
      </c>
      <c r="CN90" s="237" t="str">
        <f t="shared" si="33"/>
        <v/>
      </c>
      <c r="CO90" s="238" t="str">
        <f t="shared" si="34"/>
        <v/>
      </c>
      <c r="CQ90" s="236" t="str">
        <f>desired_skills(C90,"Extra vaardigheden/Videobewerking","o")</f>
        <v/>
      </c>
      <c r="CR90" s="237" t="str">
        <f>desired_skills(C90,"Extra vaardigheden/Videobewerking","j")</f>
        <v/>
      </c>
      <c r="CS90" s="237" t="str">
        <f>desired_skills(C90,"Extra vaardigheden/Videobewerking","m")</f>
        <v/>
      </c>
      <c r="CT90" s="237" t="str">
        <f>desired_skills(C90,"Extra vaardigheden/Videobewerking","s")</f>
        <v/>
      </c>
      <c r="CU90" s="238" t="str">
        <f>desired_skills(C90,"Extra vaardigheden/Videobewerking","e")</f>
        <v/>
      </c>
      <c r="CW90" s="236" t="str">
        <f>calc_gap('Matrix 171007_1806'!$CK$90,'Matrix 171007_1806'!$CQ$90)</f>
        <v/>
      </c>
      <c r="CX90" s="237" t="str">
        <f>calc_gap('Matrix 171007_1806'!$CL$90,'Matrix 171007_1806'!$CR$90)</f>
        <v/>
      </c>
      <c r="CY90" s="237" t="str">
        <f>calc_gap('Matrix 171007_1806'!$CM$90,'Matrix 171007_1806'!$CS$90)</f>
        <v/>
      </c>
      <c r="CZ90" s="237" t="str">
        <f>calc_gap('Matrix 171007_1806'!$CN$90,'Matrix 171007_1806'!$CT$90)</f>
        <v/>
      </c>
      <c r="DA90" s="238" t="str">
        <f>calc_gap('Matrix 171007_1806'!$CO$90,'Matrix 171007_1806'!$CU$90)</f>
        <v/>
      </c>
    </row>
    <row r="91" spans="2:105" x14ac:dyDescent="0.25">
      <c r="B91" s="435"/>
      <c r="C91" s="291" t="s">
        <v>275</v>
      </c>
      <c r="D91" s="314"/>
      <c r="E91" s="315"/>
      <c r="F91" s="315"/>
      <c r="G91" s="315"/>
      <c r="H91" s="315"/>
      <c r="I91" s="315"/>
      <c r="J91" s="315"/>
      <c r="K91" s="316"/>
      <c r="L91" s="314"/>
      <c r="M91" s="315"/>
      <c r="N91" s="315"/>
      <c r="O91" s="316"/>
      <c r="P91" s="314"/>
      <c r="Q91" s="315"/>
      <c r="R91" s="315"/>
      <c r="S91" s="315"/>
      <c r="T91" s="315"/>
      <c r="U91" s="315"/>
      <c r="V91" s="315"/>
      <c r="W91" s="315"/>
      <c r="X91" s="315"/>
      <c r="Y91" s="315"/>
      <c r="Z91" s="315"/>
      <c r="AA91" s="315"/>
      <c r="AB91" s="315"/>
      <c r="AC91" s="315"/>
      <c r="AD91" s="315"/>
      <c r="AE91" s="315"/>
      <c r="AF91" s="315"/>
      <c r="AG91" s="315"/>
      <c r="AH91" s="315"/>
      <c r="AI91" s="316"/>
      <c r="AJ91" s="314"/>
      <c r="AK91" s="315"/>
      <c r="AL91" s="316"/>
      <c r="AM91" s="314"/>
      <c r="AN91" s="315"/>
      <c r="AO91" s="316"/>
      <c r="AP91" s="314"/>
      <c r="AQ91" s="315"/>
      <c r="AR91" s="315"/>
      <c r="AS91" s="315"/>
      <c r="AT91" s="316"/>
      <c r="AU91" s="314"/>
      <c r="AV91" s="315"/>
      <c r="AW91" s="315"/>
      <c r="AX91" s="315"/>
      <c r="AY91" s="315"/>
      <c r="AZ91" s="315"/>
      <c r="BA91" s="315"/>
      <c r="BB91" s="316"/>
      <c r="BC91" s="314"/>
      <c r="BD91" s="315"/>
      <c r="BE91" s="315"/>
      <c r="BF91" s="315"/>
      <c r="BG91" s="316"/>
      <c r="BH91" s="314"/>
      <c r="BI91" s="315"/>
      <c r="BJ91" s="316"/>
      <c r="BK91" s="314"/>
      <c r="BL91" s="315"/>
      <c r="BM91" s="315"/>
      <c r="BN91" s="316"/>
      <c r="BO91" s="314"/>
      <c r="BP91" s="315"/>
      <c r="BQ91" s="315"/>
      <c r="BR91" s="315"/>
      <c r="BS91" s="315"/>
      <c r="BT91" s="315"/>
      <c r="BU91" s="315"/>
      <c r="BV91" s="316"/>
      <c r="BW91" s="314"/>
      <c r="BX91" s="315"/>
      <c r="BY91" s="315"/>
      <c r="BZ91" s="315"/>
      <c r="CA91" s="315"/>
      <c r="CB91" s="316"/>
      <c r="CC91" s="314"/>
      <c r="CD91" s="315"/>
      <c r="CE91" s="316"/>
      <c r="CF91" s="314"/>
      <c r="CG91" s="315"/>
      <c r="CH91" s="315"/>
      <c r="CI91" s="317"/>
      <c r="CK91" s="236" t="str">
        <f t="shared" si="30"/>
        <v/>
      </c>
      <c r="CL91" s="237" t="str">
        <f t="shared" si="31"/>
        <v/>
      </c>
      <c r="CM91" s="237" t="str">
        <f t="shared" si="32"/>
        <v/>
      </c>
      <c r="CN91" s="237" t="str">
        <f t="shared" si="33"/>
        <v/>
      </c>
      <c r="CO91" s="238" t="str">
        <f t="shared" si="34"/>
        <v/>
      </c>
      <c r="CQ91" s="236" t="str">
        <f>desired_skills(C91,"Extra vaardigheden/Excel","o")</f>
        <v/>
      </c>
      <c r="CR91" s="237" t="str">
        <f>desired_skills(C91,"Extra vaardigheden/Excel","j")</f>
        <v/>
      </c>
      <c r="CS91" s="237" t="str">
        <f>desired_skills(C91,"Extra vaardigheden/Excel","m")</f>
        <v/>
      </c>
      <c r="CT91" s="237" t="str">
        <f>desired_skills(C91,"Extra vaardigheden/Excel","s")</f>
        <v/>
      </c>
      <c r="CU91" s="238" t="str">
        <f>desired_skills(C91,"Extra vaardigheden/Excel","e")</f>
        <v/>
      </c>
      <c r="CW91" s="236" t="str">
        <f>calc_gap('Matrix 171007_1806'!$CK$91,'Matrix 171007_1806'!$CQ$91)</f>
        <v/>
      </c>
      <c r="CX91" s="237" t="str">
        <f>calc_gap('Matrix 171007_1806'!$CL$91,'Matrix 171007_1806'!$CR$91)</f>
        <v/>
      </c>
      <c r="CY91" s="237" t="str">
        <f>calc_gap('Matrix 171007_1806'!$CM$91,'Matrix 171007_1806'!$CS$91)</f>
        <v/>
      </c>
      <c r="CZ91" s="237" t="str">
        <f>calc_gap('Matrix 171007_1806'!$CN$91,'Matrix 171007_1806'!$CT$91)</f>
        <v/>
      </c>
      <c r="DA91" s="238" t="str">
        <f>calc_gap('Matrix 171007_1806'!$CO$91,'Matrix 171007_1806'!$CU$91)</f>
        <v/>
      </c>
    </row>
    <row r="92" spans="2:105" x14ac:dyDescent="0.25">
      <c r="B92" s="435"/>
      <c r="C92" s="291" t="s">
        <v>281</v>
      </c>
      <c r="D92" s="314"/>
      <c r="E92" s="315"/>
      <c r="F92" s="315"/>
      <c r="G92" s="315"/>
      <c r="H92" s="315"/>
      <c r="I92" s="315"/>
      <c r="J92" s="315"/>
      <c r="K92" s="316"/>
      <c r="L92" s="314"/>
      <c r="M92" s="315"/>
      <c r="N92" s="315"/>
      <c r="O92" s="316"/>
      <c r="P92" s="314"/>
      <c r="Q92" s="315"/>
      <c r="R92" s="315"/>
      <c r="S92" s="315"/>
      <c r="T92" s="315"/>
      <c r="U92" s="315"/>
      <c r="V92" s="315"/>
      <c r="W92" s="315"/>
      <c r="X92" s="315"/>
      <c r="Y92" s="315"/>
      <c r="Z92" s="315"/>
      <c r="AA92" s="315"/>
      <c r="AB92" s="315"/>
      <c r="AC92" s="315"/>
      <c r="AD92" s="315"/>
      <c r="AE92" s="315"/>
      <c r="AF92" s="315"/>
      <c r="AG92" s="315"/>
      <c r="AH92" s="315"/>
      <c r="AI92" s="316"/>
      <c r="AJ92" s="314"/>
      <c r="AK92" s="315"/>
      <c r="AL92" s="316"/>
      <c r="AM92" s="314"/>
      <c r="AN92" s="315"/>
      <c r="AO92" s="316"/>
      <c r="AP92" s="314"/>
      <c r="AQ92" s="315"/>
      <c r="AR92" s="315"/>
      <c r="AS92" s="315"/>
      <c r="AT92" s="316"/>
      <c r="AU92" s="314"/>
      <c r="AV92" s="315"/>
      <c r="AW92" s="315"/>
      <c r="AX92" s="315"/>
      <c r="AY92" s="315"/>
      <c r="AZ92" s="315"/>
      <c r="BA92" s="315"/>
      <c r="BB92" s="316"/>
      <c r="BC92" s="314"/>
      <c r="BD92" s="315"/>
      <c r="BE92" s="315"/>
      <c r="BF92" s="315"/>
      <c r="BG92" s="316"/>
      <c r="BH92" s="314"/>
      <c r="BI92" s="315"/>
      <c r="BJ92" s="316"/>
      <c r="BK92" s="314"/>
      <c r="BL92" s="315"/>
      <c r="BM92" s="315"/>
      <c r="BN92" s="316"/>
      <c r="BO92" s="314"/>
      <c r="BP92" s="315"/>
      <c r="BQ92" s="315"/>
      <c r="BR92" s="315"/>
      <c r="BS92" s="315"/>
      <c r="BT92" s="315"/>
      <c r="BU92" s="315"/>
      <c r="BV92" s="316"/>
      <c r="BW92" s="314"/>
      <c r="BX92" s="315"/>
      <c r="BY92" s="315"/>
      <c r="BZ92" s="315"/>
      <c r="CA92" s="315"/>
      <c r="CB92" s="316"/>
      <c r="CC92" s="314"/>
      <c r="CD92" s="315"/>
      <c r="CE92" s="316"/>
      <c r="CF92" s="314"/>
      <c r="CG92" s="315"/>
      <c r="CH92" s="315"/>
      <c r="CI92" s="317"/>
      <c r="CK92" s="236" t="str">
        <f t="shared" si="30"/>
        <v/>
      </c>
      <c r="CL92" s="237" t="str">
        <f t="shared" si="31"/>
        <v/>
      </c>
      <c r="CM92" s="237" t="str">
        <f t="shared" si="32"/>
        <v/>
      </c>
      <c r="CN92" s="237" t="str">
        <f t="shared" si="33"/>
        <v/>
      </c>
      <c r="CO92" s="238" t="str">
        <f t="shared" si="34"/>
        <v/>
      </c>
      <c r="CQ92" s="236" t="str">
        <f>desired_skills(C92,"Extra vaardigheden/PowerPoint","o")</f>
        <v/>
      </c>
      <c r="CR92" s="237" t="str">
        <f>desired_skills(C92,"Extra vaardigheden/PowerPoint","j")</f>
        <v/>
      </c>
      <c r="CS92" s="237" t="str">
        <f>desired_skills(C92,"Extra vaardigheden/PowerPoint","m")</f>
        <v/>
      </c>
      <c r="CT92" s="237" t="str">
        <f>desired_skills(C92,"Extra vaardigheden/PowerPoint","s")</f>
        <v/>
      </c>
      <c r="CU92" s="238" t="str">
        <f>desired_skills(C92,"Extra vaardigheden/PowerPoint","e")</f>
        <v/>
      </c>
      <c r="CW92" s="236" t="str">
        <f>calc_gap('Matrix 171007_1806'!$CK$92,'Matrix 171007_1806'!$CQ$92)</f>
        <v/>
      </c>
      <c r="CX92" s="237" t="str">
        <f>calc_gap('Matrix 171007_1806'!$CL$92,'Matrix 171007_1806'!$CR$92)</f>
        <v/>
      </c>
      <c r="CY92" s="237" t="str">
        <f>calc_gap('Matrix 171007_1806'!$CM$92,'Matrix 171007_1806'!$CS$92)</f>
        <v/>
      </c>
      <c r="CZ92" s="237" t="str">
        <f>calc_gap('Matrix 171007_1806'!$CN$92,'Matrix 171007_1806'!$CT$92)</f>
        <v/>
      </c>
      <c r="DA92" s="238" t="str">
        <f>calc_gap('Matrix 171007_1806'!$CO$92,'Matrix 171007_1806'!$CU$92)</f>
        <v/>
      </c>
    </row>
    <row r="93" spans="2:105" x14ac:dyDescent="0.25">
      <c r="B93" s="435"/>
      <c r="C93" s="291" t="s">
        <v>276</v>
      </c>
      <c r="D93" s="314"/>
      <c r="E93" s="315"/>
      <c r="F93" s="315"/>
      <c r="G93" s="315"/>
      <c r="H93" s="315"/>
      <c r="I93" s="315"/>
      <c r="J93" s="315"/>
      <c r="K93" s="316"/>
      <c r="L93" s="314"/>
      <c r="M93" s="315"/>
      <c r="N93" s="315"/>
      <c r="O93" s="316"/>
      <c r="P93" s="314"/>
      <c r="Q93" s="315"/>
      <c r="R93" s="315"/>
      <c r="S93" s="315"/>
      <c r="T93" s="315"/>
      <c r="U93" s="315"/>
      <c r="V93" s="315"/>
      <c r="W93" s="315"/>
      <c r="X93" s="315"/>
      <c r="Y93" s="315"/>
      <c r="Z93" s="315"/>
      <c r="AA93" s="315"/>
      <c r="AB93" s="315"/>
      <c r="AC93" s="315"/>
      <c r="AD93" s="315"/>
      <c r="AE93" s="315"/>
      <c r="AF93" s="315"/>
      <c r="AG93" s="315"/>
      <c r="AH93" s="315"/>
      <c r="AI93" s="316"/>
      <c r="AJ93" s="314"/>
      <c r="AK93" s="315"/>
      <c r="AL93" s="316"/>
      <c r="AM93" s="314"/>
      <c r="AN93" s="315"/>
      <c r="AO93" s="316"/>
      <c r="AP93" s="314"/>
      <c r="AQ93" s="315"/>
      <c r="AR93" s="315"/>
      <c r="AS93" s="315"/>
      <c r="AT93" s="316"/>
      <c r="AU93" s="314"/>
      <c r="AV93" s="315"/>
      <c r="AW93" s="315"/>
      <c r="AX93" s="315"/>
      <c r="AY93" s="315"/>
      <c r="AZ93" s="315"/>
      <c r="BA93" s="315"/>
      <c r="BB93" s="316"/>
      <c r="BC93" s="314"/>
      <c r="BD93" s="315"/>
      <c r="BE93" s="315"/>
      <c r="BF93" s="315"/>
      <c r="BG93" s="316"/>
      <c r="BH93" s="314"/>
      <c r="BI93" s="315"/>
      <c r="BJ93" s="316"/>
      <c r="BK93" s="314"/>
      <c r="BL93" s="315"/>
      <c r="BM93" s="315"/>
      <c r="BN93" s="316"/>
      <c r="BO93" s="314"/>
      <c r="BP93" s="315"/>
      <c r="BQ93" s="315"/>
      <c r="BR93" s="315"/>
      <c r="BS93" s="315"/>
      <c r="BT93" s="315"/>
      <c r="BU93" s="315"/>
      <c r="BV93" s="316"/>
      <c r="BW93" s="314"/>
      <c r="BX93" s="315"/>
      <c r="BY93" s="315"/>
      <c r="BZ93" s="315"/>
      <c r="CA93" s="315"/>
      <c r="CB93" s="316"/>
      <c r="CC93" s="314"/>
      <c r="CD93" s="315"/>
      <c r="CE93" s="316"/>
      <c r="CF93" s="314"/>
      <c r="CG93" s="315"/>
      <c r="CH93" s="315"/>
      <c r="CI93" s="317"/>
      <c r="CK93" s="236" t="str">
        <f t="shared" si="30"/>
        <v/>
      </c>
      <c r="CL93" s="237" t="str">
        <f t="shared" si="31"/>
        <v/>
      </c>
      <c r="CM93" s="237" t="str">
        <f t="shared" si="32"/>
        <v/>
      </c>
      <c r="CN93" s="237" t="str">
        <f t="shared" si="33"/>
        <v/>
      </c>
      <c r="CO93" s="238" t="str">
        <f t="shared" si="34"/>
        <v/>
      </c>
      <c r="CQ93" s="236" t="str">
        <f>desired_skills(C93,"Extra vaardigheden/Word","o")</f>
        <v/>
      </c>
      <c r="CR93" s="237" t="str">
        <f>desired_skills(C93,"Extra vaardigheden/Word","j")</f>
        <v/>
      </c>
      <c r="CS93" s="237" t="str">
        <f>desired_skills(C93,"Extra vaardigheden/Word","m")</f>
        <v/>
      </c>
      <c r="CT93" s="237" t="str">
        <f>desired_skills(C93,"Extra vaardigheden/Word","s")</f>
        <v/>
      </c>
      <c r="CU93" s="238" t="str">
        <f>desired_skills(C93,"Extra vaardigheden/Word","e")</f>
        <v/>
      </c>
      <c r="CW93" s="236" t="str">
        <f>calc_gap('Matrix 171007_1806'!$CK$93,'Matrix 171007_1806'!$CQ$93)</f>
        <v/>
      </c>
      <c r="CX93" s="237" t="str">
        <f>calc_gap('Matrix 171007_1806'!$CL$93,'Matrix 171007_1806'!$CR$93)</f>
        <v/>
      </c>
      <c r="CY93" s="237" t="str">
        <f>calc_gap('Matrix 171007_1806'!$CM$93,'Matrix 171007_1806'!$CS$93)</f>
        <v/>
      </c>
      <c r="CZ93" s="237" t="str">
        <f>calc_gap('Matrix 171007_1806'!$CN$93,'Matrix 171007_1806'!$CT$93)</f>
        <v/>
      </c>
      <c r="DA93" s="238" t="str">
        <f>calc_gap('Matrix 171007_1806'!$CO$93,'Matrix 171007_1806'!$CU$93)</f>
        <v/>
      </c>
    </row>
    <row r="94" spans="2:105" x14ac:dyDescent="0.25">
      <c r="B94" s="435"/>
      <c r="C94" s="291" t="s">
        <v>277</v>
      </c>
      <c r="D94" s="314"/>
      <c r="E94" s="315"/>
      <c r="F94" s="315"/>
      <c r="G94" s="315"/>
      <c r="H94" s="315"/>
      <c r="I94" s="315"/>
      <c r="J94" s="315"/>
      <c r="K94" s="316"/>
      <c r="L94" s="314"/>
      <c r="M94" s="315"/>
      <c r="N94" s="315"/>
      <c r="O94" s="316"/>
      <c r="P94" s="314"/>
      <c r="Q94" s="315"/>
      <c r="R94" s="315"/>
      <c r="S94" s="315"/>
      <c r="T94" s="315"/>
      <c r="U94" s="315"/>
      <c r="V94" s="315"/>
      <c r="W94" s="315"/>
      <c r="X94" s="315"/>
      <c r="Y94" s="315"/>
      <c r="Z94" s="315"/>
      <c r="AA94" s="315"/>
      <c r="AB94" s="315"/>
      <c r="AC94" s="315"/>
      <c r="AD94" s="315"/>
      <c r="AE94" s="315"/>
      <c r="AF94" s="315"/>
      <c r="AG94" s="315"/>
      <c r="AH94" s="315"/>
      <c r="AI94" s="316"/>
      <c r="AJ94" s="314"/>
      <c r="AK94" s="315"/>
      <c r="AL94" s="316"/>
      <c r="AM94" s="314"/>
      <c r="AN94" s="315"/>
      <c r="AO94" s="316"/>
      <c r="AP94" s="314"/>
      <c r="AQ94" s="315"/>
      <c r="AR94" s="315"/>
      <c r="AS94" s="315"/>
      <c r="AT94" s="316"/>
      <c r="AU94" s="314"/>
      <c r="AV94" s="315"/>
      <c r="AW94" s="315"/>
      <c r="AX94" s="315"/>
      <c r="AY94" s="315"/>
      <c r="AZ94" s="315"/>
      <c r="BA94" s="315"/>
      <c r="BB94" s="316"/>
      <c r="BC94" s="314"/>
      <c r="BD94" s="315"/>
      <c r="BE94" s="315"/>
      <c r="BF94" s="315"/>
      <c r="BG94" s="316"/>
      <c r="BH94" s="314"/>
      <c r="BI94" s="315"/>
      <c r="BJ94" s="316"/>
      <c r="BK94" s="314"/>
      <c r="BL94" s="315"/>
      <c r="BM94" s="315"/>
      <c r="BN94" s="316"/>
      <c r="BO94" s="314"/>
      <c r="BP94" s="315"/>
      <c r="BQ94" s="315"/>
      <c r="BR94" s="315"/>
      <c r="BS94" s="315"/>
      <c r="BT94" s="315"/>
      <c r="BU94" s="315"/>
      <c r="BV94" s="316"/>
      <c r="BW94" s="314"/>
      <c r="BX94" s="315"/>
      <c r="BY94" s="315"/>
      <c r="BZ94" s="315"/>
      <c r="CA94" s="315"/>
      <c r="CB94" s="316"/>
      <c r="CC94" s="314"/>
      <c r="CD94" s="315"/>
      <c r="CE94" s="316"/>
      <c r="CF94" s="314"/>
      <c r="CG94" s="315"/>
      <c r="CH94" s="315"/>
      <c r="CI94" s="317"/>
      <c r="CK94" s="236" t="str">
        <f t="shared" si="30"/>
        <v/>
      </c>
      <c r="CL94" s="237" t="str">
        <f t="shared" si="31"/>
        <v/>
      </c>
      <c r="CM94" s="237" t="str">
        <f t="shared" si="32"/>
        <v/>
      </c>
      <c r="CN94" s="237" t="str">
        <f t="shared" si="33"/>
        <v/>
      </c>
      <c r="CO94" s="238" t="str">
        <f t="shared" si="34"/>
        <v/>
      </c>
      <c r="CQ94" s="236" t="str">
        <f>desired_skills(C94,"Extra vaardigheden/Filmpjes maken","o")</f>
        <v/>
      </c>
      <c r="CR94" s="237" t="str">
        <f>desired_skills(C94,"Extra vaardigheden/Filmpjes maken","j")</f>
        <v/>
      </c>
      <c r="CS94" s="237" t="str">
        <f>desired_skills(C94,"Extra vaardigheden/Filmpjes maken","m")</f>
        <v/>
      </c>
      <c r="CT94" s="237" t="str">
        <f>desired_skills(C94,"Extra vaardigheden/Filmpjes maken","s")</f>
        <v/>
      </c>
      <c r="CU94" s="238" t="str">
        <f>desired_skills(C94,"Extra vaardigheden/Filmpjes maken","e")</f>
        <v/>
      </c>
      <c r="CW94" s="236" t="str">
        <f>calc_gap('Matrix 171007_1806'!$CK$94,'Matrix 171007_1806'!$CQ$94)</f>
        <v/>
      </c>
      <c r="CX94" s="237" t="str">
        <f>calc_gap('Matrix 171007_1806'!$CL$94,'Matrix 171007_1806'!$CR$94)</f>
        <v/>
      </c>
      <c r="CY94" s="237" t="str">
        <f>calc_gap('Matrix 171007_1806'!$CM$94,'Matrix 171007_1806'!$CS$94)</f>
        <v/>
      </c>
      <c r="CZ94" s="237" t="str">
        <f>calc_gap('Matrix 171007_1806'!$CN$94,'Matrix 171007_1806'!$CT$94)</f>
        <v/>
      </c>
      <c r="DA94" s="238" t="str">
        <f>calc_gap('Matrix 171007_1806'!$CO$94,'Matrix 171007_1806'!$CU$94)</f>
        <v/>
      </c>
    </row>
    <row r="95" spans="2:105" x14ac:dyDescent="0.25">
      <c r="B95" s="435"/>
      <c r="C95" s="291" t="s">
        <v>278</v>
      </c>
      <c r="D95" s="314"/>
      <c r="E95" s="315"/>
      <c r="F95" s="315"/>
      <c r="G95" s="315"/>
      <c r="H95" s="315"/>
      <c r="I95" s="315"/>
      <c r="J95" s="315"/>
      <c r="K95" s="316"/>
      <c r="L95" s="314"/>
      <c r="M95" s="315"/>
      <c r="N95" s="315"/>
      <c r="O95" s="316"/>
      <c r="P95" s="314"/>
      <c r="Q95" s="315"/>
      <c r="R95" s="315"/>
      <c r="S95" s="315"/>
      <c r="T95" s="315"/>
      <c r="U95" s="315"/>
      <c r="V95" s="315"/>
      <c r="W95" s="315"/>
      <c r="X95" s="315"/>
      <c r="Y95" s="315"/>
      <c r="Z95" s="315"/>
      <c r="AA95" s="315"/>
      <c r="AB95" s="315"/>
      <c r="AC95" s="315"/>
      <c r="AD95" s="315"/>
      <c r="AE95" s="315"/>
      <c r="AF95" s="315"/>
      <c r="AG95" s="315"/>
      <c r="AH95" s="315"/>
      <c r="AI95" s="316"/>
      <c r="AJ95" s="314"/>
      <c r="AK95" s="315"/>
      <c r="AL95" s="316"/>
      <c r="AM95" s="314"/>
      <c r="AN95" s="315"/>
      <c r="AO95" s="316"/>
      <c r="AP95" s="314"/>
      <c r="AQ95" s="315"/>
      <c r="AR95" s="315"/>
      <c r="AS95" s="315"/>
      <c r="AT95" s="316"/>
      <c r="AU95" s="314"/>
      <c r="AV95" s="315"/>
      <c r="AW95" s="315"/>
      <c r="AX95" s="315"/>
      <c r="AY95" s="315"/>
      <c r="AZ95" s="315"/>
      <c r="BA95" s="315"/>
      <c r="BB95" s="316"/>
      <c r="BC95" s="314"/>
      <c r="BD95" s="315"/>
      <c r="BE95" s="315"/>
      <c r="BF95" s="315"/>
      <c r="BG95" s="316"/>
      <c r="BH95" s="314"/>
      <c r="BI95" s="315"/>
      <c r="BJ95" s="316"/>
      <c r="BK95" s="314"/>
      <c r="BL95" s="315"/>
      <c r="BM95" s="315"/>
      <c r="BN95" s="316"/>
      <c r="BO95" s="314"/>
      <c r="BP95" s="315"/>
      <c r="BQ95" s="315"/>
      <c r="BR95" s="315"/>
      <c r="BS95" s="315"/>
      <c r="BT95" s="315"/>
      <c r="BU95" s="315"/>
      <c r="BV95" s="316"/>
      <c r="BW95" s="314"/>
      <c r="BX95" s="315"/>
      <c r="BY95" s="315"/>
      <c r="BZ95" s="315"/>
      <c r="CA95" s="315"/>
      <c r="CB95" s="316"/>
      <c r="CC95" s="314"/>
      <c r="CD95" s="315"/>
      <c r="CE95" s="316"/>
      <c r="CF95" s="314"/>
      <c r="CG95" s="315"/>
      <c r="CH95" s="315"/>
      <c r="CI95" s="317"/>
      <c r="CK95" s="236" t="str">
        <f t="shared" si="30"/>
        <v/>
      </c>
      <c r="CL95" s="237" t="str">
        <f t="shared" si="31"/>
        <v/>
      </c>
      <c r="CM95" s="237" t="str">
        <f t="shared" si="32"/>
        <v/>
      </c>
      <c r="CN95" s="237" t="str">
        <f t="shared" si="33"/>
        <v/>
      </c>
      <c r="CO95" s="238" t="str">
        <f t="shared" si="34"/>
        <v/>
      </c>
      <c r="CQ95" s="236" t="str">
        <f>desired_skills(C95,"Extra vaardigheden/Website bouwen","o")</f>
        <v/>
      </c>
      <c r="CR95" s="237" t="str">
        <f>desired_skills(C95,"Extra vaardigheden/Website bouwen","j")</f>
        <v/>
      </c>
      <c r="CS95" s="237" t="str">
        <f>desired_skills(C95,"Extra vaardigheden/Website bouwen","m")</f>
        <v/>
      </c>
      <c r="CT95" s="237" t="str">
        <f>desired_skills(C95,"Extra vaardigheden/Website bouwen","s")</f>
        <v/>
      </c>
      <c r="CU95" s="238" t="str">
        <f>desired_skills(C95,"Extra vaardigheden/Website bouwen","e")</f>
        <v/>
      </c>
      <c r="CW95" s="236" t="str">
        <f>calc_gap('Matrix 171007_1806'!$CK$95,'Matrix 171007_1806'!$CQ$95)</f>
        <v/>
      </c>
      <c r="CX95" s="237" t="str">
        <f>calc_gap('Matrix 171007_1806'!$CL$95,'Matrix 171007_1806'!$CR$95)</f>
        <v/>
      </c>
      <c r="CY95" s="237" t="str">
        <f>calc_gap('Matrix 171007_1806'!$CM$95,'Matrix 171007_1806'!$CS$95)</f>
        <v/>
      </c>
      <c r="CZ95" s="237" t="str">
        <f>calc_gap('Matrix 171007_1806'!$CN$95,'Matrix 171007_1806'!$CT$95)</f>
        <v/>
      </c>
      <c r="DA95" s="238" t="str">
        <f>calc_gap('Matrix 171007_1806'!$CO$95,'Matrix 171007_1806'!$CU$95)</f>
        <v/>
      </c>
    </row>
    <row r="96" spans="2:105" x14ac:dyDescent="0.25">
      <c r="B96" s="435"/>
      <c r="C96" s="291" t="s">
        <v>282</v>
      </c>
      <c r="D96" s="314"/>
      <c r="E96" s="315"/>
      <c r="F96" s="315"/>
      <c r="G96" s="315"/>
      <c r="H96" s="315"/>
      <c r="I96" s="315"/>
      <c r="J96" s="315"/>
      <c r="K96" s="316"/>
      <c r="L96" s="314"/>
      <c r="M96" s="315"/>
      <c r="N96" s="315"/>
      <c r="O96" s="316"/>
      <c r="P96" s="314"/>
      <c r="Q96" s="315"/>
      <c r="R96" s="315"/>
      <c r="S96" s="315"/>
      <c r="T96" s="315"/>
      <c r="U96" s="315"/>
      <c r="V96" s="315"/>
      <c r="W96" s="315"/>
      <c r="X96" s="315"/>
      <c r="Y96" s="315"/>
      <c r="Z96" s="315"/>
      <c r="AA96" s="315"/>
      <c r="AB96" s="315"/>
      <c r="AC96" s="315"/>
      <c r="AD96" s="315"/>
      <c r="AE96" s="315"/>
      <c r="AF96" s="315"/>
      <c r="AG96" s="315"/>
      <c r="AH96" s="315"/>
      <c r="AI96" s="316"/>
      <c r="AJ96" s="314"/>
      <c r="AK96" s="315"/>
      <c r="AL96" s="316"/>
      <c r="AM96" s="314"/>
      <c r="AN96" s="315"/>
      <c r="AO96" s="316"/>
      <c r="AP96" s="314"/>
      <c r="AQ96" s="315"/>
      <c r="AR96" s="315"/>
      <c r="AS96" s="315"/>
      <c r="AT96" s="316"/>
      <c r="AU96" s="314"/>
      <c r="AV96" s="315"/>
      <c r="AW96" s="315"/>
      <c r="AX96" s="315"/>
      <c r="AY96" s="315"/>
      <c r="AZ96" s="315"/>
      <c r="BA96" s="315"/>
      <c r="BB96" s="316"/>
      <c r="BC96" s="314"/>
      <c r="BD96" s="315"/>
      <c r="BE96" s="315"/>
      <c r="BF96" s="315"/>
      <c r="BG96" s="316"/>
      <c r="BH96" s="314"/>
      <c r="BI96" s="315"/>
      <c r="BJ96" s="316"/>
      <c r="BK96" s="314"/>
      <c r="BL96" s="315"/>
      <c r="BM96" s="315"/>
      <c r="BN96" s="316"/>
      <c r="BO96" s="314"/>
      <c r="BP96" s="315"/>
      <c r="BQ96" s="315"/>
      <c r="BR96" s="315"/>
      <c r="BS96" s="315"/>
      <c r="BT96" s="315"/>
      <c r="BU96" s="315"/>
      <c r="BV96" s="316"/>
      <c r="BW96" s="314"/>
      <c r="BX96" s="315"/>
      <c r="BY96" s="315"/>
      <c r="BZ96" s="315"/>
      <c r="CA96" s="315"/>
      <c r="CB96" s="316"/>
      <c r="CC96" s="314"/>
      <c r="CD96" s="315"/>
      <c r="CE96" s="316"/>
      <c r="CF96" s="314"/>
      <c r="CG96" s="315"/>
      <c r="CH96" s="315"/>
      <c r="CI96" s="317"/>
      <c r="CK96" s="236" t="str">
        <f t="shared" si="30"/>
        <v/>
      </c>
      <c r="CL96" s="237" t="str">
        <f t="shared" si="31"/>
        <v/>
      </c>
      <c r="CM96" s="237" t="str">
        <f t="shared" si="32"/>
        <v/>
      </c>
      <c r="CN96" s="237" t="str">
        <f t="shared" si="33"/>
        <v/>
      </c>
      <c r="CO96" s="238" t="str">
        <f t="shared" si="34"/>
        <v/>
      </c>
      <c r="CQ96" s="236" t="str">
        <f>desired_skills(C96,"Extra vaardigheden/Muziek maken","o")</f>
        <v/>
      </c>
      <c r="CR96" s="237" t="str">
        <f>desired_skills(C96,"Extra vaardigheden/Muziek maken","j")</f>
        <v/>
      </c>
      <c r="CS96" s="237" t="str">
        <f>desired_skills(C96,"Extra vaardigheden/Muziek maken","m")</f>
        <v/>
      </c>
      <c r="CT96" s="237" t="str">
        <f>desired_skills(C96,"Extra vaardigheden/Muziek maken","s")</f>
        <v/>
      </c>
      <c r="CU96" s="238" t="str">
        <f>desired_skills(C96,"Extra vaardigheden/Muziek maken","e")</f>
        <v/>
      </c>
      <c r="CW96" s="236" t="str">
        <f>calc_gap('Matrix 171007_1806'!$CK$96,'Matrix 171007_1806'!$CQ$96)</f>
        <v/>
      </c>
      <c r="CX96" s="237" t="str">
        <f>calc_gap('Matrix 171007_1806'!$CL$96,'Matrix 171007_1806'!$CR$96)</f>
        <v/>
      </c>
      <c r="CY96" s="237" t="str">
        <f>calc_gap('Matrix 171007_1806'!$CM$96,'Matrix 171007_1806'!$CS$96)</f>
        <v/>
      </c>
      <c r="CZ96" s="237" t="str">
        <f>calc_gap('Matrix 171007_1806'!$CN$96,'Matrix 171007_1806'!$CT$96)</f>
        <v/>
      </c>
      <c r="DA96" s="238" t="str">
        <f>calc_gap('Matrix 171007_1806'!$CO$96,'Matrix 171007_1806'!$CU$96)</f>
        <v/>
      </c>
    </row>
    <row r="97" spans="2:105" x14ac:dyDescent="0.25">
      <c r="B97" s="435"/>
      <c r="C97" s="291" t="s">
        <v>283</v>
      </c>
      <c r="D97" s="314"/>
      <c r="E97" s="315"/>
      <c r="F97" s="315"/>
      <c r="G97" s="315"/>
      <c r="H97" s="315"/>
      <c r="I97" s="315"/>
      <c r="J97" s="315"/>
      <c r="K97" s="316"/>
      <c r="L97" s="314"/>
      <c r="M97" s="315"/>
      <c r="N97" s="315"/>
      <c r="O97" s="316"/>
      <c r="P97" s="314"/>
      <c r="Q97" s="315"/>
      <c r="R97" s="315"/>
      <c r="S97" s="315"/>
      <c r="T97" s="315"/>
      <c r="U97" s="315"/>
      <c r="V97" s="315"/>
      <c r="W97" s="315"/>
      <c r="X97" s="315"/>
      <c r="Y97" s="315"/>
      <c r="Z97" s="315"/>
      <c r="AA97" s="315"/>
      <c r="AB97" s="315"/>
      <c r="AC97" s="315"/>
      <c r="AD97" s="315"/>
      <c r="AE97" s="315"/>
      <c r="AF97" s="315"/>
      <c r="AG97" s="315"/>
      <c r="AH97" s="315"/>
      <c r="AI97" s="316"/>
      <c r="AJ97" s="314"/>
      <c r="AK97" s="315"/>
      <c r="AL97" s="316"/>
      <c r="AM97" s="314"/>
      <c r="AN97" s="315"/>
      <c r="AO97" s="316"/>
      <c r="AP97" s="314"/>
      <c r="AQ97" s="315"/>
      <c r="AR97" s="315"/>
      <c r="AS97" s="315"/>
      <c r="AT97" s="316"/>
      <c r="AU97" s="314"/>
      <c r="AV97" s="315"/>
      <c r="AW97" s="315"/>
      <c r="AX97" s="315"/>
      <c r="AY97" s="315"/>
      <c r="AZ97" s="315"/>
      <c r="BA97" s="315"/>
      <c r="BB97" s="316"/>
      <c r="BC97" s="314"/>
      <c r="BD97" s="315"/>
      <c r="BE97" s="315"/>
      <c r="BF97" s="315"/>
      <c r="BG97" s="316"/>
      <c r="BH97" s="314"/>
      <c r="BI97" s="315"/>
      <c r="BJ97" s="316"/>
      <c r="BK97" s="314"/>
      <c r="BL97" s="315"/>
      <c r="BM97" s="315"/>
      <c r="BN97" s="316"/>
      <c r="BO97" s="314"/>
      <c r="BP97" s="315"/>
      <c r="BQ97" s="315"/>
      <c r="BR97" s="315"/>
      <c r="BS97" s="315"/>
      <c r="BT97" s="315"/>
      <c r="BU97" s="315"/>
      <c r="BV97" s="316"/>
      <c r="BW97" s="314"/>
      <c r="BX97" s="315"/>
      <c r="BY97" s="315"/>
      <c r="BZ97" s="315"/>
      <c r="CA97" s="315"/>
      <c r="CB97" s="316"/>
      <c r="CC97" s="314"/>
      <c r="CD97" s="315"/>
      <c r="CE97" s="316"/>
      <c r="CF97" s="314"/>
      <c r="CG97" s="315"/>
      <c r="CH97" s="315"/>
      <c r="CI97" s="317"/>
      <c r="CK97" s="236" t="str">
        <f t="shared" si="30"/>
        <v/>
      </c>
      <c r="CL97" s="237" t="str">
        <f t="shared" si="31"/>
        <v/>
      </c>
      <c r="CM97" s="237" t="str">
        <f t="shared" si="32"/>
        <v/>
      </c>
      <c r="CN97" s="237" t="str">
        <f t="shared" si="33"/>
        <v/>
      </c>
      <c r="CO97" s="238" t="str">
        <f t="shared" si="34"/>
        <v/>
      </c>
      <c r="CQ97" s="236" t="str">
        <f>desired_skills(C97,"Extra vaardigheden/Koken en/of bakken","o")</f>
        <v/>
      </c>
      <c r="CR97" s="237" t="str">
        <f>desired_skills(C97,"Extra vaardigheden/Koken en/of bakken","j")</f>
        <v/>
      </c>
      <c r="CS97" s="237" t="str">
        <f>desired_skills(C97,"Extra vaardigheden/Koken en/of bakken","m")</f>
        <v/>
      </c>
      <c r="CT97" s="237" t="str">
        <f>desired_skills(C97,"Extra vaardigheden/Koken en/of bakken","s")</f>
        <v/>
      </c>
      <c r="CU97" s="238" t="str">
        <f>desired_skills(C97,"Extra vaardigheden/Koken en/of bakken","e")</f>
        <v/>
      </c>
      <c r="CW97" s="236" t="str">
        <f>calc_gap('Matrix 171007_1806'!$CK$97,'Matrix 171007_1806'!$CQ$97)</f>
        <v/>
      </c>
      <c r="CX97" s="237" t="str">
        <f>calc_gap('Matrix 171007_1806'!$CL$97,'Matrix 171007_1806'!$CR$97)</f>
        <v/>
      </c>
      <c r="CY97" s="237" t="str">
        <f>calc_gap('Matrix 171007_1806'!$CM$97,'Matrix 171007_1806'!$CS$97)</f>
        <v/>
      </c>
      <c r="CZ97" s="237" t="str">
        <f>calc_gap('Matrix 171007_1806'!$CN$97,'Matrix 171007_1806'!$CT$97)</f>
        <v/>
      </c>
      <c r="DA97" s="238" t="str">
        <f>calc_gap('Matrix 171007_1806'!$CO$97,'Matrix 171007_1806'!$CU$97)</f>
        <v/>
      </c>
    </row>
    <row r="98" spans="2:105" x14ac:dyDescent="0.25">
      <c r="B98" s="435"/>
      <c r="C98" s="291" t="s">
        <v>279</v>
      </c>
      <c r="D98" s="314"/>
      <c r="E98" s="315"/>
      <c r="F98" s="315"/>
      <c r="G98" s="315"/>
      <c r="H98" s="315"/>
      <c r="I98" s="315"/>
      <c r="J98" s="315"/>
      <c r="K98" s="316"/>
      <c r="L98" s="314"/>
      <c r="M98" s="315"/>
      <c r="N98" s="315"/>
      <c r="O98" s="316"/>
      <c r="P98" s="314"/>
      <c r="Q98" s="315"/>
      <c r="R98" s="315"/>
      <c r="S98" s="315"/>
      <c r="T98" s="315"/>
      <c r="U98" s="315"/>
      <c r="V98" s="315"/>
      <c r="W98" s="315"/>
      <c r="X98" s="315"/>
      <c r="Y98" s="315"/>
      <c r="Z98" s="315"/>
      <c r="AA98" s="315"/>
      <c r="AB98" s="315"/>
      <c r="AC98" s="315"/>
      <c r="AD98" s="315"/>
      <c r="AE98" s="315"/>
      <c r="AF98" s="315"/>
      <c r="AG98" s="315"/>
      <c r="AH98" s="315"/>
      <c r="AI98" s="316"/>
      <c r="AJ98" s="314"/>
      <c r="AK98" s="315"/>
      <c r="AL98" s="316"/>
      <c r="AM98" s="314"/>
      <c r="AN98" s="315"/>
      <c r="AO98" s="316"/>
      <c r="AP98" s="314"/>
      <c r="AQ98" s="315"/>
      <c r="AR98" s="315"/>
      <c r="AS98" s="315"/>
      <c r="AT98" s="316"/>
      <c r="AU98" s="314"/>
      <c r="AV98" s="315"/>
      <c r="AW98" s="315"/>
      <c r="AX98" s="315"/>
      <c r="AY98" s="315"/>
      <c r="AZ98" s="315"/>
      <c r="BA98" s="315"/>
      <c r="BB98" s="316"/>
      <c r="BC98" s="314"/>
      <c r="BD98" s="315"/>
      <c r="BE98" s="315"/>
      <c r="BF98" s="315"/>
      <c r="BG98" s="316"/>
      <c r="BH98" s="314"/>
      <c r="BI98" s="315"/>
      <c r="BJ98" s="316"/>
      <c r="BK98" s="314"/>
      <c r="BL98" s="315"/>
      <c r="BM98" s="315"/>
      <c r="BN98" s="316"/>
      <c r="BO98" s="314"/>
      <c r="BP98" s="315"/>
      <c r="BQ98" s="315"/>
      <c r="BR98" s="315"/>
      <c r="BS98" s="315"/>
      <c r="BT98" s="315"/>
      <c r="BU98" s="315"/>
      <c r="BV98" s="316"/>
      <c r="BW98" s="314"/>
      <c r="BX98" s="315"/>
      <c r="BY98" s="315"/>
      <c r="BZ98" s="315"/>
      <c r="CA98" s="315"/>
      <c r="CB98" s="316"/>
      <c r="CC98" s="314"/>
      <c r="CD98" s="315"/>
      <c r="CE98" s="316"/>
      <c r="CF98" s="314"/>
      <c r="CG98" s="315"/>
      <c r="CH98" s="315"/>
      <c r="CI98" s="317"/>
      <c r="CK98" s="236" t="str">
        <f t="shared" si="30"/>
        <v/>
      </c>
      <c r="CL98" s="237" t="str">
        <f t="shared" si="31"/>
        <v/>
      </c>
      <c r="CM98" s="237" t="str">
        <f t="shared" si="32"/>
        <v/>
      </c>
      <c r="CN98" s="237" t="str">
        <f t="shared" si="33"/>
        <v/>
      </c>
      <c r="CO98" s="238" t="str">
        <f t="shared" si="34"/>
        <v/>
      </c>
      <c r="CQ98" s="236" t="str">
        <f>desired_skills(C98,"Extra vaardigheden/Lesgeven op school","o")</f>
        <v/>
      </c>
      <c r="CR98" s="237" t="str">
        <f>desired_skills(C98,"Extra vaardigheden/Lesgeven op school","j")</f>
        <v/>
      </c>
      <c r="CS98" s="237" t="str">
        <f>desired_skills(C98,"Extra vaardigheden/Lesgeven op school","m")</f>
        <v/>
      </c>
      <c r="CT98" s="237" t="str">
        <f>desired_skills(C98,"Extra vaardigheden/Lesgeven op school","s")</f>
        <v/>
      </c>
      <c r="CU98" s="238" t="str">
        <f>desired_skills(C98,"Extra vaardigheden/Lesgeven op school","e")</f>
        <v/>
      </c>
      <c r="CW98" s="236" t="str">
        <f>calc_gap('Matrix 171007_1806'!$CK$98,'Matrix 171007_1806'!$CQ$98)</f>
        <v/>
      </c>
      <c r="CX98" s="237" t="str">
        <f>calc_gap('Matrix 171007_1806'!$CL$98,'Matrix 171007_1806'!$CR$98)</f>
        <v/>
      </c>
      <c r="CY98" s="237" t="str">
        <f>calc_gap('Matrix 171007_1806'!$CM$98,'Matrix 171007_1806'!$CS$98)</f>
        <v/>
      </c>
      <c r="CZ98" s="237" t="str">
        <f>calc_gap('Matrix 171007_1806'!$CN$98,'Matrix 171007_1806'!$CT$98)</f>
        <v/>
      </c>
      <c r="DA98" s="238" t="str">
        <f>calc_gap('Matrix 171007_1806'!$CO$98,'Matrix 171007_1806'!$CU$98)</f>
        <v/>
      </c>
    </row>
    <row r="99" spans="2:105" ht="15.75" thickBot="1" x14ac:dyDescent="0.3">
      <c r="B99" s="435"/>
      <c r="C99" s="292" t="s">
        <v>280</v>
      </c>
      <c r="D99" s="318"/>
      <c r="E99" s="319"/>
      <c r="F99" s="319"/>
      <c r="G99" s="319"/>
      <c r="H99" s="319"/>
      <c r="I99" s="319"/>
      <c r="J99" s="319"/>
      <c r="K99" s="320"/>
      <c r="L99" s="318"/>
      <c r="M99" s="319"/>
      <c r="N99" s="319"/>
      <c r="O99" s="320"/>
      <c r="P99" s="318"/>
      <c r="Q99" s="319"/>
      <c r="R99" s="319"/>
      <c r="S99" s="319"/>
      <c r="T99" s="319"/>
      <c r="U99" s="319"/>
      <c r="V99" s="319"/>
      <c r="W99" s="319"/>
      <c r="X99" s="319"/>
      <c r="Y99" s="319"/>
      <c r="Z99" s="319"/>
      <c r="AA99" s="319"/>
      <c r="AB99" s="319"/>
      <c r="AC99" s="319"/>
      <c r="AD99" s="319"/>
      <c r="AE99" s="319"/>
      <c r="AF99" s="319"/>
      <c r="AG99" s="319"/>
      <c r="AH99" s="319"/>
      <c r="AI99" s="320"/>
      <c r="AJ99" s="318"/>
      <c r="AK99" s="319"/>
      <c r="AL99" s="320"/>
      <c r="AM99" s="318"/>
      <c r="AN99" s="319"/>
      <c r="AO99" s="320"/>
      <c r="AP99" s="318"/>
      <c r="AQ99" s="319"/>
      <c r="AR99" s="319"/>
      <c r="AS99" s="319"/>
      <c r="AT99" s="320"/>
      <c r="AU99" s="318"/>
      <c r="AV99" s="319"/>
      <c r="AW99" s="319"/>
      <c r="AX99" s="319"/>
      <c r="AY99" s="319"/>
      <c r="AZ99" s="319"/>
      <c r="BA99" s="319"/>
      <c r="BB99" s="320"/>
      <c r="BC99" s="318"/>
      <c r="BD99" s="319"/>
      <c r="BE99" s="319"/>
      <c r="BF99" s="319"/>
      <c r="BG99" s="320"/>
      <c r="BH99" s="318"/>
      <c r="BI99" s="319"/>
      <c r="BJ99" s="320"/>
      <c r="BK99" s="318"/>
      <c r="BL99" s="319"/>
      <c r="BM99" s="319"/>
      <c r="BN99" s="320"/>
      <c r="BO99" s="318"/>
      <c r="BP99" s="319"/>
      <c r="BQ99" s="319"/>
      <c r="BR99" s="319"/>
      <c r="BS99" s="319"/>
      <c r="BT99" s="319"/>
      <c r="BU99" s="319"/>
      <c r="BV99" s="320"/>
      <c r="BW99" s="318"/>
      <c r="BX99" s="319"/>
      <c r="BY99" s="319"/>
      <c r="BZ99" s="319"/>
      <c r="CA99" s="319"/>
      <c r="CB99" s="320"/>
      <c r="CC99" s="318"/>
      <c r="CD99" s="319"/>
      <c r="CE99" s="320"/>
      <c r="CF99" s="318"/>
      <c r="CG99" s="319"/>
      <c r="CH99" s="319"/>
      <c r="CI99" s="321"/>
      <c r="CK99" s="239" t="str">
        <f t="shared" si="30"/>
        <v/>
      </c>
      <c r="CL99" s="240" t="str">
        <f t="shared" si="31"/>
        <v/>
      </c>
      <c r="CM99" s="240" t="str">
        <f t="shared" si="32"/>
        <v/>
      </c>
      <c r="CN99" s="240" t="str">
        <f t="shared" si="33"/>
        <v/>
      </c>
      <c r="CO99" s="241" t="str">
        <f t="shared" si="34"/>
        <v/>
      </c>
      <c r="CQ99" s="239" t="str">
        <f>desired_skills(C99,"Extra vaardigheden/Coachen","o")</f>
        <v/>
      </c>
      <c r="CR99" s="240" t="str">
        <f>desired_skills(C99,"Extra vaardigheden/Coachen","j")</f>
        <v/>
      </c>
      <c r="CS99" s="240" t="str">
        <f>desired_skills(C99,"Extra vaardigheden/Coachen","m")</f>
        <v/>
      </c>
      <c r="CT99" s="240" t="str">
        <f>desired_skills(C99,"Extra vaardigheden/Coachen","s")</f>
        <v/>
      </c>
      <c r="CU99" s="241" t="str">
        <f>desired_skills(C99,"Extra vaardigheden/Coachen","e")</f>
        <v/>
      </c>
      <c r="CW99" s="239" t="str">
        <f>calc_gap('Matrix 171007_1806'!$CK$99,'Matrix 171007_1806'!$CQ$99)</f>
        <v/>
      </c>
      <c r="CX99" s="240" t="str">
        <f>calc_gap('Matrix 171007_1806'!$CL$99,'Matrix 171007_1806'!$CR$99)</f>
        <v/>
      </c>
      <c r="CY99" s="240" t="str">
        <f>calc_gap('Matrix 171007_1806'!$CM$99,'Matrix 171007_1806'!$CS$99)</f>
        <v/>
      </c>
      <c r="CZ99" s="240" t="str">
        <f>calc_gap('Matrix 171007_1806'!$CN$99,'Matrix 171007_1806'!$CT$99)</f>
        <v/>
      </c>
      <c r="DA99" s="241" t="str">
        <f>calc_gap('Matrix 171007_1806'!$CO$99,'Matrix 171007_1806'!$CU$99)</f>
        <v/>
      </c>
    </row>
    <row r="100" spans="2:105" ht="12.75" customHeight="1" thickTop="1" thickBot="1" x14ac:dyDescent="0.3">
      <c r="B100" s="437"/>
      <c r="C100" s="248"/>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c r="AA100" s="322"/>
      <c r="AB100" s="322"/>
      <c r="AC100" s="322"/>
      <c r="AD100" s="322"/>
      <c r="AE100" s="322"/>
      <c r="AF100" s="322"/>
      <c r="AG100" s="322"/>
      <c r="AH100" s="322"/>
      <c r="AI100" s="322"/>
      <c r="AJ100" s="322"/>
      <c r="AK100" s="322"/>
      <c r="AL100" s="322"/>
      <c r="AM100" s="322"/>
      <c r="AN100" s="322"/>
      <c r="AO100" s="322"/>
      <c r="AP100" s="322"/>
      <c r="AQ100" s="322"/>
      <c r="AR100" s="322"/>
      <c r="AS100" s="322"/>
      <c r="AT100" s="322"/>
      <c r="AU100" s="322"/>
      <c r="AV100" s="322"/>
      <c r="AW100" s="322"/>
      <c r="AX100" s="322"/>
      <c r="AY100" s="322"/>
      <c r="AZ100" s="322"/>
      <c r="BA100" s="322"/>
      <c r="BB100" s="322"/>
      <c r="BC100" s="322"/>
      <c r="BD100" s="322"/>
      <c r="BE100" s="322"/>
      <c r="BF100" s="322"/>
      <c r="BG100" s="322"/>
      <c r="BH100" s="322"/>
      <c r="BI100" s="322"/>
      <c r="BJ100" s="322"/>
      <c r="BK100" s="322"/>
      <c r="BL100" s="322"/>
      <c r="BM100" s="322"/>
      <c r="BN100" s="322"/>
      <c r="BO100" s="322"/>
      <c r="BP100" s="322"/>
      <c r="BQ100" s="322"/>
      <c r="BR100" s="322"/>
      <c r="BS100" s="322"/>
      <c r="BT100" s="322"/>
      <c r="BU100" s="322"/>
      <c r="BV100" s="322"/>
      <c r="BW100" s="322"/>
      <c r="BX100" s="322"/>
      <c r="BY100" s="322"/>
      <c r="BZ100" s="322"/>
      <c r="CA100" s="322"/>
      <c r="CB100" s="322"/>
      <c r="CC100" s="322"/>
      <c r="CD100" s="322"/>
      <c r="CE100" s="322"/>
      <c r="CF100" s="322"/>
      <c r="CG100" s="322"/>
      <c r="CH100" s="322"/>
      <c r="CI100" s="322"/>
      <c r="CK100" s="249"/>
      <c r="CL100" s="249"/>
      <c r="CM100" s="249"/>
      <c r="CN100" s="249"/>
      <c r="CO100" s="249"/>
      <c r="CQ100" s="249"/>
      <c r="CR100" s="249"/>
      <c r="CS100" s="249"/>
      <c r="CT100" s="249"/>
      <c r="CU100" s="249"/>
      <c r="CW100" s="249"/>
      <c r="CX100" s="249"/>
      <c r="CY100" s="249"/>
      <c r="CZ100" s="249"/>
      <c r="DA100" s="249"/>
    </row>
    <row r="101" spans="2:105" ht="16.5" thickTop="1" thickBot="1" x14ac:dyDescent="0.3"/>
    <row r="102" spans="2:105" ht="15.75" thickTop="1" x14ac:dyDescent="0.25">
      <c r="B102" s="434" t="s">
        <v>303</v>
      </c>
      <c r="C102" s="298" t="s">
        <v>217</v>
      </c>
      <c r="D102" s="294" t="str">
        <f t="shared" ref="D102:AI102" si="35">IF(COUNTIF(D4:D100,"o")&gt;0,COUNTIF(D4:D100,"o"),"")</f>
        <v/>
      </c>
      <c r="E102" s="234" t="str">
        <f t="shared" si="35"/>
        <v/>
      </c>
      <c r="F102" s="234" t="str">
        <f t="shared" si="35"/>
        <v/>
      </c>
      <c r="G102" s="234" t="str">
        <f t="shared" si="35"/>
        <v/>
      </c>
      <c r="H102" s="234" t="str">
        <f t="shared" si="35"/>
        <v/>
      </c>
      <c r="I102" s="234" t="str">
        <f t="shared" si="35"/>
        <v/>
      </c>
      <c r="J102" s="234" t="str">
        <f t="shared" si="35"/>
        <v/>
      </c>
      <c r="K102" s="242" t="str">
        <f t="shared" si="35"/>
        <v/>
      </c>
      <c r="L102" s="233" t="str">
        <f t="shared" si="35"/>
        <v/>
      </c>
      <c r="M102" s="234" t="str">
        <f t="shared" si="35"/>
        <v/>
      </c>
      <c r="N102" s="234" t="str">
        <f t="shared" si="35"/>
        <v/>
      </c>
      <c r="O102" s="242" t="str">
        <f t="shared" si="35"/>
        <v/>
      </c>
      <c r="P102" s="233" t="str">
        <f t="shared" si="35"/>
        <v/>
      </c>
      <c r="Q102" s="234" t="str">
        <f t="shared" si="35"/>
        <v/>
      </c>
      <c r="R102" s="234" t="str">
        <f t="shared" si="35"/>
        <v/>
      </c>
      <c r="S102" s="234" t="str">
        <f t="shared" si="35"/>
        <v/>
      </c>
      <c r="T102" s="234" t="str">
        <f t="shared" si="35"/>
        <v/>
      </c>
      <c r="U102" s="234" t="str">
        <f t="shared" si="35"/>
        <v/>
      </c>
      <c r="V102" s="234" t="str">
        <f t="shared" si="35"/>
        <v/>
      </c>
      <c r="W102" s="234" t="str">
        <f t="shared" si="35"/>
        <v/>
      </c>
      <c r="X102" s="234" t="str">
        <f t="shared" si="35"/>
        <v/>
      </c>
      <c r="Y102" s="234" t="str">
        <f t="shared" si="35"/>
        <v/>
      </c>
      <c r="Z102" s="234" t="str">
        <f t="shared" si="35"/>
        <v/>
      </c>
      <c r="AA102" s="234" t="str">
        <f t="shared" si="35"/>
        <v/>
      </c>
      <c r="AB102" s="234" t="str">
        <f t="shared" si="35"/>
        <v/>
      </c>
      <c r="AC102" s="234" t="str">
        <f t="shared" si="35"/>
        <v/>
      </c>
      <c r="AD102" s="234" t="str">
        <f t="shared" si="35"/>
        <v/>
      </c>
      <c r="AE102" s="234" t="str">
        <f t="shared" si="35"/>
        <v/>
      </c>
      <c r="AF102" s="234" t="str">
        <f t="shared" si="35"/>
        <v/>
      </c>
      <c r="AG102" s="234" t="str">
        <f t="shared" si="35"/>
        <v/>
      </c>
      <c r="AH102" s="234" t="str">
        <f t="shared" si="35"/>
        <v/>
      </c>
      <c r="AI102" s="242" t="str">
        <f t="shared" si="35"/>
        <v/>
      </c>
      <c r="AJ102" s="233" t="str">
        <f t="shared" ref="AJ102:BO102" si="36">IF(COUNTIF(AJ4:AJ100,"o")&gt;0,COUNTIF(AJ4:AJ100,"o"),"")</f>
        <v/>
      </c>
      <c r="AK102" s="234" t="str">
        <f t="shared" si="36"/>
        <v/>
      </c>
      <c r="AL102" s="242" t="str">
        <f t="shared" si="36"/>
        <v/>
      </c>
      <c r="AM102" s="233" t="str">
        <f t="shared" si="36"/>
        <v/>
      </c>
      <c r="AN102" s="234" t="str">
        <f t="shared" si="36"/>
        <v/>
      </c>
      <c r="AO102" s="242" t="str">
        <f t="shared" si="36"/>
        <v/>
      </c>
      <c r="AP102" s="233" t="str">
        <f t="shared" si="36"/>
        <v/>
      </c>
      <c r="AQ102" s="234" t="str">
        <f t="shared" si="36"/>
        <v/>
      </c>
      <c r="AR102" s="234" t="str">
        <f t="shared" si="36"/>
        <v/>
      </c>
      <c r="AS102" s="234" t="str">
        <f t="shared" si="36"/>
        <v/>
      </c>
      <c r="AT102" s="242" t="str">
        <f t="shared" si="36"/>
        <v/>
      </c>
      <c r="AU102" s="233" t="str">
        <f t="shared" si="36"/>
        <v/>
      </c>
      <c r="AV102" s="234">
        <f t="shared" si="36"/>
        <v>3</v>
      </c>
      <c r="AW102" s="234">
        <f t="shared" si="36"/>
        <v>9</v>
      </c>
      <c r="AX102" s="234" t="str">
        <f t="shared" si="36"/>
        <v/>
      </c>
      <c r="AY102" s="234" t="str">
        <f t="shared" si="36"/>
        <v/>
      </c>
      <c r="AZ102" s="234">
        <f t="shared" si="36"/>
        <v>1</v>
      </c>
      <c r="BA102" s="234">
        <f t="shared" si="36"/>
        <v>2</v>
      </c>
      <c r="BB102" s="242" t="str">
        <f t="shared" si="36"/>
        <v/>
      </c>
      <c r="BC102" s="233">
        <f t="shared" si="36"/>
        <v>20</v>
      </c>
      <c r="BD102" s="234">
        <f t="shared" si="36"/>
        <v>12</v>
      </c>
      <c r="BE102" s="234" t="str">
        <f t="shared" si="36"/>
        <v/>
      </c>
      <c r="BF102" s="234" t="str">
        <f t="shared" si="36"/>
        <v/>
      </c>
      <c r="BG102" s="242" t="str">
        <f t="shared" si="36"/>
        <v/>
      </c>
      <c r="BH102" s="233" t="str">
        <f t="shared" si="36"/>
        <v/>
      </c>
      <c r="BI102" s="234">
        <f t="shared" si="36"/>
        <v>2</v>
      </c>
      <c r="BJ102" s="242" t="str">
        <f t="shared" si="36"/>
        <v/>
      </c>
      <c r="BK102" s="233" t="str">
        <f t="shared" si="36"/>
        <v/>
      </c>
      <c r="BL102" s="234">
        <f t="shared" si="36"/>
        <v>3</v>
      </c>
      <c r="BM102" s="234" t="str">
        <f t="shared" si="36"/>
        <v/>
      </c>
      <c r="BN102" s="242">
        <f t="shared" si="36"/>
        <v>9</v>
      </c>
      <c r="BO102" s="233" t="str">
        <f t="shared" si="36"/>
        <v/>
      </c>
      <c r="BP102" s="234" t="str">
        <f t="shared" ref="BP102:CI102" si="37">IF(COUNTIF(BP4:BP100,"o")&gt;0,COUNTIF(BP4:BP100,"o"),"")</f>
        <v/>
      </c>
      <c r="BQ102" s="234" t="str">
        <f t="shared" si="37"/>
        <v/>
      </c>
      <c r="BR102" s="234" t="str">
        <f t="shared" si="37"/>
        <v/>
      </c>
      <c r="BS102" s="234">
        <f t="shared" si="37"/>
        <v>22</v>
      </c>
      <c r="BT102" s="234">
        <f t="shared" si="37"/>
        <v>1</v>
      </c>
      <c r="BU102" s="234" t="str">
        <f t="shared" si="37"/>
        <v/>
      </c>
      <c r="BV102" s="242" t="str">
        <f t="shared" si="37"/>
        <v/>
      </c>
      <c r="BW102" s="233">
        <f t="shared" si="37"/>
        <v>3</v>
      </c>
      <c r="BX102" s="234" t="str">
        <f t="shared" si="37"/>
        <v/>
      </c>
      <c r="BY102" s="234" t="str">
        <f t="shared" si="37"/>
        <v/>
      </c>
      <c r="BZ102" s="234">
        <f t="shared" si="37"/>
        <v>1</v>
      </c>
      <c r="CA102" s="234" t="str">
        <f t="shared" si="37"/>
        <v/>
      </c>
      <c r="CB102" s="242" t="str">
        <f t="shared" si="37"/>
        <v/>
      </c>
      <c r="CC102" s="233" t="str">
        <f t="shared" si="37"/>
        <v/>
      </c>
      <c r="CD102" s="234" t="str">
        <f t="shared" si="37"/>
        <v/>
      </c>
      <c r="CE102" s="242" t="str">
        <f t="shared" si="37"/>
        <v/>
      </c>
      <c r="CF102" s="233" t="str">
        <f t="shared" si="37"/>
        <v/>
      </c>
      <c r="CG102" s="234" t="str">
        <f t="shared" si="37"/>
        <v/>
      </c>
      <c r="CH102" s="234" t="str">
        <f t="shared" si="37"/>
        <v/>
      </c>
      <c r="CI102" s="235" t="str">
        <f t="shared" si="37"/>
        <v/>
      </c>
    </row>
    <row r="103" spans="2:105" x14ac:dyDescent="0.25">
      <c r="B103" s="435"/>
      <c r="C103" s="299" t="s">
        <v>218</v>
      </c>
      <c r="D103" s="295" t="str">
        <f t="shared" ref="D103:AI103" si="38">IF(COUNTIF(D4:D100,"j")&gt;0,COUNTIF(D4:D100,"j"),"")</f>
        <v/>
      </c>
      <c r="E103" s="237" t="str">
        <f t="shared" si="38"/>
        <v/>
      </c>
      <c r="F103" s="237" t="str">
        <f t="shared" si="38"/>
        <v/>
      </c>
      <c r="G103" s="237" t="str">
        <f t="shared" si="38"/>
        <v/>
      </c>
      <c r="H103" s="237" t="str">
        <f t="shared" si="38"/>
        <v/>
      </c>
      <c r="I103" s="237" t="str">
        <f t="shared" si="38"/>
        <v/>
      </c>
      <c r="J103" s="237" t="str">
        <f t="shared" si="38"/>
        <v/>
      </c>
      <c r="K103" s="243" t="str">
        <f t="shared" si="38"/>
        <v/>
      </c>
      <c r="L103" s="236" t="str">
        <f t="shared" si="38"/>
        <v/>
      </c>
      <c r="M103" s="237" t="str">
        <f t="shared" si="38"/>
        <v/>
      </c>
      <c r="N103" s="237" t="str">
        <f t="shared" si="38"/>
        <v/>
      </c>
      <c r="O103" s="243" t="str">
        <f t="shared" si="38"/>
        <v/>
      </c>
      <c r="P103" s="236" t="str">
        <f t="shared" si="38"/>
        <v/>
      </c>
      <c r="Q103" s="237" t="str">
        <f t="shared" si="38"/>
        <v/>
      </c>
      <c r="R103" s="237" t="str">
        <f t="shared" si="38"/>
        <v/>
      </c>
      <c r="S103" s="237" t="str">
        <f t="shared" si="38"/>
        <v/>
      </c>
      <c r="T103" s="237" t="str">
        <f t="shared" si="38"/>
        <v/>
      </c>
      <c r="U103" s="237" t="str">
        <f t="shared" si="38"/>
        <v/>
      </c>
      <c r="V103" s="237" t="str">
        <f t="shared" si="38"/>
        <v/>
      </c>
      <c r="W103" s="237" t="str">
        <f t="shared" si="38"/>
        <v/>
      </c>
      <c r="X103" s="237" t="str">
        <f t="shared" si="38"/>
        <v/>
      </c>
      <c r="Y103" s="237" t="str">
        <f t="shared" si="38"/>
        <v/>
      </c>
      <c r="Z103" s="237" t="str">
        <f t="shared" si="38"/>
        <v/>
      </c>
      <c r="AA103" s="237" t="str">
        <f t="shared" si="38"/>
        <v/>
      </c>
      <c r="AB103" s="237" t="str">
        <f t="shared" si="38"/>
        <v/>
      </c>
      <c r="AC103" s="237" t="str">
        <f t="shared" si="38"/>
        <v/>
      </c>
      <c r="AD103" s="237" t="str">
        <f t="shared" si="38"/>
        <v/>
      </c>
      <c r="AE103" s="237" t="str">
        <f t="shared" si="38"/>
        <v/>
      </c>
      <c r="AF103" s="237" t="str">
        <f t="shared" si="38"/>
        <v/>
      </c>
      <c r="AG103" s="237" t="str">
        <f t="shared" si="38"/>
        <v/>
      </c>
      <c r="AH103" s="237" t="str">
        <f t="shared" si="38"/>
        <v/>
      </c>
      <c r="AI103" s="243" t="str">
        <f t="shared" si="38"/>
        <v/>
      </c>
      <c r="AJ103" s="236" t="str">
        <f t="shared" ref="AJ103:BO103" si="39">IF(COUNTIF(AJ4:AJ100,"j")&gt;0,COUNTIF(AJ4:AJ100,"j"),"")</f>
        <v/>
      </c>
      <c r="AK103" s="237" t="str">
        <f t="shared" si="39"/>
        <v/>
      </c>
      <c r="AL103" s="243" t="str">
        <f t="shared" si="39"/>
        <v/>
      </c>
      <c r="AM103" s="236" t="str">
        <f t="shared" si="39"/>
        <v/>
      </c>
      <c r="AN103" s="237" t="str">
        <f t="shared" si="39"/>
        <v/>
      </c>
      <c r="AO103" s="243" t="str">
        <f t="shared" si="39"/>
        <v/>
      </c>
      <c r="AP103" s="236" t="str">
        <f t="shared" si="39"/>
        <v/>
      </c>
      <c r="AQ103" s="237" t="str">
        <f t="shared" si="39"/>
        <v/>
      </c>
      <c r="AR103" s="237" t="str">
        <f t="shared" si="39"/>
        <v/>
      </c>
      <c r="AS103" s="237" t="str">
        <f t="shared" si="39"/>
        <v/>
      </c>
      <c r="AT103" s="243" t="str">
        <f t="shared" si="39"/>
        <v/>
      </c>
      <c r="AU103" s="236">
        <f t="shared" si="39"/>
        <v>12</v>
      </c>
      <c r="AV103" s="237">
        <f t="shared" si="39"/>
        <v>9</v>
      </c>
      <c r="AW103" s="237">
        <f t="shared" si="39"/>
        <v>15</v>
      </c>
      <c r="AX103" s="237">
        <f t="shared" si="39"/>
        <v>7</v>
      </c>
      <c r="AY103" s="237">
        <f t="shared" si="39"/>
        <v>14</v>
      </c>
      <c r="AZ103" s="237">
        <f t="shared" si="39"/>
        <v>7</v>
      </c>
      <c r="BA103" s="237">
        <f t="shared" si="39"/>
        <v>5</v>
      </c>
      <c r="BB103" s="243">
        <f t="shared" si="39"/>
        <v>14</v>
      </c>
      <c r="BC103" s="236">
        <f t="shared" si="39"/>
        <v>18</v>
      </c>
      <c r="BD103" s="237">
        <f t="shared" si="39"/>
        <v>22</v>
      </c>
      <c r="BE103" s="237" t="str">
        <f t="shared" si="39"/>
        <v/>
      </c>
      <c r="BF103" s="237">
        <f t="shared" si="39"/>
        <v>17</v>
      </c>
      <c r="BG103" s="243" t="str">
        <f t="shared" si="39"/>
        <v/>
      </c>
      <c r="BH103" s="236" t="str">
        <f t="shared" si="39"/>
        <v/>
      </c>
      <c r="BI103" s="237">
        <f t="shared" si="39"/>
        <v>6</v>
      </c>
      <c r="BJ103" s="243" t="str">
        <f t="shared" si="39"/>
        <v/>
      </c>
      <c r="BK103" s="236">
        <f t="shared" si="39"/>
        <v>14</v>
      </c>
      <c r="BL103" s="237">
        <f t="shared" si="39"/>
        <v>6</v>
      </c>
      <c r="BM103" s="237" t="str">
        <f t="shared" si="39"/>
        <v/>
      </c>
      <c r="BN103" s="243">
        <f t="shared" si="39"/>
        <v>8</v>
      </c>
      <c r="BO103" s="236">
        <f t="shared" si="39"/>
        <v>13</v>
      </c>
      <c r="BP103" s="237">
        <f t="shared" ref="BP103:CI103" si="40">IF(COUNTIF(BP4:BP100,"j")&gt;0,COUNTIF(BP4:BP100,"j"),"")</f>
        <v>3</v>
      </c>
      <c r="BQ103" s="237">
        <f t="shared" si="40"/>
        <v>9</v>
      </c>
      <c r="BR103" s="237" t="str">
        <f t="shared" si="40"/>
        <v/>
      </c>
      <c r="BS103" s="237">
        <f t="shared" si="40"/>
        <v>15</v>
      </c>
      <c r="BT103" s="237">
        <f t="shared" si="40"/>
        <v>8</v>
      </c>
      <c r="BU103" s="237">
        <f t="shared" si="40"/>
        <v>2</v>
      </c>
      <c r="BV103" s="243" t="str">
        <f t="shared" si="40"/>
        <v/>
      </c>
      <c r="BW103" s="236">
        <f t="shared" si="40"/>
        <v>9</v>
      </c>
      <c r="BX103" s="237">
        <f t="shared" si="40"/>
        <v>3</v>
      </c>
      <c r="BY103" s="237">
        <f t="shared" si="40"/>
        <v>12</v>
      </c>
      <c r="BZ103" s="237">
        <f t="shared" si="40"/>
        <v>7</v>
      </c>
      <c r="CA103" s="237">
        <f t="shared" si="40"/>
        <v>18</v>
      </c>
      <c r="CB103" s="243">
        <f t="shared" si="40"/>
        <v>15</v>
      </c>
      <c r="CC103" s="236">
        <f t="shared" si="40"/>
        <v>8</v>
      </c>
      <c r="CD103" s="237">
        <f t="shared" si="40"/>
        <v>18</v>
      </c>
      <c r="CE103" s="243" t="str">
        <f t="shared" si="40"/>
        <v/>
      </c>
      <c r="CF103" s="236" t="str">
        <f t="shared" si="40"/>
        <v/>
      </c>
      <c r="CG103" s="237" t="str">
        <f t="shared" si="40"/>
        <v/>
      </c>
      <c r="CH103" s="237" t="str">
        <f t="shared" si="40"/>
        <v/>
      </c>
      <c r="CI103" s="238" t="str">
        <f t="shared" si="40"/>
        <v/>
      </c>
    </row>
    <row r="104" spans="2:105" x14ac:dyDescent="0.25">
      <c r="B104" s="435"/>
      <c r="C104" s="300" t="s">
        <v>219</v>
      </c>
      <c r="D104" s="295" t="str">
        <f t="shared" ref="D104:AI104" si="41">IF(COUNTIF(D4:D100,"m")&gt;0,COUNTIF(D4:D100,"m"),"")</f>
        <v/>
      </c>
      <c r="E104" s="237" t="str">
        <f t="shared" si="41"/>
        <v/>
      </c>
      <c r="F104" s="237" t="str">
        <f t="shared" si="41"/>
        <v/>
      </c>
      <c r="G104" s="237" t="str">
        <f t="shared" si="41"/>
        <v/>
      </c>
      <c r="H104" s="237" t="str">
        <f t="shared" si="41"/>
        <v/>
      </c>
      <c r="I104" s="237" t="str">
        <f t="shared" si="41"/>
        <v/>
      </c>
      <c r="J104" s="237" t="str">
        <f t="shared" si="41"/>
        <v/>
      </c>
      <c r="K104" s="243" t="str">
        <f t="shared" si="41"/>
        <v/>
      </c>
      <c r="L104" s="236" t="str">
        <f t="shared" si="41"/>
        <v/>
      </c>
      <c r="M104" s="237" t="str">
        <f t="shared" si="41"/>
        <v/>
      </c>
      <c r="N104" s="237" t="str">
        <f t="shared" si="41"/>
        <v/>
      </c>
      <c r="O104" s="243" t="str">
        <f t="shared" si="41"/>
        <v/>
      </c>
      <c r="P104" s="236" t="str">
        <f t="shared" si="41"/>
        <v/>
      </c>
      <c r="Q104" s="237" t="str">
        <f t="shared" si="41"/>
        <v/>
      </c>
      <c r="R104" s="237" t="str">
        <f t="shared" si="41"/>
        <v/>
      </c>
      <c r="S104" s="237" t="str">
        <f t="shared" si="41"/>
        <v/>
      </c>
      <c r="T104" s="237" t="str">
        <f t="shared" si="41"/>
        <v/>
      </c>
      <c r="U104" s="237" t="str">
        <f t="shared" si="41"/>
        <v/>
      </c>
      <c r="V104" s="237" t="str">
        <f t="shared" si="41"/>
        <v/>
      </c>
      <c r="W104" s="237" t="str">
        <f t="shared" si="41"/>
        <v/>
      </c>
      <c r="X104" s="237" t="str">
        <f t="shared" si="41"/>
        <v/>
      </c>
      <c r="Y104" s="237" t="str">
        <f t="shared" si="41"/>
        <v/>
      </c>
      <c r="Z104" s="237" t="str">
        <f t="shared" si="41"/>
        <v/>
      </c>
      <c r="AA104" s="237" t="str">
        <f t="shared" si="41"/>
        <v/>
      </c>
      <c r="AB104" s="237" t="str">
        <f t="shared" si="41"/>
        <v/>
      </c>
      <c r="AC104" s="237" t="str">
        <f t="shared" si="41"/>
        <v/>
      </c>
      <c r="AD104" s="237" t="str">
        <f t="shared" si="41"/>
        <v/>
      </c>
      <c r="AE104" s="237" t="str">
        <f t="shared" si="41"/>
        <v/>
      </c>
      <c r="AF104" s="237" t="str">
        <f t="shared" si="41"/>
        <v/>
      </c>
      <c r="AG104" s="237" t="str">
        <f t="shared" si="41"/>
        <v/>
      </c>
      <c r="AH104" s="237" t="str">
        <f t="shared" si="41"/>
        <v/>
      </c>
      <c r="AI104" s="243" t="str">
        <f t="shared" si="41"/>
        <v/>
      </c>
      <c r="AJ104" s="236" t="str">
        <f t="shared" ref="AJ104:BO104" si="42">IF(COUNTIF(AJ4:AJ100,"m")&gt;0,COUNTIF(AJ4:AJ100,"m"),"")</f>
        <v/>
      </c>
      <c r="AK104" s="237" t="str">
        <f t="shared" si="42"/>
        <v/>
      </c>
      <c r="AL104" s="243" t="str">
        <f t="shared" si="42"/>
        <v/>
      </c>
      <c r="AM104" s="236" t="str">
        <f t="shared" si="42"/>
        <v/>
      </c>
      <c r="AN104" s="237" t="str">
        <f t="shared" si="42"/>
        <v/>
      </c>
      <c r="AO104" s="243" t="str">
        <f t="shared" si="42"/>
        <v/>
      </c>
      <c r="AP104" s="236" t="str">
        <f t="shared" si="42"/>
        <v/>
      </c>
      <c r="AQ104" s="237" t="str">
        <f t="shared" si="42"/>
        <v/>
      </c>
      <c r="AR104" s="237" t="str">
        <f t="shared" si="42"/>
        <v/>
      </c>
      <c r="AS104" s="237" t="str">
        <f t="shared" si="42"/>
        <v/>
      </c>
      <c r="AT104" s="243" t="str">
        <f t="shared" si="42"/>
        <v/>
      </c>
      <c r="AU104" s="236">
        <f t="shared" si="42"/>
        <v>28</v>
      </c>
      <c r="AV104" s="237">
        <f t="shared" si="42"/>
        <v>27</v>
      </c>
      <c r="AW104" s="237">
        <f t="shared" si="42"/>
        <v>14</v>
      </c>
      <c r="AX104" s="237">
        <f t="shared" si="42"/>
        <v>15</v>
      </c>
      <c r="AY104" s="237">
        <f t="shared" si="42"/>
        <v>22</v>
      </c>
      <c r="AZ104" s="237">
        <f t="shared" si="42"/>
        <v>6</v>
      </c>
      <c r="BA104" s="237">
        <f t="shared" si="42"/>
        <v>7</v>
      </c>
      <c r="BB104" s="243">
        <f t="shared" si="42"/>
        <v>24</v>
      </c>
      <c r="BC104" s="236">
        <f t="shared" si="42"/>
        <v>13</v>
      </c>
      <c r="BD104" s="237">
        <f t="shared" si="42"/>
        <v>22</v>
      </c>
      <c r="BE104" s="237" t="str">
        <f t="shared" si="42"/>
        <v/>
      </c>
      <c r="BF104" s="237">
        <f t="shared" si="42"/>
        <v>6</v>
      </c>
      <c r="BG104" s="243" t="str">
        <f t="shared" si="42"/>
        <v/>
      </c>
      <c r="BH104" s="236" t="str">
        <f t="shared" si="42"/>
        <v/>
      </c>
      <c r="BI104" s="237">
        <f t="shared" si="42"/>
        <v>16</v>
      </c>
      <c r="BJ104" s="243" t="str">
        <f t="shared" si="42"/>
        <v/>
      </c>
      <c r="BK104" s="236">
        <f t="shared" si="42"/>
        <v>13</v>
      </c>
      <c r="BL104" s="237">
        <f t="shared" si="42"/>
        <v>17</v>
      </c>
      <c r="BM104" s="237" t="str">
        <f t="shared" si="42"/>
        <v/>
      </c>
      <c r="BN104" s="243">
        <f t="shared" si="42"/>
        <v>8</v>
      </c>
      <c r="BO104" s="236">
        <f t="shared" si="42"/>
        <v>23</v>
      </c>
      <c r="BP104" s="237">
        <f t="shared" ref="BP104:CI104" si="43">IF(COUNTIF(BP4:BP100,"m")&gt;0,COUNTIF(BP4:BP100,"m"),"")</f>
        <v>14</v>
      </c>
      <c r="BQ104" s="237">
        <f t="shared" si="43"/>
        <v>17</v>
      </c>
      <c r="BR104" s="237" t="str">
        <f t="shared" si="43"/>
        <v/>
      </c>
      <c r="BS104" s="237">
        <f t="shared" si="43"/>
        <v>2</v>
      </c>
      <c r="BT104" s="237">
        <f t="shared" si="43"/>
        <v>15</v>
      </c>
      <c r="BU104" s="237">
        <f t="shared" si="43"/>
        <v>20</v>
      </c>
      <c r="BV104" s="243" t="str">
        <f t="shared" si="43"/>
        <v/>
      </c>
      <c r="BW104" s="236">
        <f t="shared" si="43"/>
        <v>30</v>
      </c>
      <c r="BX104" s="237">
        <f t="shared" si="43"/>
        <v>21</v>
      </c>
      <c r="BY104" s="237">
        <f t="shared" si="43"/>
        <v>7</v>
      </c>
      <c r="BZ104" s="237">
        <f t="shared" si="43"/>
        <v>16</v>
      </c>
      <c r="CA104" s="237">
        <f t="shared" si="43"/>
        <v>4</v>
      </c>
      <c r="CB104" s="243">
        <f t="shared" si="43"/>
        <v>8</v>
      </c>
      <c r="CC104" s="236">
        <f t="shared" si="43"/>
        <v>4</v>
      </c>
      <c r="CD104" s="237">
        <f t="shared" si="43"/>
        <v>18</v>
      </c>
      <c r="CE104" s="243" t="str">
        <f t="shared" si="43"/>
        <v/>
      </c>
      <c r="CF104" s="236" t="str">
        <f t="shared" si="43"/>
        <v/>
      </c>
      <c r="CG104" s="237" t="str">
        <f t="shared" si="43"/>
        <v/>
      </c>
      <c r="CH104" s="237" t="str">
        <f t="shared" si="43"/>
        <v/>
      </c>
      <c r="CI104" s="238" t="str">
        <f t="shared" si="43"/>
        <v/>
      </c>
    </row>
    <row r="105" spans="2:105" x14ac:dyDescent="0.25">
      <c r="B105" s="435"/>
      <c r="C105" s="301" t="s">
        <v>220</v>
      </c>
      <c r="D105" s="295" t="str">
        <f t="shared" ref="D105:AI105" si="44">IF(COUNTIF(D4:D100,"s")&gt;0,COUNTIF(D4:D100,"s"),"")</f>
        <v/>
      </c>
      <c r="E105" s="237" t="str">
        <f t="shared" si="44"/>
        <v/>
      </c>
      <c r="F105" s="237" t="str">
        <f t="shared" si="44"/>
        <v/>
      </c>
      <c r="G105" s="237" t="str">
        <f t="shared" si="44"/>
        <v/>
      </c>
      <c r="H105" s="237" t="str">
        <f t="shared" si="44"/>
        <v/>
      </c>
      <c r="I105" s="237" t="str">
        <f t="shared" si="44"/>
        <v/>
      </c>
      <c r="J105" s="237" t="str">
        <f t="shared" si="44"/>
        <v/>
      </c>
      <c r="K105" s="243" t="str">
        <f t="shared" si="44"/>
        <v/>
      </c>
      <c r="L105" s="236" t="str">
        <f t="shared" si="44"/>
        <v/>
      </c>
      <c r="M105" s="237" t="str">
        <f t="shared" si="44"/>
        <v/>
      </c>
      <c r="N105" s="237" t="str">
        <f t="shared" si="44"/>
        <v/>
      </c>
      <c r="O105" s="243" t="str">
        <f t="shared" si="44"/>
        <v/>
      </c>
      <c r="P105" s="236" t="str">
        <f t="shared" si="44"/>
        <v/>
      </c>
      <c r="Q105" s="237" t="str">
        <f t="shared" si="44"/>
        <v/>
      </c>
      <c r="R105" s="237" t="str">
        <f t="shared" si="44"/>
        <v/>
      </c>
      <c r="S105" s="237" t="str">
        <f t="shared" si="44"/>
        <v/>
      </c>
      <c r="T105" s="237" t="str">
        <f t="shared" si="44"/>
        <v/>
      </c>
      <c r="U105" s="237" t="str">
        <f t="shared" si="44"/>
        <v/>
      </c>
      <c r="V105" s="237" t="str">
        <f t="shared" si="44"/>
        <v/>
      </c>
      <c r="W105" s="237" t="str">
        <f t="shared" si="44"/>
        <v/>
      </c>
      <c r="X105" s="237" t="str">
        <f t="shared" si="44"/>
        <v/>
      </c>
      <c r="Y105" s="237" t="str">
        <f t="shared" si="44"/>
        <v/>
      </c>
      <c r="Z105" s="237" t="str">
        <f t="shared" si="44"/>
        <v/>
      </c>
      <c r="AA105" s="237" t="str">
        <f t="shared" si="44"/>
        <v/>
      </c>
      <c r="AB105" s="237" t="str">
        <f t="shared" si="44"/>
        <v/>
      </c>
      <c r="AC105" s="237" t="str">
        <f t="shared" si="44"/>
        <v/>
      </c>
      <c r="AD105" s="237" t="str">
        <f t="shared" si="44"/>
        <v/>
      </c>
      <c r="AE105" s="237" t="str">
        <f t="shared" si="44"/>
        <v/>
      </c>
      <c r="AF105" s="237" t="str">
        <f t="shared" si="44"/>
        <v/>
      </c>
      <c r="AG105" s="237" t="str">
        <f t="shared" si="44"/>
        <v/>
      </c>
      <c r="AH105" s="237" t="str">
        <f t="shared" si="44"/>
        <v/>
      </c>
      <c r="AI105" s="243" t="str">
        <f t="shared" si="44"/>
        <v/>
      </c>
      <c r="AJ105" s="236" t="str">
        <f t="shared" ref="AJ105:BO105" si="45">IF(COUNTIF(AJ4:AJ100,"s")&gt;0,COUNTIF(AJ4:AJ100,"s"),"")</f>
        <v/>
      </c>
      <c r="AK105" s="237" t="str">
        <f t="shared" si="45"/>
        <v/>
      </c>
      <c r="AL105" s="243" t="str">
        <f t="shared" si="45"/>
        <v/>
      </c>
      <c r="AM105" s="236" t="str">
        <f t="shared" si="45"/>
        <v/>
      </c>
      <c r="AN105" s="237" t="str">
        <f t="shared" si="45"/>
        <v/>
      </c>
      <c r="AO105" s="243" t="str">
        <f t="shared" si="45"/>
        <v/>
      </c>
      <c r="AP105" s="236" t="str">
        <f t="shared" si="45"/>
        <v/>
      </c>
      <c r="AQ105" s="237" t="str">
        <f t="shared" si="45"/>
        <v/>
      </c>
      <c r="AR105" s="237" t="str">
        <f t="shared" si="45"/>
        <v/>
      </c>
      <c r="AS105" s="237" t="str">
        <f t="shared" si="45"/>
        <v/>
      </c>
      <c r="AT105" s="243" t="str">
        <f t="shared" si="45"/>
        <v/>
      </c>
      <c r="AU105" s="236">
        <f t="shared" si="45"/>
        <v>16</v>
      </c>
      <c r="AV105" s="237">
        <f t="shared" si="45"/>
        <v>19</v>
      </c>
      <c r="AW105" s="237">
        <f t="shared" si="45"/>
        <v>27</v>
      </c>
      <c r="AX105" s="237">
        <f t="shared" si="45"/>
        <v>38</v>
      </c>
      <c r="AY105" s="237">
        <f t="shared" si="45"/>
        <v>25</v>
      </c>
      <c r="AZ105" s="237">
        <f t="shared" si="45"/>
        <v>11</v>
      </c>
      <c r="BA105" s="237">
        <f t="shared" si="45"/>
        <v>13</v>
      </c>
      <c r="BB105" s="243">
        <f t="shared" si="45"/>
        <v>19</v>
      </c>
      <c r="BC105" s="236">
        <f t="shared" si="45"/>
        <v>11</v>
      </c>
      <c r="BD105" s="237">
        <f t="shared" si="45"/>
        <v>4</v>
      </c>
      <c r="BE105" s="237" t="str">
        <f t="shared" si="45"/>
        <v/>
      </c>
      <c r="BF105" s="237">
        <f t="shared" si="45"/>
        <v>15</v>
      </c>
      <c r="BG105" s="243" t="str">
        <f t="shared" si="45"/>
        <v/>
      </c>
      <c r="BH105" s="236" t="str">
        <f t="shared" si="45"/>
        <v/>
      </c>
      <c r="BI105" s="237">
        <f t="shared" si="45"/>
        <v>2</v>
      </c>
      <c r="BJ105" s="243" t="str">
        <f t="shared" si="45"/>
        <v/>
      </c>
      <c r="BK105" s="236">
        <f t="shared" si="45"/>
        <v>2</v>
      </c>
      <c r="BL105" s="237">
        <f t="shared" si="45"/>
        <v>9</v>
      </c>
      <c r="BM105" s="237" t="str">
        <f t="shared" si="45"/>
        <v/>
      </c>
      <c r="BN105" s="243">
        <f t="shared" si="45"/>
        <v>5</v>
      </c>
      <c r="BO105" s="236">
        <f t="shared" si="45"/>
        <v>9</v>
      </c>
      <c r="BP105" s="237">
        <f t="shared" ref="BP105:CI105" si="46">IF(COUNTIF(BP4:BP100,"s")&gt;0,COUNTIF(BP4:BP100,"s"),"")</f>
        <v>22</v>
      </c>
      <c r="BQ105" s="237">
        <f t="shared" si="46"/>
        <v>10</v>
      </c>
      <c r="BR105" s="237" t="str">
        <f t="shared" si="46"/>
        <v/>
      </c>
      <c r="BS105" s="237" t="str">
        <f t="shared" si="46"/>
        <v/>
      </c>
      <c r="BT105" s="237">
        <f t="shared" si="46"/>
        <v>12</v>
      </c>
      <c r="BU105" s="237">
        <f t="shared" si="46"/>
        <v>42</v>
      </c>
      <c r="BV105" s="243" t="str">
        <f t="shared" si="46"/>
        <v/>
      </c>
      <c r="BW105" s="236">
        <f t="shared" si="46"/>
        <v>16</v>
      </c>
      <c r="BX105" s="237">
        <f t="shared" si="46"/>
        <v>4</v>
      </c>
      <c r="BY105" s="237">
        <f t="shared" si="46"/>
        <v>22</v>
      </c>
      <c r="BZ105" s="237">
        <f t="shared" si="46"/>
        <v>27</v>
      </c>
      <c r="CA105" s="237">
        <f t="shared" si="46"/>
        <v>25</v>
      </c>
      <c r="CB105" s="243">
        <f t="shared" si="46"/>
        <v>22</v>
      </c>
      <c r="CC105" s="236">
        <f t="shared" si="46"/>
        <v>3</v>
      </c>
      <c r="CD105" s="237">
        <f t="shared" si="46"/>
        <v>9</v>
      </c>
      <c r="CE105" s="243" t="str">
        <f t="shared" si="46"/>
        <v/>
      </c>
      <c r="CF105" s="236" t="str">
        <f t="shared" si="46"/>
        <v/>
      </c>
      <c r="CG105" s="237" t="str">
        <f t="shared" si="46"/>
        <v/>
      </c>
      <c r="CH105" s="237" t="str">
        <f t="shared" si="46"/>
        <v/>
      </c>
      <c r="CI105" s="238" t="str">
        <f t="shared" si="46"/>
        <v/>
      </c>
    </row>
    <row r="106" spans="2:105" ht="15.75" thickBot="1" x14ac:dyDescent="0.3">
      <c r="B106" s="435"/>
      <c r="C106" s="302" t="s">
        <v>221</v>
      </c>
      <c r="D106" s="296" t="str">
        <f t="shared" ref="D106:AI106" si="47">IF(COUNTIF(D4:D100,"e")&gt;0,COUNTIF(D4:D100,"e"),"")</f>
        <v/>
      </c>
      <c r="E106" s="240" t="str">
        <f t="shared" si="47"/>
        <v/>
      </c>
      <c r="F106" s="240" t="str">
        <f t="shared" si="47"/>
        <v/>
      </c>
      <c r="G106" s="240" t="str">
        <f t="shared" si="47"/>
        <v/>
      </c>
      <c r="H106" s="240" t="str">
        <f t="shared" si="47"/>
        <v/>
      </c>
      <c r="I106" s="240" t="str">
        <f t="shared" si="47"/>
        <v/>
      </c>
      <c r="J106" s="240" t="str">
        <f t="shared" si="47"/>
        <v/>
      </c>
      <c r="K106" s="250" t="str">
        <f t="shared" si="47"/>
        <v/>
      </c>
      <c r="L106" s="239" t="str">
        <f t="shared" si="47"/>
        <v/>
      </c>
      <c r="M106" s="240" t="str">
        <f t="shared" si="47"/>
        <v/>
      </c>
      <c r="N106" s="240" t="str">
        <f t="shared" si="47"/>
        <v/>
      </c>
      <c r="O106" s="250" t="str">
        <f t="shared" si="47"/>
        <v/>
      </c>
      <c r="P106" s="239" t="str">
        <f t="shared" si="47"/>
        <v/>
      </c>
      <c r="Q106" s="240" t="str">
        <f t="shared" si="47"/>
        <v/>
      </c>
      <c r="R106" s="240" t="str">
        <f t="shared" si="47"/>
        <v/>
      </c>
      <c r="S106" s="240" t="str">
        <f t="shared" si="47"/>
        <v/>
      </c>
      <c r="T106" s="240" t="str">
        <f t="shared" si="47"/>
        <v/>
      </c>
      <c r="U106" s="240" t="str">
        <f t="shared" si="47"/>
        <v/>
      </c>
      <c r="V106" s="240" t="str">
        <f t="shared" si="47"/>
        <v/>
      </c>
      <c r="W106" s="240" t="str">
        <f t="shared" si="47"/>
        <v/>
      </c>
      <c r="X106" s="240" t="str">
        <f t="shared" si="47"/>
        <v/>
      </c>
      <c r="Y106" s="240" t="str">
        <f t="shared" si="47"/>
        <v/>
      </c>
      <c r="Z106" s="240" t="str">
        <f t="shared" si="47"/>
        <v/>
      </c>
      <c r="AA106" s="240" t="str">
        <f t="shared" si="47"/>
        <v/>
      </c>
      <c r="AB106" s="240" t="str">
        <f t="shared" si="47"/>
        <v/>
      </c>
      <c r="AC106" s="240" t="str">
        <f t="shared" si="47"/>
        <v/>
      </c>
      <c r="AD106" s="240" t="str">
        <f t="shared" si="47"/>
        <v/>
      </c>
      <c r="AE106" s="240" t="str">
        <f t="shared" si="47"/>
        <v/>
      </c>
      <c r="AF106" s="240" t="str">
        <f t="shared" si="47"/>
        <v/>
      </c>
      <c r="AG106" s="240" t="str">
        <f t="shared" si="47"/>
        <v/>
      </c>
      <c r="AH106" s="240" t="str">
        <f t="shared" si="47"/>
        <v/>
      </c>
      <c r="AI106" s="250" t="str">
        <f t="shared" si="47"/>
        <v/>
      </c>
      <c r="AJ106" s="239" t="str">
        <f t="shared" ref="AJ106:BO106" si="48">IF(COUNTIF(AJ4:AJ100,"e")&gt;0,COUNTIF(AJ4:AJ100,"e"),"")</f>
        <v/>
      </c>
      <c r="AK106" s="240" t="str">
        <f t="shared" si="48"/>
        <v/>
      </c>
      <c r="AL106" s="250" t="str">
        <f t="shared" si="48"/>
        <v/>
      </c>
      <c r="AM106" s="239" t="str">
        <f t="shared" si="48"/>
        <v/>
      </c>
      <c r="AN106" s="240" t="str">
        <f t="shared" si="48"/>
        <v/>
      </c>
      <c r="AO106" s="250" t="str">
        <f t="shared" si="48"/>
        <v/>
      </c>
      <c r="AP106" s="239" t="str">
        <f t="shared" si="48"/>
        <v/>
      </c>
      <c r="AQ106" s="240" t="str">
        <f t="shared" si="48"/>
        <v/>
      </c>
      <c r="AR106" s="240" t="str">
        <f t="shared" si="48"/>
        <v/>
      </c>
      <c r="AS106" s="240" t="str">
        <f t="shared" si="48"/>
        <v/>
      </c>
      <c r="AT106" s="250" t="str">
        <f t="shared" si="48"/>
        <v/>
      </c>
      <c r="AU106" s="239">
        <f t="shared" si="48"/>
        <v>6</v>
      </c>
      <c r="AV106" s="240">
        <f t="shared" si="48"/>
        <v>7</v>
      </c>
      <c r="AW106" s="240" t="str">
        <f t="shared" si="48"/>
        <v/>
      </c>
      <c r="AX106" s="240">
        <f t="shared" si="48"/>
        <v>5</v>
      </c>
      <c r="AY106" s="240">
        <f t="shared" si="48"/>
        <v>4</v>
      </c>
      <c r="AZ106" s="240">
        <f t="shared" si="48"/>
        <v>2</v>
      </c>
      <c r="BA106" s="240">
        <f t="shared" si="48"/>
        <v>2</v>
      </c>
      <c r="BB106" s="250">
        <f t="shared" si="48"/>
        <v>2</v>
      </c>
      <c r="BC106" s="239">
        <f t="shared" si="48"/>
        <v>3</v>
      </c>
      <c r="BD106" s="240" t="str">
        <f t="shared" si="48"/>
        <v/>
      </c>
      <c r="BE106" s="240" t="str">
        <f t="shared" si="48"/>
        <v/>
      </c>
      <c r="BF106" s="240">
        <f t="shared" si="48"/>
        <v>2</v>
      </c>
      <c r="BG106" s="250" t="str">
        <f t="shared" si="48"/>
        <v/>
      </c>
      <c r="BH106" s="239" t="str">
        <f t="shared" si="48"/>
        <v/>
      </c>
      <c r="BI106" s="240">
        <f t="shared" si="48"/>
        <v>1</v>
      </c>
      <c r="BJ106" s="250" t="str">
        <f t="shared" si="48"/>
        <v/>
      </c>
      <c r="BK106" s="239">
        <f t="shared" si="48"/>
        <v>1</v>
      </c>
      <c r="BL106" s="240" t="str">
        <f t="shared" si="48"/>
        <v/>
      </c>
      <c r="BM106" s="240" t="str">
        <f t="shared" si="48"/>
        <v/>
      </c>
      <c r="BN106" s="250">
        <f t="shared" si="48"/>
        <v>1</v>
      </c>
      <c r="BO106" s="239" t="str">
        <f t="shared" si="48"/>
        <v/>
      </c>
      <c r="BP106" s="240">
        <f t="shared" ref="BP106:CI106" si="49">IF(COUNTIF(BP4:BP100,"e")&gt;0,COUNTIF(BP4:BP100,"e"),"")</f>
        <v>4</v>
      </c>
      <c r="BQ106" s="240" t="str">
        <f t="shared" si="49"/>
        <v/>
      </c>
      <c r="BR106" s="240" t="str">
        <f t="shared" si="49"/>
        <v/>
      </c>
      <c r="BS106" s="240" t="str">
        <f t="shared" si="49"/>
        <v/>
      </c>
      <c r="BT106" s="240">
        <f t="shared" si="49"/>
        <v>2</v>
      </c>
      <c r="BU106" s="240">
        <f t="shared" si="49"/>
        <v>1</v>
      </c>
      <c r="BV106" s="250" t="str">
        <f t="shared" si="49"/>
        <v/>
      </c>
      <c r="BW106" s="239">
        <f t="shared" si="49"/>
        <v>5</v>
      </c>
      <c r="BX106" s="240" t="str">
        <f t="shared" si="49"/>
        <v/>
      </c>
      <c r="BY106" s="240">
        <f t="shared" si="49"/>
        <v>7</v>
      </c>
      <c r="BZ106" s="240">
        <f t="shared" si="49"/>
        <v>5</v>
      </c>
      <c r="CA106" s="240">
        <f t="shared" si="49"/>
        <v>13</v>
      </c>
      <c r="CB106" s="250">
        <f t="shared" si="49"/>
        <v>9</v>
      </c>
      <c r="CC106" s="239" t="str">
        <f t="shared" si="49"/>
        <v/>
      </c>
      <c r="CD106" s="240">
        <f t="shared" si="49"/>
        <v>2</v>
      </c>
      <c r="CE106" s="250" t="str">
        <f t="shared" si="49"/>
        <v/>
      </c>
      <c r="CF106" s="239" t="str">
        <f t="shared" si="49"/>
        <v/>
      </c>
      <c r="CG106" s="240" t="str">
        <f t="shared" si="49"/>
        <v/>
      </c>
      <c r="CH106" s="240" t="str">
        <f t="shared" si="49"/>
        <v/>
      </c>
      <c r="CI106" s="241" t="str">
        <f t="shared" si="49"/>
        <v/>
      </c>
    </row>
    <row r="107" spans="2:105" ht="12.75" customHeight="1" thickTop="1" thickBot="1" x14ac:dyDescent="0.3">
      <c r="B107" s="437"/>
      <c r="C107" s="248"/>
    </row>
    <row r="108" spans="2:105" ht="16.5" thickTop="1" thickBot="1" x14ac:dyDescent="0.3"/>
    <row r="109" spans="2:105" ht="16.5" thickTop="1" thickBot="1" x14ac:dyDescent="0.3">
      <c r="C109" s="297" t="s">
        <v>222</v>
      </c>
      <c r="D109" s="232">
        <f t="shared" ref="D109:AI109" si="50">SUM(D102:D106)</f>
        <v>0</v>
      </c>
      <c r="E109" s="246">
        <f t="shared" si="50"/>
        <v>0</v>
      </c>
      <c r="F109" s="246">
        <f t="shared" si="50"/>
        <v>0</v>
      </c>
      <c r="G109" s="246">
        <f t="shared" si="50"/>
        <v>0</v>
      </c>
      <c r="H109" s="246">
        <f t="shared" si="50"/>
        <v>0</v>
      </c>
      <c r="I109" s="246">
        <f t="shared" si="50"/>
        <v>0</v>
      </c>
      <c r="J109" s="246">
        <f t="shared" si="50"/>
        <v>0</v>
      </c>
      <c r="K109" s="244">
        <f t="shared" si="50"/>
        <v>0</v>
      </c>
      <c r="L109" s="245">
        <f t="shared" si="50"/>
        <v>0</v>
      </c>
      <c r="M109" s="246">
        <f t="shared" si="50"/>
        <v>0</v>
      </c>
      <c r="N109" s="246">
        <f t="shared" si="50"/>
        <v>0</v>
      </c>
      <c r="O109" s="244">
        <f t="shared" si="50"/>
        <v>0</v>
      </c>
      <c r="P109" s="245">
        <f t="shared" si="50"/>
        <v>0</v>
      </c>
      <c r="Q109" s="246">
        <f t="shared" si="50"/>
        <v>0</v>
      </c>
      <c r="R109" s="246">
        <f t="shared" si="50"/>
        <v>0</v>
      </c>
      <c r="S109" s="246">
        <f t="shared" si="50"/>
        <v>0</v>
      </c>
      <c r="T109" s="246">
        <f t="shared" si="50"/>
        <v>0</v>
      </c>
      <c r="U109" s="246">
        <f t="shared" si="50"/>
        <v>0</v>
      </c>
      <c r="V109" s="246">
        <f t="shared" si="50"/>
        <v>0</v>
      </c>
      <c r="W109" s="246">
        <f t="shared" si="50"/>
        <v>0</v>
      </c>
      <c r="X109" s="246">
        <f t="shared" si="50"/>
        <v>0</v>
      </c>
      <c r="Y109" s="246">
        <f t="shared" si="50"/>
        <v>0</v>
      </c>
      <c r="Z109" s="246">
        <f t="shared" si="50"/>
        <v>0</v>
      </c>
      <c r="AA109" s="246">
        <f t="shared" si="50"/>
        <v>0</v>
      </c>
      <c r="AB109" s="246">
        <f t="shared" si="50"/>
        <v>0</v>
      </c>
      <c r="AC109" s="246">
        <f t="shared" si="50"/>
        <v>0</v>
      </c>
      <c r="AD109" s="246">
        <f t="shared" si="50"/>
        <v>0</v>
      </c>
      <c r="AE109" s="246">
        <f t="shared" si="50"/>
        <v>0</v>
      </c>
      <c r="AF109" s="246">
        <f t="shared" si="50"/>
        <v>0</v>
      </c>
      <c r="AG109" s="246">
        <f t="shared" si="50"/>
        <v>0</v>
      </c>
      <c r="AH109" s="246">
        <f t="shared" si="50"/>
        <v>0</v>
      </c>
      <c r="AI109" s="244">
        <f t="shared" si="50"/>
        <v>0</v>
      </c>
      <c r="AJ109" s="245">
        <f t="shared" ref="AJ109:BO109" si="51">SUM(AJ102:AJ106)</f>
        <v>0</v>
      </c>
      <c r="AK109" s="246">
        <f t="shared" si="51"/>
        <v>0</v>
      </c>
      <c r="AL109" s="244">
        <f t="shared" si="51"/>
        <v>0</v>
      </c>
      <c r="AM109" s="245">
        <f t="shared" si="51"/>
        <v>0</v>
      </c>
      <c r="AN109" s="246">
        <f t="shared" si="51"/>
        <v>0</v>
      </c>
      <c r="AO109" s="244">
        <f t="shared" si="51"/>
        <v>0</v>
      </c>
      <c r="AP109" s="245">
        <f t="shared" si="51"/>
        <v>0</v>
      </c>
      <c r="AQ109" s="246">
        <f t="shared" si="51"/>
        <v>0</v>
      </c>
      <c r="AR109" s="246">
        <f t="shared" si="51"/>
        <v>0</v>
      </c>
      <c r="AS109" s="246">
        <f t="shared" si="51"/>
        <v>0</v>
      </c>
      <c r="AT109" s="244">
        <f t="shared" si="51"/>
        <v>0</v>
      </c>
      <c r="AU109" s="245">
        <f t="shared" si="51"/>
        <v>62</v>
      </c>
      <c r="AV109" s="246">
        <f t="shared" si="51"/>
        <v>65</v>
      </c>
      <c r="AW109" s="246">
        <f t="shared" si="51"/>
        <v>65</v>
      </c>
      <c r="AX109" s="246">
        <f t="shared" si="51"/>
        <v>65</v>
      </c>
      <c r="AY109" s="246">
        <f t="shared" si="51"/>
        <v>65</v>
      </c>
      <c r="AZ109" s="246">
        <f t="shared" si="51"/>
        <v>27</v>
      </c>
      <c r="BA109" s="246">
        <f t="shared" si="51"/>
        <v>29</v>
      </c>
      <c r="BB109" s="244">
        <f t="shared" si="51"/>
        <v>59</v>
      </c>
      <c r="BC109" s="245">
        <f t="shared" si="51"/>
        <v>65</v>
      </c>
      <c r="BD109" s="246">
        <f t="shared" si="51"/>
        <v>60</v>
      </c>
      <c r="BE109" s="246">
        <f t="shared" si="51"/>
        <v>0</v>
      </c>
      <c r="BF109" s="246">
        <f t="shared" si="51"/>
        <v>40</v>
      </c>
      <c r="BG109" s="244">
        <f t="shared" si="51"/>
        <v>0</v>
      </c>
      <c r="BH109" s="245">
        <f t="shared" si="51"/>
        <v>0</v>
      </c>
      <c r="BI109" s="246">
        <f t="shared" si="51"/>
        <v>27</v>
      </c>
      <c r="BJ109" s="244">
        <f t="shared" si="51"/>
        <v>0</v>
      </c>
      <c r="BK109" s="245">
        <f t="shared" si="51"/>
        <v>30</v>
      </c>
      <c r="BL109" s="246">
        <f t="shared" si="51"/>
        <v>35</v>
      </c>
      <c r="BM109" s="246">
        <f t="shared" si="51"/>
        <v>0</v>
      </c>
      <c r="BN109" s="244">
        <f t="shared" si="51"/>
        <v>31</v>
      </c>
      <c r="BO109" s="245">
        <f t="shared" si="51"/>
        <v>45</v>
      </c>
      <c r="BP109" s="246">
        <f t="shared" ref="BP109:CI109" si="52">SUM(BP102:BP106)</f>
        <v>43</v>
      </c>
      <c r="BQ109" s="246">
        <f t="shared" si="52"/>
        <v>36</v>
      </c>
      <c r="BR109" s="246">
        <f t="shared" si="52"/>
        <v>0</v>
      </c>
      <c r="BS109" s="246">
        <f t="shared" si="52"/>
        <v>39</v>
      </c>
      <c r="BT109" s="246">
        <f t="shared" si="52"/>
        <v>38</v>
      </c>
      <c r="BU109" s="246">
        <f t="shared" si="52"/>
        <v>65</v>
      </c>
      <c r="BV109" s="244">
        <f t="shared" si="52"/>
        <v>0</v>
      </c>
      <c r="BW109" s="245">
        <f t="shared" si="52"/>
        <v>63</v>
      </c>
      <c r="BX109" s="246">
        <f t="shared" si="52"/>
        <v>28</v>
      </c>
      <c r="BY109" s="246">
        <f t="shared" si="52"/>
        <v>48</v>
      </c>
      <c r="BZ109" s="246">
        <f t="shared" si="52"/>
        <v>56</v>
      </c>
      <c r="CA109" s="246">
        <f t="shared" si="52"/>
        <v>60</v>
      </c>
      <c r="CB109" s="244">
        <f t="shared" si="52"/>
        <v>54</v>
      </c>
      <c r="CC109" s="245">
        <f t="shared" si="52"/>
        <v>15</v>
      </c>
      <c r="CD109" s="246">
        <f t="shared" si="52"/>
        <v>47</v>
      </c>
      <c r="CE109" s="244">
        <f t="shared" si="52"/>
        <v>0</v>
      </c>
      <c r="CF109" s="245">
        <f t="shared" si="52"/>
        <v>0</v>
      </c>
      <c r="CG109" s="246">
        <f t="shared" si="52"/>
        <v>0</v>
      </c>
      <c r="CH109" s="246">
        <f t="shared" si="52"/>
        <v>0</v>
      </c>
      <c r="CI109" s="247">
        <f t="shared" si="52"/>
        <v>0</v>
      </c>
    </row>
    <row r="110" spans="2:105" ht="15.75" thickTop="1" x14ac:dyDescent="0.25"/>
  </sheetData>
  <mergeCells count="27">
    <mergeCell ref="B39:B51"/>
    <mergeCell ref="B52:B60"/>
    <mergeCell ref="B61:B79"/>
    <mergeCell ref="B102:B107"/>
    <mergeCell ref="B80:B84"/>
    <mergeCell ref="B85:B100"/>
    <mergeCell ref="AU1:BB1"/>
    <mergeCell ref="BC1:BG1"/>
    <mergeCell ref="BH1:BJ1"/>
    <mergeCell ref="BK1:BN1"/>
    <mergeCell ref="B28:B38"/>
    <mergeCell ref="B18:B27"/>
    <mergeCell ref="CQ1:CU1"/>
    <mergeCell ref="CW1:DA1"/>
    <mergeCell ref="A1:C1"/>
    <mergeCell ref="BO1:BV1"/>
    <mergeCell ref="BW1:CB1"/>
    <mergeCell ref="CC1:CE1"/>
    <mergeCell ref="CF1:CI1"/>
    <mergeCell ref="D1:K1"/>
    <mergeCell ref="L1:O1"/>
    <mergeCell ref="P1:AI1"/>
    <mergeCell ref="AJ1:AL1"/>
    <mergeCell ref="B4:B17"/>
    <mergeCell ref="CK1:CO1"/>
    <mergeCell ref="AM1:AO1"/>
    <mergeCell ref="AP1:AT1"/>
  </mergeCells>
  <conditionalFormatting sqref="D4:K16">
    <cfRule type="cellIs" dxfId="1137" priority="1" stopIfTrue="1" operator="equal">
      <formula>"E"</formula>
    </cfRule>
    <cfRule type="cellIs" dxfId="1136" priority="2" stopIfTrue="1" operator="equal">
      <formula>"S"</formula>
    </cfRule>
    <cfRule type="cellIs" dxfId="1135" priority="3" stopIfTrue="1" operator="equal">
      <formula>"M"</formula>
    </cfRule>
    <cfRule type="cellIs" dxfId="1134" priority="4" stopIfTrue="1" operator="equal">
      <formula>"J"</formula>
    </cfRule>
    <cfRule type="cellIs" dxfId="1133" priority="5" stopIfTrue="1" operator="equal">
      <formula>"O"</formula>
    </cfRule>
    <cfRule type="expression" dxfId="1132" priority="6" stopIfTrue="1">
      <formula>LEN(TRIM(D4))=0</formula>
    </cfRule>
  </conditionalFormatting>
  <conditionalFormatting sqref="D18:K26">
    <cfRule type="cellIs" dxfId="1131" priority="7" stopIfTrue="1" operator="equal">
      <formula>"E"</formula>
    </cfRule>
    <cfRule type="cellIs" dxfId="1130" priority="8" stopIfTrue="1" operator="equal">
      <formula>"S"</formula>
    </cfRule>
    <cfRule type="cellIs" dxfId="1129" priority="9" stopIfTrue="1" operator="equal">
      <formula>"M"</formula>
    </cfRule>
    <cfRule type="cellIs" dxfId="1128" priority="10" stopIfTrue="1" operator="equal">
      <formula>"J"</formula>
    </cfRule>
    <cfRule type="cellIs" dxfId="1127" priority="11" stopIfTrue="1" operator="equal">
      <formula>"O"</formula>
    </cfRule>
    <cfRule type="expression" dxfId="1126" priority="12" stopIfTrue="1">
      <formula>LEN(TRIM(D18))=0</formula>
    </cfRule>
  </conditionalFormatting>
  <conditionalFormatting sqref="D28:K37">
    <cfRule type="cellIs" dxfId="1125" priority="13" stopIfTrue="1" operator="equal">
      <formula>"E"</formula>
    </cfRule>
    <cfRule type="cellIs" dxfId="1124" priority="14" stopIfTrue="1" operator="equal">
      <formula>"S"</formula>
    </cfRule>
    <cfRule type="cellIs" dxfId="1123" priority="15" stopIfTrue="1" operator="equal">
      <formula>"M"</formula>
    </cfRule>
    <cfRule type="cellIs" dxfId="1122" priority="16" stopIfTrue="1" operator="equal">
      <formula>"J"</formula>
    </cfRule>
    <cfRule type="cellIs" dxfId="1121" priority="17" stopIfTrue="1" operator="equal">
      <formula>"O"</formula>
    </cfRule>
    <cfRule type="expression" dxfId="1120" priority="18" stopIfTrue="1">
      <formula>LEN(TRIM(D28))=0</formula>
    </cfRule>
  </conditionalFormatting>
  <conditionalFormatting sqref="D39:K50">
    <cfRule type="cellIs" dxfId="1119" priority="19" stopIfTrue="1" operator="equal">
      <formula>"E"</formula>
    </cfRule>
    <cfRule type="cellIs" dxfId="1118" priority="20" stopIfTrue="1" operator="equal">
      <formula>"S"</formula>
    </cfRule>
    <cfRule type="cellIs" dxfId="1117" priority="21" stopIfTrue="1" operator="equal">
      <formula>"M"</formula>
    </cfRule>
    <cfRule type="cellIs" dxfId="1116" priority="22" stopIfTrue="1" operator="equal">
      <formula>"J"</formula>
    </cfRule>
    <cfRule type="cellIs" dxfId="1115" priority="23" stopIfTrue="1" operator="equal">
      <formula>"O"</formula>
    </cfRule>
    <cfRule type="expression" dxfId="1114" priority="24" stopIfTrue="1">
      <formula>LEN(TRIM(D39))=0</formula>
    </cfRule>
  </conditionalFormatting>
  <conditionalFormatting sqref="D52:K59">
    <cfRule type="cellIs" dxfId="1113" priority="25" stopIfTrue="1" operator="equal">
      <formula>"E"</formula>
    </cfRule>
    <cfRule type="cellIs" dxfId="1112" priority="26" stopIfTrue="1" operator="equal">
      <formula>"S"</formula>
    </cfRule>
    <cfRule type="cellIs" dxfId="1111" priority="27" stopIfTrue="1" operator="equal">
      <formula>"M"</formula>
    </cfRule>
    <cfRule type="cellIs" dxfId="1110" priority="28" stopIfTrue="1" operator="equal">
      <formula>"J"</formula>
    </cfRule>
    <cfRule type="cellIs" dxfId="1109" priority="29" stopIfTrue="1" operator="equal">
      <formula>"O"</formula>
    </cfRule>
    <cfRule type="expression" dxfId="1108" priority="30" stopIfTrue="1">
      <formula>LEN(TRIM(D52))=0</formula>
    </cfRule>
  </conditionalFormatting>
  <conditionalFormatting sqref="D61:K78">
    <cfRule type="cellIs" dxfId="1107" priority="31" stopIfTrue="1" operator="equal">
      <formula>"E"</formula>
    </cfRule>
    <cfRule type="cellIs" dxfId="1106" priority="32" stopIfTrue="1" operator="equal">
      <formula>"S"</formula>
    </cfRule>
    <cfRule type="cellIs" dxfId="1105" priority="33" stopIfTrue="1" operator="equal">
      <formula>"M"</formula>
    </cfRule>
    <cfRule type="cellIs" dxfId="1104" priority="34" stopIfTrue="1" operator="equal">
      <formula>"J"</formula>
    </cfRule>
    <cfRule type="cellIs" dxfId="1103" priority="35" stopIfTrue="1" operator="equal">
      <formula>"O"</formula>
    </cfRule>
    <cfRule type="expression" dxfId="1102" priority="36" stopIfTrue="1">
      <formula>LEN(TRIM(D61))=0</formula>
    </cfRule>
  </conditionalFormatting>
  <conditionalFormatting sqref="D80:K83">
    <cfRule type="cellIs" dxfId="1101" priority="37" stopIfTrue="1" operator="equal">
      <formula>"E"</formula>
    </cfRule>
    <cfRule type="cellIs" dxfId="1100" priority="38" stopIfTrue="1" operator="equal">
      <formula>"S"</formula>
    </cfRule>
    <cfRule type="cellIs" dxfId="1099" priority="39" stopIfTrue="1" operator="equal">
      <formula>"M"</formula>
    </cfRule>
    <cfRule type="cellIs" dxfId="1098" priority="40" stopIfTrue="1" operator="equal">
      <formula>"J"</formula>
    </cfRule>
    <cfRule type="cellIs" dxfId="1097" priority="41" stopIfTrue="1" operator="equal">
      <formula>"O"</formula>
    </cfRule>
    <cfRule type="expression" dxfId="1096" priority="42" stopIfTrue="1">
      <formula>LEN(TRIM(D80))=0</formula>
    </cfRule>
  </conditionalFormatting>
  <conditionalFormatting sqref="D85:K99">
    <cfRule type="cellIs" dxfId="1095" priority="43" stopIfTrue="1" operator="equal">
      <formula>"E"</formula>
    </cfRule>
    <cfRule type="cellIs" dxfId="1094" priority="44" stopIfTrue="1" operator="equal">
      <formula>"S"</formula>
    </cfRule>
    <cfRule type="cellIs" dxfId="1093" priority="45" stopIfTrue="1" operator="equal">
      <formula>"M"</formula>
    </cfRule>
    <cfRule type="cellIs" dxfId="1092" priority="46" stopIfTrue="1" operator="equal">
      <formula>"J"</formula>
    </cfRule>
    <cfRule type="cellIs" dxfId="1091" priority="47" stopIfTrue="1" operator="equal">
      <formula>"O"</formula>
    </cfRule>
    <cfRule type="expression" dxfId="1090" priority="48" stopIfTrue="1">
      <formula>LEN(TRIM(D85))=0</formula>
    </cfRule>
  </conditionalFormatting>
  <conditionalFormatting sqref="D102:K106">
    <cfRule type="cellIs" dxfId="1089" priority="49" stopIfTrue="1" operator="equal">
      <formula>"E"</formula>
    </cfRule>
    <cfRule type="cellIs" dxfId="1088" priority="50" stopIfTrue="1" operator="equal">
      <formula>"S"</formula>
    </cfRule>
    <cfRule type="cellIs" dxfId="1087" priority="51" stopIfTrue="1" operator="equal">
      <formula>"M"</formula>
    </cfRule>
    <cfRule type="cellIs" dxfId="1086" priority="52" stopIfTrue="1" operator="equal">
      <formula>"J"</formula>
    </cfRule>
    <cfRule type="cellIs" dxfId="1085" priority="53" stopIfTrue="1" operator="equal">
      <formula>"O"</formula>
    </cfRule>
    <cfRule type="expression" dxfId="1084" priority="54" stopIfTrue="1">
      <formula>LEN(TRIM(D102))=0</formula>
    </cfRule>
  </conditionalFormatting>
  <conditionalFormatting sqref="D109:K109">
    <cfRule type="cellIs" dxfId="1083" priority="55" stopIfTrue="1" operator="equal">
      <formula>"E"</formula>
    </cfRule>
    <cfRule type="cellIs" dxfId="1082" priority="56" stopIfTrue="1" operator="equal">
      <formula>"S"</formula>
    </cfRule>
    <cfRule type="cellIs" dxfId="1081" priority="57" stopIfTrue="1" operator="equal">
      <formula>"M"</formula>
    </cfRule>
    <cfRule type="cellIs" dxfId="1080" priority="58" stopIfTrue="1" operator="equal">
      <formula>"J"</formula>
    </cfRule>
    <cfRule type="cellIs" dxfId="1079" priority="59" stopIfTrue="1" operator="equal">
      <formula>"O"</formula>
    </cfRule>
    <cfRule type="expression" dxfId="1078" priority="60" stopIfTrue="1">
      <formula>LEN(TRIM(D109))=0</formula>
    </cfRule>
  </conditionalFormatting>
  <conditionalFormatting sqref="L4:O16">
    <cfRule type="cellIs" dxfId="1077" priority="61" stopIfTrue="1" operator="equal">
      <formula>"E"</formula>
    </cfRule>
    <cfRule type="cellIs" dxfId="1076" priority="62" stopIfTrue="1" operator="equal">
      <formula>"S"</formula>
    </cfRule>
    <cfRule type="cellIs" dxfId="1075" priority="63" stopIfTrue="1" operator="equal">
      <formula>"M"</formula>
    </cfRule>
    <cfRule type="cellIs" dxfId="1074" priority="64" stopIfTrue="1" operator="equal">
      <formula>"J"</formula>
    </cfRule>
    <cfRule type="cellIs" dxfId="1073" priority="65" stopIfTrue="1" operator="equal">
      <formula>"O"</formula>
    </cfRule>
    <cfRule type="expression" dxfId="1072" priority="66" stopIfTrue="1">
      <formula>LEN(TRIM(L4))=0</formula>
    </cfRule>
  </conditionalFormatting>
  <conditionalFormatting sqref="L18:O26">
    <cfRule type="cellIs" dxfId="1071" priority="67" stopIfTrue="1" operator="equal">
      <formula>"E"</formula>
    </cfRule>
    <cfRule type="cellIs" dxfId="1070" priority="68" stopIfTrue="1" operator="equal">
      <formula>"S"</formula>
    </cfRule>
    <cfRule type="cellIs" dxfId="1069" priority="69" stopIfTrue="1" operator="equal">
      <formula>"M"</formula>
    </cfRule>
    <cfRule type="cellIs" dxfId="1068" priority="70" stopIfTrue="1" operator="equal">
      <formula>"J"</formula>
    </cfRule>
    <cfRule type="cellIs" dxfId="1067" priority="71" stopIfTrue="1" operator="equal">
      <formula>"O"</formula>
    </cfRule>
    <cfRule type="expression" dxfId="1066" priority="72" stopIfTrue="1">
      <formula>LEN(TRIM(L18))=0</formula>
    </cfRule>
  </conditionalFormatting>
  <conditionalFormatting sqref="L28:O37">
    <cfRule type="cellIs" dxfId="1065" priority="73" stopIfTrue="1" operator="equal">
      <formula>"E"</formula>
    </cfRule>
    <cfRule type="cellIs" dxfId="1064" priority="74" stopIfTrue="1" operator="equal">
      <formula>"S"</formula>
    </cfRule>
    <cfRule type="cellIs" dxfId="1063" priority="75" stopIfTrue="1" operator="equal">
      <formula>"M"</formula>
    </cfRule>
    <cfRule type="cellIs" dxfId="1062" priority="76" stopIfTrue="1" operator="equal">
      <formula>"J"</formula>
    </cfRule>
    <cfRule type="cellIs" dxfId="1061" priority="77" stopIfTrue="1" operator="equal">
      <formula>"O"</formula>
    </cfRule>
    <cfRule type="expression" dxfId="1060" priority="78" stopIfTrue="1">
      <formula>LEN(TRIM(L28))=0</formula>
    </cfRule>
  </conditionalFormatting>
  <conditionalFormatting sqref="L39:O50">
    <cfRule type="cellIs" dxfId="1059" priority="79" stopIfTrue="1" operator="equal">
      <formula>"E"</formula>
    </cfRule>
    <cfRule type="cellIs" dxfId="1058" priority="80" stopIfTrue="1" operator="equal">
      <formula>"S"</formula>
    </cfRule>
    <cfRule type="cellIs" dxfId="1057" priority="81" stopIfTrue="1" operator="equal">
      <formula>"M"</formula>
    </cfRule>
    <cfRule type="cellIs" dxfId="1056" priority="82" stopIfTrue="1" operator="equal">
      <formula>"J"</formula>
    </cfRule>
    <cfRule type="cellIs" dxfId="1055" priority="83" stopIfTrue="1" operator="equal">
      <formula>"O"</formula>
    </cfRule>
    <cfRule type="expression" dxfId="1054" priority="84" stopIfTrue="1">
      <formula>LEN(TRIM(L39))=0</formula>
    </cfRule>
  </conditionalFormatting>
  <conditionalFormatting sqref="L52:O59">
    <cfRule type="cellIs" dxfId="1053" priority="85" stopIfTrue="1" operator="equal">
      <formula>"E"</formula>
    </cfRule>
    <cfRule type="cellIs" dxfId="1052" priority="86" stopIfTrue="1" operator="equal">
      <formula>"S"</formula>
    </cfRule>
    <cfRule type="cellIs" dxfId="1051" priority="87" stopIfTrue="1" operator="equal">
      <formula>"M"</formula>
    </cfRule>
    <cfRule type="cellIs" dxfId="1050" priority="88" stopIfTrue="1" operator="equal">
      <formula>"J"</formula>
    </cfRule>
    <cfRule type="cellIs" dxfId="1049" priority="89" stopIfTrue="1" operator="equal">
      <formula>"O"</formula>
    </cfRule>
    <cfRule type="expression" dxfId="1048" priority="90" stopIfTrue="1">
      <formula>LEN(TRIM(L52))=0</formula>
    </cfRule>
  </conditionalFormatting>
  <conditionalFormatting sqref="L61:O78">
    <cfRule type="cellIs" dxfId="1047" priority="91" stopIfTrue="1" operator="equal">
      <formula>"E"</formula>
    </cfRule>
    <cfRule type="cellIs" dxfId="1046" priority="92" stopIfTrue="1" operator="equal">
      <formula>"S"</formula>
    </cfRule>
    <cfRule type="cellIs" dxfId="1045" priority="93" stopIfTrue="1" operator="equal">
      <formula>"M"</formula>
    </cfRule>
    <cfRule type="cellIs" dxfId="1044" priority="94" stopIfTrue="1" operator="equal">
      <formula>"J"</formula>
    </cfRule>
    <cfRule type="cellIs" dxfId="1043" priority="95" stopIfTrue="1" operator="equal">
      <formula>"O"</formula>
    </cfRule>
    <cfRule type="expression" dxfId="1042" priority="96" stopIfTrue="1">
      <formula>LEN(TRIM(L61))=0</formula>
    </cfRule>
  </conditionalFormatting>
  <conditionalFormatting sqref="L80:O83">
    <cfRule type="cellIs" dxfId="1041" priority="97" stopIfTrue="1" operator="equal">
      <formula>"E"</formula>
    </cfRule>
    <cfRule type="cellIs" dxfId="1040" priority="98" stopIfTrue="1" operator="equal">
      <formula>"S"</formula>
    </cfRule>
    <cfRule type="cellIs" dxfId="1039" priority="99" stopIfTrue="1" operator="equal">
      <formula>"M"</formula>
    </cfRule>
    <cfRule type="cellIs" dxfId="1038" priority="100" stopIfTrue="1" operator="equal">
      <formula>"J"</formula>
    </cfRule>
    <cfRule type="cellIs" dxfId="1037" priority="101" stopIfTrue="1" operator="equal">
      <formula>"O"</formula>
    </cfRule>
    <cfRule type="expression" dxfId="1036" priority="102" stopIfTrue="1">
      <formula>LEN(TRIM(L80))=0</formula>
    </cfRule>
  </conditionalFormatting>
  <conditionalFormatting sqref="L85:O99">
    <cfRule type="cellIs" dxfId="1035" priority="103" stopIfTrue="1" operator="equal">
      <formula>"E"</formula>
    </cfRule>
    <cfRule type="cellIs" dxfId="1034" priority="104" stopIfTrue="1" operator="equal">
      <formula>"S"</formula>
    </cfRule>
    <cfRule type="cellIs" dxfId="1033" priority="105" stopIfTrue="1" operator="equal">
      <formula>"M"</formula>
    </cfRule>
    <cfRule type="cellIs" dxfId="1032" priority="106" stopIfTrue="1" operator="equal">
      <formula>"J"</formula>
    </cfRule>
    <cfRule type="cellIs" dxfId="1031" priority="107" stopIfTrue="1" operator="equal">
      <formula>"O"</formula>
    </cfRule>
    <cfRule type="expression" dxfId="1030" priority="108" stopIfTrue="1">
      <formula>LEN(TRIM(L85))=0</formula>
    </cfRule>
  </conditionalFormatting>
  <conditionalFormatting sqref="L102:O106">
    <cfRule type="cellIs" dxfId="1029" priority="109" stopIfTrue="1" operator="equal">
      <formula>"E"</formula>
    </cfRule>
    <cfRule type="cellIs" dxfId="1028" priority="110" stopIfTrue="1" operator="equal">
      <formula>"S"</formula>
    </cfRule>
    <cfRule type="cellIs" dxfId="1027" priority="111" stopIfTrue="1" operator="equal">
      <formula>"M"</formula>
    </cfRule>
    <cfRule type="cellIs" dxfId="1026" priority="112" stopIfTrue="1" operator="equal">
      <formula>"J"</formula>
    </cfRule>
    <cfRule type="cellIs" dxfId="1025" priority="113" stopIfTrue="1" operator="equal">
      <formula>"O"</formula>
    </cfRule>
    <cfRule type="expression" dxfId="1024" priority="114" stopIfTrue="1">
      <formula>LEN(TRIM(L102))=0</formula>
    </cfRule>
  </conditionalFormatting>
  <conditionalFormatting sqref="L109:O109">
    <cfRule type="cellIs" dxfId="1023" priority="115" stopIfTrue="1" operator="equal">
      <formula>"E"</formula>
    </cfRule>
    <cfRule type="cellIs" dxfId="1022" priority="116" stopIfTrue="1" operator="equal">
      <formula>"S"</formula>
    </cfRule>
    <cfRule type="cellIs" dxfId="1021" priority="117" stopIfTrue="1" operator="equal">
      <formula>"M"</formula>
    </cfRule>
    <cfRule type="cellIs" dxfId="1020" priority="118" stopIfTrue="1" operator="equal">
      <formula>"J"</formula>
    </cfRule>
    <cfRule type="cellIs" dxfId="1019" priority="119" stopIfTrue="1" operator="equal">
      <formula>"O"</formula>
    </cfRule>
    <cfRule type="expression" dxfId="1018" priority="120" stopIfTrue="1">
      <formula>LEN(TRIM(L109))=0</formula>
    </cfRule>
  </conditionalFormatting>
  <conditionalFormatting sqref="P4:AI16">
    <cfRule type="cellIs" dxfId="1017" priority="121" stopIfTrue="1" operator="equal">
      <formula>"E"</formula>
    </cfRule>
    <cfRule type="cellIs" dxfId="1016" priority="122" stopIfTrue="1" operator="equal">
      <formula>"S"</formula>
    </cfRule>
    <cfRule type="cellIs" dxfId="1015" priority="123" stopIfTrue="1" operator="equal">
      <formula>"M"</formula>
    </cfRule>
    <cfRule type="cellIs" dxfId="1014" priority="124" stopIfTrue="1" operator="equal">
      <formula>"J"</formula>
    </cfRule>
    <cfRule type="cellIs" dxfId="1013" priority="125" stopIfTrue="1" operator="equal">
      <formula>"O"</formula>
    </cfRule>
    <cfRule type="expression" dxfId="1012" priority="126" stopIfTrue="1">
      <formula>LEN(TRIM(P4))=0</formula>
    </cfRule>
  </conditionalFormatting>
  <conditionalFormatting sqref="P18:AI26">
    <cfRule type="cellIs" dxfId="1011" priority="127" stopIfTrue="1" operator="equal">
      <formula>"E"</formula>
    </cfRule>
    <cfRule type="cellIs" dxfId="1010" priority="128" stopIfTrue="1" operator="equal">
      <formula>"S"</formula>
    </cfRule>
    <cfRule type="cellIs" dxfId="1009" priority="129" stopIfTrue="1" operator="equal">
      <formula>"M"</formula>
    </cfRule>
    <cfRule type="cellIs" dxfId="1008" priority="130" stopIfTrue="1" operator="equal">
      <formula>"J"</formula>
    </cfRule>
    <cfRule type="cellIs" dxfId="1007" priority="131" stopIfTrue="1" operator="equal">
      <formula>"O"</formula>
    </cfRule>
    <cfRule type="expression" dxfId="1006" priority="132" stopIfTrue="1">
      <formula>LEN(TRIM(P18))=0</formula>
    </cfRule>
  </conditionalFormatting>
  <conditionalFormatting sqref="P28:AI37">
    <cfRule type="cellIs" dxfId="1005" priority="133" stopIfTrue="1" operator="equal">
      <formula>"E"</formula>
    </cfRule>
    <cfRule type="cellIs" dxfId="1004" priority="134" stopIfTrue="1" operator="equal">
      <formula>"S"</formula>
    </cfRule>
    <cfRule type="cellIs" dxfId="1003" priority="135" stopIfTrue="1" operator="equal">
      <formula>"M"</formula>
    </cfRule>
    <cfRule type="cellIs" dxfId="1002" priority="136" stopIfTrue="1" operator="equal">
      <formula>"J"</formula>
    </cfRule>
    <cfRule type="cellIs" dxfId="1001" priority="137" stopIfTrue="1" operator="equal">
      <formula>"O"</formula>
    </cfRule>
    <cfRule type="expression" dxfId="1000" priority="138" stopIfTrue="1">
      <formula>LEN(TRIM(P28))=0</formula>
    </cfRule>
  </conditionalFormatting>
  <conditionalFormatting sqref="P39:AI50">
    <cfRule type="cellIs" dxfId="999" priority="139" stopIfTrue="1" operator="equal">
      <formula>"E"</formula>
    </cfRule>
    <cfRule type="cellIs" dxfId="998" priority="140" stopIfTrue="1" operator="equal">
      <formula>"S"</formula>
    </cfRule>
    <cfRule type="cellIs" dxfId="997" priority="141" stopIfTrue="1" operator="equal">
      <formula>"M"</formula>
    </cfRule>
    <cfRule type="cellIs" dxfId="996" priority="142" stopIfTrue="1" operator="equal">
      <formula>"J"</formula>
    </cfRule>
    <cfRule type="cellIs" dxfId="995" priority="143" stopIfTrue="1" operator="equal">
      <formula>"O"</formula>
    </cfRule>
    <cfRule type="expression" dxfId="994" priority="144" stopIfTrue="1">
      <formula>LEN(TRIM(P39))=0</formula>
    </cfRule>
  </conditionalFormatting>
  <conditionalFormatting sqref="P52:AI59">
    <cfRule type="cellIs" dxfId="993" priority="145" stopIfTrue="1" operator="equal">
      <formula>"E"</formula>
    </cfRule>
    <cfRule type="cellIs" dxfId="992" priority="146" stopIfTrue="1" operator="equal">
      <formula>"S"</formula>
    </cfRule>
    <cfRule type="cellIs" dxfId="991" priority="147" stopIfTrue="1" operator="equal">
      <formula>"M"</formula>
    </cfRule>
    <cfRule type="cellIs" dxfId="990" priority="148" stopIfTrue="1" operator="equal">
      <formula>"J"</formula>
    </cfRule>
    <cfRule type="cellIs" dxfId="989" priority="149" stopIfTrue="1" operator="equal">
      <formula>"O"</formula>
    </cfRule>
    <cfRule type="expression" dxfId="988" priority="150" stopIfTrue="1">
      <formula>LEN(TRIM(P52))=0</formula>
    </cfRule>
  </conditionalFormatting>
  <conditionalFormatting sqref="P61:AI78">
    <cfRule type="cellIs" dxfId="987" priority="151" stopIfTrue="1" operator="equal">
      <formula>"E"</formula>
    </cfRule>
  </conditionalFormatting>
  <conditionalFormatting sqref="P61:AI78">
    <cfRule type="cellIs" dxfId="986" priority="152" stopIfTrue="1" operator="equal">
      <formula>"S"</formula>
    </cfRule>
  </conditionalFormatting>
  <conditionalFormatting sqref="P61:AI78">
    <cfRule type="cellIs" dxfId="985" priority="153" stopIfTrue="1" operator="equal">
      <formula>"M"</formula>
    </cfRule>
  </conditionalFormatting>
  <conditionalFormatting sqref="P61:AI78">
    <cfRule type="cellIs" dxfId="984" priority="154" stopIfTrue="1" operator="equal">
      <formula>"J"</formula>
    </cfRule>
  </conditionalFormatting>
  <conditionalFormatting sqref="P61:AI78">
    <cfRule type="cellIs" dxfId="983" priority="155" stopIfTrue="1" operator="equal">
      <formula>"O"</formula>
    </cfRule>
  </conditionalFormatting>
  <conditionalFormatting sqref="P61:AI78">
    <cfRule type="expression" dxfId="982" priority="156" stopIfTrue="1">
      <formula>LEN(TRIM(P61))=0</formula>
    </cfRule>
  </conditionalFormatting>
  <conditionalFormatting sqref="P80:AI83">
    <cfRule type="cellIs" dxfId="981" priority="157" stopIfTrue="1" operator="equal">
      <formula>"E"</formula>
    </cfRule>
  </conditionalFormatting>
  <conditionalFormatting sqref="P80:AI83">
    <cfRule type="cellIs" dxfId="980" priority="158" stopIfTrue="1" operator="equal">
      <formula>"S"</formula>
    </cfRule>
  </conditionalFormatting>
  <conditionalFormatting sqref="P80:AI83">
    <cfRule type="cellIs" dxfId="979" priority="159" stopIfTrue="1" operator="equal">
      <formula>"M"</formula>
    </cfRule>
  </conditionalFormatting>
  <conditionalFormatting sqref="P80:AI83">
    <cfRule type="cellIs" dxfId="978" priority="160" stopIfTrue="1" operator="equal">
      <formula>"J"</formula>
    </cfRule>
  </conditionalFormatting>
  <conditionalFormatting sqref="P80:AI83">
    <cfRule type="cellIs" dxfId="977" priority="161" stopIfTrue="1" operator="equal">
      <formula>"O"</formula>
    </cfRule>
  </conditionalFormatting>
  <conditionalFormatting sqref="P80:AI83">
    <cfRule type="expression" dxfId="976" priority="162" stopIfTrue="1">
      <formula>LEN(TRIM(P80))=0</formula>
    </cfRule>
  </conditionalFormatting>
  <conditionalFormatting sqref="P85:AI99">
    <cfRule type="cellIs" dxfId="975" priority="163" stopIfTrue="1" operator="equal">
      <formula>"E"</formula>
    </cfRule>
  </conditionalFormatting>
  <conditionalFormatting sqref="P85:AI99">
    <cfRule type="cellIs" dxfId="974" priority="164" stopIfTrue="1" operator="equal">
      <formula>"S"</formula>
    </cfRule>
  </conditionalFormatting>
  <conditionalFormatting sqref="P85:AI99">
    <cfRule type="cellIs" dxfId="973" priority="165" stopIfTrue="1" operator="equal">
      <formula>"M"</formula>
    </cfRule>
  </conditionalFormatting>
  <conditionalFormatting sqref="P85:AI99">
    <cfRule type="cellIs" dxfId="972" priority="166" stopIfTrue="1" operator="equal">
      <formula>"J"</formula>
    </cfRule>
  </conditionalFormatting>
  <conditionalFormatting sqref="P85:AI99">
    <cfRule type="cellIs" dxfId="971" priority="167" stopIfTrue="1" operator="equal">
      <formula>"O"</formula>
    </cfRule>
  </conditionalFormatting>
  <conditionalFormatting sqref="P85:AI99">
    <cfRule type="expression" dxfId="970" priority="168" stopIfTrue="1">
      <formula>LEN(TRIM(P85))=0</formula>
    </cfRule>
  </conditionalFormatting>
  <conditionalFormatting sqref="P102:AI106">
    <cfRule type="cellIs" dxfId="969" priority="169" stopIfTrue="1" operator="equal">
      <formula>"E"</formula>
    </cfRule>
  </conditionalFormatting>
  <conditionalFormatting sqref="P102:AI106">
    <cfRule type="cellIs" dxfId="968" priority="170" stopIfTrue="1" operator="equal">
      <formula>"S"</formula>
    </cfRule>
  </conditionalFormatting>
  <conditionalFormatting sqref="P102:AI106">
    <cfRule type="cellIs" dxfId="967" priority="171" stopIfTrue="1" operator="equal">
      <formula>"M"</formula>
    </cfRule>
  </conditionalFormatting>
  <conditionalFormatting sqref="P102:AI106">
    <cfRule type="cellIs" dxfId="966" priority="172" stopIfTrue="1" operator="equal">
      <formula>"J"</formula>
    </cfRule>
  </conditionalFormatting>
  <conditionalFormatting sqref="P102:AI106">
    <cfRule type="cellIs" dxfId="965" priority="173" stopIfTrue="1" operator="equal">
      <formula>"O"</formula>
    </cfRule>
  </conditionalFormatting>
  <conditionalFormatting sqref="P102:AI106">
    <cfRule type="expression" dxfId="964" priority="174" stopIfTrue="1">
      <formula>LEN(TRIM(P102))=0</formula>
    </cfRule>
  </conditionalFormatting>
  <conditionalFormatting sqref="P109:AI109">
    <cfRule type="cellIs" dxfId="963" priority="175" stopIfTrue="1" operator="equal">
      <formula>"E"</formula>
    </cfRule>
  </conditionalFormatting>
  <conditionalFormatting sqref="P109:AI109">
    <cfRule type="cellIs" dxfId="962" priority="176" stopIfTrue="1" operator="equal">
      <formula>"S"</formula>
    </cfRule>
  </conditionalFormatting>
  <conditionalFormatting sqref="P109:AI109">
    <cfRule type="cellIs" dxfId="961" priority="177" stopIfTrue="1" operator="equal">
      <formula>"M"</formula>
    </cfRule>
  </conditionalFormatting>
  <conditionalFormatting sqref="P109:AI109">
    <cfRule type="cellIs" dxfId="960" priority="178" stopIfTrue="1" operator="equal">
      <formula>"J"</formula>
    </cfRule>
  </conditionalFormatting>
  <conditionalFormatting sqref="P109:AI109">
    <cfRule type="cellIs" dxfId="959" priority="179" stopIfTrue="1" operator="equal">
      <formula>"O"</formula>
    </cfRule>
  </conditionalFormatting>
  <conditionalFormatting sqref="P109:AI109">
    <cfRule type="expression" dxfId="958" priority="180" stopIfTrue="1">
      <formula>LEN(TRIM(P109))=0</formula>
    </cfRule>
  </conditionalFormatting>
  <conditionalFormatting sqref="AJ4:AL16">
    <cfRule type="cellIs" dxfId="957" priority="181" stopIfTrue="1" operator="equal">
      <formula>"E"</formula>
    </cfRule>
    <cfRule type="cellIs" dxfId="956" priority="182" stopIfTrue="1" operator="equal">
      <formula>"S"</formula>
    </cfRule>
    <cfRule type="cellIs" dxfId="955" priority="183" stopIfTrue="1" operator="equal">
      <formula>"M"</formula>
    </cfRule>
    <cfRule type="cellIs" dxfId="954" priority="184" stopIfTrue="1" operator="equal">
      <formula>"J"</formula>
    </cfRule>
    <cfRule type="cellIs" dxfId="953" priority="185" stopIfTrue="1" operator="equal">
      <formula>"O"</formula>
    </cfRule>
    <cfRule type="expression" dxfId="952" priority="186" stopIfTrue="1">
      <formula>LEN(TRIM(AJ4))=0</formula>
    </cfRule>
  </conditionalFormatting>
  <conditionalFormatting sqref="AJ18:AL26">
    <cfRule type="cellIs" dxfId="951" priority="187" stopIfTrue="1" operator="equal">
      <formula>"E"</formula>
    </cfRule>
    <cfRule type="cellIs" dxfId="950" priority="188" stopIfTrue="1" operator="equal">
      <formula>"S"</formula>
    </cfRule>
    <cfRule type="cellIs" dxfId="949" priority="189" stopIfTrue="1" operator="equal">
      <formula>"M"</formula>
    </cfRule>
    <cfRule type="cellIs" dxfId="948" priority="190" stopIfTrue="1" operator="equal">
      <formula>"J"</formula>
    </cfRule>
    <cfRule type="cellIs" dxfId="947" priority="191" stopIfTrue="1" operator="equal">
      <formula>"O"</formula>
    </cfRule>
    <cfRule type="expression" dxfId="946" priority="192" stopIfTrue="1">
      <formula>LEN(TRIM(AJ18))=0</formula>
    </cfRule>
  </conditionalFormatting>
  <conditionalFormatting sqref="AJ28:AL37">
    <cfRule type="cellIs" dxfId="945" priority="193" stopIfTrue="1" operator="equal">
      <formula>"E"</formula>
    </cfRule>
    <cfRule type="cellIs" dxfId="944" priority="194" stopIfTrue="1" operator="equal">
      <formula>"S"</formula>
    </cfRule>
    <cfRule type="cellIs" dxfId="943" priority="195" stopIfTrue="1" operator="equal">
      <formula>"M"</formula>
    </cfRule>
    <cfRule type="cellIs" dxfId="942" priority="196" stopIfTrue="1" operator="equal">
      <formula>"J"</formula>
    </cfRule>
    <cfRule type="cellIs" dxfId="941" priority="197" stopIfTrue="1" operator="equal">
      <formula>"O"</formula>
    </cfRule>
    <cfRule type="expression" dxfId="940" priority="198" stopIfTrue="1">
      <formula>LEN(TRIM(AJ28))=0</formula>
    </cfRule>
  </conditionalFormatting>
  <conditionalFormatting sqref="AJ39:AL50">
    <cfRule type="cellIs" dxfId="939" priority="199" stopIfTrue="1" operator="equal">
      <formula>"E"</formula>
    </cfRule>
    <cfRule type="cellIs" dxfId="938" priority="200" stopIfTrue="1" operator="equal">
      <formula>"S"</formula>
    </cfRule>
    <cfRule type="cellIs" dxfId="937" priority="201" stopIfTrue="1" operator="equal">
      <formula>"M"</formula>
    </cfRule>
    <cfRule type="cellIs" dxfId="936" priority="202" stopIfTrue="1" operator="equal">
      <formula>"J"</formula>
    </cfRule>
    <cfRule type="cellIs" dxfId="935" priority="203" stopIfTrue="1" operator="equal">
      <formula>"O"</formula>
    </cfRule>
    <cfRule type="expression" dxfId="934" priority="204" stopIfTrue="1">
      <formula>LEN(TRIM(AJ39))=0</formula>
    </cfRule>
  </conditionalFormatting>
  <conditionalFormatting sqref="AJ52:AL59">
    <cfRule type="cellIs" dxfId="933" priority="205" stopIfTrue="1" operator="equal">
      <formula>"E"</formula>
    </cfRule>
    <cfRule type="cellIs" dxfId="932" priority="206" stopIfTrue="1" operator="equal">
      <formula>"S"</formula>
    </cfRule>
    <cfRule type="cellIs" dxfId="931" priority="207" stopIfTrue="1" operator="equal">
      <formula>"M"</formula>
    </cfRule>
    <cfRule type="cellIs" dxfId="930" priority="208" stopIfTrue="1" operator="equal">
      <formula>"J"</formula>
    </cfRule>
    <cfRule type="cellIs" dxfId="929" priority="209" stopIfTrue="1" operator="equal">
      <formula>"O"</formula>
    </cfRule>
    <cfRule type="expression" dxfId="928" priority="210" stopIfTrue="1">
      <formula>LEN(TRIM(AJ52))=0</formula>
    </cfRule>
  </conditionalFormatting>
  <conditionalFormatting sqref="AJ61:AL78">
    <cfRule type="cellIs" dxfId="927" priority="211" stopIfTrue="1" operator="equal">
      <formula>"E"</formula>
    </cfRule>
  </conditionalFormatting>
  <conditionalFormatting sqref="AJ61:AL78">
    <cfRule type="cellIs" dxfId="926" priority="212" stopIfTrue="1" operator="equal">
      <formula>"S"</formula>
    </cfRule>
  </conditionalFormatting>
  <conditionalFormatting sqref="AJ61:AL78">
    <cfRule type="cellIs" dxfId="925" priority="213" stopIfTrue="1" operator="equal">
      <formula>"M"</formula>
    </cfRule>
  </conditionalFormatting>
  <conditionalFormatting sqref="AJ61:AL78">
    <cfRule type="cellIs" dxfId="924" priority="214" stopIfTrue="1" operator="equal">
      <formula>"J"</formula>
    </cfRule>
  </conditionalFormatting>
  <conditionalFormatting sqref="AJ61:AL78">
    <cfRule type="cellIs" dxfId="923" priority="215" stopIfTrue="1" operator="equal">
      <formula>"O"</formula>
    </cfRule>
  </conditionalFormatting>
  <conditionalFormatting sqref="AJ61:AL78">
    <cfRule type="expression" dxfId="922" priority="216" stopIfTrue="1">
      <formula>LEN(TRIM(AJ61))=0</formula>
    </cfRule>
  </conditionalFormatting>
  <conditionalFormatting sqref="AJ80:AL83">
    <cfRule type="cellIs" dxfId="921" priority="217" stopIfTrue="1" operator="equal">
      <formula>"E"</formula>
    </cfRule>
  </conditionalFormatting>
  <conditionalFormatting sqref="AJ80:AL83">
    <cfRule type="cellIs" dxfId="920" priority="218" stopIfTrue="1" operator="equal">
      <formula>"S"</formula>
    </cfRule>
  </conditionalFormatting>
  <conditionalFormatting sqref="AJ80:AL83">
    <cfRule type="cellIs" dxfId="919" priority="219" stopIfTrue="1" operator="equal">
      <formula>"M"</formula>
    </cfRule>
  </conditionalFormatting>
  <conditionalFormatting sqref="AJ80:AL83">
    <cfRule type="cellIs" dxfId="918" priority="220" stopIfTrue="1" operator="equal">
      <formula>"J"</formula>
    </cfRule>
  </conditionalFormatting>
  <conditionalFormatting sqref="AJ80:AL83">
    <cfRule type="cellIs" dxfId="917" priority="221" stopIfTrue="1" operator="equal">
      <formula>"O"</formula>
    </cfRule>
  </conditionalFormatting>
  <conditionalFormatting sqref="AJ80:AL83">
    <cfRule type="expression" dxfId="916" priority="222" stopIfTrue="1">
      <formula>LEN(TRIM(AJ80))=0</formula>
    </cfRule>
  </conditionalFormatting>
  <conditionalFormatting sqref="AJ85:AL99">
    <cfRule type="cellIs" dxfId="915" priority="223" stopIfTrue="1" operator="equal">
      <formula>"E"</formula>
    </cfRule>
  </conditionalFormatting>
  <conditionalFormatting sqref="AJ85:AL99">
    <cfRule type="cellIs" dxfId="914" priority="224" stopIfTrue="1" operator="equal">
      <formula>"S"</formula>
    </cfRule>
  </conditionalFormatting>
  <conditionalFormatting sqref="AJ85:AL99">
    <cfRule type="cellIs" dxfId="913" priority="225" stopIfTrue="1" operator="equal">
      <formula>"M"</formula>
    </cfRule>
  </conditionalFormatting>
  <conditionalFormatting sqref="AJ85:AL99">
    <cfRule type="cellIs" dxfId="912" priority="226" stopIfTrue="1" operator="equal">
      <formula>"J"</formula>
    </cfRule>
  </conditionalFormatting>
  <conditionalFormatting sqref="AJ85:AL99">
    <cfRule type="cellIs" dxfId="911" priority="227" stopIfTrue="1" operator="equal">
      <formula>"O"</formula>
    </cfRule>
  </conditionalFormatting>
  <conditionalFormatting sqref="AJ85:AL99">
    <cfRule type="expression" dxfId="910" priority="228" stopIfTrue="1">
      <formula>LEN(TRIM(AJ85))=0</formula>
    </cfRule>
  </conditionalFormatting>
  <conditionalFormatting sqref="AJ102:AL106">
    <cfRule type="cellIs" dxfId="909" priority="229" stopIfTrue="1" operator="equal">
      <formula>"E"</formula>
    </cfRule>
  </conditionalFormatting>
  <conditionalFormatting sqref="AJ102:AL106">
    <cfRule type="cellIs" dxfId="908" priority="230" stopIfTrue="1" operator="equal">
      <formula>"S"</formula>
    </cfRule>
  </conditionalFormatting>
  <conditionalFormatting sqref="AJ102:AL106">
    <cfRule type="cellIs" dxfId="907" priority="231" stopIfTrue="1" operator="equal">
      <formula>"M"</formula>
    </cfRule>
  </conditionalFormatting>
  <conditionalFormatting sqref="AJ102:AL106">
    <cfRule type="cellIs" dxfId="906" priority="232" stopIfTrue="1" operator="equal">
      <formula>"J"</formula>
    </cfRule>
  </conditionalFormatting>
  <conditionalFormatting sqref="AJ102:AL106">
    <cfRule type="cellIs" dxfId="905" priority="233" stopIfTrue="1" operator="equal">
      <formula>"O"</formula>
    </cfRule>
  </conditionalFormatting>
  <conditionalFormatting sqref="AJ102:AL106">
    <cfRule type="expression" dxfId="904" priority="234" stopIfTrue="1">
      <formula>LEN(TRIM(AJ102))=0</formula>
    </cfRule>
  </conditionalFormatting>
  <conditionalFormatting sqref="AJ109:AL109">
    <cfRule type="cellIs" dxfId="903" priority="235" stopIfTrue="1" operator="equal">
      <formula>"E"</formula>
    </cfRule>
  </conditionalFormatting>
  <conditionalFormatting sqref="AJ109:AL109">
    <cfRule type="cellIs" dxfId="902" priority="236" stopIfTrue="1" operator="equal">
      <formula>"S"</formula>
    </cfRule>
  </conditionalFormatting>
  <conditionalFormatting sqref="AJ109:AL109">
    <cfRule type="cellIs" dxfId="901" priority="237" stopIfTrue="1" operator="equal">
      <formula>"M"</formula>
    </cfRule>
  </conditionalFormatting>
  <conditionalFormatting sqref="AJ109:AL109">
    <cfRule type="cellIs" dxfId="900" priority="238" stopIfTrue="1" operator="equal">
      <formula>"J"</formula>
    </cfRule>
  </conditionalFormatting>
  <conditionalFormatting sqref="AJ109:AL109">
    <cfRule type="cellIs" dxfId="899" priority="239" stopIfTrue="1" operator="equal">
      <formula>"O"</formula>
    </cfRule>
  </conditionalFormatting>
  <conditionalFormatting sqref="AJ109:AL109">
    <cfRule type="expression" dxfId="898" priority="240" stopIfTrue="1">
      <formula>LEN(TRIM(AJ109))=0</formula>
    </cfRule>
  </conditionalFormatting>
  <conditionalFormatting sqref="AM4:AO16">
    <cfRule type="cellIs" dxfId="897" priority="241" stopIfTrue="1" operator="equal">
      <formula>"E"</formula>
    </cfRule>
    <cfRule type="cellIs" dxfId="896" priority="242" stopIfTrue="1" operator="equal">
      <formula>"S"</formula>
    </cfRule>
    <cfRule type="cellIs" dxfId="895" priority="243" stopIfTrue="1" operator="equal">
      <formula>"M"</formula>
    </cfRule>
    <cfRule type="cellIs" dxfId="894" priority="244" stopIfTrue="1" operator="equal">
      <formula>"J"</formula>
    </cfRule>
    <cfRule type="cellIs" dxfId="893" priority="245" stopIfTrue="1" operator="equal">
      <formula>"O"</formula>
    </cfRule>
    <cfRule type="expression" dxfId="892" priority="246" stopIfTrue="1">
      <formula>LEN(TRIM(AM4))=0</formula>
    </cfRule>
  </conditionalFormatting>
  <conditionalFormatting sqref="AM18:AO26">
    <cfRule type="cellIs" dxfId="891" priority="247" stopIfTrue="1" operator="equal">
      <formula>"E"</formula>
    </cfRule>
    <cfRule type="cellIs" dxfId="890" priority="248" stopIfTrue="1" operator="equal">
      <formula>"S"</formula>
    </cfRule>
    <cfRule type="cellIs" dxfId="889" priority="249" stopIfTrue="1" operator="equal">
      <formula>"M"</formula>
    </cfRule>
    <cfRule type="cellIs" dxfId="888" priority="250" stopIfTrue="1" operator="equal">
      <formula>"J"</formula>
    </cfRule>
    <cfRule type="cellIs" dxfId="887" priority="251" stopIfTrue="1" operator="equal">
      <formula>"O"</formula>
    </cfRule>
    <cfRule type="expression" dxfId="886" priority="252" stopIfTrue="1">
      <formula>LEN(TRIM(AM18))=0</formula>
    </cfRule>
  </conditionalFormatting>
  <conditionalFormatting sqref="AM28:AO37">
    <cfRule type="cellIs" dxfId="885" priority="253" stopIfTrue="1" operator="equal">
      <formula>"E"</formula>
    </cfRule>
    <cfRule type="cellIs" dxfId="884" priority="254" stopIfTrue="1" operator="equal">
      <formula>"S"</formula>
    </cfRule>
    <cfRule type="cellIs" dxfId="883" priority="255" stopIfTrue="1" operator="equal">
      <formula>"M"</formula>
    </cfRule>
    <cfRule type="cellIs" dxfId="882" priority="256" stopIfTrue="1" operator="equal">
      <formula>"J"</formula>
    </cfRule>
    <cfRule type="cellIs" dxfId="881" priority="257" stopIfTrue="1" operator="equal">
      <formula>"O"</formula>
    </cfRule>
    <cfRule type="expression" dxfId="880" priority="258" stopIfTrue="1">
      <formula>LEN(TRIM(AM28))=0</formula>
    </cfRule>
  </conditionalFormatting>
  <conditionalFormatting sqref="AM39:AO50">
    <cfRule type="cellIs" dxfId="879" priority="259" stopIfTrue="1" operator="equal">
      <formula>"E"</formula>
    </cfRule>
  </conditionalFormatting>
  <conditionalFormatting sqref="AM39:AO50">
    <cfRule type="cellIs" dxfId="878" priority="260" stopIfTrue="1" operator="equal">
      <formula>"S"</formula>
    </cfRule>
  </conditionalFormatting>
  <conditionalFormatting sqref="AM39:AO50">
    <cfRule type="cellIs" dxfId="877" priority="261" stopIfTrue="1" operator="equal">
      <formula>"M"</formula>
    </cfRule>
  </conditionalFormatting>
  <conditionalFormatting sqref="AM39:AO50">
    <cfRule type="cellIs" dxfId="876" priority="262" stopIfTrue="1" operator="equal">
      <formula>"J"</formula>
    </cfRule>
  </conditionalFormatting>
  <conditionalFormatting sqref="AM39:AO50">
    <cfRule type="cellIs" dxfId="875" priority="263" stopIfTrue="1" operator="equal">
      <formula>"O"</formula>
    </cfRule>
  </conditionalFormatting>
  <conditionalFormatting sqref="AM39:AO50">
    <cfRule type="expression" dxfId="874" priority="264" stopIfTrue="1">
      <formula>LEN(TRIM(AM39))=0</formula>
    </cfRule>
  </conditionalFormatting>
  <conditionalFormatting sqref="AM52:AO59">
    <cfRule type="cellIs" dxfId="873" priority="265" stopIfTrue="1" operator="equal">
      <formula>"E"</formula>
    </cfRule>
  </conditionalFormatting>
  <conditionalFormatting sqref="AM52:AO59">
    <cfRule type="cellIs" dxfId="872" priority="266" stopIfTrue="1" operator="equal">
      <formula>"S"</formula>
    </cfRule>
  </conditionalFormatting>
  <conditionalFormatting sqref="AM52:AO59">
    <cfRule type="cellIs" dxfId="871" priority="267" stopIfTrue="1" operator="equal">
      <formula>"M"</formula>
    </cfRule>
  </conditionalFormatting>
  <conditionalFormatting sqref="AM52:AO59">
    <cfRule type="cellIs" dxfId="870" priority="268" stopIfTrue="1" operator="equal">
      <formula>"J"</formula>
    </cfRule>
  </conditionalFormatting>
  <conditionalFormatting sqref="AM52:AO59">
    <cfRule type="cellIs" dxfId="869" priority="269" stopIfTrue="1" operator="equal">
      <formula>"O"</formula>
    </cfRule>
  </conditionalFormatting>
  <conditionalFormatting sqref="AM52:AO59">
    <cfRule type="expression" dxfId="868" priority="270" stopIfTrue="1">
      <formula>LEN(TRIM(AM52))=0</formula>
    </cfRule>
  </conditionalFormatting>
  <conditionalFormatting sqref="AM61:AO78">
    <cfRule type="cellIs" dxfId="867" priority="271" stopIfTrue="1" operator="equal">
      <formula>"E"</formula>
    </cfRule>
  </conditionalFormatting>
  <conditionalFormatting sqref="AM61:AO78">
    <cfRule type="cellIs" dxfId="866" priority="272" stopIfTrue="1" operator="equal">
      <formula>"S"</formula>
    </cfRule>
  </conditionalFormatting>
  <conditionalFormatting sqref="AM61:AO78">
    <cfRule type="cellIs" dxfId="865" priority="273" stopIfTrue="1" operator="equal">
      <formula>"M"</formula>
    </cfRule>
  </conditionalFormatting>
  <conditionalFormatting sqref="AM61:AO78">
    <cfRule type="cellIs" dxfId="864" priority="274" stopIfTrue="1" operator="equal">
      <formula>"J"</formula>
    </cfRule>
  </conditionalFormatting>
  <conditionalFormatting sqref="AM61:AO78">
    <cfRule type="cellIs" dxfId="863" priority="275" stopIfTrue="1" operator="equal">
      <formula>"O"</formula>
    </cfRule>
  </conditionalFormatting>
  <conditionalFormatting sqref="AM61:AO78">
    <cfRule type="expression" dxfId="862" priority="276" stopIfTrue="1">
      <formula>LEN(TRIM(AM61))=0</formula>
    </cfRule>
  </conditionalFormatting>
  <conditionalFormatting sqref="AM80:AO83">
    <cfRule type="cellIs" dxfId="861" priority="277" stopIfTrue="1" operator="equal">
      <formula>"E"</formula>
    </cfRule>
  </conditionalFormatting>
  <conditionalFormatting sqref="AM80:AO83">
    <cfRule type="cellIs" dxfId="860" priority="278" stopIfTrue="1" operator="equal">
      <formula>"S"</formula>
    </cfRule>
  </conditionalFormatting>
  <conditionalFormatting sqref="AM80:AO83">
    <cfRule type="cellIs" dxfId="859" priority="279" stopIfTrue="1" operator="equal">
      <formula>"M"</formula>
    </cfRule>
  </conditionalFormatting>
  <conditionalFormatting sqref="AM80:AO83">
    <cfRule type="cellIs" dxfId="858" priority="280" stopIfTrue="1" operator="equal">
      <formula>"J"</formula>
    </cfRule>
  </conditionalFormatting>
  <conditionalFormatting sqref="AM80:AO83">
    <cfRule type="cellIs" dxfId="857" priority="281" stopIfTrue="1" operator="equal">
      <formula>"O"</formula>
    </cfRule>
  </conditionalFormatting>
  <conditionalFormatting sqref="AM80:AO83">
    <cfRule type="expression" dxfId="856" priority="282" stopIfTrue="1">
      <formula>LEN(TRIM(AM80))=0</formula>
    </cfRule>
  </conditionalFormatting>
  <conditionalFormatting sqref="AM85:AO99">
    <cfRule type="cellIs" dxfId="855" priority="283" stopIfTrue="1" operator="equal">
      <formula>"E"</formula>
    </cfRule>
  </conditionalFormatting>
  <conditionalFormatting sqref="AM85:AO99">
    <cfRule type="cellIs" dxfId="854" priority="284" stopIfTrue="1" operator="equal">
      <formula>"S"</formula>
    </cfRule>
  </conditionalFormatting>
  <conditionalFormatting sqref="AM85:AO99">
    <cfRule type="cellIs" dxfId="853" priority="285" stopIfTrue="1" operator="equal">
      <formula>"M"</formula>
    </cfRule>
  </conditionalFormatting>
  <conditionalFormatting sqref="AM85:AO99">
    <cfRule type="cellIs" dxfId="852" priority="286" stopIfTrue="1" operator="equal">
      <formula>"J"</formula>
    </cfRule>
  </conditionalFormatting>
  <conditionalFormatting sqref="AM85:AO99">
    <cfRule type="cellIs" dxfId="851" priority="287" stopIfTrue="1" operator="equal">
      <formula>"O"</formula>
    </cfRule>
  </conditionalFormatting>
  <conditionalFormatting sqref="AM85:AO99">
    <cfRule type="expression" dxfId="850" priority="288" stopIfTrue="1">
      <formula>LEN(TRIM(AM85))=0</formula>
    </cfRule>
  </conditionalFormatting>
  <conditionalFormatting sqref="AM102:AO106">
    <cfRule type="cellIs" dxfId="849" priority="289" stopIfTrue="1" operator="equal">
      <formula>"E"</formula>
    </cfRule>
  </conditionalFormatting>
  <conditionalFormatting sqref="AM102:AO106">
    <cfRule type="cellIs" dxfId="848" priority="290" stopIfTrue="1" operator="equal">
      <formula>"S"</formula>
    </cfRule>
  </conditionalFormatting>
  <conditionalFormatting sqref="AM102:AO106">
    <cfRule type="cellIs" dxfId="847" priority="291" stopIfTrue="1" operator="equal">
      <formula>"M"</formula>
    </cfRule>
  </conditionalFormatting>
  <conditionalFormatting sqref="AM102:AO106">
    <cfRule type="cellIs" dxfId="846" priority="292" stopIfTrue="1" operator="equal">
      <formula>"J"</formula>
    </cfRule>
  </conditionalFormatting>
  <conditionalFormatting sqref="AM102:AO106">
    <cfRule type="cellIs" dxfId="845" priority="293" stopIfTrue="1" operator="equal">
      <formula>"O"</formula>
    </cfRule>
  </conditionalFormatting>
  <conditionalFormatting sqref="AM102:AO106">
    <cfRule type="expression" dxfId="844" priority="294" stopIfTrue="1">
      <formula>LEN(TRIM(AM102))=0</formula>
    </cfRule>
  </conditionalFormatting>
  <conditionalFormatting sqref="AM109:AO109">
    <cfRule type="cellIs" dxfId="843" priority="295" stopIfTrue="1" operator="equal">
      <formula>"E"</formula>
    </cfRule>
  </conditionalFormatting>
  <conditionalFormatting sqref="AM109:AO109">
    <cfRule type="cellIs" dxfId="842" priority="296" stopIfTrue="1" operator="equal">
      <formula>"S"</formula>
    </cfRule>
  </conditionalFormatting>
  <conditionalFormatting sqref="AM109:AO109">
    <cfRule type="cellIs" dxfId="841" priority="297" stopIfTrue="1" operator="equal">
      <formula>"M"</formula>
    </cfRule>
  </conditionalFormatting>
  <conditionalFormatting sqref="AM109:AO109">
    <cfRule type="cellIs" dxfId="840" priority="298" stopIfTrue="1" operator="equal">
      <formula>"J"</formula>
    </cfRule>
  </conditionalFormatting>
  <conditionalFormatting sqref="AM109:AO109">
    <cfRule type="cellIs" dxfId="839" priority="299" stopIfTrue="1" operator="equal">
      <formula>"O"</formula>
    </cfRule>
  </conditionalFormatting>
  <conditionalFormatting sqref="AM109:AO109">
    <cfRule type="expression" dxfId="838" priority="300" stopIfTrue="1">
      <formula>LEN(TRIM(AM109))=0</formula>
    </cfRule>
  </conditionalFormatting>
  <conditionalFormatting sqref="AP4:AT16">
    <cfRule type="cellIs" dxfId="837" priority="301" stopIfTrue="1" operator="equal">
      <formula>"E"</formula>
    </cfRule>
    <cfRule type="cellIs" dxfId="836" priority="302" stopIfTrue="1" operator="equal">
      <formula>"S"</formula>
    </cfRule>
    <cfRule type="cellIs" dxfId="835" priority="303" stopIfTrue="1" operator="equal">
      <formula>"M"</formula>
    </cfRule>
    <cfRule type="cellIs" dxfId="834" priority="304" stopIfTrue="1" operator="equal">
      <formula>"J"</formula>
    </cfRule>
    <cfRule type="cellIs" dxfId="833" priority="305" stopIfTrue="1" operator="equal">
      <formula>"O"</formula>
    </cfRule>
    <cfRule type="expression" dxfId="832" priority="306" stopIfTrue="1">
      <formula>LEN(TRIM(AP4))=0</formula>
    </cfRule>
  </conditionalFormatting>
  <conditionalFormatting sqref="AP18:AT26">
    <cfRule type="cellIs" dxfId="831" priority="307" stopIfTrue="1" operator="equal">
      <formula>"E"</formula>
    </cfRule>
    <cfRule type="cellIs" dxfId="830" priority="308" stopIfTrue="1" operator="equal">
      <formula>"S"</formula>
    </cfRule>
    <cfRule type="cellIs" dxfId="829" priority="309" stopIfTrue="1" operator="equal">
      <formula>"M"</formula>
    </cfRule>
    <cfRule type="cellIs" dxfId="828" priority="310" stopIfTrue="1" operator="equal">
      <formula>"J"</formula>
    </cfRule>
    <cfRule type="cellIs" dxfId="827" priority="311" stopIfTrue="1" operator="equal">
      <formula>"O"</formula>
    </cfRule>
    <cfRule type="expression" dxfId="826" priority="312" stopIfTrue="1">
      <formula>LEN(TRIM(AP18))=0</formula>
    </cfRule>
  </conditionalFormatting>
  <conditionalFormatting sqref="AP28:AT37">
    <cfRule type="cellIs" dxfId="825" priority="313" stopIfTrue="1" operator="equal">
      <formula>"E"</formula>
    </cfRule>
    <cfRule type="cellIs" dxfId="824" priority="314" stopIfTrue="1" operator="equal">
      <formula>"S"</formula>
    </cfRule>
    <cfRule type="cellIs" dxfId="823" priority="315" stopIfTrue="1" operator="equal">
      <formula>"M"</formula>
    </cfRule>
    <cfRule type="cellIs" dxfId="822" priority="316" stopIfTrue="1" operator="equal">
      <formula>"J"</formula>
    </cfRule>
    <cfRule type="cellIs" dxfId="821" priority="317" stopIfTrue="1" operator="equal">
      <formula>"O"</formula>
    </cfRule>
    <cfRule type="expression" dxfId="820" priority="318" stopIfTrue="1">
      <formula>LEN(TRIM(AP28))=0</formula>
    </cfRule>
  </conditionalFormatting>
  <conditionalFormatting sqref="AP39:AT50">
    <cfRule type="cellIs" dxfId="819" priority="319" stopIfTrue="1" operator="equal">
      <formula>"E"</formula>
    </cfRule>
  </conditionalFormatting>
  <conditionalFormatting sqref="AP39:AT50">
    <cfRule type="cellIs" dxfId="818" priority="320" stopIfTrue="1" operator="equal">
      <formula>"S"</formula>
    </cfRule>
  </conditionalFormatting>
  <conditionalFormatting sqref="AP39:AT50">
    <cfRule type="cellIs" dxfId="817" priority="321" stopIfTrue="1" operator="equal">
      <formula>"M"</formula>
    </cfRule>
  </conditionalFormatting>
  <conditionalFormatting sqref="AP39:AT50">
    <cfRule type="cellIs" dxfId="816" priority="322" stopIfTrue="1" operator="equal">
      <formula>"J"</formula>
    </cfRule>
  </conditionalFormatting>
  <conditionalFormatting sqref="AP39:AT50">
    <cfRule type="cellIs" dxfId="815" priority="323" stopIfTrue="1" operator="equal">
      <formula>"O"</formula>
    </cfRule>
  </conditionalFormatting>
  <conditionalFormatting sqref="AP39:AT50">
    <cfRule type="expression" dxfId="814" priority="324" stopIfTrue="1">
      <formula>LEN(TRIM(AP39))=0</formula>
    </cfRule>
  </conditionalFormatting>
  <conditionalFormatting sqref="AP52:AT59">
    <cfRule type="cellIs" dxfId="813" priority="325" stopIfTrue="1" operator="equal">
      <formula>"E"</formula>
    </cfRule>
  </conditionalFormatting>
  <conditionalFormatting sqref="AP52:AT59">
    <cfRule type="cellIs" dxfId="812" priority="326" stopIfTrue="1" operator="equal">
      <formula>"S"</formula>
    </cfRule>
  </conditionalFormatting>
  <conditionalFormatting sqref="AP52:AT59">
    <cfRule type="cellIs" dxfId="811" priority="327" stopIfTrue="1" operator="equal">
      <formula>"M"</formula>
    </cfRule>
  </conditionalFormatting>
  <conditionalFormatting sqref="AP52:AT59">
    <cfRule type="cellIs" dxfId="810" priority="328" stopIfTrue="1" operator="equal">
      <formula>"J"</formula>
    </cfRule>
  </conditionalFormatting>
  <conditionalFormatting sqref="AP52:AT59">
    <cfRule type="cellIs" dxfId="809" priority="329" stopIfTrue="1" operator="equal">
      <formula>"O"</formula>
    </cfRule>
  </conditionalFormatting>
  <conditionalFormatting sqref="AP52:AT59">
    <cfRule type="expression" dxfId="808" priority="330" stopIfTrue="1">
      <formula>LEN(TRIM(AP52))=0</formula>
    </cfRule>
  </conditionalFormatting>
  <conditionalFormatting sqref="AP61:AT78">
    <cfRule type="cellIs" dxfId="807" priority="331" stopIfTrue="1" operator="equal">
      <formula>"E"</formula>
    </cfRule>
  </conditionalFormatting>
  <conditionalFormatting sqref="AP61:AT78">
    <cfRule type="cellIs" dxfId="806" priority="332" stopIfTrue="1" operator="equal">
      <formula>"S"</formula>
    </cfRule>
  </conditionalFormatting>
  <conditionalFormatting sqref="AP61:AT78">
    <cfRule type="cellIs" dxfId="805" priority="333" stopIfTrue="1" operator="equal">
      <formula>"M"</formula>
    </cfRule>
  </conditionalFormatting>
  <conditionalFormatting sqref="AP61:AT78">
    <cfRule type="cellIs" dxfId="804" priority="334" stopIfTrue="1" operator="equal">
      <formula>"J"</formula>
    </cfRule>
  </conditionalFormatting>
  <conditionalFormatting sqref="AP61:AT78">
    <cfRule type="cellIs" dxfId="803" priority="335" stopIfTrue="1" operator="equal">
      <formula>"O"</formula>
    </cfRule>
  </conditionalFormatting>
  <conditionalFormatting sqref="AP61:AT78">
    <cfRule type="expression" dxfId="802" priority="336" stopIfTrue="1">
      <formula>LEN(TRIM(AP61))=0</formula>
    </cfRule>
  </conditionalFormatting>
  <conditionalFormatting sqref="AP80:AT83">
    <cfRule type="cellIs" dxfId="801" priority="337" stopIfTrue="1" operator="equal">
      <formula>"E"</formula>
    </cfRule>
  </conditionalFormatting>
  <conditionalFormatting sqref="AP80:AT83">
    <cfRule type="cellIs" dxfId="800" priority="338" stopIfTrue="1" operator="equal">
      <formula>"S"</formula>
    </cfRule>
  </conditionalFormatting>
  <conditionalFormatting sqref="AP80:AT83">
    <cfRule type="cellIs" dxfId="799" priority="339" stopIfTrue="1" operator="equal">
      <formula>"M"</formula>
    </cfRule>
  </conditionalFormatting>
  <conditionalFormatting sqref="AP80:AT83">
    <cfRule type="cellIs" dxfId="798" priority="340" stopIfTrue="1" operator="equal">
      <formula>"J"</formula>
    </cfRule>
  </conditionalFormatting>
  <conditionalFormatting sqref="AP80:AT83">
    <cfRule type="cellIs" dxfId="797" priority="341" stopIfTrue="1" operator="equal">
      <formula>"O"</formula>
    </cfRule>
  </conditionalFormatting>
  <conditionalFormatting sqref="AP80:AT83">
    <cfRule type="expression" dxfId="796" priority="342" stopIfTrue="1">
      <formula>LEN(TRIM(AP80))=0</formula>
    </cfRule>
  </conditionalFormatting>
  <conditionalFormatting sqref="AP85:AT99">
    <cfRule type="cellIs" dxfId="795" priority="343" stopIfTrue="1" operator="equal">
      <formula>"E"</formula>
    </cfRule>
  </conditionalFormatting>
  <conditionalFormatting sqref="AP85:AT99">
    <cfRule type="cellIs" dxfId="794" priority="344" stopIfTrue="1" operator="equal">
      <formula>"S"</formula>
    </cfRule>
  </conditionalFormatting>
  <conditionalFormatting sqref="AP85:AT99">
    <cfRule type="cellIs" dxfId="793" priority="345" stopIfTrue="1" operator="equal">
      <formula>"M"</formula>
    </cfRule>
  </conditionalFormatting>
  <conditionalFormatting sqref="AP85:AT99">
    <cfRule type="cellIs" dxfId="792" priority="346" stopIfTrue="1" operator="equal">
      <formula>"J"</formula>
    </cfRule>
  </conditionalFormatting>
  <conditionalFormatting sqref="AP85:AT99">
    <cfRule type="cellIs" dxfId="791" priority="347" stopIfTrue="1" operator="equal">
      <formula>"O"</formula>
    </cfRule>
  </conditionalFormatting>
  <conditionalFormatting sqref="AP85:AT99">
    <cfRule type="expression" dxfId="790" priority="348" stopIfTrue="1">
      <formula>LEN(TRIM(AP85))=0</formula>
    </cfRule>
  </conditionalFormatting>
  <conditionalFormatting sqref="AP102:AT106">
    <cfRule type="cellIs" dxfId="789" priority="349" stopIfTrue="1" operator="equal">
      <formula>"E"</formula>
    </cfRule>
  </conditionalFormatting>
  <conditionalFormatting sqref="AP102:AT106">
    <cfRule type="cellIs" dxfId="788" priority="350" stopIfTrue="1" operator="equal">
      <formula>"S"</formula>
    </cfRule>
  </conditionalFormatting>
  <conditionalFormatting sqref="AP102:AT106">
    <cfRule type="cellIs" dxfId="787" priority="351" stopIfTrue="1" operator="equal">
      <formula>"M"</formula>
    </cfRule>
  </conditionalFormatting>
  <conditionalFormatting sqref="AP102:AT106">
    <cfRule type="cellIs" dxfId="786" priority="352" stopIfTrue="1" operator="equal">
      <formula>"J"</formula>
    </cfRule>
  </conditionalFormatting>
  <conditionalFormatting sqref="AP102:AT106">
    <cfRule type="cellIs" dxfId="785" priority="353" stopIfTrue="1" operator="equal">
      <formula>"O"</formula>
    </cfRule>
  </conditionalFormatting>
  <conditionalFormatting sqref="AP102:AT106">
    <cfRule type="expression" dxfId="784" priority="354" stopIfTrue="1">
      <formula>LEN(TRIM(AP102))=0</formula>
    </cfRule>
  </conditionalFormatting>
  <conditionalFormatting sqref="AP109:AT109">
    <cfRule type="cellIs" dxfId="783" priority="355" stopIfTrue="1" operator="equal">
      <formula>"E"</formula>
    </cfRule>
  </conditionalFormatting>
  <conditionalFormatting sqref="AP109:AT109">
    <cfRule type="cellIs" dxfId="782" priority="356" stopIfTrue="1" operator="equal">
      <formula>"S"</formula>
    </cfRule>
  </conditionalFormatting>
  <conditionalFormatting sqref="AP109:AT109">
    <cfRule type="cellIs" dxfId="781" priority="357" stopIfTrue="1" operator="equal">
      <formula>"M"</formula>
    </cfRule>
  </conditionalFormatting>
  <conditionalFormatting sqref="AP109:AT109">
    <cfRule type="cellIs" dxfId="780" priority="358" stopIfTrue="1" operator="equal">
      <formula>"J"</formula>
    </cfRule>
  </conditionalFormatting>
  <conditionalFormatting sqref="AP109:AT109">
    <cfRule type="cellIs" dxfId="779" priority="359" stopIfTrue="1" operator="equal">
      <formula>"O"</formula>
    </cfRule>
  </conditionalFormatting>
  <conditionalFormatting sqref="AP109:AT109">
    <cfRule type="expression" dxfId="778" priority="360" stopIfTrue="1">
      <formula>LEN(TRIM(AP109))=0</formula>
    </cfRule>
  </conditionalFormatting>
  <conditionalFormatting sqref="AU4:BB16">
    <cfRule type="cellIs" dxfId="777" priority="361" stopIfTrue="1" operator="equal">
      <formula>"E"</formula>
    </cfRule>
    <cfRule type="cellIs" dxfId="776" priority="362" stopIfTrue="1" operator="equal">
      <formula>"S"</formula>
    </cfRule>
    <cfRule type="cellIs" dxfId="775" priority="363" stopIfTrue="1" operator="equal">
      <formula>"M"</formula>
    </cfRule>
    <cfRule type="cellIs" dxfId="774" priority="364" stopIfTrue="1" operator="equal">
      <formula>"J"</formula>
    </cfRule>
    <cfRule type="cellIs" dxfId="773" priority="365" stopIfTrue="1" operator="equal">
      <formula>"O"</formula>
    </cfRule>
    <cfRule type="expression" dxfId="772" priority="366" stopIfTrue="1">
      <formula>LEN(TRIM(AU4))=0</formula>
    </cfRule>
  </conditionalFormatting>
  <conditionalFormatting sqref="AU18:BB26">
    <cfRule type="cellIs" dxfId="771" priority="367" stopIfTrue="1" operator="equal">
      <formula>"E"</formula>
    </cfRule>
    <cfRule type="cellIs" dxfId="770" priority="368" stopIfTrue="1" operator="equal">
      <formula>"S"</formula>
    </cfRule>
    <cfRule type="cellIs" dxfId="769" priority="369" stopIfTrue="1" operator="equal">
      <formula>"M"</formula>
    </cfRule>
    <cfRule type="cellIs" dxfId="768" priority="370" stopIfTrue="1" operator="equal">
      <formula>"J"</formula>
    </cfRule>
    <cfRule type="cellIs" dxfId="767" priority="371" stopIfTrue="1" operator="equal">
      <formula>"O"</formula>
    </cfRule>
    <cfRule type="expression" dxfId="766" priority="372" stopIfTrue="1">
      <formula>LEN(TRIM(AU18))=0</formula>
    </cfRule>
  </conditionalFormatting>
  <conditionalFormatting sqref="AU28:BB37">
    <cfRule type="cellIs" dxfId="765" priority="373" stopIfTrue="1" operator="equal">
      <formula>"E"</formula>
    </cfRule>
    <cfRule type="cellIs" dxfId="764" priority="374" stopIfTrue="1" operator="equal">
      <formula>"S"</formula>
    </cfRule>
    <cfRule type="cellIs" dxfId="763" priority="375" stopIfTrue="1" operator="equal">
      <formula>"M"</formula>
    </cfRule>
    <cfRule type="cellIs" dxfId="762" priority="376" stopIfTrue="1" operator="equal">
      <formula>"J"</formula>
    </cfRule>
    <cfRule type="cellIs" dxfId="761" priority="377" stopIfTrue="1" operator="equal">
      <formula>"O"</formula>
    </cfRule>
    <cfRule type="expression" dxfId="760" priority="378" stopIfTrue="1">
      <formula>LEN(TRIM(AU28))=0</formula>
    </cfRule>
  </conditionalFormatting>
  <conditionalFormatting sqref="AU39:BB50">
    <cfRule type="cellIs" dxfId="759" priority="379" stopIfTrue="1" operator="equal">
      <formula>"E"</formula>
    </cfRule>
  </conditionalFormatting>
  <conditionalFormatting sqref="AU39:BB50">
    <cfRule type="cellIs" dxfId="758" priority="380" stopIfTrue="1" operator="equal">
      <formula>"S"</formula>
    </cfRule>
  </conditionalFormatting>
  <conditionalFormatting sqref="AU39:BB50">
    <cfRule type="cellIs" dxfId="757" priority="381" stopIfTrue="1" operator="equal">
      <formula>"M"</formula>
    </cfRule>
  </conditionalFormatting>
  <conditionalFormatting sqref="AU39:BB50">
    <cfRule type="cellIs" dxfId="756" priority="382" stopIfTrue="1" operator="equal">
      <formula>"J"</formula>
    </cfRule>
  </conditionalFormatting>
  <conditionalFormatting sqref="AU39:BB50">
    <cfRule type="cellIs" dxfId="755" priority="383" stopIfTrue="1" operator="equal">
      <formula>"O"</formula>
    </cfRule>
  </conditionalFormatting>
  <conditionalFormatting sqref="AU39:BB50">
    <cfRule type="expression" dxfId="754" priority="384" stopIfTrue="1">
      <formula>LEN(TRIM(AU39))=0</formula>
    </cfRule>
  </conditionalFormatting>
  <conditionalFormatting sqref="AU52:BB59">
    <cfRule type="cellIs" dxfId="753" priority="385" stopIfTrue="1" operator="equal">
      <formula>"E"</formula>
    </cfRule>
  </conditionalFormatting>
  <conditionalFormatting sqref="AU52:BB59">
    <cfRule type="cellIs" dxfId="752" priority="386" stopIfTrue="1" operator="equal">
      <formula>"S"</formula>
    </cfRule>
  </conditionalFormatting>
  <conditionalFormatting sqref="AU52:BB59">
    <cfRule type="cellIs" dxfId="751" priority="387" stopIfTrue="1" operator="equal">
      <formula>"M"</formula>
    </cfRule>
  </conditionalFormatting>
  <conditionalFormatting sqref="AU52:BB59">
    <cfRule type="cellIs" dxfId="750" priority="388" stopIfTrue="1" operator="equal">
      <formula>"J"</formula>
    </cfRule>
  </conditionalFormatting>
  <conditionalFormatting sqref="AU52:BB59">
    <cfRule type="cellIs" dxfId="749" priority="389" stopIfTrue="1" operator="equal">
      <formula>"O"</formula>
    </cfRule>
  </conditionalFormatting>
  <conditionalFormatting sqref="AU52:BB59">
    <cfRule type="expression" dxfId="748" priority="390" stopIfTrue="1">
      <formula>LEN(TRIM(AU52))=0</formula>
    </cfRule>
  </conditionalFormatting>
  <conditionalFormatting sqref="AU61:BB78">
    <cfRule type="cellIs" dxfId="747" priority="391" stopIfTrue="1" operator="equal">
      <formula>"E"</formula>
    </cfRule>
  </conditionalFormatting>
  <conditionalFormatting sqref="AU61:BB78">
    <cfRule type="cellIs" dxfId="746" priority="392" stopIfTrue="1" operator="equal">
      <formula>"S"</formula>
    </cfRule>
  </conditionalFormatting>
  <conditionalFormatting sqref="AU61:BB78">
    <cfRule type="cellIs" dxfId="745" priority="393" stopIfTrue="1" operator="equal">
      <formula>"M"</formula>
    </cfRule>
  </conditionalFormatting>
  <conditionalFormatting sqref="AU61:BB78">
    <cfRule type="cellIs" dxfId="744" priority="394" stopIfTrue="1" operator="equal">
      <formula>"J"</formula>
    </cfRule>
  </conditionalFormatting>
  <conditionalFormatting sqref="AU61:BB78">
    <cfRule type="cellIs" dxfId="743" priority="395" stopIfTrue="1" operator="equal">
      <formula>"O"</formula>
    </cfRule>
  </conditionalFormatting>
  <conditionalFormatting sqref="AU61:BB78">
    <cfRule type="expression" dxfId="742" priority="396" stopIfTrue="1">
      <formula>LEN(TRIM(AU61))=0</formula>
    </cfRule>
  </conditionalFormatting>
  <conditionalFormatting sqref="AU80:BB83">
    <cfRule type="cellIs" dxfId="741" priority="397" stopIfTrue="1" operator="equal">
      <formula>"E"</formula>
    </cfRule>
  </conditionalFormatting>
  <conditionalFormatting sqref="AU80:BB83">
    <cfRule type="cellIs" dxfId="740" priority="398" stopIfTrue="1" operator="equal">
      <formula>"S"</formula>
    </cfRule>
  </conditionalFormatting>
  <conditionalFormatting sqref="AU80:BB83">
    <cfRule type="cellIs" dxfId="739" priority="399" stopIfTrue="1" operator="equal">
      <formula>"M"</formula>
    </cfRule>
  </conditionalFormatting>
  <conditionalFormatting sqref="AU80:BB83">
    <cfRule type="cellIs" dxfId="738" priority="400" stopIfTrue="1" operator="equal">
      <formula>"J"</formula>
    </cfRule>
  </conditionalFormatting>
  <conditionalFormatting sqref="AU80:BB83">
    <cfRule type="cellIs" dxfId="737" priority="401" stopIfTrue="1" operator="equal">
      <formula>"O"</formula>
    </cfRule>
  </conditionalFormatting>
  <conditionalFormatting sqref="AU80:BB83">
    <cfRule type="expression" dxfId="736" priority="402" stopIfTrue="1">
      <formula>LEN(TRIM(AU80))=0</formula>
    </cfRule>
  </conditionalFormatting>
  <conditionalFormatting sqref="AU85:BB99">
    <cfRule type="cellIs" dxfId="735" priority="403" stopIfTrue="1" operator="equal">
      <formula>"E"</formula>
    </cfRule>
  </conditionalFormatting>
  <conditionalFormatting sqref="AU85:BB99">
    <cfRule type="cellIs" dxfId="734" priority="404" stopIfTrue="1" operator="equal">
      <formula>"S"</formula>
    </cfRule>
  </conditionalFormatting>
  <conditionalFormatting sqref="AU85:BB99">
    <cfRule type="cellIs" dxfId="733" priority="405" stopIfTrue="1" operator="equal">
      <formula>"M"</formula>
    </cfRule>
  </conditionalFormatting>
  <conditionalFormatting sqref="AU85:BB99">
    <cfRule type="cellIs" dxfId="732" priority="406" stopIfTrue="1" operator="equal">
      <formula>"J"</formula>
    </cfRule>
  </conditionalFormatting>
  <conditionalFormatting sqref="AU85:BB99">
    <cfRule type="cellIs" dxfId="731" priority="407" stopIfTrue="1" operator="equal">
      <formula>"O"</formula>
    </cfRule>
  </conditionalFormatting>
  <conditionalFormatting sqref="AU85:BB99">
    <cfRule type="expression" dxfId="730" priority="408" stopIfTrue="1">
      <formula>LEN(TRIM(AU85))=0</formula>
    </cfRule>
  </conditionalFormatting>
  <conditionalFormatting sqref="AU102:BB106">
    <cfRule type="cellIs" dxfId="729" priority="409" stopIfTrue="1" operator="equal">
      <formula>"E"</formula>
    </cfRule>
  </conditionalFormatting>
  <conditionalFormatting sqref="AU102:BB106">
    <cfRule type="cellIs" dxfId="728" priority="410" stopIfTrue="1" operator="equal">
      <formula>"S"</formula>
    </cfRule>
  </conditionalFormatting>
  <conditionalFormatting sqref="AU102:BB106">
    <cfRule type="cellIs" dxfId="727" priority="411" stopIfTrue="1" operator="equal">
      <formula>"M"</formula>
    </cfRule>
  </conditionalFormatting>
  <conditionalFormatting sqref="AU102:BB106">
    <cfRule type="cellIs" dxfId="726" priority="412" stopIfTrue="1" operator="equal">
      <formula>"J"</formula>
    </cfRule>
  </conditionalFormatting>
  <conditionalFormatting sqref="AU102:BB106">
    <cfRule type="cellIs" dxfId="725" priority="413" stopIfTrue="1" operator="equal">
      <formula>"O"</formula>
    </cfRule>
  </conditionalFormatting>
  <conditionalFormatting sqref="AU102:BB106">
    <cfRule type="expression" dxfId="724" priority="414" stopIfTrue="1">
      <formula>LEN(TRIM(AU102))=0</formula>
    </cfRule>
  </conditionalFormatting>
  <conditionalFormatting sqref="AU109:BB109">
    <cfRule type="cellIs" dxfId="723" priority="415" stopIfTrue="1" operator="equal">
      <formula>"E"</formula>
    </cfRule>
  </conditionalFormatting>
  <conditionalFormatting sqref="AU109:BB109">
    <cfRule type="cellIs" dxfId="722" priority="416" stopIfTrue="1" operator="equal">
      <formula>"S"</formula>
    </cfRule>
  </conditionalFormatting>
  <conditionalFormatting sqref="AU109:BB109">
    <cfRule type="cellIs" dxfId="721" priority="417" stopIfTrue="1" operator="equal">
      <formula>"M"</formula>
    </cfRule>
  </conditionalFormatting>
  <conditionalFormatting sqref="AU109:BB109">
    <cfRule type="cellIs" dxfId="720" priority="418" stopIfTrue="1" operator="equal">
      <formula>"J"</formula>
    </cfRule>
  </conditionalFormatting>
  <conditionalFormatting sqref="AU109:BB109">
    <cfRule type="cellIs" dxfId="719" priority="419" stopIfTrue="1" operator="equal">
      <formula>"O"</formula>
    </cfRule>
  </conditionalFormatting>
  <conditionalFormatting sqref="AU109:BB109">
    <cfRule type="expression" dxfId="718" priority="420" stopIfTrue="1">
      <formula>LEN(TRIM(AU109))=0</formula>
    </cfRule>
  </conditionalFormatting>
  <conditionalFormatting sqref="BC4:BG16">
    <cfRule type="cellIs" dxfId="717" priority="421" stopIfTrue="1" operator="equal">
      <formula>"E"</formula>
    </cfRule>
    <cfRule type="cellIs" dxfId="716" priority="422" stopIfTrue="1" operator="equal">
      <formula>"S"</formula>
    </cfRule>
    <cfRule type="cellIs" dxfId="715" priority="423" stopIfTrue="1" operator="equal">
      <formula>"M"</formula>
    </cfRule>
    <cfRule type="cellIs" dxfId="714" priority="424" stopIfTrue="1" operator="equal">
      <formula>"J"</formula>
    </cfRule>
    <cfRule type="cellIs" dxfId="713" priority="425" stopIfTrue="1" operator="equal">
      <formula>"O"</formula>
    </cfRule>
    <cfRule type="expression" dxfId="712" priority="426" stopIfTrue="1">
      <formula>LEN(TRIM(BC4))=0</formula>
    </cfRule>
  </conditionalFormatting>
  <conditionalFormatting sqref="BC18:BG26">
    <cfRule type="cellIs" dxfId="711" priority="427" stopIfTrue="1" operator="equal">
      <formula>"E"</formula>
    </cfRule>
    <cfRule type="cellIs" dxfId="710" priority="428" stopIfTrue="1" operator="equal">
      <formula>"S"</formula>
    </cfRule>
    <cfRule type="cellIs" dxfId="709" priority="429" stopIfTrue="1" operator="equal">
      <formula>"M"</formula>
    </cfRule>
    <cfRule type="cellIs" dxfId="708" priority="430" stopIfTrue="1" operator="equal">
      <formula>"J"</formula>
    </cfRule>
    <cfRule type="cellIs" dxfId="707" priority="431" stopIfTrue="1" operator="equal">
      <formula>"O"</formula>
    </cfRule>
    <cfRule type="expression" dxfId="706" priority="432" stopIfTrue="1">
      <formula>LEN(TRIM(BC18))=0</formula>
    </cfRule>
  </conditionalFormatting>
  <conditionalFormatting sqref="BC28:BG37">
    <cfRule type="cellIs" dxfId="705" priority="433" stopIfTrue="1" operator="equal">
      <formula>"E"</formula>
    </cfRule>
  </conditionalFormatting>
  <conditionalFormatting sqref="BC28:BG37">
    <cfRule type="cellIs" dxfId="704" priority="434" stopIfTrue="1" operator="equal">
      <formula>"S"</formula>
    </cfRule>
  </conditionalFormatting>
  <conditionalFormatting sqref="BC28:BG37">
    <cfRule type="cellIs" dxfId="703" priority="435" stopIfTrue="1" operator="equal">
      <formula>"M"</formula>
    </cfRule>
  </conditionalFormatting>
  <conditionalFormatting sqref="BC28:BG37">
    <cfRule type="cellIs" dxfId="702" priority="436" stopIfTrue="1" operator="equal">
      <formula>"J"</formula>
    </cfRule>
  </conditionalFormatting>
  <conditionalFormatting sqref="BC28:BG37">
    <cfRule type="cellIs" dxfId="701" priority="437" stopIfTrue="1" operator="equal">
      <formula>"O"</formula>
    </cfRule>
  </conditionalFormatting>
  <conditionalFormatting sqref="BC28:BG37">
    <cfRule type="expression" dxfId="700" priority="438" stopIfTrue="1">
      <formula>LEN(TRIM(BC28))=0</formula>
    </cfRule>
  </conditionalFormatting>
  <conditionalFormatting sqref="BC39:BG50">
    <cfRule type="cellIs" dxfId="699" priority="439" stopIfTrue="1" operator="equal">
      <formula>"E"</formula>
    </cfRule>
  </conditionalFormatting>
  <conditionalFormatting sqref="BC39:BG50">
    <cfRule type="cellIs" dxfId="698" priority="440" stopIfTrue="1" operator="equal">
      <formula>"S"</formula>
    </cfRule>
  </conditionalFormatting>
  <conditionalFormatting sqref="BC39:BG50">
    <cfRule type="cellIs" dxfId="697" priority="441" stopIfTrue="1" operator="equal">
      <formula>"M"</formula>
    </cfRule>
  </conditionalFormatting>
  <conditionalFormatting sqref="BC39:BG50">
    <cfRule type="cellIs" dxfId="696" priority="442" stopIfTrue="1" operator="equal">
      <formula>"J"</formula>
    </cfRule>
  </conditionalFormatting>
  <conditionalFormatting sqref="BC39:BG50">
    <cfRule type="cellIs" dxfId="695" priority="443" stopIfTrue="1" operator="equal">
      <formula>"O"</formula>
    </cfRule>
  </conditionalFormatting>
  <conditionalFormatting sqref="BC39:BG50">
    <cfRule type="expression" dxfId="694" priority="444" stopIfTrue="1">
      <formula>LEN(TRIM(BC39))=0</formula>
    </cfRule>
  </conditionalFormatting>
  <conditionalFormatting sqref="BC52:BG59">
    <cfRule type="cellIs" dxfId="693" priority="445" stopIfTrue="1" operator="equal">
      <formula>"E"</formula>
    </cfRule>
  </conditionalFormatting>
  <conditionalFormatting sqref="BC52:BG59">
    <cfRule type="cellIs" dxfId="692" priority="446" stopIfTrue="1" operator="equal">
      <formula>"S"</formula>
    </cfRule>
  </conditionalFormatting>
  <conditionalFormatting sqref="BC52:BG59">
    <cfRule type="cellIs" dxfId="691" priority="447" stopIfTrue="1" operator="equal">
      <formula>"M"</formula>
    </cfRule>
  </conditionalFormatting>
  <conditionalFormatting sqref="BC52:BG59">
    <cfRule type="cellIs" dxfId="690" priority="448" stopIfTrue="1" operator="equal">
      <formula>"J"</formula>
    </cfRule>
  </conditionalFormatting>
  <conditionalFormatting sqref="BC52:BG59">
    <cfRule type="cellIs" dxfId="689" priority="449" stopIfTrue="1" operator="equal">
      <formula>"O"</formula>
    </cfRule>
  </conditionalFormatting>
  <conditionalFormatting sqref="BC52:BG59">
    <cfRule type="expression" dxfId="688" priority="450" stopIfTrue="1">
      <formula>LEN(TRIM(BC52))=0</formula>
    </cfRule>
  </conditionalFormatting>
  <conditionalFormatting sqref="BC61:BG78">
    <cfRule type="cellIs" dxfId="687" priority="451" stopIfTrue="1" operator="equal">
      <formula>"E"</formula>
    </cfRule>
  </conditionalFormatting>
  <conditionalFormatting sqref="BC61:BG78">
    <cfRule type="cellIs" dxfId="686" priority="452" stopIfTrue="1" operator="equal">
      <formula>"S"</formula>
    </cfRule>
  </conditionalFormatting>
  <conditionalFormatting sqref="BC61:BG78">
    <cfRule type="cellIs" dxfId="685" priority="453" stopIfTrue="1" operator="equal">
      <formula>"M"</formula>
    </cfRule>
  </conditionalFormatting>
  <conditionalFormatting sqref="BC61:BG78">
    <cfRule type="cellIs" dxfId="684" priority="454" stopIfTrue="1" operator="equal">
      <formula>"J"</formula>
    </cfRule>
  </conditionalFormatting>
  <conditionalFormatting sqref="BC61:BG78">
    <cfRule type="cellIs" dxfId="683" priority="455" stopIfTrue="1" operator="equal">
      <formula>"O"</formula>
    </cfRule>
  </conditionalFormatting>
  <conditionalFormatting sqref="BC61:BG78">
    <cfRule type="expression" dxfId="682" priority="456" stopIfTrue="1">
      <formula>LEN(TRIM(BC61))=0</formula>
    </cfRule>
  </conditionalFormatting>
  <conditionalFormatting sqref="BC80:BG83">
    <cfRule type="cellIs" dxfId="681" priority="457" stopIfTrue="1" operator="equal">
      <formula>"E"</formula>
    </cfRule>
  </conditionalFormatting>
  <conditionalFormatting sqref="BC80:BG83">
    <cfRule type="cellIs" dxfId="680" priority="458" stopIfTrue="1" operator="equal">
      <formula>"S"</formula>
    </cfRule>
  </conditionalFormatting>
  <conditionalFormatting sqref="BC80:BG83">
    <cfRule type="cellIs" dxfId="679" priority="459" stopIfTrue="1" operator="equal">
      <formula>"M"</formula>
    </cfRule>
  </conditionalFormatting>
  <conditionalFormatting sqref="BC80:BG83">
    <cfRule type="cellIs" dxfId="678" priority="460" stopIfTrue="1" operator="equal">
      <formula>"J"</formula>
    </cfRule>
  </conditionalFormatting>
  <conditionalFormatting sqref="BC80:BG83">
    <cfRule type="cellIs" dxfId="677" priority="461" stopIfTrue="1" operator="equal">
      <formula>"O"</formula>
    </cfRule>
  </conditionalFormatting>
  <conditionalFormatting sqref="BC80:BG83">
    <cfRule type="expression" dxfId="676" priority="462" stopIfTrue="1">
      <formula>LEN(TRIM(BC80))=0</formula>
    </cfRule>
  </conditionalFormatting>
  <conditionalFormatting sqref="BC85:BG99">
    <cfRule type="cellIs" dxfId="675" priority="463" stopIfTrue="1" operator="equal">
      <formula>"E"</formula>
    </cfRule>
  </conditionalFormatting>
  <conditionalFormatting sqref="BC85:BG99">
    <cfRule type="cellIs" dxfId="674" priority="464" stopIfTrue="1" operator="equal">
      <formula>"S"</formula>
    </cfRule>
  </conditionalFormatting>
  <conditionalFormatting sqref="BC85:BG99">
    <cfRule type="cellIs" dxfId="673" priority="465" stopIfTrue="1" operator="equal">
      <formula>"M"</formula>
    </cfRule>
  </conditionalFormatting>
  <conditionalFormatting sqref="BC85:BG99">
    <cfRule type="cellIs" dxfId="672" priority="466" stopIfTrue="1" operator="equal">
      <formula>"J"</formula>
    </cfRule>
  </conditionalFormatting>
  <conditionalFormatting sqref="BC85:BG99">
    <cfRule type="cellIs" dxfId="671" priority="467" stopIfTrue="1" operator="equal">
      <formula>"O"</formula>
    </cfRule>
  </conditionalFormatting>
  <conditionalFormatting sqref="BC85:BG99">
    <cfRule type="expression" dxfId="670" priority="468" stopIfTrue="1">
      <formula>LEN(TRIM(BC85))=0</formula>
    </cfRule>
  </conditionalFormatting>
  <conditionalFormatting sqref="BC102:BG106">
    <cfRule type="cellIs" dxfId="669" priority="469" stopIfTrue="1" operator="equal">
      <formula>"E"</formula>
    </cfRule>
  </conditionalFormatting>
  <conditionalFormatting sqref="BC102:BG106">
    <cfRule type="cellIs" dxfId="668" priority="470" stopIfTrue="1" operator="equal">
      <formula>"S"</formula>
    </cfRule>
  </conditionalFormatting>
  <conditionalFormatting sqref="BC102:BG106">
    <cfRule type="cellIs" dxfId="667" priority="471" stopIfTrue="1" operator="equal">
      <formula>"M"</formula>
    </cfRule>
  </conditionalFormatting>
  <conditionalFormatting sqref="BC102:BG106">
    <cfRule type="cellIs" dxfId="666" priority="472" stopIfTrue="1" operator="equal">
      <formula>"J"</formula>
    </cfRule>
  </conditionalFormatting>
  <conditionalFormatting sqref="BC102:BG106">
    <cfRule type="cellIs" dxfId="665" priority="473" stopIfTrue="1" operator="equal">
      <formula>"O"</formula>
    </cfRule>
  </conditionalFormatting>
  <conditionalFormatting sqref="BC102:BG106">
    <cfRule type="expression" dxfId="664" priority="474" stopIfTrue="1">
      <formula>LEN(TRIM(BC102))=0</formula>
    </cfRule>
  </conditionalFormatting>
  <conditionalFormatting sqref="BC109:BG109">
    <cfRule type="cellIs" dxfId="663" priority="475" stopIfTrue="1" operator="equal">
      <formula>"E"</formula>
    </cfRule>
  </conditionalFormatting>
  <conditionalFormatting sqref="BC109:BG109">
    <cfRule type="cellIs" dxfId="662" priority="476" stopIfTrue="1" operator="equal">
      <formula>"S"</formula>
    </cfRule>
  </conditionalFormatting>
  <conditionalFormatting sqref="BC109:BG109">
    <cfRule type="cellIs" dxfId="661" priority="477" stopIfTrue="1" operator="equal">
      <formula>"M"</formula>
    </cfRule>
  </conditionalFormatting>
  <conditionalFormatting sqref="BC109:BG109">
    <cfRule type="cellIs" dxfId="660" priority="478" stopIfTrue="1" operator="equal">
      <formula>"J"</formula>
    </cfRule>
  </conditionalFormatting>
  <conditionalFormatting sqref="BC109:BG109">
    <cfRule type="cellIs" dxfId="659" priority="479" stopIfTrue="1" operator="equal">
      <formula>"O"</formula>
    </cfRule>
  </conditionalFormatting>
  <conditionalFormatting sqref="BC109:BG109">
    <cfRule type="expression" dxfId="658" priority="480" stopIfTrue="1">
      <formula>LEN(TRIM(BC109))=0</formula>
    </cfRule>
  </conditionalFormatting>
  <conditionalFormatting sqref="BH4:BJ16">
    <cfRule type="cellIs" dxfId="657" priority="481" stopIfTrue="1" operator="equal">
      <formula>"E"</formula>
    </cfRule>
  </conditionalFormatting>
  <conditionalFormatting sqref="BH4:BJ16">
    <cfRule type="cellIs" dxfId="656" priority="482" stopIfTrue="1" operator="equal">
      <formula>"S"</formula>
    </cfRule>
  </conditionalFormatting>
  <conditionalFormatting sqref="BH4:BJ16">
    <cfRule type="cellIs" dxfId="655" priority="483" stopIfTrue="1" operator="equal">
      <formula>"M"</formula>
    </cfRule>
  </conditionalFormatting>
  <conditionalFormatting sqref="BH4:BJ16">
    <cfRule type="cellIs" dxfId="654" priority="484" stopIfTrue="1" operator="equal">
      <formula>"J"</formula>
    </cfRule>
  </conditionalFormatting>
  <conditionalFormatting sqref="BH4:BJ16">
    <cfRule type="cellIs" dxfId="653" priority="485" stopIfTrue="1" operator="equal">
      <formula>"O"</formula>
    </cfRule>
  </conditionalFormatting>
  <conditionalFormatting sqref="BH4:BJ16">
    <cfRule type="expression" dxfId="652" priority="486" stopIfTrue="1">
      <formula>LEN(TRIM(BH4))=0</formula>
    </cfRule>
  </conditionalFormatting>
  <conditionalFormatting sqref="BH18:BJ26">
    <cfRule type="cellIs" dxfId="651" priority="487" stopIfTrue="1" operator="equal">
      <formula>"E"</formula>
    </cfRule>
  </conditionalFormatting>
  <conditionalFormatting sqref="BH18:BJ26">
    <cfRule type="cellIs" dxfId="650" priority="488" stopIfTrue="1" operator="equal">
      <formula>"S"</formula>
    </cfRule>
  </conditionalFormatting>
  <conditionalFormatting sqref="BH18:BJ26">
    <cfRule type="cellIs" dxfId="649" priority="489" stopIfTrue="1" operator="equal">
      <formula>"M"</formula>
    </cfRule>
  </conditionalFormatting>
  <conditionalFormatting sqref="BH18:BJ26">
    <cfRule type="cellIs" dxfId="648" priority="490" stopIfTrue="1" operator="equal">
      <formula>"J"</formula>
    </cfRule>
  </conditionalFormatting>
  <conditionalFormatting sqref="BH18:BJ26">
    <cfRule type="cellIs" dxfId="647" priority="491" stopIfTrue="1" operator="equal">
      <formula>"O"</formula>
    </cfRule>
  </conditionalFormatting>
  <conditionalFormatting sqref="BH18:BJ26">
    <cfRule type="expression" dxfId="646" priority="492" stopIfTrue="1">
      <formula>LEN(TRIM(BH18))=0</formula>
    </cfRule>
  </conditionalFormatting>
  <conditionalFormatting sqref="BH28:BJ37">
    <cfRule type="cellIs" dxfId="645" priority="493" stopIfTrue="1" operator="equal">
      <formula>"E"</formula>
    </cfRule>
  </conditionalFormatting>
  <conditionalFormatting sqref="BH28:BJ37">
    <cfRule type="cellIs" dxfId="644" priority="494" stopIfTrue="1" operator="equal">
      <formula>"S"</formula>
    </cfRule>
  </conditionalFormatting>
  <conditionalFormatting sqref="BH28:BJ37">
    <cfRule type="cellIs" dxfId="643" priority="495" stopIfTrue="1" operator="equal">
      <formula>"M"</formula>
    </cfRule>
  </conditionalFormatting>
  <conditionalFormatting sqref="BH28:BJ37">
    <cfRule type="cellIs" dxfId="642" priority="496" stopIfTrue="1" operator="equal">
      <formula>"J"</formula>
    </cfRule>
  </conditionalFormatting>
  <conditionalFormatting sqref="BH28:BJ37">
    <cfRule type="cellIs" dxfId="641" priority="497" stopIfTrue="1" operator="equal">
      <formula>"O"</formula>
    </cfRule>
  </conditionalFormatting>
  <conditionalFormatting sqref="BH28:BJ37">
    <cfRule type="expression" dxfId="640" priority="498" stopIfTrue="1">
      <formula>LEN(TRIM(BH28))=0</formula>
    </cfRule>
  </conditionalFormatting>
  <conditionalFormatting sqref="BH39:BJ50">
    <cfRule type="cellIs" dxfId="639" priority="499" stopIfTrue="1" operator="equal">
      <formula>"E"</formula>
    </cfRule>
  </conditionalFormatting>
  <conditionalFormatting sqref="BH39:BJ50">
    <cfRule type="cellIs" dxfId="638" priority="500" stopIfTrue="1" operator="equal">
      <formula>"S"</formula>
    </cfRule>
  </conditionalFormatting>
  <conditionalFormatting sqref="BH39:BJ50">
    <cfRule type="cellIs" dxfId="637" priority="501" stopIfTrue="1" operator="equal">
      <formula>"M"</formula>
    </cfRule>
  </conditionalFormatting>
  <conditionalFormatting sqref="BH39:BJ50">
    <cfRule type="cellIs" dxfId="636" priority="502" stopIfTrue="1" operator="equal">
      <formula>"J"</formula>
    </cfRule>
  </conditionalFormatting>
  <conditionalFormatting sqref="BH39:BJ50">
    <cfRule type="cellIs" dxfId="635" priority="503" stopIfTrue="1" operator="equal">
      <formula>"O"</formula>
    </cfRule>
  </conditionalFormatting>
  <conditionalFormatting sqref="BH39:BJ50">
    <cfRule type="expression" dxfId="634" priority="504" stopIfTrue="1">
      <formula>LEN(TRIM(BH39))=0</formula>
    </cfRule>
  </conditionalFormatting>
  <conditionalFormatting sqref="BH52:BJ59">
    <cfRule type="cellIs" dxfId="633" priority="505" stopIfTrue="1" operator="equal">
      <formula>"E"</formula>
    </cfRule>
  </conditionalFormatting>
  <conditionalFormatting sqref="BH52:BJ59">
    <cfRule type="cellIs" dxfId="632" priority="506" stopIfTrue="1" operator="equal">
      <formula>"S"</formula>
    </cfRule>
  </conditionalFormatting>
  <conditionalFormatting sqref="BH52:BJ59">
    <cfRule type="cellIs" dxfId="631" priority="507" stopIfTrue="1" operator="equal">
      <formula>"M"</formula>
    </cfRule>
  </conditionalFormatting>
  <conditionalFormatting sqref="BH52:BJ59">
    <cfRule type="cellIs" dxfId="630" priority="508" stopIfTrue="1" operator="equal">
      <formula>"J"</formula>
    </cfRule>
  </conditionalFormatting>
  <conditionalFormatting sqref="BH52:BJ59">
    <cfRule type="cellIs" dxfId="629" priority="509" stopIfTrue="1" operator="equal">
      <formula>"O"</formula>
    </cfRule>
  </conditionalFormatting>
  <conditionalFormatting sqref="BH52:BJ59">
    <cfRule type="expression" dxfId="628" priority="510" stopIfTrue="1">
      <formula>LEN(TRIM(BH52))=0</formula>
    </cfRule>
  </conditionalFormatting>
  <conditionalFormatting sqref="BH61:BJ78">
    <cfRule type="cellIs" dxfId="627" priority="511" stopIfTrue="1" operator="equal">
      <formula>"E"</formula>
    </cfRule>
  </conditionalFormatting>
  <conditionalFormatting sqref="BH61:BJ78">
    <cfRule type="cellIs" dxfId="626" priority="512" stopIfTrue="1" operator="equal">
      <formula>"S"</formula>
    </cfRule>
  </conditionalFormatting>
  <conditionalFormatting sqref="BH61:BJ78">
    <cfRule type="cellIs" dxfId="625" priority="513" stopIfTrue="1" operator="equal">
      <formula>"M"</formula>
    </cfRule>
  </conditionalFormatting>
  <conditionalFormatting sqref="BH61:BJ78">
    <cfRule type="cellIs" dxfId="624" priority="514" stopIfTrue="1" operator="equal">
      <formula>"J"</formula>
    </cfRule>
  </conditionalFormatting>
  <conditionalFormatting sqref="BH61:BJ78">
    <cfRule type="cellIs" dxfId="623" priority="515" stopIfTrue="1" operator="equal">
      <formula>"O"</formula>
    </cfRule>
  </conditionalFormatting>
  <conditionalFormatting sqref="BH61:BJ78">
    <cfRule type="expression" dxfId="622" priority="516" stopIfTrue="1">
      <formula>LEN(TRIM(BH61))=0</formula>
    </cfRule>
  </conditionalFormatting>
  <conditionalFormatting sqref="BH80:BJ83">
    <cfRule type="cellIs" dxfId="621" priority="517" stopIfTrue="1" operator="equal">
      <formula>"E"</formula>
    </cfRule>
  </conditionalFormatting>
  <conditionalFormatting sqref="BH80:BJ83">
    <cfRule type="cellIs" dxfId="620" priority="518" stopIfTrue="1" operator="equal">
      <formula>"S"</formula>
    </cfRule>
  </conditionalFormatting>
  <conditionalFormatting sqref="BH80:BJ83">
    <cfRule type="cellIs" dxfId="619" priority="519" stopIfTrue="1" operator="equal">
      <formula>"M"</formula>
    </cfRule>
  </conditionalFormatting>
  <conditionalFormatting sqref="BH80:BJ83">
    <cfRule type="cellIs" dxfId="618" priority="520" stopIfTrue="1" operator="equal">
      <formula>"J"</formula>
    </cfRule>
  </conditionalFormatting>
  <conditionalFormatting sqref="BH80:BJ83">
    <cfRule type="cellIs" dxfId="617" priority="521" stopIfTrue="1" operator="equal">
      <formula>"O"</formula>
    </cfRule>
  </conditionalFormatting>
  <conditionalFormatting sqref="BH80:BJ83">
    <cfRule type="expression" dxfId="616" priority="522" stopIfTrue="1">
      <formula>LEN(TRIM(BH80))=0</formula>
    </cfRule>
  </conditionalFormatting>
  <conditionalFormatting sqref="BH85:BJ99">
    <cfRule type="cellIs" dxfId="615" priority="523" stopIfTrue="1" operator="equal">
      <formula>"E"</formula>
    </cfRule>
  </conditionalFormatting>
  <conditionalFormatting sqref="BH85:BJ99">
    <cfRule type="cellIs" dxfId="614" priority="524" stopIfTrue="1" operator="equal">
      <formula>"S"</formula>
    </cfRule>
  </conditionalFormatting>
  <conditionalFormatting sqref="BH85:BJ99">
    <cfRule type="cellIs" dxfId="613" priority="525" stopIfTrue="1" operator="equal">
      <formula>"M"</formula>
    </cfRule>
  </conditionalFormatting>
  <conditionalFormatting sqref="BH85:BJ99">
    <cfRule type="cellIs" dxfId="612" priority="526" stopIfTrue="1" operator="equal">
      <formula>"J"</formula>
    </cfRule>
  </conditionalFormatting>
  <conditionalFormatting sqref="BH85:BJ99">
    <cfRule type="cellIs" dxfId="611" priority="527" stopIfTrue="1" operator="equal">
      <formula>"O"</formula>
    </cfRule>
  </conditionalFormatting>
  <conditionalFormatting sqref="BH85:BJ99">
    <cfRule type="expression" dxfId="610" priority="528" stopIfTrue="1">
      <formula>LEN(TRIM(BH85))=0</formula>
    </cfRule>
  </conditionalFormatting>
  <conditionalFormatting sqref="BH102:BJ106">
    <cfRule type="cellIs" dxfId="609" priority="529" stopIfTrue="1" operator="equal">
      <formula>"E"</formula>
    </cfRule>
  </conditionalFormatting>
  <conditionalFormatting sqref="BH102:BJ106">
    <cfRule type="cellIs" dxfId="608" priority="530" stopIfTrue="1" operator="equal">
      <formula>"S"</formula>
    </cfRule>
  </conditionalFormatting>
  <conditionalFormatting sqref="BH102:BJ106">
    <cfRule type="cellIs" dxfId="607" priority="531" stopIfTrue="1" operator="equal">
      <formula>"M"</formula>
    </cfRule>
  </conditionalFormatting>
  <conditionalFormatting sqref="BH102:BJ106">
    <cfRule type="cellIs" dxfId="606" priority="532" stopIfTrue="1" operator="equal">
      <formula>"J"</formula>
    </cfRule>
  </conditionalFormatting>
  <conditionalFormatting sqref="BH102:BJ106">
    <cfRule type="cellIs" dxfId="605" priority="533" stopIfTrue="1" operator="equal">
      <formula>"O"</formula>
    </cfRule>
  </conditionalFormatting>
  <conditionalFormatting sqref="BH102:BJ106">
    <cfRule type="expression" dxfId="604" priority="534" stopIfTrue="1">
      <formula>LEN(TRIM(BH102))=0</formula>
    </cfRule>
  </conditionalFormatting>
  <conditionalFormatting sqref="BH109:BJ109">
    <cfRule type="cellIs" dxfId="603" priority="535" stopIfTrue="1" operator="equal">
      <formula>"E"</formula>
    </cfRule>
  </conditionalFormatting>
  <conditionalFormatting sqref="BH109:BJ109">
    <cfRule type="cellIs" dxfId="602" priority="536" stopIfTrue="1" operator="equal">
      <formula>"S"</formula>
    </cfRule>
  </conditionalFormatting>
  <conditionalFormatting sqref="BH109:BJ109">
    <cfRule type="cellIs" dxfId="601" priority="537" stopIfTrue="1" operator="equal">
      <formula>"M"</formula>
    </cfRule>
  </conditionalFormatting>
  <conditionalFormatting sqref="BH109:BJ109">
    <cfRule type="cellIs" dxfId="600" priority="538" stopIfTrue="1" operator="equal">
      <formula>"J"</formula>
    </cfRule>
  </conditionalFormatting>
  <conditionalFormatting sqref="BH109:BJ109">
    <cfRule type="cellIs" dxfId="599" priority="539" stopIfTrue="1" operator="equal">
      <formula>"O"</formula>
    </cfRule>
  </conditionalFormatting>
  <conditionalFormatting sqref="BH109:BJ109">
    <cfRule type="expression" dxfId="598" priority="540" stopIfTrue="1">
      <formula>LEN(TRIM(BH109))=0</formula>
    </cfRule>
  </conditionalFormatting>
  <conditionalFormatting sqref="BK4:BN16">
    <cfRule type="cellIs" dxfId="597" priority="541" stopIfTrue="1" operator="equal">
      <formula>"E"</formula>
    </cfRule>
    <cfRule type="cellIs" dxfId="596" priority="542" stopIfTrue="1" operator="equal">
      <formula>"S"</formula>
    </cfRule>
    <cfRule type="cellIs" dxfId="595" priority="543" stopIfTrue="1" operator="equal">
      <formula>"M"</formula>
    </cfRule>
    <cfRule type="cellIs" dxfId="594" priority="544" stopIfTrue="1" operator="equal">
      <formula>"J"</formula>
    </cfRule>
    <cfRule type="cellIs" dxfId="593" priority="545" stopIfTrue="1" operator="equal">
      <formula>"O"</formula>
    </cfRule>
    <cfRule type="expression" dxfId="592" priority="546" stopIfTrue="1">
      <formula>LEN(TRIM(BK4))=0</formula>
    </cfRule>
  </conditionalFormatting>
  <conditionalFormatting sqref="BK18:BN26">
    <cfRule type="cellIs" dxfId="591" priority="547" stopIfTrue="1" operator="equal">
      <formula>"E"</formula>
    </cfRule>
    <cfRule type="cellIs" dxfId="590" priority="548" stopIfTrue="1" operator="equal">
      <formula>"S"</formula>
    </cfRule>
    <cfRule type="cellIs" dxfId="589" priority="549" stopIfTrue="1" operator="equal">
      <formula>"M"</formula>
    </cfRule>
    <cfRule type="cellIs" dxfId="588" priority="550" stopIfTrue="1" operator="equal">
      <formula>"J"</formula>
    </cfRule>
    <cfRule type="cellIs" dxfId="587" priority="551" stopIfTrue="1" operator="equal">
      <formula>"O"</formula>
    </cfRule>
    <cfRule type="expression" dxfId="586" priority="552" stopIfTrue="1">
      <formula>LEN(TRIM(BK18))=0</formula>
    </cfRule>
  </conditionalFormatting>
  <conditionalFormatting sqref="BK28:BN37">
    <cfRule type="cellIs" dxfId="585" priority="553" stopIfTrue="1" operator="equal">
      <formula>"E"</formula>
    </cfRule>
  </conditionalFormatting>
  <conditionalFormatting sqref="BK28:BN37">
    <cfRule type="cellIs" dxfId="584" priority="554" stopIfTrue="1" operator="equal">
      <formula>"S"</formula>
    </cfRule>
  </conditionalFormatting>
  <conditionalFormatting sqref="BK28:BN37">
    <cfRule type="cellIs" dxfId="583" priority="555" stopIfTrue="1" operator="equal">
      <formula>"M"</formula>
    </cfRule>
  </conditionalFormatting>
  <conditionalFormatting sqref="BK28:BN37">
    <cfRule type="cellIs" dxfId="582" priority="556" stopIfTrue="1" operator="equal">
      <formula>"J"</formula>
    </cfRule>
  </conditionalFormatting>
  <conditionalFormatting sqref="BK28:BN37">
    <cfRule type="cellIs" dxfId="581" priority="557" stopIfTrue="1" operator="equal">
      <formula>"O"</formula>
    </cfRule>
  </conditionalFormatting>
  <conditionalFormatting sqref="BK28:BN37">
    <cfRule type="expression" dxfId="580" priority="558" stopIfTrue="1">
      <formula>LEN(TRIM(BK28))=0</formula>
    </cfRule>
  </conditionalFormatting>
  <conditionalFormatting sqref="BK39:BN50">
    <cfRule type="cellIs" dxfId="579" priority="559" stopIfTrue="1" operator="equal">
      <formula>"E"</formula>
    </cfRule>
  </conditionalFormatting>
  <conditionalFormatting sqref="BK39:BN50">
    <cfRule type="cellIs" dxfId="578" priority="560" stopIfTrue="1" operator="equal">
      <formula>"S"</formula>
    </cfRule>
  </conditionalFormatting>
  <conditionalFormatting sqref="BK39:BN50">
    <cfRule type="cellIs" dxfId="577" priority="561" stopIfTrue="1" operator="equal">
      <formula>"M"</formula>
    </cfRule>
  </conditionalFormatting>
  <conditionalFormatting sqref="BK39:BN50">
    <cfRule type="cellIs" dxfId="576" priority="562" stopIfTrue="1" operator="equal">
      <formula>"J"</formula>
    </cfRule>
  </conditionalFormatting>
  <conditionalFormatting sqref="BK39:BN50">
    <cfRule type="cellIs" dxfId="575" priority="563" stopIfTrue="1" operator="equal">
      <formula>"O"</formula>
    </cfRule>
  </conditionalFormatting>
  <conditionalFormatting sqref="BK39:BN50">
    <cfRule type="expression" dxfId="574" priority="564" stopIfTrue="1">
      <formula>LEN(TRIM(BK39))=0</formula>
    </cfRule>
  </conditionalFormatting>
  <conditionalFormatting sqref="BK52:BN59">
    <cfRule type="cellIs" dxfId="573" priority="565" stopIfTrue="1" operator="equal">
      <formula>"E"</formula>
    </cfRule>
  </conditionalFormatting>
  <conditionalFormatting sqref="BK52:BN59">
    <cfRule type="cellIs" dxfId="572" priority="566" stopIfTrue="1" operator="equal">
      <formula>"S"</formula>
    </cfRule>
  </conditionalFormatting>
  <conditionalFormatting sqref="BK52:BN59">
    <cfRule type="cellIs" dxfId="571" priority="567" stopIfTrue="1" operator="equal">
      <formula>"M"</formula>
    </cfRule>
  </conditionalFormatting>
  <conditionalFormatting sqref="BK52:BN59">
    <cfRule type="cellIs" dxfId="570" priority="568" stopIfTrue="1" operator="equal">
      <formula>"J"</formula>
    </cfRule>
  </conditionalFormatting>
  <conditionalFormatting sqref="BK52:BN59">
    <cfRule type="cellIs" dxfId="569" priority="569" stopIfTrue="1" operator="equal">
      <formula>"O"</formula>
    </cfRule>
  </conditionalFormatting>
  <conditionalFormatting sqref="BK52:BN59">
    <cfRule type="expression" dxfId="568" priority="570" stopIfTrue="1">
      <formula>LEN(TRIM(BK52))=0</formula>
    </cfRule>
  </conditionalFormatting>
  <conditionalFormatting sqref="BK61:BN78">
    <cfRule type="cellIs" dxfId="567" priority="571" stopIfTrue="1" operator="equal">
      <formula>"E"</formula>
    </cfRule>
  </conditionalFormatting>
  <conditionalFormatting sqref="BK61:BN78">
    <cfRule type="cellIs" dxfId="566" priority="572" stopIfTrue="1" operator="equal">
      <formula>"S"</formula>
    </cfRule>
  </conditionalFormatting>
  <conditionalFormatting sqref="BK61:BN78">
    <cfRule type="cellIs" dxfId="565" priority="573" stopIfTrue="1" operator="equal">
      <formula>"M"</formula>
    </cfRule>
  </conditionalFormatting>
  <conditionalFormatting sqref="BK61:BN78">
    <cfRule type="cellIs" dxfId="564" priority="574" stopIfTrue="1" operator="equal">
      <formula>"J"</formula>
    </cfRule>
  </conditionalFormatting>
  <conditionalFormatting sqref="BK61:BN78">
    <cfRule type="cellIs" dxfId="563" priority="575" stopIfTrue="1" operator="equal">
      <formula>"O"</formula>
    </cfRule>
  </conditionalFormatting>
  <conditionalFormatting sqref="BK61:BN78">
    <cfRule type="expression" dxfId="562" priority="576" stopIfTrue="1">
      <formula>LEN(TRIM(BK61))=0</formula>
    </cfRule>
  </conditionalFormatting>
  <conditionalFormatting sqref="BK80:BN83">
    <cfRule type="cellIs" dxfId="561" priority="577" stopIfTrue="1" operator="equal">
      <formula>"E"</formula>
    </cfRule>
  </conditionalFormatting>
  <conditionalFormatting sqref="BK80:BN83">
    <cfRule type="cellIs" dxfId="560" priority="578" stopIfTrue="1" operator="equal">
      <formula>"S"</formula>
    </cfRule>
  </conditionalFormatting>
  <conditionalFormatting sqref="BK80:BN83">
    <cfRule type="cellIs" dxfId="559" priority="579" stopIfTrue="1" operator="equal">
      <formula>"M"</formula>
    </cfRule>
  </conditionalFormatting>
  <conditionalFormatting sqref="BK80:BN83">
    <cfRule type="cellIs" dxfId="558" priority="580" stopIfTrue="1" operator="equal">
      <formula>"J"</formula>
    </cfRule>
  </conditionalFormatting>
  <conditionalFormatting sqref="BK80:BN83">
    <cfRule type="cellIs" dxfId="557" priority="581" stopIfTrue="1" operator="equal">
      <formula>"O"</formula>
    </cfRule>
  </conditionalFormatting>
  <conditionalFormatting sqref="BK80:BN83">
    <cfRule type="expression" dxfId="556" priority="582" stopIfTrue="1">
      <formula>LEN(TRIM(BK80))=0</formula>
    </cfRule>
  </conditionalFormatting>
  <conditionalFormatting sqref="BK85:BN99">
    <cfRule type="cellIs" dxfId="555" priority="583" stopIfTrue="1" operator="equal">
      <formula>"E"</formula>
    </cfRule>
  </conditionalFormatting>
  <conditionalFormatting sqref="BK85:BN99">
    <cfRule type="cellIs" dxfId="554" priority="584" stopIfTrue="1" operator="equal">
      <formula>"S"</formula>
    </cfRule>
  </conditionalFormatting>
  <conditionalFormatting sqref="BK85:BN99">
    <cfRule type="cellIs" dxfId="553" priority="585" stopIfTrue="1" operator="equal">
      <formula>"M"</formula>
    </cfRule>
  </conditionalFormatting>
  <conditionalFormatting sqref="BK85:BN99">
    <cfRule type="cellIs" dxfId="552" priority="586" stopIfTrue="1" operator="equal">
      <formula>"J"</formula>
    </cfRule>
  </conditionalFormatting>
  <conditionalFormatting sqref="BK85:BN99">
    <cfRule type="cellIs" dxfId="551" priority="587" stopIfTrue="1" operator="equal">
      <formula>"O"</formula>
    </cfRule>
  </conditionalFormatting>
  <conditionalFormatting sqref="BK85:BN99">
    <cfRule type="expression" dxfId="550" priority="588" stopIfTrue="1">
      <formula>LEN(TRIM(BK85))=0</formula>
    </cfRule>
  </conditionalFormatting>
  <conditionalFormatting sqref="BK102:BN106">
    <cfRule type="cellIs" dxfId="549" priority="589" stopIfTrue="1" operator="equal">
      <formula>"E"</formula>
    </cfRule>
  </conditionalFormatting>
  <conditionalFormatting sqref="BK102:BN106">
    <cfRule type="cellIs" dxfId="548" priority="590" stopIfTrue="1" operator="equal">
      <formula>"S"</formula>
    </cfRule>
  </conditionalFormatting>
  <conditionalFormatting sqref="BK102:BN106">
    <cfRule type="cellIs" dxfId="547" priority="591" stopIfTrue="1" operator="equal">
      <formula>"M"</formula>
    </cfRule>
  </conditionalFormatting>
  <conditionalFormatting sqref="BK102:BN106">
    <cfRule type="cellIs" dxfId="546" priority="592" stopIfTrue="1" operator="equal">
      <formula>"J"</formula>
    </cfRule>
  </conditionalFormatting>
  <conditionalFormatting sqref="BK102:BN106">
    <cfRule type="cellIs" dxfId="545" priority="593" stopIfTrue="1" operator="equal">
      <formula>"O"</formula>
    </cfRule>
  </conditionalFormatting>
  <conditionalFormatting sqref="BK102:BN106">
    <cfRule type="expression" dxfId="544" priority="594" stopIfTrue="1">
      <formula>LEN(TRIM(BK102))=0</formula>
    </cfRule>
  </conditionalFormatting>
  <conditionalFormatting sqref="BK109:BN109">
    <cfRule type="cellIs" dxfId="543" priority="595" stopIfTrue="1" operator="equal">
      <formula>"E"</formula>
    </cfRule>
  </conditionalFormatting>
  <conditionalFormatting sqref="BK109:BN109">
    <cfRule type="cellIs" dxfId="542" priority="596" stopIfTrue="1" operator="equal">
      <formula>"S"</formula>
    </cfRule>
  </conditionalFormatting>
  <conditionalFormatting sqref="BK109:BN109">
    <cfRule type="cellIs" dxfId="541" priority="597" stopIfTrue="1" operator="equal">
      <formula>"M"</formula>
    </cfRule>
  </conditionalFormatting>
  <conditionalFormatting sqref="BK109:BN109">
    <cfRule type="cellIs" dxfId="540" priority="598" stopIfTrue="1" operator="equal">
      <formula>"J"</formula>
    </cfRule>
  </conditionalFormatting>
  <conditionalFormatting sqref="BK109:BN109">
    <cfRule type="cellIs" dxfId="539" priority="599" stopIfTrue="1" operator="equal">
      <formula>"O"</formula>
    </cfRule>
  </conditionalFormatting>
  <conditionalFormatting sqref="BK109:BN109">
    <cfRule type="expression" dxfId="538" priority="600" stopIfTrue="1">
      <formula>LEN(TRIM(BK109))=0</formula>
    </cfRule>
  </conditionalFormatting>
  <conditionalFormatting sqref="BO4:BV16">
    <cfRule type="cellIs" dxfId="537" priority="601" stopIfTrue="1" operator="equal">
      <formula>"E"</formula>
    </cfRule>
    <cfRule type="cellIs" dxfId="536" priority="602" stopIfTrue="1" operator="equal">
      <formula>"S"</formula>
    </cfRule>
    <cfRule type="cellIs" dxfId="535" priority="603" stopIfTrue="1" operator="equal">
      <formula>"M"</formula>
    </cfRule>
    <cfRule type="cellIs" dxfId="534" priority="604" stopIfTrue="1" operator="equal">
      <formula>"J"</formula>
    </cfRule>
    <cfRule type="cellIs" dxfId="533" priority="605" stopIfTrue="1" operator="equal">
      <formula>"O"</formula>
    </cfRule>
    <cfRule type="expression" dxfId="532" priority="606" stopIfTrue="1">
      <formula>LEN(TRIM(BO4))=0</formula>
    </cfRule>
  </conditionalFormatting>
  <conditionalFormatting sqref="BO18:BV26">
    <cfRule type="cellIs" dxfId="531" priority="607" stopIfTrue="1" operator="equal">
      <formula>"E"</formula>
    </cfRule>
  </conditionalFormatting>
  <conditionalFormatting sqref="BO18:BV26">
    <cfRule type="cellIs" dxfId="530" priority="608" stopIfTrue="1" operator="equal">
      <formula>"S"</formula>
    </cfRule>
  </conditionalFormatting>
  <conditionalFormatting sqref="BO18:BV26">
    <cfRule type="cellIs" dxfId="529" priority="609" stopIfTrue="1" operator="equal">
      <formula>"M"</formula>
    </cfRule>
  </conditionalFormatting>
  <conditionalFormatting sqref="BO18:BV26">
    <cfRule type="cellIs" dxfId="528" priority="610" stopIfTrue="1" operator="equal">
      <formula>"J"</formula>
    </cfRule>
  </conditionalFormatting>
  <conditionalFormatting sqref="BO18:BV26">
    <cfRule type="cellIs" dxfId="527" priority="611" stopIfTrue="1" operator="equal">
      <formula>"O"</formula>
    </cfRule>
  </conditionalFormatting>
  <conditionalFormatting sqref="BO18:BV26">
    <cfRule type="expression" dxfId="526" priority="612" stopIfTrue="1">
      <formula>LEN(TRIM(BO18))=0</formula>
    </cfRule>
  </conditionalFormatting>
  <conditionalFormatting sqref="BO28:BV37">
    <cfRule type="cellIs" dxfId="525" priority="613" stopIfTrue="1" operator="equal">
      <formula>"E"</formula>
    </cfRule>
  </conditionalFormatting>
  <conditionalFormatting sqref="BO28:BV37">
    <cfRule type="cellIs" dxfId="524" priority="614" stopIfTrue="1" operator="equal">
      <formula>"S"</formula>
    </cfRule>
  </conditionalFormatting>
  <conditionalFormatting sqref="BO28:BV37">
    <cfRule type="cellIs" dxfId="523" priority="615" stopIfTrue="1" operator="equal">
      <formula>"M"</formula>
    </cfRule>
  </conditionalFormatting>
  <conditionalFormatting sqref="BO28:BV37">
    <cfRule type="cellIs" dxfId="522" priority="616" stopIfTrue="1" operator="equal">
      <formula>"J"</formula>
    </cfRule>
  </conditionalFormatting>
  <conditionalFormatting sqref="BO28:BV37">
    <cfRule type="cellIs" dxfId="521" priority="617" stopIfTrue="1" operator="equal">
      <formula>"O"</formula>
    </cfRule>
  </conditionalFormatting>
  <conditionalFormatting sqref="BO28:BV37">
    <cfRule type="expression" dxfId="520" priority="618" stopIfTrue="1">
      <formula>LEN(TRIM(BO28))=0</formula>
    </cfRule>
  </conditionalFormatting>
  <conditionalFormatting sqref="BO39:BV50">
    <cfRule type="cellIs" dxfId="519" priority="619" stopIfTrue="1" operator="equal">
      <formula>"E"</formula>
    </cfRule>
  </conditionalFormatting>
  <conditionalFormatting sqref="BO39:BV50">
    <cfRule type="cellIs" dxfId="518" priority="620" stopIfTrue="1" operator="equal">
      <formula>"S"</formula>
    </cfRule>
  </conditionalFormatting>
  <conditionalFormatting sqref="BO39:BV50">
    <cfRule type="cellIs" dxfId="517" priority="621" stopIfTrue="1" operator="equal">
      <formula>"M"</formula>
    </cfRule>
  </conditionalFormatting>
  <conditionalFormatting sqref="BO39:BV50">
    <cfRule type="cellIs" dxfId="516" priority="622" stopIfTrue="1" operator="equal">
      <formula>"J"</formula>
    </cfRule>
  </conditionalFormatting>
  <conditionalFormatting sqref="BO39:BV50">
    <cfRule type="cellIs" dxfId="515" priority="623" stopIfTrue="1" operator="equal">
      <formula>"O"</formula>
    </cfRule>
  </conditionalFormatting>
  <conditionalFormatting sqref="BO39:BV50">
    <cfRule type="expression" dxfId="514" priority="624" stopIfTrue="1">
      <formula>LEN(TRIM(BO39))=0</formula>
    </cfRule>
  </conditionalFormatting>
  <conditionalFormatting sqref="BO52:BV59">
    <cfRule type="cellIs" dxfId="513" priority="625" stopIfTrue="1" operator="equal">
      <formula>"E"</formula>
    </cfRule>
  </conditionalFormatting>
  <conditionalFormatting sqref="BO52:BV59">
    <cfRule type="cellIs" dxfId="512" priority="626" stopIfTrue="1" operator="equal">
      <formula>"S"</formula>
    </cfRule>
  </conditionalFormatting>
  <conditionalFormatting sqref="BO52:BV59">
    <cfRule type="cellIs" dxfId="511" priority="627" stopIfTrue="1" operator="equal">
      <formula>"M"</formula>
    </cfRule>
  </conditionalFormatting>
  <conditionalFormatting sqref="BO52:BV59">
    <cfRule type="cellIs" dxfId="510" priority="628" stopIfTrue="1" operator="equal">
      <formula>"J"</formula>
    </cfRule>
  </conditionalFormatting>
  <conditionalFormatting sqref="BO52:BV59">
    <cfRule type="cellIs" dxfId="509" priority="629" stopIfTrue="1" operator="equal">
      <formula>"O"</formula>
    </cfRule>
  </conditionalFormatting>
  <conditionalFormatting sqref="BO52:BV59">
    <cfRule type="expression" dxfId="508" priority="630" stopIfTrue="1">
      <formula>LEN(TRIM(BO52))=0</formula>
    </cfRule>
  </conditionalFormatting>
  <conditionalFormatting sqref="BO61:BV78">
    <cfRule type="cellIs" dxfId="507" priority="631" stopIfTrue="1" operator="equal">
      <formula>"E"</formula>
    </cfRule>
  </conditionalFormatting>
  <conditionalFormatting sqref="BO61:BV78">
    <cfRule type="cellIs" dxfId="506" priority="632" stopIfTrue="1" operator="equal">
      <formula>"S"</formula>
    </cfRule>
  </conditionalFormatting>
  <conditionalFormatting sqref="BO61:BV78">
    <cfRule type="cellIs" dxfId="505" priority="633" stopIfTrue="1" operator="equal">
      <formula>"M"</formula>
    </cfRule>
  </conditionalFormatting>
  <conditionalFormatting sqref="BO61:BV78">
    <cfRule type="cellIs" dxfId="504" priority="634" stopIfTrue="1" operator="equal">
      <formula>"J"</formula>
    </cfRule>
  </conditionalFormatting>
  <conditionalFormatting sqref="BO61:BV78">
    <cfRule type="cellIs" dxfId="503" priority="635" stopIfTrue="1" operator="equal">
      <formula>"O"</formula>
    </cfRule>
  </conditionalFormatting>
  <conditionalFormatting sqref="BO61:BV78">
    <cfRule type="expression" dxfId="502" priority="636" stopIfTrue="1">
      <formula>LEN(TRIM(BO61))=0</formula>
    </cfRule>
  </conditionalFormatting>
  <conditionalFormatting sqref="BO80:BV83">
    <cfRule type="cellIs" dxfId="501" priority="637" stopIfTrue="1" operator="equal">
      <formula>"E"</formula>
    </cfRule>
  </conditionalFormatting>
  <conditionalFormatting sqref="BO80:BV83">
    <cfRule type="cellIs" dxfId="500" priority="638" stopIfTrue="1" operator="equal">
      <formula>"S"</formula>
    </cfRule>
  </conditionalFormatting>
  <conditionalFormatting sqref="BO80:BV83">
    <cfRule type="cellIs" dxfId="499" priority="639" stopIfTrue="1" operator="equal">
      <formula>"M"</formula>
    </cfRule>
  </conditionalFormatting>
  <conditionalFormatting sqref="BO80:BV83">
    <cfRule type="cellIs" dxfId="498" priority="640" stopIfTrue="1" operator="equal">
      <formula>"J"</formula>
    </cfRule>
  </conditionalFormatting>
  <conditionalFormatting sqref="BO80:BV83">
    <cfRule type="cellIs" dxfId="497" priority="641" stopIfTrue="1" operator="equal">
      <formula>"O"</formula>
    </cfRule>
  </conditionalFormatting>
  <conditionalFormatting sqref="BO80:BV83">
    <cfRule type="expression" dxfId="496" priority="642" stopIfTrue="1">
      <formula>LEN(TRIM(BO80))=0</formula>
    </cfRule>
  </conditionalFormatting>
  <conditionalFormatting sqref="BO85:BV99">
    <cfRule type="cellIs" dxfId="495" priority="643" stopIfTrue="1" operator="equal">
      <formula>"E"</formula>
    </cfRule>
  </conditionalFormatting>
  <conditionalFormatting sqref="BO85:BV99">
    <cfRule type="cellIs" dxfId="494" priority="644" stopIfTrue="1" operator="equal">
      <formula>"S"</formula>
    </cfRule>
  </conditionalFormatting>
  <conditionalFormatting sqref="BO85:BV99">
    <cfRule type="cellIs" dxfId="493" priority="645" stopIfTrue="1" operator="equal">
      <formula>"M"</formula>
    </cfRule>
  </conditionalFormatting>
  <conditionalFormatting sqref="BO85:BV99">
    <cfRule type="cellIs" dxfId="492" priority="646" stopIfTrue="1" operator="equal">
      <formula>"J"</formula>
    </cfRule>
  </conditionalFormatting>
  <conditionalFormatting sqref="BO85:BV99">
    <cfRule type="cellIs" dxfId="491" priority="647" stopIfTrue="1" operator="equal">
      <formula>"O"</formula>
    </cfRule>
  </conditionalFormatting>
  <conditionalFormatting sqref="BO85:BV99">
    <cfRule type="expression" dxfId="490" priority="648" stopIfTrue="1">
      <formula>LEN(TRIM(BO85))=0</formula>
    </cfRule>
  </conditionalFormatting>
  <conditionalFormatting sqref="BO102:BV106">
    <cfRule type="cellIs" dxfId="489" priority="649" stopIfTrue="1" operator="equal">
      <formula>"E"</formula>
    </cfRule>
  </conditionalFormatting>
  <conditionalFormatting sqref="BO102:BV106">
    <cfRule type="cellIs" dxfId="488" priority="650" stopIfTrue="1" operator="equal">
      <formula>"S"</formula>
    </cfRule>
  </conditionalFormatting>
  <conditionalFormatting sqref="BO102:BV106">
    <cfRule type="cellIs" dxfId="487" priority="651" stopIfTrue="1" operator="equal">
      <formula>"M"</formula>
    </cfRule>
  </conditionalFormatting>
  <conditionalFormatting sqref="BO102:BV106">
    <cfRule type="cellIs" dxfId="486" priority="652" stopIfTrue="1" operator="equal">
      <formula>"J"</formula>
    </cfRule>
  </conditionalFormatting>
  <conditionalFormatting sqref="BO102:BV106">
    <cfRule type="cellIs" dxfId="485" priority="653" stopIfTrue="1" operator="equal">
      <formula>"O"</formula>
    </cfRule>
  </conditionalFormatting>
  <conditionalFormatting sqref="BO102:BV106">
    <cfRule type="expression" dxfId="484" priority="654" stopIfTrue="1">
      <formula>LEN(TRIM(BO102))=0</formula>
    </cfRule>
  </conditionalFormatting>
  <conditionalFormatting sqref="BO109:BV109">
    <cfRule type="cellIs" dxfId="483" priority="655" stopIfTrue="1" operator="equal">
      <formula>"E"</formula>
    </cfRule>
  </conditionalFormatting>
  <conditionalFormatting sqref="BO109:BV109">
    <cfRule type="cellIs" dxfId="482" priority="656" stopIfTrue="1" operator="equal">
      <formula>"S"</formula>
    </cfRule>
  </conditionalFormatting>
  <conditionalFormatting sqref="BO109:BV109">
    <cfRule type="cellIs" dxfId="481" priority="657" stopIfTrue="1" operator="equal">
      <formula>"M"</formula>
    </cfRule>
  </conditionalFormatting>
  <conditionalFormatting sqref="BO109:BV109">
    <cfRule type="cellIs" dxfId="480" priority="658" stopIfTrue="1" operator="equal">
      <formula>"J"</formula>
    </cfRule>
  </conditionalFormatting>
  <conditionalFormatting sqref="BO109:BV109">
    <cfRule type="cellIs" dxfId="479" priority="659" stopIfTrue="1" operator="equal">
      <formula>"O"</formula>
    </cfRule>
  </conditionalFormatting>
  <conditionalFormatting sqref="BO109:BV109">
    <cfRule type="expression" dxfId="478" priority="660" stopIfTrue="1">
      <formula>LEN(TRIM(BO109))=0</formula>
    </cfRule>
  </conditionalFormatting>
  <conditionalFormatting sqref="BW4:CB16">
    <cfRule type="cellIs" dxfId="477" priority="661" stopIfTrue="1" operator="equal">
      <formula>"E"</formula>
    </cfRule>
  </conditionalFormatting>
  <conditionalFormatting sqref="BW4:CB16">
    <cfRule type="cellIs" dxfId="476" priority="662" stopIfTrue="1" operator="equal">
      <formula>"S"</formula>
    </cfRule>
  </conditionalFormatting>
  <conditionalFormatting sqref="BW4:CB16">
    <cfRule type="cellIs" dxfId="475" priority="663" stopIfTrue="1" operator="equal">
      <formula>"M"</formula>
    </cfRule>
  </conditionalFormatting>
  <conditionalFormatting sqref="BW4:CB16">
    <cfRule type="cellIs" dxfId="474" priority="664" stopIfTrue="1" operator="equal">
      <formula>"J"</formula>
    </cfRule>
  </conditionalFormatting>
  <conditionalFormatting sqref="BW4:CB16">
    <cfRule type="cellIs" dxfId="473" priority="665" stopIfTrue="1" operator="equal">
      <formula>"O"</formula>
    </cfRule>
  </conditionalFormatting>
  <conditionalFormatting sqref="BW4:CB16">
    <cfRule type="expression" dxfId="472" priority="666" stopIfTrue="1">
      <formula>LEN(TRIM(BW4))=0</formula>
    </cfRule>
  </conditionalFormatting>
  <conditionalFormatting sqref="BW18:CB26">
    <cfRule type="cellIs" dxfId="471" priority="667" stopIfTrue="1" operator="equal">
      <formula>"E"</formula>
    </cfRule>
  </conditionalFormatting>
  <conditionalFormatting sqref="BW18:CB26">
    <cfRule type="cellIs" dxfId="470" priority="668" stopIfTrue="1" operator="equal">
      <formula>"S"</formula>
    </cfRule>
  </conditionalFormatting>
  <conditionalFormatting sqref="BW18:CB26">
    <cfRule type="cellIs" dxfId="469" priority="669" stopIfTrue="1" operator="equal">
      <formula>"M"</formula>
    </cfRule>
  </conditionalFormatting>
  <conditionalFormatting sqref="BW18:CB26">
    <cfRule type="cellIs" dxfId="468" priority="670" stopIfTrue="1" operator="equal">
      <formula>"J"</formula>
    </cfRule>
  </conditionalFormatting>
  <conditionalFormatting sqref="BW18:CB26">
    <cfRule type="cellIs" dxfId="467" priority="671" stopIfTrue="1" operator="equal">
      <formula>"O"</formula>
    </cfRule>
  </conditionalFormatting>
  <conditionalFormatting sqref="BW18:CB26">
    <cfRule type="expression" dxfId="466" priority="672" stopIfTrue="1">
      <formula>LEN(TRIM(BW18))=0</formula>
    </cfRule>
  </conditionalFormatting>
  <conditionalFormatting sqref="BW28:CB37">
    <cfRule type="cellIs" dxfId="465" priority="673" stopIfTrue="1" operator="equal">
      <formula>"E"</formula>
    </cfRule>
  </conditionalFormatting>
  <conditionalFormatting sqref="BW28:CB37">
    <cfRule type="cellIs" dxfId="464" priority="674" stopIfTrue="1" operator="equal">
      <formula>"S"</formula>
    </cfRule>
  </conditionalFormatting>
  <conditionalFormatting sqref="BW28:CB37">
    <cfRule type="cellIs" dxfId="463" priority="675" stopIfTrue="1" operator="equal">
      <formula>"M"</formula>
    </cfRule>
  </conditionalFormatting>
  <conditionalFormatting sqref="BW28:CB37">
    <cfRule type="cellIs" dxfId="462" priority="676" stopIfTrue="1" operator="equal">
      <formula>"J"</formula>
    </cfRule>
  </conditionalFormatting>
  <conditionalFormatting sqref="BW28:CB37">
    <cfRule type="cellIs" dxfId="461" priority="677" stopIfTrue="1" operator="equal">
      <formula>"O"</formula>
    </cfRule>
  </conditionalFormatting>
  <conditionalFormatting sqref="BW28:CB37">
    <cfRule type="expression" dxfId="460" priority="678" stopIfTrue="1">
      <formula>LEN(TRIM(BW28))=0</formula>
    </cfRule>
  </conditionalFormatting>
  <conditionalFormatting sqref="BW39:CB50">
    <cfRule type="cellIs" dxfId="459" priority="679" stopIfTrue="1" operator="equal">
      <formula>"E"</formula>
    </cfRule>
  </conditionalFormatting>
  <conditionalFormatting sqref="BW39:CB50">
    <cfRule type="cellIs" dxfId="458" priority="680" stopIfTrue="1" operator="equal">
      <formula>"S"</formula>
    </cfRule>
  </conditionalFormatting>
  <conditionalFormatting sqref="BW39:CB50">
    <cfRule type="cellIs" dxfId="457" priority="681" stopIfTrue="1" operator="equal">
      <formula>"M"</formula>
    </cfRule>
  </conditionalFormatting>
  <conditionalFormatting sqref="BW39:CB50">
    <cfRule type="cellIs" dxfId="456" priority="682" stopIfTrue="1" operator="equal">
      <formula>"J"</formula>
    </cfRule>
  </conditionalFormatting>
  <conditionalFormatting sqref="BW39:CB50">
    <cfRule type="cellIs" dxfId="455" priority="683" stopIfTrue="1" operator="equal">
      <formula>"O"</formula>
    </cfRule>
  </conditionalFormatting>
  <conditionalFormatting sqref="BW39:CB50">
    <cfRule type="expression" dxfId="454" priority="684" stopIfTrue="1">
      <formula>LEN(TRIM(BW39))=0</formula>
    </cfRule>
  </conditionalFormatting>
  <conditionalFormatting sqref="BW52:CB59">
    <cfRule type="cellIs" dxfId="453" priority="685" stopIfTrue="1" operator="equal">
      <formula>"E"</formula>
    </cfRule>
  </conditionalFormatting>
  <conditionalFormatting sqref="BW52:CB59">
    <cfRule type="cellIs" dxfId="452" priority="686" stopIfTrue="1" operator="equal">
      <formula>"S"</formula>
    </cfRule>
  </conditionalFormatting>
  <conditionalFormatting sqref="BW52:CB59">
    <cfRule type="cellIs" dxfId="451" priority="687" stopIfTrue="1" operator="equal">
      <formula>"M"</formula>
    </cfRule>
  </conditionalFormatting>
  <conditionalFormatting sqref="BW52:CB59">
    <cfRule type="cellIs" dxfId="450" priority="688" stopIfTrue="1" operator="equal">
      <formula>"J"</formula>
    </cfRule>
  </conditionalFormatting>
  <conditionalFormatting sqref="BW52:CB59">
    <cfRule type="cellIs" dxfId="449" priority="689" stopIfTrue="1" operator="equal">
      <formula>"O"</formula>
    </cfRule>
  </conditionalFormatting>
  <conditionalFormatting sqref="BW52:CB59">
    <cfRule type="expression" dxfId="448" priority="690" stopIfTrue="1">
      <formula>LEN(TRIM(BW52))=0</formula>
    </cfRule>
  </conditionalFormatting>
  <conditionalFormatting sqref="BW61:CB78">
    <cfRule type="cellIs" dxfId="447" priority="691" stopIfTrue="1" operator="equal">
      <formula>"E"</formula>
    </cfRule>
  </conditionalFormatting>
  <conditionalFormatting sqref="BW61:CB78">
    <cfRule type="cellIs" dxfId="446" priority="692" stopIfTrue="1" operator="equal">
      <formula>"S"</formula>
    </cfRule>
  </conditionalFormatting>
  <conditionalFormatting sqref="BW61:CB78">
    <cfRule type="cellIs" dxfId="445" priority="693" stopIfTrue="1" operator="equal">
      <formula>"M"</formula>
    </cfRule>
  </conditionalFormatting>
  <conditionalFormatting sqref="BW61:CB78">
    <cfRule type="cellIs" dxfId="444" priority="694" stopIfTrue="1" operator="equal">
      <formula>"J"</formula>
    </cfRule>
  </conditionalFormatting>
  <conditionalFormatting sqref="BW61:CB78">
    <cfRule type="cellIs" dxfId="443" priority="695" stopIfTrue="1" operator="equal">
      <formula>"O"</formula>
    </cfRule>
  </conditionalFormatting>
  <conditionalFormatting sqref="BW61:CB78">
    <cfRule type="expression" dxfId="442" priority="696" stopIfTrue="1">
      <formula>LEN(TRIM(BW61))=0</formula>
    </cfRule>
  </conditionalFormatting>
  <conditionalFormatting sqref="BW80:CB83">
    <cfRule type="cellIs" dxfId="441" priority="697" stopIfTrue="1" operator="equal">
      <formula>"E"</formula>
    </cfRule>
  </conditionalFormatting>
  <conditionalFormatting sqref="BW80:CB83">
    <cfRule type="cellIs" dxfId="440" priority="698" stopIfTrue="1" operator="equal">
      <formula>"S"</formula>
    </cfRule>
  </conditionalFormatting>
  <conditionalFormatting sqref="BW80:CB83">
    <cfRule type="cellIs" dxfId="439" priority="699" stopIfTrue="1" operator="equal">
      <formula>"M"</formula>
    </cfRule>
  </conditionalFormatting>
  <conditionalFormatting sqref="BW80:CB83">
    <cfRule type="cellIs" dxfId="438" priority="700" stopIfTrue="1" operator="equal">
      <formula>"J"</formula>
    </cfRule>
  </conditionalFormatting>
  <conditionalFormatting sqref="BW80:CB83">
    <cfRule type="cellIs" dxfId="437" priority="701" stopIfTrue="1" operator="equal">
      <formula>"O"</formula>
    </cfRule>
  </conditionalFormatting>
  <conditionalFormatting sqref="BW80:CB83">
    <cfRule type="expression" dxfId="436" priority="702" stopIfTrue="1">
      <formula>LEN(TRIM(BW80))=0</formula>
    </cfRule>
  </conditionalFormatting>
  <conditionalFormatting sqref="BW85:CB99">
    <cfRule type="cellIs" dxfId="435" priority="703" stopIfTrue="1" operator="equal">
      <formula>"E"</formula>
    </cfRule>
  </conditionalFormatting>
  <conditionalFormatting sqref="BW85:CB99">
    <cfRule type="cellIs" dxfId="434" priority="704" stopIfTrue="1" operator="equal">
      <formula>"S"</formula>
    </cfRule>
  </conditionalFormatting>
  <conditionalFormatting sqref="BW85:CB99">
    <cfRule type="cellIs" dxfId="433" priority="705" stopIfTrue="1" operator="equal">
      <formula>"M"</formula>
    </cfRule>
  </conditionalFormatting>
  <conditionalFormatting sqref="BW85:CB99">
    <cfRule type="cellIs" dxfId="432" priority="706" stopIfTrue="1" operator="equal">
      <formula>"J"</formula>
    </cfRule>
  </conditionalFormatting>
  <conditionalFormatting sqref="BW85:CB99">
    <cfRule type="cellIs" dxfId="431" priority="707" stopIfTrue="1" operator="equal">
      <formula>"O"</formula>
    </cfRule>
  </conditionalFormatting>
  <conditionalFormatting sqref="BW85:CB99">
    <cfRule type="expression" dxfId="430" priority="708" stopIfTrue="1">
      <formula>LEN(TRIM(BW85))=0</formula>
    </cfRule>
  </conditionalFormatting>
  <conditionalFormatting sqref="BW102:CB106">
    <cfRule type="cellIs" dxfId="429" priority="709" stopIfTrue="1" operator="equal">
      <formula>"E"</formula>
    </cfRule>
  </conditionalFormatting>
  <conditionalFormatting sqref="BW102:CB106">
    <cfRule type="cellIs" dxfId="428" priority="710" stopIfTrue="1" operator="equal">
      <formula>"S"</formula>
    </cfRule>
  </conditionalFormatting>
  <conditionalFormatting sqref="BW102:CB106">
    <cfRule type="cellIs" dxfId="427" priority="711" stopIfTrue="1" operator="equal">
      <formula>"M"</formula>
    </cfRule>
  </conditionalFormatting>
  <conditionalFormatting sqref="BW102:CB106">
    <cfRule type="cellIs" dxfId="426" priority="712" stopIfTrue="1" operator="equal">
      <formula>"J"</formula>
    </cfRule>
  </conditionalFormatting>
  <conditionalFormatting sqref="BW102:CB106">
    <cfRule type="cellIs" dxfId="425" priority="713" stopIfTrue="1" operator="equal">
      <formula>"O"</formula>
    </cfRule>
  </conditionalFormatting>
  <conditionalFormatting sqref="BW102:CB106">
    <cfRule type="expression" dxfId="424" priority="714" stopIfTrue="1">
      <formula>LEN(TRIM(BW102))=0</formula>
    </cfRule>
  </conditionalFormatting>
  <conditionalFormatting sqref="BW109:CB109">
    <cfRule type="cellIs" dxfId="423" priority="715" stopIfTrue="1" operator="equal">
      <formula>"E"</formula>
    </cfRule>
  </conditionalFormatting>
  <conditionalFormatting sqref="BW109:CB109">
    <cfRule type="cellIs" dxfId="422" priority="716" stopIfTrue="1" operator="equal">
      <formula>"S"</formula>
    </cfRule>
  </conditionalFormatting>
  <conditionalFormatting sqref="BW109:CB109">
    <cfRule type="cellIs" dxfId="421" priority="717" stopIfTrue="1" operator="equal">
      <formula>"M"</formula>
    </cfRule>
  </conditionalFormatting>
  <conditionalFormatting sqref="BW109:CB109">
    <cfRule type="cellIs" dxfId="420" priority="718" stopIfTrue="1" operator="equal">
      <formula>"J"</formula>
    </cfRule>
  </conditionalFormatting>
  <conditionalFormatting sqref="BW109:CB109">
    <cfRule type="cellIs" dxfId="419" priority="719" stopIfTrue="1" operator="equal">
      <formula>"O"</formula>
    </cfRule>
  </conditionalFormatting>
  <conditionalFormatting sqref="BW109:CB109">
    <cfRule type="expression" dxfId="418" priority="720" stopIfTrue="1">
      <formula>LEN(TRIM(BW109))=0</formula>
    </cfRule>
  </conditionalFormatting>
  <conditionalFormatting sqref="CC4:CE16">
    <cfRule type="cellIs" dxfId="417" priority="721" stopIfTrue="1" operator="equal">
      <formula>"E"</formula>
    </cfRule>
  </conditionalFormatting>
  <conditionalFormatting sqref="CC4:CE16">
    <cfRule type="cellIs" dxfId="416" priority="722" stopIfTrue="1" operator="equal">
      <formula>"S"</formula>
    </cfRule>
  </conditionalFormatting>
  <conditionalFormatting sqref="CC4:CE16">
    <cfRule type="cellIs" dxfId="415" priority="723" stopIfTrue="1" operator="equal">
      <formula>"M"</formula>
    </cfRule>
  </conditionalFormatting>
  <conditionalFormatting sqref="CC4:CE16">
    <cfRule type="cellIs" dxfId="414" priority="724" stopIfTrue="1" operator="equal">
      <formula>"J"</formula>
    </cfRule>
  </conditionalFormatting>
  <conditionalFormatting sqref="CC4:CE16">
    <cfRule type="cellIs" dxfId="413" priority="725" stopIfTrue="1" operator="equal">
      <formula>"O"</formula>
    </cfRule>
  </conditionalFormatting>
  <conditionalFormatting sqref="CC4:CE16">
    <cfRule type="expression" dxfId="412" priority="726" stopIfTrue="1">
      <formula>LEN(TRIM(CC4))=0</formula>
    </cfRule>
  </conditionalFormatting>
  <conditionalFormatting sqref="CC18:CE26">
    <cfRule type="cellIs" dxfId="411" priority="727" stopIfTrue="1" operator="equal">
      <formula>"E"</formula>
    </cfRule>
  </conditionalFormatting>
  <conditionalFormatting sqref="CC18:CE26">
    <cfRule type="cellIs" dxfId="410" priority="728" stopIfTrue="1" operator="equal">
      <formula>"S"</formula>
    </cfRule>
  </conditionalFormatting>
  <conditionalFormatting sqref="CC18:CE26">
    <cfRule type="cellIs" dxfId="409" priority="729" stopIfTrue="1" operator="equal">
      <formula>"M"</formula>
    </cfRule>
  </conditionalFormatting>
  <conditionalFormatting sqref="CC18:CE26">
    <cfRule type="cellIs" dxfId="408" priority="730" stopIfTrue="1" operator="equal">
      <formula>"J"</formula>
    </cfRule>
  </conditionalFormatting>
  <conditionalFormatting sqref="CC18:CE26">
    <cfRule type="cellIs" dxfId="407" priority="731" stopIfTrue="1" operator="equal">
      <formula>"O"</formula>
    </cfRule>
  </conditionalFormatting>
  <conditionalFormatting sqref="CC18:CE26">
    <cfRule type="expression" dxfId="406" priority="732" stopIfTrue="1">
      <formula>LEN(TRIM(CC18))=0</formula>
    </cfRule>
  </conditionalFormatting>
  <conditionalFormatting sqref="CC28:CE37">
    <cfRule type="cellIs" dxfId="405" priority="733" stopIfTrue="1" operator="equal">
      <formula>"E"</formula>
    </cfRule>
  </conditionalFormatting>
  <conditionalFormatting sqref="CC28:CE37">
    <cfRule type="cellIs" dxfId="404" priority="734" stopIfTrue="1" operator="equal">
      <formula>"S"</formula>
    </cfRule>
  </conditionalFormatting>
  <conditionalFormatting sqref="CC28:CE37">
    <cfRule type="cellIs" dxfId="403" priority="735" stopIfTrue="1" operator="equal">
      <formula>"M"</formula>
    </cfRule>
  </conditionalFormatting>
  <conditionalFormatting sqref="CC28:CE37">
    <cfRule type="cellIs" dxfId="402" priority="736" stopIfTrue="1" operator="equal">
      <formula>"J"</formula>
    </cfRule>
  </conditionalFormatting>
  <conditionalFormatting sqref="CC28:CE37">
    <cfRule type="cellIs" dxfId="401" priority="737" stopIfTrue="1" operator="equal">
      <formula>"O"</formula>
    </cfRule>
  </conditionalFormatting>
  <conditionalFormatting sqref="CC28:CE37">
    <cfRule type="expression" dxfId="400" priority="738" stopIfTrue="1">
      <formula>LEN(TRIM(CC28))=0</formula>
    </cfRule>
  </conditionalFormatting>
  <conditionalFormatting sqref="CC39:CE50">
    <cfRule type="cellIs" dxfId="399" priority="739" stopIfTrue="1" operator="equal">
      <formula>"E"</formula>
    </cfRule>
  </conditionalFormatting>
  <conditionalFormatting sqref="CC39:CE50">
    <cfRule type="cellIs" dxfId="398" priority="740" stopIfTrue="1" operator="equal">
      <formula>"S"</formula>
    </cfRule>
  </conditionalFormatting>
  <conditionalFormatting sqref="CC39:CE50">
    <cfRule type="cellIs" dxfId="397" priority="741" stopIfTrue="1" operator="equal">
      <formula>"M"</formula>
    </cfRule>
  </conditionalFormatting>
  <conditionalFormatting sqref="CC39:CE50">
    <cfRule type="cellIs" dxfId="396" priority="742" stopIfTrue="1" operator="equal">
      <formula>"J"</formula>
    </cfRule>
  </conditionalFormatting>
  <conditionalFormatting sqref="CC39:CE50">
    <cfRule type="cellIs" dxfId="395" priority="743" stopIfTrue="1" operator="equal">
      <formula>"O"</formula>
    </cfRule>
  </conditionalFormatting>
  <conditionalFormatting sqref="CC39:CE50">
    <cfRule type="expression" dxfId="394" priority="744" stopIfTrue="1">
      <formula>LEN(TRIM(CC39))=0</formula>
    </cfRule>
  </conditionalFormatting>
  <conditionalFormatting sqref="CC52:CE59">
    <cfRule type="cellIs" dxfId="393" priority="745" stopIfTrue="1" operator="equal">
      <formula>"E"</formula>
    </cfRule>
  </conditionalFormatting>
  <conditionalFormatting sqref="CC52:CE59">
    <cfRule type="cellIs" dxfId="392" priority="746" stopIfTrue="1" operator="equal">
      <formula>"S"</formula>
    </cfRule>
  </conditionalFormatting>
  <conditionalFormatting sqref="CC52:CE59">
    <cfRule type="cellIs" dxfId="391" priority="747" stopIfTrue="1" operator="equal">
      <formula>"M"</formula>
    </cfRule>
  </conditionalFormatting>
  <conditionalFormatting sqref="CC52:CE59">
    <cfRule type="cellIs" dxfId="390" priority="748" stopIfTrue="1" operator="equal">
      <formula>"J"</formula>
    </cfRule>
  </conditionalFormatting>
  <conditionalFormatting sqref="CC52:CE59">
    <cfRule type="cellIs" dxfId="389" priority="749" stopIfTrue="1" operator="equal">
      <formula>"O"</formula>
    </cfRule>
  </conditionalFormatting>
  <conditionalFormatting sqref="CC52:CE59">
    <cfRule type="expression" dxfId="388" priority="750" stopIfTrue="1">
      <formula>LEN(TRIM(CC52))=0</formula>
    </cfRule>
  </conditionalFormatting>
  <conditionalFormatting sqref="CC61:CE78">
    <cfRule type="cellIs" dxfId="387" priority="751" stopIfTrue="1" operator="equal">
      <formula>"E"</formula>
    </cfRule>
  </conditionalFormatting>
  <conditionalFormatting sqref="CC61:CE78">
    <cfRule type="cellIs" dxfId="386" priority="752" stopIfTrue="1" operator="equal">
      <formula>"S"</formula>
    </cfRule>
  </conditionalFormatting>
  <conditionalFormatting sqref="CC61:CE78">
    <cfRule type="cellIs" dxfId="385" priority="753" stopIfTrue="1" operator="equal">
      <formula>"M"</formula>
    </cfRule>
  </conditionalFormatting>
  <conditionalFormatting sqref="CC61:CE78">
    <cfRule type="cellIs" dxfId="384" priority="754" stopIfTrue="1" operator="equal">
      <formula>"J"</formula>
    </cfRule>
  </conditionalFormatting>
  <conditionalFormatting sqref="CC61:CE78">
    <cfRule type="cellIs" dxfId="383" priority="755" stopIfTrue="1" operator="equal">
      <formula>"O"</formula>
    </cfRule>
  </conditionalFormatting>
  <conditionalFormatting sqref="CC61:CE78">
    <cfRule type="expression" dxfId="382" priority="756" stopIfTrue="1">
      <formula>LEN(TRIM(CC61))=0</formula>
    </cfRule>
  </conditionalFormatting>
  <conditionalFormatting sqref="CC80:CE83">
    <cfRule type="cellIs" dxfId="381" priority="757" stopIfTrue="1" operator="equal">
      <formula>"E"</formula>
    </cfRule>
  </conditionalFormatting>
  <conditionalFormatting sqref="CC80:CE83">
    <cfRule type="cellIs" dxfId="380" priority="758" stopIfTrue="1" operator="equal">
      <formula>"S"</formula>
    </cfRule>
  </conditionalFormatting>
  <conditionalFormatting sqref="CC80:CE83">
    <cfRule type="cellIs" dxfId="379" priority="759" stopIfTrue="1" operator="equal">
      <formula>"M"</formula>
    </cfRule>
  </conditionalFormatting>
  <conditionalFormatting sqref="CC80:CE83">
    <cfRule type="cellIs" dxfId="378" priority="760" stopIfTrue="1" operator="equal">
      <formula>"J"</formula>
    </cfRule>
  </conditionalFormatting>
  <conditionalFormatting sqref="CC80:CE83">
    <cfRule type="cellIs" dxfId="377" priority="761" stopIfTrue="1" operator="equal">
      <formula>"O"</formula>
    </cfRule>
  </conditionalFormatting>
  <conditionalFormatting sqref="CC80:CE83">
    <cfRule type="expression" dxfId="376" priority="762" stopIfTrue="1">
      <formula>LEN(TRIM(CC80))=0</formula>
    </cfRule>
  </conditionalFormatting>
  <conditionalFormatting sqref="CC85:CE99">
    <cfRule type="cellIs" dxfId="375" priority="763" stopIfTrue="1" operator="equal">
      <formula>"E"</formula>
    </cfRule>
  </conditionalFormatting>
  <conditionalFormatting sqref="CC85:CE99">
    <cfRule type="cellIs" dxfId="374" priority="764" stopIfTrue="1" operator="equal">
      <formula>"S"</formula>
    </cfRule>
  </conditionalFormatting>
  <conditionalFormatting sqref="CC85:CE99">
    <cfRule type="cellIs" dxfId="373" priority="765" stopIfTrue="1" operator="equal">
      <formula>"M"</formula>
    </cfRule>
  </conditionalFormatting>
  <conditionalFormatting sqref="CC85:CE99">
    <cfRule type="cellIs" dxfId="372" priority="766" stopIfTrue="1" operator="equal">
      <formula>"J"</formula>
    </cfRule>
  </conditionalFormatting>
  <conditionalFormatting sqref="CC85:CE99">
    <cfRule type="cellIs" dxfId="371" priority="767" stopIfTrue="1" operator="equal">
      <formula>"O"</formula>
    </cfRule>
  </conditionalFormatting>
  <conditionalFormatting sqref="CC85:CE99">
    <cfRule type="expression" dxfId="370" priority="768" stopIfTrue="1">
      <formula>LEN(TRIM(CC85))=0</formula>
    </cfRule>
  </conditionalFormatting>
  <conditionalFormatting sqref="CC102:CE106">
    <cfRule type="cellIs" dxfId="369" priority="769" stopIfTrue="1" operator="equal">
      <formula>"E"</formula>
    </cfRule>
  </conditionalFormatting>
  <conditionalFormatting sqref="CC102:CE106">
    <cfRule type="cellIs" dxfId="368" priority="770" stopIfTrue="1" operator="equal">
      <formula>"S"</formula>
    </cfRule>
  </conditionalFormatting>
  <conditionalFormatting sqref="CC102:CE106">
    <cfRule type="cellIs" dxfId="367" priority="771" stopIfTrue="1" operator="equal">
      <formula>"M"</formula>
    </cfRule>
  </conditionalFormatting>
  <conditionalFormatting sqref="CC102:CE106">
    <cfRule type="cellIs" dxfId="366" priority="772" stopIfTrue="1" operator="equal">
      <formula>"J"</formula>
    </cfRule>
  </conditionalFormatting>
  <conditionalFormatting sqref="CC102:CE106">
    <cfRule type="cellIs" dxfId="365" priority="773" stopIfTrue="1" operator="equal">
      <formula>"O"</formula>
    </cfRule>
  </conditionalFormatting>
  <conditionalFormatting sqref="CC102:CE106">
    <cfRule type="expression" dxfId="364" priority="774" stopIfTrue="1">
      <formula>LEN(TRIM(CC102))=0</formula>
    </cfRule>
  </conditionalFormatting>
  <conditionalFormatting sqref="CC109:CE109">
    <cfRule type="cellIs" dxfId="363" priority="775" stopIfTrue="1" operator="equal">
      <formula>"E"</formula>
    </cfRule>
  </conditionalFormatting>
  <conditionalFormatting sqref="CC109:CE109">
    <cfRule type="cellIs" dxfId="362" priority="776" stopIfTrue="1" operator="equal">
      <formula>"S"</formula>
    </cfRule>
  </conditionalFormatting>
  <conditionalFormatting sqref="CC109:CE109">
    <cfRule type="cellIs" dxfId="361" priority="777" stopIfTrue="1" operator="equal">
      <formula>"M"</formula>
    </cfRule>
  </conditionalFormatting>
  <conditionalFormatting sqref="CC109:CE109">
    <cfRule type="cellIs" dxfId="360" priority="778" stopIfTrue="1" operator="equal">
      <formula>"J"</formula>
    </cfRule>
  </conditionalFormatting>
  <conditionalFormatting sqref="CC109:CE109">
    <cfRule type="cellIs" dxfId="359" priority="779" stopIfTrue="1" operator="equal">
      <formula>"O"</formula>
    </cfRule>
  </conditionalFormatting>
  <conditionalFormatting sqref="CC109:CE109">
    <cfRule type="expression" dxfId="358" priority="780" stopIfTrue="1">
      <formula>LEN(TRIM(CC109))=0</formula>
    </cfRule>
  </conditionalFormatting>
  <conditionalFormatting sqref="CF4:CI16">
    <cfRule type="cellIs" dxfId="357" priority="781" stopIfTrue="1" operator="equal">
      <formula>"E"</formula>
    </cfRule>
  </conditionalFormatting>
  <conditionalFormatting sqref="CF4:CI16">
    <cfRule type="cellIs" dxfId="356" priority="782" stopIfTrue="1" operator="equal">
      <formula>"S"</formula>
    </cfRule>
  </conditionalFormatting>
  <conditionalFormatting sqref="CF4:CI16">
    <cfRule type="cellIs" dxfId="355" priority="783" stopIfTrue="1" operator="equal">
      <formula>"M"</formula>
    </cfRule>
  </conditionalFormatting>
  <conditionalFormatting sqref="CF4:CI16">
    <cfRule type="cellIs" dxfId="354" priority="784" stopIfTrue="1" operator="equal">
      <formula>"J"</formula>
    </cfRule>
  </conditionalFormatting>
  <conditionalFormatting sqref="CF4:CI16">
    <cfRule type="cellIs" dxfId="353" priority="785" stopIfTrue="1" operator="equal">
      <formula>"O"</formula>
    </cfRule>
  </conditionalFormatting>
  <conditionalFormatting sqref="CF4:CI16">
    <cfRule type="expression" dxfId="352" priority="786" stopIfTrue="1">
      <formula>LEN(TRIM(CF4))=0</formula>
    </cfRule>
  </conditionalFormatting>
  <conditionalFormatting sqref="CF18:CI26">
    <cfRule type="cellIs" dxfId="351" priority="787" stopIfTrue="1" operator="equal">
      <formula>"E"</formula>
    </cfRule>
  </conditionalFormatting>
  <conditionalFormatting sqref="CF18:CI26">
    <cfRule type="cellIs" dxfId="350" priority="788" stopIfTrue="1" operator="equal">
      <formula>"S"</formula>
    </cfRule>
  </conditionalFormatting>
  <conditionalFormatting sqref="CF18:CI26">
    <cfRule type="cellIs" dxfId="349" priority="789" stopIfTrue="1" operator="equal">
      <formula>"M"</formula>
    </cfRule>
  </conditionalFormatting>
  <conditionalFormatting sqref="CF18:CI26">
    <cfRule type="cellIs" dxfId="348" priority="790" stopIfTrue="1" operator="equal">
      <formula>"J"</formula>
    </cfRule>
  </conditionalFormatting>
  <conditionalFormatting sqref="CF18:CI26">
    <cfRule type="cellIs" dxfId="347" priority="791" stopIfTrue="1" operator="equal">
      <formula>"O"</formula>
    </cfRule>
  </conditionalFormatting>
  <conditionalFormatting sqref="CF18:CI26">
    <cfRule type="expression" dxfId="346" priority="792" stopIfTrue="1">
      <formula>LEN(TRIM(CF18))=0</formula>
    </cfRule>
  </conditionalFormatting>
  <conditionalFormatting sqref="CF28:CI37">
    <cfRule type="cellIs" dxfId="345" priority="793" stopIfTrue="1" operator="equal">
      <formula>"E"</formula>
    </cfRule>
  </conditionalFormatting>
  <conditionalFormatting sqref="CF28:CI37">
    <cfRule type="cellIs" dxfId="344" priority="794" stopIfTrue="1" operator="equal">
      <formula>"S"</formula>
    </cfRule>
  </conditionalFormatting>
  <conditionalFormatting sqref="CF28:CI37">
    <cfRule type="cellIs" dxfId="343" priority="795" stopIfTrue="1" operator="equal">
      <formula>"M"</formula>
    </cfRule>
  </conditionalFormatting>
  <conditionalFormatting sqref="CF28:CI37">
    <cfRule type="cellIs" dxfId="342" priority="796" stopIfTrue="1" operator="equal">
      <formula>"J"</formula>
    </cfRule>
  </conditionalFormatting>
  <conditionalFormatting sqref="CF28:CI37">
    <cfRule type="cellIs" dxfId="341" priority="797" stopIfTrue="1" operator="equal">
      <formula>"O"</formula>
    </cfRule>
  </conditionalFormatting>
  <conditionalFormatting sqref="CF28:CI37">
    <cfRule type="expression" dxfId="340" priority="798" stopIfTrue="1">
      <formula>LEN(TRIM(CF28))=0</formula>
    </cfRule>
  </conditionalFormatting>
  <conditionalFormatting sqref="CF39:CI50">
    <cfRule type="cellIs" dxfId="339" priority="799" stopIfTrue="1" operator="equal">
      <formula>"E"</formula>
    </cfRule>
  </conditionalFormatting>
  <conditionalFormatting sqref="CF39:CI50">
    <cfRule type="cellIs" dxfId="338" priority="800" stopIfTrue="1" operator="equal">
      <formula>"S"</formula>
    </cfRule>
  </conditionalFormatting>
  <conditionalFormatting sqref="CF39:CI50">
    <cfRule type="cellIs" dxfId="337" priority="801" stopIfTrue="1" operator="equal">
      <formula>"M"</formula>
    </cfRule>
  </conditionalFormatting>
  <conditionalFormatting sqref="CF39:CI50">
    <cfRule type="cellIs" dxfId="336" priority="802" stopIfTrue="1" operator="equal">
      <formula>"J"</formula>
    </cfRule>
  </conditionalFormatting>
  <conditionalFormatting sqref="CF39:CI50">
    <cfRule type="cellIs" dxfId="335" priority="803" stopIfTrue="1" operator="equal">
      <formula>"O"</formula>
    </cfRule>
  </conditionalFormatting>
  <conditionalFormatting sqref="CF39:CI50">
    <cfRule type="expression" dxfId="334" priority="804" stopIfTrue="1">
      <formula>LEN(TRIM(CF39))=0</formula>
    </cfRule>
  </conditionalFormatting>
  <conditionalFormatting sqref="CF52:CI59">
    <cfRule type="cellIs" dxfId="333" priority="805" stopIfTrue="1" operator="equal">
      <formula>"E"</formula>
    </cfRule>
  </conditionalFormatting>
  <conditionalFormatting sqref="CF52:CI59">
    <cfRule type="cellIs" dxfId="332" priority="806" stopIfTrue="1" operator="equal">
      <formula>"S"</formula>
    </cfRule>
  </conditionalFormatting>
  <conditionalFormatting sqref="CF52:CI59">
    <cfRule type="cellIs" dxfId="331" priority="807" stopIfTrue="1" operator="equal">
      <formula>"M"</formula>
    </cfRule>
  </conditionalFormatting>
  <conditionalFormatting sqref="CF52:CI59">
    <cfRule type="cellIs" dxfId="330" priority="808" stopIfTrue="1" operator="equal">
      <formula>"J"</formula>
    </cfRule>
  </conditionalFormatting>
  <conditionalFormatting sqref="CF52:CI59">
    <cfRule type="cellIs" dxfId="329" priority="809" stopIfTrue="1" operator="equal">
      <formula>"O"</formula>
    </cfRule>
  </conditionalFormatting>
  <conditionalFormatting sqref="CF52:CI59">
    <cfRule type="expression" dxfId="328" priority="810" stopIfTrue="1">
      <formula>LEN(TRIM(CF52))=0</formula>
    </cfRule>
  </conditionalFormatting>
  <conditionalFormatting sqref="CF61:CI78">
    <cfRule type="cellIs" dxfId="327" priority="811" stopIfTrue="1" operator="equal">
      <formula>"E"</formula>
    </cfRule>
  </conditionalFormatting>
  <conditionalFormatting sqref="CF61:CI78">
    <cfRule type="cellIs" dxfId="326" priority="812" stopIfTrue="1" operator="equal">
      <formula>"S"</formula>
    </cfRule>
  </conditionalFormatting>
  <conditionalFormatting sqref="CF61:CI78">
    <cfRule type="cellIs" dxfId="325" priority="813" stopIfTrue="1" operator="equal">
      <formula>"M"</formula>
    </cfRule>
  </conditionalFormatting>
  <conditionalFormatting sqref="CF61:CI78">
    <cfRule type="cellIs" dxfId="324" priority="814" stopIfTrue="1" operator="equal">
      <formula>"J"</formula>
    </cfRule>
  </conditionalFormatting>
  <conditionalFormatting sqref="CF61:CI78">
    <cfRule type="cellIs" dxfId="323" priority="815" stopIfTrue="1" operator="equal">
      <formula>"O"</formula>
    </cfRule>
  </conditionalFormatting>
  <conditionalFormatting sqref="CF61:CI78">
    <cfRule type="expression" dxfId="322" priority="816" stopIfTrue="1">
      <formula>LEN(TRIM(CF61))=0</formula>
    </cfRule>
  </conditionalFormatting>
  <conditionalFormatting sqref="CF80:CI83">
    <cfRule type="cellIs" dxfId="321" priority="817" stopIfTrue="1" operator="equal">
      <formula>"E"</formula>
    </cfRule>
  </conditionalFormatting>
  <conditionalFormatting sqref="CF80:CI83">
    <cfRule type="cellIs" dxfId="320" priority="818" stopIfTrue="1" operator="equal">
      <formula>"S"</formula>
    </cfRule>
  </conditionalFormatting>
  <conditionalFormatting sqref="CF80:CI83">
    <cfRule type="cellIs" dxfId="319" priority="819" stopIfTrue="1" operator="equal">
      <formula>"M"</formula>
    </cfRule>
  </conditionalFormatting>
  <conditionalFormatting sqref="CF80:CI83">
    <cfRule type="cellIs" dxfId="318" priority="820" stopIfTrue="1" operator="equal">
      <formula>"J"</formula>
    </cfRule>
  </conditionalFormatting>
  <conditionalFormatting sqref="CF80:CI83">
    <cfRule type="cellIs" dxfId="317" priority="821" stopIfTrue="1" operator="equal">
      <formula>"O"</formula>
    </cfRule>
  </conditionalFormatting>
  <conditionalFormatting sqref="CF80:CI83">
    <cfRule type="expression" dxfId="316" priority="822" stopIfTrue="1">
      <formula>LEN(TRIM(CF80))=0</formula>
    </cfRule>
  </conditionalFormatting>
  <conditionalFormatting sqref="CF85:CI99">
    <cfRule type="cellIs" dxfId="315" priority="823" stopIfTrue="1" operator="equal">
      <formula>"E"</formula>
    </cfRule>
  </conditionalFormatting>
  <conditionalFormatting sqref="CF85:CI99">
    <cfRule type="cellIs" dxfId="314" priority="824" stopIfTrue="1" operator="equal">
      <formula>"S"</formula>
    </cfRule>
  </conditionalFormatting>
  <conditionalFormatting sqref="CF85:CI99">
    <cfRule type="cellIs" dxfId="313" priority="825" stopIfTrue="1" operator="equal">
      <formula>"M"</formula>
    </cfRule>
  </conditionalFormatting>
  <conditionalFormatting sqref="CF85:CI99">
    <cfRule type="cellIs" dxfId="312" priority="826" stopIfTrue="1" operator="equal">
      <formula>"J"</formula>
    </cfRule>
  </conditionalFormatting>
  <conditionalFormatting sqref="CF85:CI99">
    <cfRule type="cellIs" dxfId="311" priority="827" stopIfTrue="1" operator="equal">
      <formula>"O"</formula>
    </cfRule>
  </conditionalFormatting>
  <conditionalFormatting sqref="CF85:CI99">
    <cfRule type="expression" dxfId="310" priority="828" stopIfTrue="1">
      <formula>LEN(TRIM(CF85))=0</formula>
    </cfRule>
  </conditionalFormatting>
  <conditionalFormatting sqref="CF102:CI106">
    <cfRule type="cellIs" dxfId="309" priority="829" stopIfTrue="1" operator="equal">
      <formula>"E"</formula>
    </cfRule>
  </conditionalFormatting>
  <conditionalFormatting sqref="CF102:CI106">
    <cfRule type="cellIs" dxfId="308" priority="830" stopIfTrue="1" operator="equal">
      <formula>"S"</formula>
    </cfRule>
  </conditionalFormatting>
  <conditionalFormatting sqref="CF102:CI106">
    <cfRule type="cellIs" dxfId="307" priority="831" stopIfTrue="1" operator="equal">
      <formula>"M"</formula>
    </cfRule>
  </conditionalFormatting>
  <conditionalFormatting sqref="CF102:CI106">
    <cfRule type="cellIs" dxfId="306" priority="832" stopIfTrue="1" operator="equal">
      <formula>"J"</formula>
    </cfRule>
  </conditionalFormatting>
  <conditionalFormatting sqref="CF102:CI106">
    <cfRule type="cellIs" dxfId="305" priority="833" stopIfTrue="1" operator="equal">
      <formula>"O"</formula>
    </cfRule>
  </conditionalFormatting>
  <conditionalFormatting sqref="CF102:CI106">
    <cfRule type="expression" dxfId="304" priority="834" stopIfTrue="1">
      <formula>LEN(TRIM(CF102))=0</formula>
    </cfRule>
  </conditionalFormatting>
  <conditionalFormatting sqref="CF109:CI109">
    <cfRule type="cellIs" dxfId="303" priority="835" stopIfTrue="1" operator="equal">
      <formula>"E"</formula>
    </cfRule>
  </conditionalFormatting>
  <conditionalFormatting sqref="CF109:CI109">
    <cfRule type="cellIs" dxfId="302" priority="836" stopIfTrue="1" operator="equal">
      <formula>"S"</formula>
    </cfRule>
  </conditionalFormatting>
  <conditionalFormatting sqref="CF109:CI109">
    <cfRule type="cellIs" dxfId="301" priority="837" stopIfTrue="1" operator="equal">
      <formula>"M"</formula>
    </cfRule>
  </conditionalFormatting>
  <conditionalFormatting sqref="CF109:CI109">
    <cfRule type="cellIs" dxfId="300" priority="838" stopIfTrue="1" operator="equal">
      <formula>"J"</formula>
    </cfRule>
  </conditionalFormatting>
  <conditionalFormatting sqref="CF109:CI109">
    <cfRule type="cellIs" dxfId="299" priority="839" stopIfTrue="1" operator="equal">
      <formula>"O"</formula>
    </cfRule>
  </conditionalFormatting>
  <conditionalFormatting sqref="CF109:CI109">
    <cfRule type="expression" dxfId="298" priority="840" stopIfTrue="1">
      <formula>LEN(TRIM(CF109))=0</formula>
    </cfRule>
  </conditionalFormatting>
  <conditionalFormatting sqref="CK4:CO16">
    <cfRule type="cellIs" dxfId="297" priority="841" stopIfTrue="1" operator="equal">
      <formula>"E"</formula>
    </cfRule>
  </conditionalFormatting>
  <conditionalFormatting sqref="CK4:CO16">
    <cfRule type="cellIs" dxfId="296" priority="842" stopIfTrue="1" operator="equal">
      <formula>"S"</formula>
    </cfRule>
  </conditionalFormatting>
  <conditionalFormatting sqref="CK4:CO16">
    <cfRule type="cellIs" dxfId="295" priority="843" stopIfTrue="1" operator="equal">
      <formula>"M"</formula>
    </cfRule>
  </conditionalFormatting>
  <conditionalFormatting sqref="CK4:CO16">
    <cfRule type="cellIs" dxfId="294" priority="844" stopIfTrue="1" operator="equal">
      <formula>"J"</formula>
    </cfRule>
  </conditionalFormatting>
  <conditionalFormatting sqref="CK4:CO16">
    <cfRule type="cellIs" dxfId="293" priority="845" stopIfTrue="1" operator="equal">
      <formula>"O"</formula>
    </cfRule>
  </conditionalFormatting>
  <conditionalFormatting sqref="CK4:CO16">
    <cfRule type="expression" dxfId="292" priority="846" stopIfTrue="1">
      <formula>LEN(TRIM(CK4))=0</formula>
    </cfRule>
  </conditionalFormatting>
  <conditionalFormatting sqref="CK18:CO26">
    <cfRule type="cellIs" dxfId="291" priority="847" stopIfTrue="1" operator="equal">
      <formula>"E"</formula>
    </cfRule>
  </conditionalFormatting>
  <conditionalFormatting sqref="CK18:CO26">
    <cfRule type="cellIs" dxfId="290" priority="848" stopIfTrue="1" operator="equal">
      <formula>"S"</formula>
    </cfRule>
  </conditionalFormatting>
  <conditionalFormatting sqref="CK18:CO26">
    <cfRule type="cellIs" dxfId="289" priority="849" stopIfTrue="1" operator="equal">
      <formula>"M"</formula>
    </cfRule>
  </conditionalFormatting>
  <conditionalFormatting sqref="CK18:CO26">
    <cfRule type="cellIs" dxfId="288" priority="850" stopIfTrue="1" operator="equal">
      <formula>"J"</formula>
    </cfRule>
  </conditionalFormatting>
  <conditionalFormatting sqref="CK18:CO26">
    <cfRule type="cellIs" dxfId="287" priority="851" stopIfTrue="1" operator="equal">
      <formula>"O"</formula>
    </cfRule>
  </conditionalFormatting>
  <conditionalFormatting sqref="CK18:CO26">
    <cfRule type="expression" dxfId="286" priority="852" stopIfTrue="1">
      <formula>LEN(TRIM(CK18))=0</formula>
    </cfRule>
  </conditionalFormatting>
  <conditionalFormatting sqref="CK28:CO37">
    <cfRule type="cellIs" dxfId="285" priority="853" stopIfTrue="1" operator="equal">
      <formula>"E"</formula>
    </cfRule>
  </conditionalFormatting>
  <conditionalFormatting sqref="CK28:CO37">
    <cfRule type="cellIs" dxfId="284" priority="854" stopIfTrue="1" operator="equal">
      <formula>"S"</formula>
    </cfRule>
  </conditionalFormatting>
  <conditionalFormatting sqref="CK28:CO37">
    <cfRule type="cellIs" dxfId="283" priority="855" stopIfTrue="1" operator="equal">
      <formula>"M"</formula>
    </cfRule>
  </conditionalFormatting>
  <conditionalFormatting sqref="CK28:CO37">
    <cfRule type="cellIs" dxfId="282" priority="856" stopIfTrue="1" operator="equal">
      <formula>"J"</formula>
    </cfRule>
  </conditionalFormatting>
  <conditionalFormatting sqref="CK28:CO37">
    <cfRule type="cellIs" dxfId="281" priority="857" stopIfTrue="1" operator="equal">
      <formula>"O"</formula>
    </cfRule>
  </conditionalFormatting>
  <conditionalFormatting sqref="CK28:CO37">
    <cfRule type="expression" dxfId="280" priority="858" stopIfTrue="1">
      <formula>LEN(TRIM(CK28))=0</formula>
    </cfRule>
  </conditionalFormatting>
  <conditionalFormatting sqref="CK39:CO50">
    <cfRule type="cellIs" dxfId="279" priority="859" stopIfTrue="1" operator="equal">
      <formula>"E"</formula>
    </cfRule>
  </conditionalFormatting>
  <conditionalFormatting sqref="CK39:CO50">
    <cfRule type="cellIs" dxfId="278" priority="860" stopIfTrue="1" operator="equal">
      <formula>"S"</formula>
    </cfRule>
  </conditionalFormatting>
  <conditionalFormatting sqref="CK39:CO50">
    <cfRule type="cellIs" dxfId="277" priority="861" stopIfTrue="1" operator="equal">
      <formula>"M"</formula>
    </cfRule>
  </conditionalFormatting>
  <conditionalFormatting sqref="CK39:CO50">
    <cfRule type="cellIs" dxfId="276" priority="862" stopIfTrue="1" operator="equal">
      <formula>"J"</formula>
    </cfRule>
  </conditionalFormatting>
  <conditionalFormatting sqref="CK39:CO50">
    <cfRule type="cellIs" dxfId="275" priority="863" stopIfTrue="1" operator="equal">
      <formula>"O"</formula>
    </cfRule>
  </conditionalFormatting>
  <conditionalFormatting sqref="CK39:CO50">
    <cfRule type="expression" dxfId="274" priority="864" stopIfTrue="1">
      <formula>LEN(TRIM(CK39))=0</formula>
    </cfRule>
  </conditionalFormatting>
  <conditionalFormatting sqref="CK52:CO59">
    <cfRule type="cellIs" dxfId="273" priority="865" stopIfTrue="1" operator="equal">
      <formula>"E"</formula>
    </cfRule>
  </conditionalFormatting>
  <conditionalFormatting sqref="CK52:CO59">
    <cfRule type="cellIs" dxfId="272" priority="866" stopIfTrue="1" operator="equal">
      <formula>"S"</formula>
    </cfRule>
  </conditionalFormatting>
  <conditionalFormatting sqref="CK52:CO59">
    <cfRule type="cellIs" dxfId="271" priority="867" stopIfTrue="1" operator="equal">
      <formula>"M"</formula>
    </cfRule>
  </conditionalFormatting>
  <conditionalFormatting sqref="CK52:CO59">
    <cfRule type="cellIs" dxfId="270" priority="868" stopIfTrue="1" operator="equal">
      <formula>"J"</formula>
    </cfRule>
  </conditionalFormatting>
  <conditionalFormatting sqref="CK52:CO59">
    <cfRule type="cellIs" dxfId="269" priority="869" stopIfTrue="1" operator="equal">
      <formula>"O"</formula>
    </cfRule>
  </conditionalFormatting>
  <conditionalFormatting sqref="CK52:CO59">
    <cfRule type="expression" dxfId="268" priority="870" stopIfTrue="1">
      <formula>LEN(TRIM(CK52))=0</formula>
    </cfRule>
  </conditionalFormatting>
  <conditionalFormatting sqref="CK61:CO78">
    <cfRule type="cellIs" dxfId="267" priority="871" stopIfTrue="1" operator="equal">
      <formula>"E"</formula>
    </cfRule>
  </conditionalFormatting>
  <conditionalFormatting sqref="CK61:CO78">
    <cfRule type="cellIs" dxfId="266" priority="872" stopIfTrue="1" operator="equal">
      <formula>"S"</formula>
    </cfRule>
  </conditionalFormatting>
  <conditionalFormatting sqref="CK61:CO78">
    <cfRule type="cellIs" dxfId="265" priority="873" stopIfTrue="1" operator="equal">
      <formula>"M"</formula>
    </cfRule>
  </conditionalFormatting>
  <conditionalFormatting sqref="CK61:CO78">
    <cfRule type="cellIs" dxfId="264" priority="874" stopIfTrue="1" operator="equal">
      <formula>"J"</formula>
    </cfRule>
  </conditionalFormatting>
  <conditionalFormatting sqref="CK61:CO78">
    <cfRule type="cellIs" dxfId="263" priority="875" stopIfTrue="1" operator="equal">
      <formula>"O"</formula>
    </cfRule>
  </conditionalFormatting>
  <conditionalFormatting sqref="CK61:CO78">
    <cfRule type="expression" dxfId="262" priority="876" stopIfTrue="1">
      <formula>LEN(TRIM(CK61))=0</formula>
    </cfRule>
  </conditionalFormatting>
  <conditionalFormatting sqref="CK80:CO83">
    <cfRule type="cellIs" dxfId="261" priority="877" stopIfTrue="1" operator="equal">
      <formula>"E"</formula>
    </cfRule>
  </conditionalFormatting>
  <conditionalFormatting sqref="CK80:CO83">
    <cfRule type="cellIs" dxfId="260" priority="878" stopIfTrue="1" operator="equal">
      <formula>"S"</formula>
    </cfRule>
  </conditionalFormatting>
  <conditionalFormatting sqref="CK80:CO83">
    <cfRule type="cellIs" dxfId="259" priority="879" stopIfTrue="1" operator="equal">
      <formula>"M"</formula>
    </cfRule>
  </conditionalFormatting>
  <conditionalFormatting sqref="CK80:CO83">
    <cfRule type="cellIs" dxfId="258" priority="880" stopIfTrue="1" operator="equal">
      <formula>"J"</formula>
    </cfRule>
  </conditionalFormatting>
  <conditionalFormatting sqref="CK80:CO83">
    <cfRule type="cellIs" dxfId="257" priority="881" stopIfTrue="1" operator="equal">
      <formula>"O"</formula>
    </cfRule>
  </conditionalFormatting>
  <conditionalFormatting sqref="CK80:CO83">
    <cfRule type="expression" dxfId="256" priority="882" stopIfTrue="1">
      <formula>LEN(TRIM(CK80))=0</formula>
    </cfRule>
  </conditionalFormatting>
  <conditionalFormatting sqref="CK85:CO99">
    <cfRule type="cellIs" dxfId="255" priority="883" stopIfTrue="1" operator="equal">
      <formula>"E"</formula>
    </cfRule>
  </conditionalFormatting>
  <conditionalFormatting sqref="CK85:CO99">
    <cfRule type="cellIs" dxfId="254" priority="884" stopIfTrue="1" operator="equal">
      <formula>"S"</formula>
    </cfRule>
  </conditionalFormatting>
  <conditionalFormatting sqref="CK85:CO99">
    <cfRule type="cellIs" dxfId="253" priority="885" stopIfTrue="1" operator="equal">
      <formula>"M"</formula>
    </cfRule>
  </conditionalFormatting>
  <conditionalFormatting sqref="CK85:CO99">
    <cfRule type="cellIs" dxfId="252" priority="886" stopIfTrue="1" operator="equal">
      <formula>"J"</formula>
    </cfRule>
  </conditionalFormatting>
  <conditionalFormatting sqref="CK85:CO99">
    <cfRule type="cellIs" dxfId="251" priority="887" stopIfTrue="1" operator="equal">
      <formula>"O"</formula>
    </cfRule>
  </conditionalFormatting>
  <conditionalFormatting sqref="CK85:CO99">
    <cfRule type="expression" dxfId="250" priority="888" stopIfTrue="1">
      <formula>LEN(TRIM(CK85))=0</formula>
    </cfRule>
  </conditionalFormatting>
  <conditionalFormatting sqref="CQ4:CU16">
    <cfRule type="cellIs" dxfId="249" priority="889" stopIfTrue="1" operator="equal">
      <formula>"E"</formula>
    </cfRule>
  </conditionalFormatting>
  <conditionalFormatting sqref="CQ4:CU16">
    <cfRule type="cellIs" dxfId="248" priority="890" stopIfTrue="1" operator="equal">
      <formula>"S"</formula>
    </cfRule>
  </conditionalFormatting>
  <conditionalFormatting sqref="CQ4:CU16">
    <cfRule type="cellIs" dxfId="247" priority="891" stopIfTrue="1" operator="equal">
      <formula>"M"</formula>
    </cfRule>
  </conditionalFormatting>
  <conditionalFormatting sqref="CQ4:CU16">
    <cfRule type="cellIs" dxfId="246" priority="892" stopIfTrue="1" operator="equal">
      <formula>"J"</formula>
    </cfRule>
  </conditionalFormatting>
  <conditionalFormatting sqref="CQ4:CU16">
    <cfRule type="cellIs" dxfId="245" priority="893" stopIfTrue="1" operator="equal">
      <formula>"O"</formula>
    </cfRule>
  </conditionalFormatting>
  <conditionalFormatting sqref="CQ4:CU16">
    <cfRule type="expression" dxfId="244" priority="894" stopIfTrue="1">
      <formula>LEN(TRIM(CQ4))=0</formula>
    </cfRule>
  </conditionalFormatting>
  <conditionalFormatting sqref="CQ18:CU26">
    <cfRule type="cellIs" dxfId="243" priority="895" stopIfTrue="1" operator="equal">
      <formula>"E"</formula>
    </cfRule>
  </conditionalFormatting>
  <conditionalFormatting sqref="CQ18:CU26">
    <cfRule type="cellIs" dxfId="242" priority="896" stopIfTrue="1" operator="equal">
      <formula>"S"</formula>
    </cfRule>
  </conditionalFormatting>
  <conditionalFormatting sqref="CQ18:CU26">
    <cfRule type="cellIs" dxfId="241" priority="897" stopIfTrue="1" operator="equal">
      <formula>"M"</formula>
    </cfRule>
  </conditionalFormatting>
  <conditionalFormatting sqref="CQ18:CU26">
    <cfRule type="cellIs" dxfId="240" priority="898" stopIfTrue="1" operator="equal">
      <formula>"J"</formula>
    </cfRule>
  </conditionalFormatting>
  <conditionalFormatting sqref="CQ18:CU26">
    <cfRule type="cellIs" dxfId="239" priority="899" stopIfTrue="1" operator="equal">
      <formula>"O"</formula>
    </cfRule>
  </conditionalFormatting>
  <conditionalFormatting sqref="CQ18:CU26">
    <cfRule type="expression" dxfId="238" priority="900" stopIfTrue="1">
      <formula>LEN(TRIM(CQ18))=0</formula>
    </cfRule>
  </conditionalFormatting>
  <conditionalFormatting sqref="CQ28:CU37">
    <cfRule type="cellIs" dxfId="237" priority="901" stopIfTrue="1" operator="equal">
      <formula>"E"</formula>
    </cfRule>
  </conditionalFormatting>
  <conditionalFormatting sqref="CQ28:CU37">
    <cfRule type="cellIs" dxfId="236" priority="902" stopIfTrue="1" operator="equal">
      <formula>"S"</formula>
    </cfRule>
  </conditionalFormatting>
  <conditionalFormatting sqref="CQ28:CU37">
    <cfRule type="cellIs" dxfId="235" priority="903" stopIfTrue="1" operator="equal">
      <formula>"M"</formula>
    </cfRule>
  </conditionalFormatting>
  <conditionalFormatting sqref="CQ28:CU37">
    <cfRule type="cellIs" dxfId="234" priority="904" stopIfTrue="1" operator="equal">
      <formula>"J"</formula>
    </cfRule>
  </conditionalFormatting>
  <conditionalFormatting sqref="CQ28:CU37">
    <cfRule type="cellIs" dxfId="233" priority="905" stopIfTrue="1" operator="equal">
      <formula>"O"</formula>
    </cfRule>
  </conditionalFormatting>
  <conditionalFormatting sqref="CQ28:CU37">
    <cfRule type="expression" dxfId="232" priority="906" stopIfTrue="1">
      <formula>LEN(TRIM(CQ28))=0</formula>
    </cfRule>
  </conditionalFormatting>
  <conditionalFormatting sqref="CQ39:CU50">
    <cfRule type="cellIs" dxfId="231" priority="907" stopIfTrue="1" operator="equal">
      <formula>"E"</formula>
    </cfRule>
  </conditionalFormatting>
  <conditionalFormatting sqref="CQ39:CU50">
    <cfRule type="cellIs" dxfId="230" priority="908" stopIfTrue="1" operator="equal">
      <formula>"S"</formula>
    </cfRule>
  </conditionalFormatting>
  <conditionalFormatting sqref="CQ39:CU50">
    <cfRule type="cellIs" dxfId="229" priority="909" stopIfTrue="1" operator="equal">
      <formula>"M"</formula>
    </cfRule>
  </conditionalFormatting>
  <conditionalFormatting sqref="CQ39:CU50">
    <cfRule type="cellIs" dxfId="228" priority="910" stopIfTrue="1" operator="equal">
      <formula>"J"</formula>
    </cfRule>
  </conditionalFormatting>
  <conditionalFormatting sqref="CQ39:CU50">
    <cfRule type="cellIs" dxfId="227" priority="911" stopIfTrue="1" operator="equal">
      <formula>"O"</formula>
    </cfRule>
  </conditionalFormatting>
  <conditionalFormatting sqref="CQ39:CU50">
    <cfRule type="expression" dxfId="226" priority="912" stopIfTrue="1">
      <formula>LEN(TRIM(CQ39))=0</formula>
    </cfRule>
  </conditionalFormatting>
  <conditionalFormatting sqref="CQ52:CU59">
    <cfRule type="cellIs" dxfId="225" priority="913" stopIfTrue="1" operator="equal">
      <formula>"E"</formula>
    </cfRule>
  </conditionalFormatting>
  <conditionalFormatting sqref="CQ52:CU59">
    <cfRule type="cellIs" dxfId="224" priority="914" stopIfTrue="1" operator="equal">
      <formula>"S"</formula>
    </cfRule>
  </conditionalFormatting>
  <conditionalFormatting sqref="CQ52:CU59">
    <cfRule type="cellIs" dxfId="223" priority="915" stopIfTrue="1" operator="equal">
      <formula>"M"</formula>
    </cfRule>
  </conditionalFormatting>
  <conditionalFormatting sqref="CQ52:CU59">
    <cfRule type="cellIs" dxfId="222" priority="916" stopIfTrue="1" operator="equal">
      <formula>"J"</formula>
    </cfRule>
  </conditionalFormatting>
  <conditionalFormatting sqref="CQ52:CU59">
    <cfRule type="cellIs" dxfId="221" priority="917" stopIfTrue="1" operator="equal">
      <formula>"O"</formula>
    </cfRule>
  </conditionalFormatting>
  <conditionalFormatting sqref="CQ52:CU59">
    <cfRule type="expression" dxfId="220" priority="918" stopIfTrue="1">
      <formula>LEN(TRIM(CQ52))=0</formula>
    </cfRule>
  </conditionalFormatting>
  <conditionalFormatting sqref="CQ61:CU78">
    <cfRule type="cellIs" dxfId="219" priority="919" stopIfTrue="1" operator="equal">
      <formula>"E"</formula>
    </cfRule>
  </conditionalFormatting>
  <conditionalFormatting sqref="CQ61:CU78">
    <cfRule type="cellIs" dxfId="218" priority="920" stopIfTrue="1" operator="equal">
      <formula>"S"</formula>
    </cfRule>
  </conditionalFormatting>
  <conditionalFormatting sqref="CQ61:CU78">
    <cfRule type="cellIs" dxfId="217" priority="921" stopIfTrue="1" operator="equal">
      <formula>"M"</formula>
    </cfRule>
  </conditionalFormatting>
  <conditionalFormatting sqref="CQ61:CU78">
    <cfRule type="cellIs" dxfId="216" priority="922" stopIfTrue="1" operator="equal">
      <formula>"J"</formula>
    </cfRule>
  </conditionalFormatting>
  <conditionalFormatting sqref="CQ61:CU78">
    <cfRule type="cellIs" dxfId="215" priority="923" stopIfTrue="1" operator="equal">
      <formula>"O"</formula>
    </cfRule>
  </conditionalFormatting>
  <conditionalFormatting sqref="CQ61:CU78">
    <cfRule type="expression" dxfId="214" priority="924" stopIfTrue="1">
      <formula>LEN(TRIM(CQ61))=0</formula>
    </cfRule>
  </conditionalFormatting>
  <conditionalFormatting sqref="CQ80:CU83">
    <cfRule type="cellIs" dxfId="213" priority="925" stopIfTrue="1" operator="equal">
      <formula>"E"</formula>
    </cfRule>
  </conditionalFormatting>
  <conditionalFormatting sqref="CQ80:CU83">
    <cfRule type="cellIs" dxfId="212" priority="926" stopIfTrue="1" operator="equal">
      <formula>"S"</formula>
    </cfRule>
  </conditionalFormatting>
  <conditionalFormatting sqref="CQ80:CU83">
    <cfRule type="cellIs" dxfId="211" priority="927" stopIfTrue="1" operator="equal">
      <formula>"M"</formula>
    </cfRule>
  </conditionalFormatting>
  <conditionalFormatting sqref="CQ80:CU83">
    <cfRule type="cellIs" dxfId="210" priority="928" stopIfTrue="1" operator="equal">
      <formula>"J"</formula>
    </cfRule>
  </conditionalFormatting>
  <conditionalFormatting sqref="CQ80:CU83">
    <cfRule type="cellIs" dxfId="209" priority="929" stopIfTrue="1" operator="equal">
      <formula>"O"</formula>
    </cfRule>
  </conditionalFormatting>
  <conditionalFormatting sqref="CQ80:CU83">
    <cfRule type="expression" dxfId="208" priority="930" stopIfTrue="1">
      <formula>LEN(TRIM(CQ80))=0</formula>
    </cfRule>
  </conditionalFormatting>
  <conditionalFormatting sqref="CQ85:CU99">
    <cfRule type="cellIs" dxfId="207" priority="931" stopIfTrue="1" operator="equal">
      <formula>"E"</formula>
    </cfRule>
  </conditionalFormatting>
  <conditionalFormatting sqref="CQ85:CU99">
    <cfRule type="cellIs" dxfId="206" priority="932" stopIfTrue="1" operator="equal">
      <formula>"S"</formula>
    </cfRule>
  </conditionalFormatting>
  <conditionalFormatting sqref="CQ85:CU99">
    <cfRule type="cellIs" dxfId="205" priority="933" stopIfTrue="1" operator="equal">
      <formula>"M"</formula>
    </cfRule>
  </conditionalFormatting>
  <conditionalFormatting sqref="CQ85:CU99">
    <cfRule type="cellIs" dxfId="204" priority="934" stopIfTrue="1" operator="equal">
      <formula>"J"</formula>
    </cfRule>
  </conditionalFormatting>
  <conditionalFormatting sqref="CQ85:CU99">
    <cfRule type="cellIs" dxfId="203" priority="935" stopIfTrue="1" operator="equal">
      <formula>"O"</formula>
    </cfRule>
  </conditionalFormatting>
  <conditionalFormatting sqref="CQ85:CU99">
    <cfRule type="expression" dxfId="202" priority="936" stopIfTrue="1">
      <formula>LEN(TRIM(CQ85))=0</formula>
    </cfRule>
  </conditionalFormatting>
  <conditionalFormatting sqref="CW4:DA16">
    <cfRule type="cellIs" dxfId="201" priority="937" stopIfTrue="1" operator="equal">
      <formula>"E"</formula>
    </cfRule>
  </conditionalFormatting>
  <conditionalFormatting sqref="CW4:DA16">
    <cfRule type="cellIs" dxfId="200" priority="938" stopIfTrue="1" operator="equal">
      <formula>"S"</formula>
    </cfRule>
  </conditionalFormatting>
  <conditionalFormatting sqref="CW4:DA16">
    <cfRule type="cellIs" dxfId="199" priority="939" stopIfTrue="1" operator="equal">
      <formula>"M"</formula>
    </cfRule>
  </conditionalFormatting>
  <conditionalFormatting sqref="CW4:DA16">
    <cfRule type="cellIs" dxfId="198" priority="940" stopIfTrue="1" operator="equal">
      <formula>"J"</formula>
    </cfRule>
  </conditionalFormatting>
  <conditionalFormatting sqref="CW4:DA16">
    <cfRule type="cellIs" dxfId="197" priority="941" stopIfTrue="1" operator="equal">
      <formula>"O"</formula>
    </cfRule>
  </conditionalFormatting>
  <conditionalFormatting sqref="CW4:DA16">
    <cfRule type="expression" dxfId="196" priority="942" stopIfTrue="1">
      <formula>LEN(TRIM(CW4))=0</formula>
    </cfRule>
  </conditionalFormatting>
  <conditionalFormatting sqref="CW18:DA26">
    <cfRule type="cellIs" dxfId="195" priority="943" stopIfTrue="1" operator="equal">
      <formula>"E"</formula>
    </cfRule>
  </conditionalFormatting>
  <conditionalFormatting sqref="CW18:DA26">
    <cfRule type="cellIs" dxfId="194" priority="944" stopIfTrue="1" operator="equal">
      <formula>"S"</formula>
    </cfRule>
  </conditionalFormatting>
  <conditionalFormatting sqref="CW18:DA26">
    <cfRule type="cellIs" dxfId="193" priority="945" stopIfTrue="1" operator="equal">
      <formula>"M"</formula>
    </cfRule>
  </conditionalFormatting>
  <conditionalFormatting sqref="CW18:DA26">
    <cfRule type="cellIs" dxfId="192" priority="946" stopIfTrue="1" operator="equal">
      <formula>"J"</formula>
    </cfRule>
  </conditionalFormatting>
  <conditionalFormatting sqref="CW18:DA26">
    <cfRule type="cellIs" dxfId="191" priority="947" stopIfTrue="1" operator="equal">
      <formula>"O"</formula>
    </cfRule>
  </conditionalFormatting>
  <conditionalFormatting sqref="CW18:DA26">
    <cfRule type="expression" dxfId="190" priority="948" stopIfTrue="1">
      <formula>LEN(TRIM(CW18))=0</formula>
    </cfRule>
  </conditionalFormatting>
  <conditionalFormatting sqref="CW28:DA37">
    <cfRule type="cellIs" dxfId="189" priority="949" stopIfTrue="1" operator="equal">
      <formula>"E"</formula>
    </cfRule>
  </conditionalFormatting>
  <conditionalFormatting sqref="CW28:DA37">
    <cfRule type="cellIs" dxfId="188" priority="950" stopIfTrue="1" operator="equal">
      <formula>"S"</formula>
    </cfRule>
  </conditionalFormatting>
  <conditionalFormatting sqref="CW28:DA37">
    <cfRule type="cellIs" dxfId="187" priority="951" stopIfTrue="1" operator="equal">
      <formula>"M"</formula>
    </cfRule>
  </conditionalFormatting>
  <conditionalFormatting sqref="CW28:DA37">
    <cfRule type="cellIs" dxfId="186" priority="952" stopIfTrue="1" operator="equal">
      <formula>"J"</formula>
    </cfRule>
  </conditionalFormatting>
  <conditionalFormatting sqref="CW28:DA37">
    <cfRule type="cellIs" dxfId="185" priority="953" stopIfTrue="1" operator="equal">
      <formula>"O"</formula>
    </cfRule>
  </conditionalFormatting>
  <conditionalFormatting sqref="CW28:DA37">
    <cfRule type="expression" dxfId="184" priority="954" stopIfTrue="1">
      <formula>LEN(TRIM(CW28))=0</formula>
    </cfRule>
  </conditionalFormatting>
  <conditionalFormatting sqref="CW39:DA50">
    <cfRule type="cellIs" dxfId="183" priority="955" stopIfTrue="1" operator="equal">
      <formula>"E"</formula>
    </cfRule>
  </conditionalFormatting>
  <conditionalFormatting sqref="CW39:DA50">
    <cfRule type="cellIs" dxfId="182" priority="956" stopIfTrue="1" operator="equal">
      <formula>"S"</formula>
    </cfRule>
  </conditionalFormatting>
  <conditionalFormatting sqref="CW39:DA50">
    <cfRule type="cellIs" dxfId="181" priority="957" stopIfTrue="1" operator="equal">
      <formula>"M"</formula>
    </cfRule>
  </conditionalFormatting>
  <conditionalFormatting sqref="CW39:DA50">
    <cfRule type="cellIs" dxfId="180" priority="958" stopIfTrue="1" operator="equal">
      <formula>"J"</formula>
    </cfRule>
  </conditionalFormatting>
  <conditionalFormatting sqref="CW39:DA50">
    <cfRule type="cellIs" dxfId="179" priority="959" stopIfTrue="1" operator="equal">
      <formula>"O"</formula>
    </cfRule>
  </conditionalFormatting>
  <conditionalFormatting sqref="CW39:DA50">
    <cfRule type="expression" dxfId="178" priority="960" stopIfTrue="1">
      <formula>LEN(TRIM(CW39))=0</formula>
    </cfRule>
  </conditionalFormatting>
  <conditionalFormatting sqref="CW52:DA59">
    <cfRule type="cellIs" dxfId="177" priority="961" stopIfTrue="1" operator="equal">
      <formula>"E"</formula>
    </cfRule>
  </conditionalFormatting>
  <conditionalFormatting sqref="CW52:DA59">
    <cfRule type="cellIs" dxfId="176" priority="962" stopIfTrue="1" operator="equal">
      <formula>"S"</formula>
    </cfRule>
  </conditionalFormatting>
  <conditionalFormatting sqref="CW52:DA59">
    <cfRule type="cellIs" dxfId="175" priority="963" stopIfTrue="1" operator="equal">
      <formula>"M"</formula>
    </cfRule>
  </conditionalFormatting>
  <conditionalFormatting sqref="CW52:DA59">
    <cfRule type="cellIs" dxfId="174" priority="964" stopIfTrue="1" operator="equal">
      <formula>"J"</formula>
    </cfRule>
  </conditionalFormatting>
  <conditionalFormatting sqref="CW52:DA59">
    <cfRule type="cellIs" dxfId="173" priority="965" stopIfTrue="1" operator="equal">
      <formula>"O"</formula>
    </cfRule>
  </conditionalFormatting>
  <conditionalFormatting sqref="CW52:DA59">
    <cfRule type="expression" dxfId="172" priority="966" stopIfTrue="1">
      <formula>LEN(TRIM(CW52))=0</formula>
    </cfRule>
  </conditionalFormatting>
  <conditionalFormatting sqref="CW61:DA78">
    <cfRule type="cellIs" dxfId="171" priority="967" stopIfTrue="1" operator="equal">
      <formula>"E"</formula>
    </cfRule>
  </conditionalFormatting>
  <conditionalFormatting sqref="CW61:DA78">
    <cfRule type="cellIs" dxfId="170" priority="968" stopIfTrue="1" operator="equal">
      <formula>"S"</formula>
    </cfRule>
  </conditionalFormatting>
  <conditionalFormatting sqref="CW61:DA78">
    <cfRule type="cellIs" dxfId="169" priority="969" stopIfTrue="1" operator="equal">
      <formula>"M"</formula>
    </cfRule>
  </conditionalFormatting>
  <conditionalFormatting sqref="CW61:DA78">
    <cfRule type="cellIs" dxfId="168" priority="970" stopIfTrue="1" operator="equal">
      <formula>"J"</formula>
    </cfRule>
  </conditionalFormatting>
  <conditionalFormatting sqref="CW61:DA78">
    <cfRule type="cellIs" dxfId="167" priority="971" stopIfTrue="1" operator="equal">
      <formula>"O"</formula>
    </cfRule>
  </conditionalFormatting>
  <conditionalFormatting sqref="CW61:DA78">
    <cfRule type="expression" dxfId="166" priority="972" stopIfTrue="1">
      <formula>LEN(TRIM(CW61))=0</formula>
    </cfRule>
  </conditionalFormatting>
  <conditionalFormatting sqref="CW80:DA83">
    <cfRule type="cellIs" dxfId="165" priority="973" stopIfTrue="1" operator="equal">
      <formula>"E"</formula>
    </cfRule>
  </conditionalFormatting>
  <conditionalFormatting sqref="CW80:DA83">
    <cfRule type="cellIs" dxfId="164" priority="974" stopIfTrue="1" operator="equal">
      <formula>"S"</formula>
    </cfRule>
  </conditionalFormatting>
  <conditionalFormatting sqref="CW80:DA83">
    <cfRule type="cellIs" dxfId="163" priority="975" stopIfTrue="1" operator="equal">
      <formula>"M"</formula>
    </cfRule>
  </conditionalFormatting>
  <conditionalFormatting sqref="CW80:DA83">
    <cfRule type="cellIs" dxfId="162" priority="976" stopIfTrue="1" operator="equal">
      <formula>"J"</formula>
    </cfRule>
  </conditionalFormatting>
  <conditionalFormatting sqref="CW80:DA83">
    <cfRule type="cellIs" dxfId="161" priority="977" stopIfTrue="1" operator="equal">
      <formula>"O"</formula>
    </cfRule>
  </conditionalFormatting>
  <conditionalFormatting sqref="CW80:DA83">
    <cfRule type="expression" dxfId="160" priority="978" stopIfTrue="1">
      <formula>LEN(TRIM(CW80))=0</formula>
    </cfRule>
  </conditionalFormatting>
  <conditionalFormatting sqref="CW85:DA99">
    <cfRule type="cellIs" dxfId="159" priority="979" stopIfTrue="1" operator="equal">
      <formula>"E"</formula>
    </cfRule>
  </conditionalFormatting>
  <conditionalFormatting sqref="CW85:DA99">
    <cfRule type="cellIs" dxfId="158" priority="980" stopIfTrue="1" operator="equal">
      <formula>"S"</formula>
    </cfRule>
  </conditionalFormatting>
  <conditionalFormatting sqref="CW85:DA99">
    <cfRule type="cellIs" dxfId="157" priority="981" stopIfTrue="1" operator="equal">
      <formula>"M"</formula>
    </cfRule>
  </conditionalFormatting>
  <conditionalFormatting sqref="CW85:DA99">
    <cfRule type="cellIs" dxfId="156" priority="982" stopIfTrue="1" operator="equal">
      <formula>"J"</formula>
    </cfRule>
  </conditionalFormatting>
  <conditionalFormatting sqref="CW85:DA99">
    <cfRule type="cellIs" dxfId="155" priority="983" stopIfTrue="1" operator="equal">
      <formula>"O"</formula>
    </cfRule>
  </conditionalFormatting>
  <conditionalFormatting sqref="CW85:DA99">
    <cfRule type="expression" dxfId="154" priority="984" stopIfTrue="1">
      <formula>LEN(TRIM(CW85))=0</formula>
    </cfRule>
  </conditionalFormatting>
  <conditionalFormatting sqref="D3:CI3">
    <cfRule type="cellIs" dxfId="153" priority="985" stopIfTrue="1" operator="equal">
      <formula>"e"</formula>
    </cfRule>
  </conditionalFormatting>
  <conditionalFormatting sqref="D3:CI3">
    <cfRule type="cellIs" dxfId="152" priority="986" stopIfTrue="1" operator="equal">
      <formula>"i"</formula>
    </cfRule>
  </conditionalFormatting>
  <pageMargins left="0.7" right="0.7" top="0.75" bottom="0.75" header="0.3" footer="0.3"/>
  <drawing r:id="rId1"/>
  <legacyDrawing r:id="rId2"/>
  <controls>
    <mc:AlternateContent xmlns:mc="http://schemas.openxmlformats.org/markup-compatibility/2006">
      <mc:Choice Requires="x14">
        <control shapeId="34817" r:id="rId3" name="butEdit">
          <controlPr defaultSize="0" autoLine="0" r:id="rId4">
            <anchor moveWithCells="1">
              <from>
                <xdr:col>2</xdr:col>
                <xdr:colOff>66675</xdr:colOff>
                <xdr:row>1</xdr:row>
                <xdr:rowOff>1143000</xdr:rowOff>
              </from>
              <to>
                <xdr:col>2</xdr:col>
                <xdr:colOff>1714500</xdr:colOff>
                <xdr:row>1</xdr:row>
                <xdr:rowOff>1600200</xdr:rowOff>
              </to>
            </anchor>
          </controlPr>
        </control>
      </mc:Choice>
      <mc:Fallback>
        <control shapeId="34817" r:id="rId3" name="butEdit"/>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A102"/>
  <sheetViews>
    <sheetView showGridLines="0" zoomScale="110" zoomScaleNormal="110" workbookViewId="0">
      <pane xSplit="3" ySplit="2" topLeftCell="D3" activePane="bottomRight" state="frozenSplit"/>
      <selection pane="topRight" activeCell="D1" sqref="D1"/>
      <selection pane="bottomLeft" activeCell="A3" sqref="A3"/>
      <selection pane="bottomRight" activeCell="D3" sqref="D3"/>
    </sheetView>
  </sheetViews>
  <sheetFormatPr defaultRowHeight="15" x14ac:dyDescent="0.25"/>
  <cols>
    <col min="2" max="2" width="6.5703125" customWidth="1"/>
    <col min="3" max="3" width="31.7109375" customWidth="1"/>
    <col min="4" max="73" width="3.85546875" customWidth="1"/>
    <col min="74" max="74" width="2.5703125" customWidth="1"/>
    <col min="75" max="79" width="3.85546875" customWidth="1"/>
  </cols>
  <sheetData>
    <row r="1" spans="1:79" ht="37.5" customHeight="1" thickTop="1" thickBot="1" x14ac:dyDescent="0.3">
      <c r="A1" s="424" t="s">
        <v>224</v>
      </c>
      <c r="B1" s="424"/>
      <c r="C1" s="425"/>
      <c r="D1" s="431" t="s">
        <v>230</v>
      </c>
      <c r="E1" s="432"/>
      <c r="F1" s="432"/>
      <c r="G1" s="432"/>
      <c r="H1" s="432"/>
      <c r="I1" s="431" t="s">
        <v>231</v>
      </c>
      <c r="J1" s="432"/>
      <c r="K1" s="432"/>
      <c r="L1" s="432"/>
      <c r="M1" s="432"/>
      <c r="N1" s="431" t="s">
        <v>232</v>
      </c>
      <c r="O1" s="432"/>
      <c r="P1" s="432"/>
      <c r="Q1" s="432"/>
      <c r="R1" s="432"/>
      <c r="S1" s="431" t="s">
        <v>233</v>
      </c>
      <c r="T1" s="432"/>
      <c r="U1" s="432"/>
      <c r="V1" s="432"/>
      <c r="W1" s="432"/>
      <c r="X1" s="431" t="s">
        <v>234</v>
      </c>
      <c r="Y1" s="432"/>
      <c r="Z1" s="432"/>
      <c r="AA1" s="432"/>
      <c r="AB1" s="432"/>
      <c r="AC1" s="431" t="s">
        <v>235</v>
      </c>
      <c r="AD1" s="432"/>
      <c r="AE1" s="432"/>
      <c r="AF1" s="432"/>
      <c r="AG1" s="432"/>
      <c r="AH1" s="431" t="s">
        <v>1</v>
      </c>
      <c r="AI1" s="432"/>
      <c r="AJ1" s="432"/>
      <c r="AK1" s="432"/>
      <c r="AL1" s="432"/>
      <c r="AM1" s="431" t="s">
        <v>131</v>
      </c>
      <c r="AN1" s="432"/>
      <c r="AO1" s="432"/>
      <c r="AP1" s="432"/>
      <c r="AQ1" s="432"/>
      <c r="AR1" s="431" t="s">
        <v>3</v>
      </c>
      <c r="AS1" s="432"/>
      <c r="AT1" s="432"/>
      <c r="AU1" s="432"/>
      <c r="AV1" s="432"/>
      <c r="AW1" s="431" t="s">
        <v>4</v>
      </c>
      <c r="AX1" s="432"/>
      <c r="AY1" s="432"/>
      <c r="AZ1" s="432"/>
      <c r="BA1" s="432"/>
      <c r="BB1" s="431" t="s">
        <v>5</v>
      </c>
      <c r="BC1" s="432"/>
      <c r="BD1" s="432"/>
      <c r="BE1" s="432"/>
      <c r="BF1" s="432"/>
      <c r="BG1" s="431" t="s">
        <v>6</v>
      </c>
      <c r="BH1" s="432"/>
      <c r="BI1" s="432"/>
      <c r="BJ1" s="432"/>
      <c r="BK1" s="432"/>
      <c r="BL1" s="431" t="s">
        <v>135</v>
      </c>
      <c r="BM1" s="432"/>
      <c r="BN1" s="432"/>
      <c r="BO1" s="432"/>
      <c r="BP1" s="432"/>
      <c r="BQ1" s="431" t="s">
        <v>236</v>
      </c>
      <c r="BR1" s="432"/>
      <c r="BS1" s="432"/>
      <c r="BT1" s="432"/>
      <c r="BU1" s="433"/>
      <c r="BW1" s="431" t="s">
        <v>306</v>
      </c>
      <c r="BX1" s="432"/>
      <c r="BY1" s="432"/>
      <c r="BZ1" s="432"/>
      <c r="CA1" s="433"/>
    </row>
    <row r="2" spans="1:79" ht="128.1" customHeight="1" thickTop="1" thickBot="1" x14ac:dyDescent="0.3">
      <c r="A2" s="124"/>
      <c r="B2" s="5"/>
      <c r="C2" s="231" t="s">
        <v>216</v>
      </c>
      <c r="D2" s="323" t="s">
        <v>217</v>
      </c>
      <c r="E2" s="324" t="s">
        <v>218</v>
      </c>
      <c r="F2" s="325" t="s">
        <v>219</v>
      </c>
      <c r="G2" s="326" t="s">
        <v>220</v>
      </c>
      <c r="H2" s="328" t="s">
        <v>221</v>
      </c>
      <c r="I2" s="323" t="s">
        <v>217</v>
      </c>
      <c r="J2" s="324" t="s">
        <v>218</v>
      </c>
      <c r="K2" s="325" t="s">
        <v>219</v>
      </c>
      <c r="L2" s="326" t="s">
        <v>220</v>
      </c>
      <c r="M2" s="328" t="s">
        <v>221</v>
      </c>
      <c r="N2" s="323" t="s">
        <v>217</v>
      </c>
      <c r="O2" s="324" t="s">
        <v>218</v>
      </c>
      <c r="P2" s="325" t="s">
        <v>219</v>
      </c>
      <c r="Q2" s="326" t="s">
        <v>220</v>
      </c>
      <c r="R2" s="328" t="s">
        <v>221</v>
      </c>
      <c r="S2" s="323" t="s">
        <v>217</v>
      </c>
      <c r="T2" s="324" t="s">
        <v>218</v>
      </c>
      <c r="U2" s="325" t="s">
        <v>219</v>
      </c>
      <c r="V2" s="326" t="s">
        <v>220</v>
      </c>
      <c r="W2" s="328" t="s">
        <v>221</v>
      </c>
      <c r="X2" s="323" t="s">
        <v>217</v>
      </c>
      <c r="Y2" s="324" t="s">
        <v>218</v>
      </c>
      <c r="Z2" s="325" t="s">
        <v>219</v>
      </c>
      <c r="AA2" s="326" t="s">
        <v>220</v>
      </c>
      <c r="AB2" s="328" t="s">
        <v>221</v>
      </c>
      <c r="AC2" s="323" t="s">
        <v>217</v>
      </c>
      <c r="AD2" s="324" t="s">
        <v>218</v>
      </c>
      <c r="AE2" s="325" t="s">
        <v>219</v>
      </c>
      <c r="AF2" s="326" t="s">
        <v>220</v>
      </c>
      <c r="AG2" s="328" t="s">
        <v>221</v>
      </c>
      <c r="AH2" s="323" t="s">
        <v>217</v>
      </c>
      <c r="AI2" s="324" t="s">
        <v>218</v>
      </c>
      <c r="AJ2" s="325" t="s">
        <v>219</v>
      </c>
      <c r="AK2" s="326" t="s">
        <v>220</v>
      </c>
      <c r="AL2" s="328" t="s">
        <v>221</v>
      </c>
      <c r="AM2" s="323" t="s">
        <v>217</v>
      </c>
      <c r="AN2" s="324" t="s">
        <v>218</v>
      </c>
      <c r="AO2" s="325" t="s">
        <v>219</v>
      </c>
      <c r="AP2" s="326" t="s">
        <v>220</v>
      </c>
      <c r="AQ2" s="328" t="s">
        <v>221</v>
      </c>
      <c r="AR2" s="323" t="s">
        <v>217</v>
      </c>
      <c r="AS2" s="324" t="s">
        <v>218</v>
      </c>
      <c r="AT2" s="325" t="s">
        <v>219</v>
      </c>
      <c r="AU2" s="326" t="s">
        <v>220</v>
      </c>
      <c r="AV2" s="328" t="s">
        <v>221</v>
      </c>
      <c r="AW2" s="323" t="s">
        <v>217</v>
      </c>
      <c r="AX2" s="324" t="s">
        <v>218</v>
      </c>
      <c r="AY2" s="325" t="s">
        <v>219</v>
      </c>
      <c r="AZ2" s="326" t="s">
        <v>220</v>
      </c>
      <c r="BA2" s="328" t="s">
        <v>221</v>
      </c>
      <c r="BB2" s="323" t="s">
        <v>217</v>
      </c>
      <c r="BC2" s="324" t="s">
        <v>218</v>
      </c>
      <c r="BD2" s="325" t="s">
        <v>219</v>
      </c>
      <c r="BE2" s="326" t="s">
        <v>220</v>
      </c>
      <c r="BF2" s="328" t="s">
        <v>221</v>
      </c>
      <c r="BG2" s="323" t="s">
        <v>217</v>
      </c>
      <c r="BH2" s="324" t="s">
        <v>218</v>
      </c>
      <c r="BI2" s="325" t="s">
        <v>219</v>
      </c>
      <c r="BJ2" s="326" t="s">
        <v>220</v>
      </c>
      <c r="BK2" s="328" t="s">
        <v>221</v>
      </c>
      <c r="BL2" s="323" t="s">
        <v>217</v>
      </c>
      <c r="BM2" s="324" t="s">
        <v>218</v>
      </c>
      <c r="BN2" s="325" t="s">
        <v>219</v>
      </c>
      <c r="BO2" s="326" t="s">
        <v>220</v>
      </c>
      <c r="BP2" s="328" t="s">
        <v>221</v>
      </c>
      <c r="BQ2" s="323" t="s">
        <v>217</v>
      </c>
      <c r="BR2" s="324" t="s">
        <v>218</v>
      </c>
      <c r="BS2" s="325" t="s">
        <v>219</v>
      </c>
      <c r="BT2" s="326" t="s">
        <v>220</v>
      </c>
      <c r="BU2" s="327" t="s">
        <v>221</v>
      </c>
      <c r="BW2" s="304" t="s">
        <v>217</v>
      </c>
      <c r="BX2" s="305" t="s">
        <v>218</v>
      </c>
      <c r="BY2" s="306" t="s">
        <v>219</v>
      </c>
      <c r="BZ2" s="307" t="s">
        <v>220</v>
      </c>
      <c r="CA2" s="308" t="s">
        <v>221</v>
      </c>
    </row>
    <row r="3" spans="1:79" ht="15.75" thickTop="1" x14ac:dyDescent="0.25">
      <c r="B3" s="434" t="s">
        <v>48</v>
      </c>
      <c r="C3" s="290" t="s">
        <v>49</v>
      </c>
      <c r="D3" s="332"/>
      <c r="E3" s="333"/>
      <c r="F3" s="333"/>
      <c r="G3" s="333"/>
      <c r="H3" s="334"/>
      <c r="I3" s="332"/>
      <c r="J3" s="333"/>
      <c r="K3" s="333"/>
      <c r="L3" s="333"/>
      <c r="M3" s="334"/>
      <c r="N3" s="332"/>
      <c r="O3" s="333"/>
      <c r="P3" s="333"/>
      <c r="Q3" s="333"/>
      <c r="R3" s="334"/>
      <c r="S3" s="332"/>
      <c r="T3" s="333"/>
      <c r="U3" s="333"/>
      <c r="V3" s="333"/>
      <c r="W3" s="334"/>
      <c r="X3" s="332"/>
      <c r="Y3" s="333"/>
      <c r="Z3" s="333"/>
      <c r="AA3" s="333"/>
      <c r="AB3" s="334"/>
      <c r="AC3" s="332"/>
      <c r="AD3" s="333"/>
      <c r="AE3" s="333"/>
      <c r="AF3" s="333"/>
      <c r="AG3" s="334"/>
      <c r="AH3" s="332">
        <v>1</v>
      </c>
      <c r="AI3" s="333"/>
      <c r="AJ3" s="333"/>
      <c r="AK3" s="333"/>
      <c r="AL3" s="334"/>
      <c r="AM3" s="332"/>
      <c r="AN3" s="333"/>
      <c r="AO3" s="333"/>
      <c r="AP3" s="333"/>
      <c r="AQ3" s="334"/>
      <c r="AR3" s="332"/>
      <c r="AS3" s="333"/>
      <c r="AT3" s="333"/>
      <c r="AU3" s="333"/>
      <c r="AV3" s="334"/>
      <c r="AW3" s="332"/>
      <c r="AX3" s="333"/>
      <c r="AY3" s="333"/>
      <c r="AZ3" s="333"/>
      <c r="BA3" s="334"/>
      <c r="BB3" s="332"/>
      <c r="BC3" s="333"/>
      <c r="BD3" s="333"/>
      <c r="BE3" s="333"/>
      <c r="BF3" s="334"/>
      <c r="BG3" s="332"/>
      <c r="BH3" s="333"/>
      <c r="BI3" s="333"/>
      <c r="BJ3" s="333"/>
      <c r="BK3" s="334"/>
      <c r="BL3" s="332"/>
      <c r="BM3" s="333"/>
      <c r="BN3" s="333"/>
      <c r="BO3" s="333"/>
      <c r="BP3" s="334"/>
      <c r="BQ3" s="332"/>
      <c r="BR3" s="333"/>
      <c r="BS3" s="333"/>
      <c r="BT3" s="333"/>
      <c r="BU3" s="335"/>
      <c r="BW3" s="329" t="str">
        <f>sum_level("o",'Needs 171007_1806'!D3:BU3)</f>
        <v>1</v>
      </c>
      <c r="BX3" s="330" t="str">
        <f>sum_level("j",'Needs 171007_1806'!D3:BU3)</f>
        <v/>
      </c>
      <c r="BY3" s="330" t="str">
        <f>sum_level("m",'Needs 171007_1806'!D3:BU3)</f>
        <v/>
      </c>
      <c r="BZ3" s="330" t="str">
        <f>sum_level("s",'Needs 171007_1806'!D3:BU3)</f>
        <v/>
      </c>
      <c r="CA3" s="331" t="str">
        <f>sum_level("e",'Needs 171007_1806'!D3:BU3)</f>
        <v/>
      </c>
    </row>
    <row r="4" spans="1:79" x14ac:dyDescent="0.25">
      <c r="B4" s="435"/>
      <c r="C4" s="291" t="s">
        <v>54</v>
      </c>
      <c r="D4" s="336"/>
      <c r="E4" s="337"/>
      <c r="F4" s="337"/>
      <c r="G4" s="337"/>
      <c r="H4" s="338"/>
      <c r="I4" s="336"/>
      <c r="J4" s="337"/>
      <c r="K4" s="337"/>
      <c r="L4" s="337"/>
      <c r="M4" s="338"/>
      <c r="N4" s="336"/>
      <c r="O4" s="337"/>
      <c r="P4" s="337"/>
      <c r="Q4" s="337"/>
      <c r="R4" s="338"/>
      <c r="S4" s="336"/>
      <c r="T4" s="337"/>
      <c r="U4" s="337"/>
      <c r="V4" s="337"/>
      <c r="W4" s="338"/>
      <c r="X4" s="336"/>
      <c r="Y4" s="337"/>
      <c r="Z4" s="337"/>
      <c r="AA4" s="337"/>
      <c r="AB4" s="338"/>
      <c r="AC4" s="336"/>
      <c r="AD4" s="337"/>
      <c r="AE4" s="337"/>
      <c r="AF4" s="337"/>
      <c r="AG4" s="338"/>
      <c r="AH4" s="336"/>
      <c r="AI4" s="337">
        <v>2</v>
      </c>
      <c r="AJ4" s="337"/>
      <c r="AK4" s="337"/>
      <c r="AL4" s="338"/>
      <c r="AM4" s="336"/>
      <c r="AN4" s="337"/>
      <c r="AO4" s="337"/>
      <c r="AP4" s="337"/>
      <c r="AQ4" s="338"/>
      <c r="AR4" s="336"/>
      <c r="AS4" s="337"/>
      <c r="AT4" s="337"/>
      <c r="AU4" s="337"/>
      <c r="AV4" s="338"/>
      <c r="AW4" s="336"/>
      <c r="AX4" s="337"/>
      <c r="AY4" s="337"/>
      <c r="AZ4" s="337"/>
      <c r="BA4" s="338"/>
      <c r="BB4" s="336"/>
      <c r="BC4" s="337"/>
      <c r="BD4" s="337"/>
      <c r="BE4" s="337"/>
      <c r="BF4" s="338"/>
      <c r="BG4" s="336"/>
      <c r="BH4" s="337"/>
      <c r="BI4" s="337"/>
      <c r="BJ4" s="337"/>
      <c r="BK4" s="338"/>
      <c r="BL4" s="336"/>
      <c r="BM4" s="337"/>
      <c r="BN4" s="337"/>
      <c r="BO4" s="337"/>
      <c r="BP4" s="338"/>
      <c r="BQ4" s="336"/>
      <c r="BR4" s="337"/>
      <c r="BS4" s="337"/>
      <c r="BT4" s="337"/>
      <c r="BU4" s="339"/>
      <c r="BW4" s="236" t="str">
        <f>sum_level("o",'Needs 171007_1806'!D4:BU4)</f>
        <v/>
      </c>
      <c r="BX4" s="237" t="str">
        <f>sum_level("j",'Needs 171007_1806'!D4:BU4)</f>
        <v>2</v>
      </c>
      <c r="BY4" s="237" t="str">
        <f>sum_level("m",'Needs 171007_1806'!D4:BU4)</f>
        <v/>
      </c>
      <c r="BZ4" s="237" t="str">
        <f>sum_level("s",'Needs 171007_1806'!D4:BU4)</f>
        <v/>
      </c>
      <c r="CA4" s="238" t="str">
        <f>sum_level("e",'Needs 171007_1806'!D4:BU4)</f>
        <v/>
      </c>
    </row>
    <row r="5" spans="1:79" x14ac:dyDescent="0.25">
      <c r="B5" s="435"/>
      <c r="C5" s="291" t="s">
        <v>51</v>
      </c>
      <c r="D5" s="336"/>
      <c r="E5" s="337"/>
      <c r="F5" s="337"/>
      <c r="G5" s="337"/>
      <c r="H5" s="338"/>
      <c r="I5" s="336"/>
      <c r="J5" s="337"/>
      <c r="K5" s="337"/>
      <c r="L5" s="337"/>
      <c r="M5" s="338"/>
      <c r="N5" s="336"/>
      <c r="O5" s="337"/>
      <c r="P5" s="337"/>
      <c r="Q5" s="337"/>
      <c r="R5" s="338"/>
      <c r="S5" s="336"/>
      <c r="T5" s="337"/>
      <c r="U5" s="337"/>
      <c r="V5" s="337"/>
      <c r="W5" s="338"/>
      <c r="X5" s="336"/>
      <c r="Y5" s="337"/>
      <c r="Z5" s="337"/>
      <c r="AA5" s="337"/>
      <c r="AB5" s="338"/>
      <c r="AC5" s="336"/>
      <c r="AD5" s="337"/>
      <c r="AE5" s="337"/>
      <c r="AF5" s="337"/>
      <c r="AG5" s="338"/>
      <c r="AH5" s="336"/>
      <c r="AI5" s="337"/>
      <c r="AJ5" s="337">
        <v>3</v>
      </c>
      <c r="AK5" s="337"/>
      <c r="AL5" s="338"/>
      <c r="AM5" s="336"/>
      <c r="AN5" s="337"/>
      <c r="AO5" s="337"/>
      <c r="AP5" s="337"/>
      <c r="AQ5" s="338"/>
      <c r="AR5" s="336"/>
      <c r="AS5" s="337"/>
      <c r="AT5" s="337"/>
      <c r="AU5" s="337"/>
      <c r="AV5" s="338"/>
      <c r="AW5" s="336"/>
      <c r="AX5" s="337"/>
      <c r="AY5" s="337"/>
      <c r="AZ5" s="337"/>
      <c r="BA5" s="338"/>
      <c r="BB5" s="336"/>
      <c r="BC5" s="337"/>
      <c r="BD5" s="337"/>
      <c r="BE5" s="337"/>
      <c r="BF5" s="338"/>
      <c r="BG5" s="336"/>
      <c r="BH5" s="337"/>
      <c r="BI5" s="337"/>
      <c r="BJ5" s="337"/>
      <c r="BK5" s="338"/>
      <c r="BL5" s="336"/>
      <c r="BM5" s="337"/>
      <c r="BN5" s="337"/>
      <c r="BO5" s="337"/>
      <c r="BP5" s="338"/>
      <c r="BQ5" s="336"/>
      <c r="BR5" s="337"/>
      <c r="BS5" s="337"/>
      <c r="BT5" s="337"/>
      <c r="BU5" s="339"/>
      <c r="BW5" s="236" t="str">
        <f>sum_level("o",'Needs 171007_1806'!D5:BU5)</f>
        <v/>
      </c>
      <c r="BX5" s="237" t="str">
        <f>sum_level("j",'Needs 171007_1806'!D5:BU5)</f>
        <v/>
      </c>
      <c r="BY5" s="237" t="str">
        <f>sum_level("m",'Needs 171007_1806'!D5:BU5)</f>
        <v>3</v>
      </c>
      <c r="BZ5" s="237" t="str">
        <f>sum_level("s",'Needs 171007_1806'!D5:BU5)</f>
        <v/>
      </c>
      <c r="CA5" s="238" t="str">
        <f>sum_level("e",'Needs 171007_1806'!D5:BU5)</f>
        <v/>
      </c>
    </row>
    <row r="6" spans="1:79" x14ac:dyDescent="0.25">
      <c r="B6" s="435"/>
      <c r="C6" s="291" t="s">
        <v>52</v>
      </c>
      <c r="D6" s="336"/>
      <c r="E6" s="337"/>
      <c r="F6" s="337"/>
      <c r="G6" s="337"/>
      <c r="H6" s="338"/>
      <c r="I6" s="336"/>
      <c r="J6" s="337"/>
      <c r="K6" s="337"/>
      <c r="L6" s="337"/>
      <c r="M6" s="338"/>
      <c r="N6" s="336"/>
      <c r="O6" s="337"/>
      <c r="P6" s="337"/>
      <c r="Q6" s="337"/>
      <c r="R6" s="338"/>
      <c r="S6" s="336"/>
      <c r="T6" s="337"/>
      <c r="U6" s="337"/>
      <c r="V6" s="337"/>
      <c r="W6" s="338"/>
      <c r="X6" s="336"/>
      <c r="Y6" s="337"/>
      <c r="Z6" s="337"/>
      <c r="AA6" s="337"/>
      <c r="AB6" s="338"/>
      <c r="AC6" s="336"/>
      <c r="AD6" s="337"/>
      <c r="AE6" s="337"/>
      <c r="AF6" s="337"/>
      <c r="AG6" s="338"/>
      <c r="AH6" s="336"/>
      <c r="AI6" s="337"/>
      <c r="AJ6" s="337"/>
      <c r="AK6" s="337">
        <v>4</v>
      </c>
      <c r="AL6" s="338"/>
      <c r="AM6" s="336"/>
      <c r="AN6" s="337"/>
      <c r="AO6" s="337"/>
      <c r="AP6" s="337"/>
      <c r="AQ6" s="338"/>
      <c r="AR6" s="336"/>
      <c r="AS6" s="337"/>
      <c r="AT6" s="337"/>
      <c r="AU6" s="337"/>
      <c r="AV6" s="338"/>
      <c r="AW6" s="336"/>
      <c r="AX6" s="337"/>
      <c r="AY6" s="337"/>
      <c r="AZ6" s="337"/>
      <c r="BA6" s="338"/>
      <c r="BB6" s="336"/>
      <c r="BC6" s="337"/>
      <c r="BD6" s="337"/>
      <c r="BE6" s="337"/>
      <c r="BF6" s="338"/>
      <c r="BG6" s="336"/>
      <c r="BH6" s="337"/>
      <c r="BI6" s="337"/>
      <c r="BJ6" s="337"/>
      <c r="BK6" s="338"/>
      <c r="BL6" s="336"/>
      <c r="BM6" s="337"/>
      <c r="BN6" s="337"/>
      <c r="BO6" s="337"/>
      <c r="BP6" s="338"/>
      <c r="BQ6" s="336"/>
      <c r="BR6" s="337"/>
      <c r="BS6" s="337"/>
      <c r="BT6" s="337"/>
      <c r="BU6" s="339"/>
      <c r="BW6" s="236" t="str">
        <f>sum_level("o",'Needs 171007_1806'!D6:BU6)</f>
        <v/>
      </c>
      <c r="BX6" s="237" t="str">
        <f>sum_level("j",'Needs 171007_1806'!D6:BU6)</f>
        <v/>
      </c>
      <c r="BY6" s="237" t="str">
        <f>sum_level("m",'Needs 171007_1806'!D6:BU6)</f>
        <v/>
      </c>
      <c r="BZ6" s="237" t="str">
        <f>sum_level("s",'Needs 171007_1806'!D6:BU6)</f>
        <v>4</v>
      </c>
      <c r="CA6" s="238" t="str">
        <f>sum_level("e",'Needs 171007_1806'!D6:BU6)</f>
        <v/>
      </c>
    </row>
    <row r="7" spans="1:79" x14ac:dyDescent="0.25">
      <c r="B7" s="435"/>
      <c r="C7" s="291" t="s">
        <v>53</v>
      </c>
      <c r="D7" s="336"/>
      <c r="E7" s="337"/>
      <c r="F7" s="337"/>
      <c r="G7" s="337"/>
      <c r="H7" s="338"/>
      <c r="I7" s="336"/>
      <c r="J7" s="337"/>
      <c r="K7" s="337"/>
      <c r="L7" s="337"/>
      <c r="M7" s="338"/>
      <c r="N7" s="336"/>
      <c r="O7" s="337"/>
      <c r="P7" s="337"/>
      <c r="Q7" s="337"/>
      <c r="R7" s="338"/>
      <c r="S7" s="336"/>
      <c r="T7" s="337"/>
      <c r="U7" s="337"/>
      <c r="V7" s="337"/>
      <c r="W7" s="338"/>
      <c r="X7" s="336"/>
      <c r="Y7" s="337"/>
      <c r="Z7" s="337"/>
      <c r="AA7" s="337"/>
      <c r="AB7" s="338"/>
      <c r="AC7" s="336"/>
      <c r="AD7" s="337"/>
      <c r="AE7" s="337"/>
      <c r="AF7" s="337"/>
      <c r="AG7" s="338"/>
      <c r="AH7" s="336"/>
      <c r="AI7" s="337"/>
      <c r="AJ7" s="337"/>
      <c r="AK7" s="337"/>
      <c r="AL7" s="338">
        <v>5</v>
      </c>
      <c r="AM7" s="336"/>
      <c r="AN7" s="337"/>
      <c r="AO7" s="337"/>
      <c r="AP7" s="337"/>
      <c r="AQ7" s="338"/>
      <c r="AR7" s="336"/>
      <c r="AS7" s="337"/>
      <c r="AT7" s="337"/>
      <c r="AU7" s="337"/>
      <c r="AV7" s="338"/>
      <c r="AW7" s="336"/>
      <c r="AX7" s="337"/>
      <c r="AY7" s="337"/>
      <c r="AZ7" s="337"/>
      <c r="BA7" s="338"/>
      <c r="BB7" s="336"/>
      <c r="BC7" s="337"/>
      <c r="BD7" s="337"/>
      <c r="BE7" s="337"/>
      <c r="BF7" s="338"/>
      <c r="BG7" s="336"/>
      <c r="BH7" s="337"/>
      <c r="BI7" s="337"/>
      <c r="BJ7" s="337"/>
      <c r="BK7" s="338"/>
      <c r="BL7" s="336"/>
      <c r="BM7" s="337"/>
      <c r="BN7" s="337"/>
      <c r="BO7" s="337"/>
      <c r="BP7" s="338"/>
      <c r="BQ7" s="336"/>
      <c r="BR7" s="337"/>
      <c r="BS7" s="337"/>
      <c r="BT7" s="337"/>
      <c r="BU7" s="339"/>
      <c r="BW7" s="236" t="str">
        <f>sum_level("o",'Needs 171007_1806'!D7:BU7)</f>
        <v/>
      </c>
      <c r="BX7" s="237" t="str">
        <f>sum_level("j",'Needs 171007_1806'!D7:BU7)</f>
        <v/>
      </c>
      <c r="BY7" s="237" t="str">
        <f>sum_level("m",'Needs 171007_1806'!D7:BU7)</f>
        <v/>
      </c>
      <c r="BZ7" s="237" t="str">
        <f>sum_level("s",'Needs 171007_1806'!D7:BU7)</f>
        <v/>
      </c>
      <c r="CA7" s="238" t="str">
        <f>sum_level("e",'Needs 171007_1806'!D7:BU7)</f>
        <v>5</v>
      </c>
    </row>
    <row r="8" spans="1:79" x14ac:dyDescent="0.25">
      <c r="B8" s="435"/>
      <c r="C8" s="291" t="s">
        <v>50</v>
      </c>
      <c r="D8" s="336"/>
      <c r="E8" s="337"/>
      <c r="F8" s="337"/>
      <c r="G8" s="337"/>
      <c r="H8" s="338"/>
      <c r="I8" s="336"/>
      <c r="J8" s="337"/>
      <c r="K8" s="337"/>
      <c r="L8" s="337"/>
      <c r="M8" s="338"/>
      <c r="N8" s="336"/>
      <c r="O8" s="337"/>
      <c r="P8" s="337"/>
      <c r="Q8" s="337"/>
      <c r="R8" s="338"/>
      <c r="S8" s="336"/>
      <c r="T8" s="337"/>
      <c r="U8" s="337"/>
      <c r="V8" s="337"/>
      <c r="W8" s="338"/>
      <c r="X8" s="336"/>
      <c r="Y8" s="337"/>
      <c r="Z8" s="337"/>
      <c r="AA8" s="337"/>
      <c r="AB8" s="338"/>
      <c r="AC8" s="336"/>
      <c r="AD8" s="337"/>
      <c r="AE8" s="337"/>
      <c r="AF8" s="337"/>
      <c r="AG8" s="338"/>
      <c r="AH8" s="336"/>
      <c r="AI8" s="337"/>
      <c r="AJ8" s="337"/>
      <c r="AK8" s="337"/>
      <c r="AL8" s="338"/>
      <c r="AM8" s="336"/>
      <c r="AN8" s="337"/>
      <c r="AO8" s="337"/>
      <c r="AP8" s="337"/>
      <c r="AQ8" s="338"/>
      <c r="AR8" s="336"/>
      <c r="AS8" s="337"/>
      <c r="AT8" s="337"/>
      <c r="AU8" s="337"/>
      <c r="AV8" s="338"/>
      <c r="AW8" s="336"/>
      <c r="AX8" s="337"/>
      <c r="AY8" s="337"/>
      <c r="AZ8" s="337"/>
      <c r="BA8" s="338"/>
      <c r="BB8" s="336"/>
      <c r="BC8" s="337"/>
      <c r="BD8" s="337"/>
      <c r="BE8" s="337"/>
      <c r="BF8" s="338"/>
      <c r="BG8" s="336"/>
      <c r="BH8" s="337"/>
      <c r="BI8" s="337"/>
      <c r="BJ8" s="337"/>
      <c r="BK8" s="338"/>
      <c r="BL8" s="336"/>
      <c r="BM8" s="337"/>
      <c r="BN8" s="337"/>
      <c r="BO8" s="337"/>
      <c r="BP8" s="338"/>
      <c r="BQ8" s="336"/>
      <c r="BR8" s="337"/>
      <c r="BS8" s="337"/>
      <c r="BT8" s="337"/>
      <c r="BU8" s="339"/>
      <c r="BW8" s="236" t="str">
        <f>sum_level("o",'Needs 171007_1806'!D8:BU8)</f>
        <v/>
      </c>
      <c r="BX8" s="237" t="str">
        <f>sum_level("j",'Needs 171007_1806'!D8:BU8)</f>
        <v/>
      </c>
      <c r="BY8" s="237" t="str">
        <f>sum_level("m",'Needs 171007_1806'!D8:BU8)</f>
        <v/>
      </c>
      <c r="BZ8" s="237" t="str">
        <f>sum_level("s",'Needs 171007_1806'!D8:BU8)</f>
        <v/>
      </c>
      <c r="CA8" s="238" t="str">
        <f>sum_level("e",'Needs 171007_1806'!D8:BU8)</f>
        <v/>
      </c>
    </row>
    <row r="9" spans="1:79" x14ac:dyDescent="0.25">
      <c r="B9" s="435"/>
      <c r="C9" s="291" t="s">
        <v>55</v>
      </c>
      <c r="D9" s="336"/>
      <c r="E9" s="337"/>
      <c r="F9" s="337"/>
      <c r="G9" s="337"/>
      <c r="H9" s="338"/>
      <c r="I9" s="336"/>
      <c r="J9" s="337"/>
      <c r="K9" s="337"/>
      <c r="L9" s="337"/>
      <c r="M9" s="338"/>
      <c r="N9" s="336"/>
      <c r="O9" s="337"/>
      <c r="P9" s="337"/>
      <c r="Q9" s="337"/>
      <c r="R9" s="338"/>
      <c r="S9" s="336"/>
      <c r="T9" s="337"/>
      <c r="U9" s="337"/>
      <c r="V9" s="337"/>
      <c r="W9" s="338"/>
      <c r="X9" s="336"/>
      <c r="Y9" s="337"/>
      <c r="Z9" s="337"/>
      <c r="AA9" s="337"/>
      <c r="AB9" s="338"/>
      <c r="AC9" s="336"/>
      <c r="AD9" s="337"/>
      <c r="AE9" s="337"/>
      <c r="AF9" s="337"/>
      <c r="AG9" s="338"/>
      <c r="AH9" s="336"/>
      <c r="AI9" s="337"/>
      <c r="AJ9" s="337"/>
      <c r="AK9" s="337"/>
      <c r="AL9" s="338"/>
      <c r="AM9" s="336">
        <v>6</v>
      </c>
      <c r="AN9" s="337"/>
      <c r="AO9" s="337"/>
      <c r="AP9" s="337"/>
      <c r="AQ9" s="338"/>
      <c r="AR9" s="336"/>
      <c r="AS9" s="337"/>
      <c r="AT9" s="337"/>
      <c r="AU9" s="337"/>
      <c r="AV9" s="338"/>
      <c r="AW9" s="336"/>
      <c r="AX9" s="337"/>
      <c r="AY9" s="337"/>
      <c r="AZ9" s="337"/>
      <c r="BA9" s="338"/>
      <c r="BB9" s="336"/>
      <c r="BC9" s="337"/>
      <c r="BD9" s="337"/>
      <c r="BE9" s="337"/>
      <c r="BF9" s="338"/>
      <c r="BG9" s="336"/>
      <c r="BH9" s="337"/>
      <c r="BI9" s="337"/>
      <c r="BJ9" s="337"/>
      <c r="BK9" s="338"/>
      <c r="BL9" s="336"/>
      <c r="BM9" s="337"/>
      <c r="BN9" s="337"/>
      <c r="BO9" s="337"/>
      <c r="BP9" s="338"/>
      <c r="BQ9" s="336"/>
      <c r="BR9" s="337"/>
      <c r="BS9" s="337"/>
      <c r="BT9" s="337"/>
      <c r="BU9" s="339"/>
      <c r="BW9" s="236" t="str">
        <f>sum_level("o",'Needs 171007_1806'!D9:BU9)</f>
        <v>6</v>
      </c>
      <c r="BX9" s="237" t="str">
        <f>sum_level("j",'Needs 171007_1806'!D9:BU9)</f>
        <v/>
      </c>
      <c r="BY9" s="237" t="str">
        <f>sum_level("m",'Needs 171007_1806'!D9:BU9)</f>
        <v/>
      </c>
      <c r="BZ9" s="237" t="str">
        <f>sum_level("s",'Needs 171007_1806'!D9:BU9)</f>
        <v/>
      </c>
      <c r="CA9" s="238" t="str">
        <f>sum_level("e",'Needs 171007_1806'!D9:BU9)</f>
        <v/>
      </c>
    </row>
    <row r="10" spans="1:79" x14ac:dyDescent="0.25">
      <c r="B10" s="435"/>
      <c r="C10" s="291" t="s">
        <v>56</v>
      </c>
      <c r="D10" s="336"/>
      <c r="E10" s="337"/>
      <c r="F10" s="337"/>
      <c r="G10" s="337"/>
      <c r="H10" s="338"/>
      <c r="I10" s="336"/>
      <c r="J10" s="337"/>
      <c r="K10" s="337"/>
      <c r="L10" s="337"/>
      <c r="M10" s="338"/>
      <c r="N10" s="336"/>
      <c r="O10" s="337"/>
      <c r="P10" s="337"/>
      <c r="Q10" s="337"/>
      <c r="R10" s="338"/>
      <c r="S10" s="336"/>
      <c r="T10" s="337"/>
      <c r="U10" s="337"/>
      <c r="V10" s="337"/>
      <c r="W10" s="338"/>
      <c r="X10" s="336"/>
      <c r="Y10" s="337"/>
      <c r="Z10" s="337"/>
      <c r="AA10" s="337"/>
      <c r="AB10" s="338"/>
      <c r="AC10" s="336"/>
      <c r="AD10" s="337"/>
      <c r="AE10" s="337"/>
      <c r="AF10" s="337"/>
      <c r="AG10" s="338"/>
      <c r="AH10" s="336"/>
      <c r="AI10" s="337"/>
      <c r="AJ10" s="337"/>
      <c r="AK10" s="337"/>
      <c r="AL10" s="338"/>
      <c r="AM10" s="336"/>
      <c r="AN10" s="337">
        <v>7</v>
      </c>
      <c r="AO10" s="337"/>
      <c r="AP10" s="337"/>
      <c r="AQ10" s="338"/>
      <c r="AR10" s="336"/>
      <c r="AS10" s="337"/>
      <c r="AT10" s="337"/>
      <c r="AU10" s="337"/>
      <c r="AV10" s="338"/>
      <c r="AW10" s="336"/>
      <c r="AX10" s="337"/>
      <c r="AY10" s="337"/>
      <c r="AZ10" s="337"/>
      <c r="BA10" s="338"/>
      <c r="BB10" s="336"/>
      <c r="BC10" s="337"/>
      <c r="BD10" s="337"/>
      <c r="BE10" s="337"/>
      <c r="BF10" s="338"/>
      <c r="BG10" s="336"/>
      <c r="BH10" s="337"/>
      <c r="BI10" s="337"/>
      <c r="BJ10" s="337"/>
      <c r="BK10" s="338"/>
      <c r="BL10" s="336"/>
      <c r="BM10" s="337"/>
      <c r="BN10" s="337"/>
      <c r="BO10" s="337"/>
      <c r="BP10" s="338"/>
      <c r="BQ10" s="336"/>
      <c r="BR10" s="337"/>
      <c r="BS10" s="337"/>
      <c r="BT10" s="337"/>
      <c r="BU10" s="339"/>
      <c r="BW10" s="236" t="str">
        <f>sum_level("o",'Needs 171007_1806'!D10:BU10)</f>
        <v/>
      </c>
      <c r="BX10" s="237" t="str">
        <f>sum_level("j",'Needs 171007_1806'!D10:BU10)</f>
        <v>7</v>
      </c>
      <c r="BY10" s="237" t="str">
        <f>sum_level("m",'Needs 171007_1806'!D10:BU10)</f>
        <v/>
      </c>
      <c r="BZ10" s="237" t="str">
        <f>sum_level("s",'Needs 171007_1806'!D10:BU10)</f>
        <v/>
      </c>
      <c r="CA10" s="238" t="str">
        <f>sum_level("e",'Needs 171007_1806'!D10:BU10)</f>
        <v/>
      </c>
    </row>
    <row r="11" spans="1:79" x14ac:dyDescent="0.25">
      <c r="B11" s="435"/>
      <c r="C11" s="291" t="s">
        <v>57</v>
      </c>
      <c r="D11" s="336"/>
      <c r="E11" s="337"/>
      <c r="F11" s="337"/>
      <c r="G11" s="337"/>
      <c r="H11" s="338"/>
      <c r="I11" s="336"/>
      <c r="J11" s="337"/>
      <c r="K11" s="337"/>
      <c r="L11" s="337"/>
      <c r="M11" s="338"/>
      <c r="N11" s="336"/>
      <c r="O11" s="337"/>
      <c r="P11" s="337"/>
      <c r="Q11" s="337"/>
      <c r="R11" s="338"/>
      <c r="S11" s="336"/>
      <c r="T11" s="337"/>
      <c r="U11" s="337"/>
      <c r="V11" s="337"/>
      <c r="W11" s="338"/>
      <c r="X11" s="336"/>
      <c r="Y11" s="337"/>
      <c r="Z11" s="337"/>
      <c r="AA11" s="337"/>
      <c r="AB11" s="338"/>
      <c r="AC11" s="336"/>
      <c r="AD11" s="337"/>
      <c r="AE11" s="337"/>
      <c r="AF11" s="337"/>
      <c r="AG11" s="338"/>
      <c r="AH11" s="336"/>
      <c r="AI11" s="337"/>
      <c r="AJ11" s="337"/>
      <c r="AK11" s="337"/>
      <c r="AL11" s="338"/>
      <c r="AM11" s="336"/>
      <c r="AN11" s="337"/>
      <c r="AO11" s="337">
        <v>8</v>
      </c>
      <c r="AP11" s="337"/>
      <c r="AQ11" s="338"/>
      <c r="AR11" s="336"/>
      <c r="AS11" s="337"/>
      <c r="AT11" s="337"/>
      <c r="AU11" s="337"/>
      <c r="AV11" s="338"/>
      <c r="AW11" s="336"/>
      <c r="AX11" s="337"/>
      <c r="AY11" s="337"/>
      <c r="AZ11" s="337"/>
      <c r="BA11" s="338"/>
      <c r="BB11" s="336"/>
      <c r="BC11" s="337"/>
      <c r="BD11" s="337"/>
      <c r="BE11" s="337"/>
      <c r="BF11" s="338"/>
      <c r="BG11" s="336"/>
      <c r="BH11" s="337"/>
      <c r="BI11" s="337"/>
      <c r="BJ11" s="337"/>
      <c r="BK11" s="338"/>
      <c r="BL11" s="336"/>
      <c r="BM11" s="337"/>
      <c r="BN11" s="337"/>
      <c r="BO11" s="337"/>
      <c r="BP11" s="338"/>
      <c r="BQ11" s="336"/>
      <c r="BR11" s="337"/>
      <c r="BS11" s="337"/>
      <c r="BT11" s="337"/>
      <c r="BU11" s="339"/>
      <c r="BW11" s="236" t="str">
        <f>sum_level("o",'Needs 171007_1806'!D11:BU11)</f>
        <v/>
      </c>
      <c r="BX11" s="237" t="str">
        <f>sum_level("j",'Needs 171007_1806'!D11:BU11)</f>
        <v/>
      </c>
      <c r="BY11" s="237" t="str">
        <f>sum_level("m",'Needs 171007_1806'!D11:BU11)</f>
        <v>8</v>
      </c>
      <c r="BZ11" s="237" t="str">
        <f>sum_level("s",'Needs 171007_1806'!D11:BU11)</f>
        <v/>
      </c>
      <c r="CA11" s="238" t="str">
        <f>sum_level("e",'Needs 171007_1806'!D11:BU11)</f>
        <v/>
      </c>
    </row>
    <row r="12" spans="1:79" x14ac:dyDescent="0.25">
      <c r="B12" s="435"/>
      <c r="C12" s="291" t="s">
        <v>58</v>
      </c>
      <c r="D12" s="336"/>
      <c r="E12" s="337"/>
      <c r="F12" s="337"/>
      <c r="G12" s="337"/>
      <c r="H12" s="338"/>
      <c r="I12" s="336"/>
      <c r="J12" s="337"/>
      <c r="K12" s="337"/>
      <c r="L12" s="337"/>
      <c r="M12" s="338"/>
      <c r="N12" s="336"/>
      <c r="O12" s="337"/>
      <c r="P12" s="337"/>
      <c r="Q12" s="337"/>
      <c r="R12" s="338"/>
      <c r="S12" s="336"/>
      <c r="T12" s="337"/>
      <c r="U12" s="337"/>
      <c r="V12" s="337"/>
      <c r="W12" s="338"/>
      <c r="X12" s="336"/>
      <c r="Y12" s="337"/>
      <c r="Z12" s="337"/>
      <c r="AA12" s="337"/>
      <c r="AB12" s="338"/>
      <c r="AC12" s="336"/>
      <c r="AD12" s="337"/>
      <c r="AE12" s="337"/>
      <c r="AF12" s="337"/>
      <c r="AG12" s="338"/>
      <c r="AH12" s="336"/>
      <c r="AI12" s="337"/>
      <c r="AJ12" s="337"/>
      <c r="AK12" s="337"/>
      <c r="AL12" s="338"/>
      <c r="AM12" s="336"/>
      <c r="AN12" s="337"/>
      <c r="AO12" s="337"/>
      <c r="AP12" s="337">
        <v>9</v>
      </c>
      <c r="AQ12" s="338"/>
      <c r="AR12" s="336"/>
      <c r="AS12" s="337"/>
      <c r="AT12" s="337"/>
      <c r="AU12" s="337"/>
      <c r="AV12" s="338"/>
      <c r="AW12" s="336"/>
      <c r="AX12" s="337"/>
      <c r="AY12" s="337"/>
      <c r="AZ12" s="337"/>
      <c r="BA12" s="338"/>
      <c r="BB12" s="336"/>
      <c r="BC12" s="337"/>
      <c r="BD12" s="337"/>
      <c r="BE12" s="337"/>
      <c r="BF12" s="338"/>
      <c r="BG12" s="336"/>
      <c r="BH12" s="337"/>
      <c r="BI12" s="337"/>
      <c r="BJ12" s="337"/>
      <c r="BK12" s="338"/>
      <c r="BL12" s="336"/>
      <c r="BM12" s="337"/>
      <c r="BN12" s="337"/>
      <c r="BO12" s="337"/>
      <c r="BP12" s="338"/>
      <c r="BQ12" s="336"/>
      <c r="BR12" s="337"/>
      <c r="BS12" s="337"/>
      <c r="BT12" s="337"/>
      <c r="BU12" s="339"/>
      <c r="BW12" s="236" t="str">
        <f>sum_level("o",'Needs 171007_1806'!D12:BU12)</f>
        <v/>
      </c>
      <c r="BX12" s="237" t="str">
        <f>sum_level("j",'Needs 171007_1806'!D12:BU12)</f>
        <v/>
      </c>
      <c r="BY12" s="237" t="str">
        <f>sum_level("m",'Needs 171007_1806'!D12:BU12)</f>
        <v/>
      </c>
      <c r="BZ12" s="237" t="str">
        <f>sum_level("s",'Needs 171007_1806'!D12:BU12)</f>
        <v>9</v>
      </c>
      <c r="CA12" s="238" t="str">
        <f>sum_level("e",'Needs 171007_1806'!D12:BU12)</f>
        <v/>
      </c>
    </row>
    <row r="13" spans="1:79" x14ac:dyDescent="0.25">
      <c r="B13" s="435"/>
      <c r="C13" s="291" t="s">
        <v>59</v>
      </c>
      <c r="D13" s="336"/>
      <c r="E13" s="337"/>
      <c r="F13" s="337"/>
      <c r="G13" s="337"/>
      <c r="H13" s="338"/>
      <c r="I13" s="336"/>
      <c r="J13" s="337"/>
      <c r="K13" s="337"/>
      <c r="L13" s="337"/>
      <c r="M13" s="338"/>
      <c r="N13" s="336"/>
      <c r="O13" s="337"/>
      <c r="P13" s="337"/>
      <c r="Q13" s="337"/>
      <c r="R13" s="338"/>
      <c r="S13" s="336"/>
      <c r="T13" s="337"/>
      <c r="U13" s="337"/>
      <c r="V13" s="337"/>
      <c r="W13" s="338"/>
      <c r="X13" s="336"/>
      <c r="Y13" s="337"/>
      <c r="Z13" s="337"/>
      <c r="AA13" s="337"/>
      <c r="AB13" s="338"/>
      <c r="AC13" s="336"/>
      <c r="AD13" s="337"/>
      <c r="AE13" s="337"/>
      <c r="AF13" s="337"/>
      <c r="AG13" s="338"/>
      <c r="AH13" s="336"/>
      <c r="AI13" s="337"/>
      <c r="AJ13" s="337"/>
      <c r="AK13" s="337"/>
      <c r="AL13" s="338"/>
      <c r="AM13" s="336"/>
      <c r="AN13" s="337"/>
      <c r="AO13" s="337"/>
      <c r="AP13" s="337"/>
      <c r="AQ13" s="338">
        <v>10</v>
      </c>
      <c r="AR13" s="336"/>
      <c r="AS13" s="337"/>
      <c r="AT13" s="337"/>
      <c r="AU13" s="337"/>
      <c r="AV13" s="338"/>
      <c r="AW13" s="336"/>
      <c r="AX13" s="337"/>
      <c r="AY13" s="337"/>
      <c r="AZ13" s="337"/>
      <c r="BA13" s="338"/>
      <c r="BB13" s="336"/>
      <c r="BC13" s="337"/>
      <c r="BD13" s="337"/>
      <c r="BE13" s="337"/>
      <c r="BF13" s="338"/>
      <c r="BG13" s="336"/>
      <c r="BH13" s="337"/>
      <c r="BI13" s="337"/>
      <c r="BJ13" s="337"/>
      <c r="BK13" s="338"/>
      <c r="BL13" s="336"/>
      <c r="BM13" s="337"/>
      <c r="BN13" s="337"/>
      <c r="BO13" s="337"/>
      <c r="BP13" s="338"/>
      <c r="BQ13" s="336"/>
      <c r="BR13" s="337"/>
      <c r="BS13" s="337"/>
      <c r="BT13" s="337"/>
      <c r="BU13" s="339"/>
      <c r="BW13" s="236" t="str">
        <f>sum_level("o",'Needs 171007_1806'!D13:BU13)</f>
        <v/>
      </c>
      <c r="BX13" s="237" t="str">
        <f>sum_level("j",'Needs 171007_1806'!D13:BU13)</f>
        <v/>
      </c>
      <c r="BY13" s="237" t="str">
        <f>sum_level("m",'Needs 171007_1806'!D13:BU13)</f>
        <v/>
      </c>
      <c r="BZ13" s="237" t="str">
        <f>sum_level("s",'Needs 171007_1806'!D13:BU13)</f>
        <v/>
      </c>
      <c r="CA13" s="238" t="str">
        <f>sum_level("e",'Needs 171007_1806'!D13:BU13)</f>
        <v>10</v>
      </c>
    </row>
    <row r="14" spans="1:79" x14ac:dyDescent="0.25">
      <c r="B14" s="435"/>
      <c r="C14" s="291" t="s">
        <v>60</v>
      </c>
      <c r="D14" s="336"/>
      <c r="E14" s="337"/>
      <c r="F14" s="337"/>
      <c r="G14" s="337"/>
      <c r="H14" s="338"/>
      <c r="I14" s="336"/>
      <c r="J14" s="337"/>
      <c r="K14" s="337"/>
      <c r="L14" s="337"/>
      <c r="M14" s="338"/>
      <c r="N14" s="336"/>
      <c r="O14" s="337"/>
      <c r="P14" s="337"/>
      <c r="Q14" s="337"/>
      <c r="R14" s="338"/>
      <c r="S14" s="336"/>
      <c r="T14" s="337"/>
      <c r="U14" s="337"/>
      <c r="V14" s="337"/>
      <c r="W14" s="338"/>
      <c r="X14" s="336"/>
      <c r="Y14" s="337"/>
      <c r="Z14" s="337"/>
      <c r="AA14" s="337"/>
      <c r="AB14" s="338"/>
      <c r="AC14" s="336"/>
      <c r="AD14" s="337"/>
      <c r="AE14" s="337"/>
      <c r="AF14" s="337"/>
      <c r="AG14" s="338"/>
      <c r="AH14" s="336"/>
      <c r="AI14" s="337"/>
      <c r="AJ14" s="337"/>
      <c r="AK14" s="337"/>
      <c r="AL14" s="338"/>
      <c r="AM14" s="336"/>
      <c r="AN14" s="337"/>
      <c r="AO14" s="337"/>
      <c r="AP14" s="337"/>
      <c r="AQ14" s="338"/>
      <c r="AR14" s="336"/>
      <c r="AS14" s="337"/>
      <c r="AT14" s="337"/>
      <c r="AU14" s="337"/>
      <c r="AV14" s="338"/>
      <c r="AW14" s="336"/>
      <c r="AX14" s="337"/>
      <c r="AY14" s="337"/>
      <c r="AZ14" s="337"/>
      <c r="BA14" s="338"/>
      <c r="BB14" s="336"/>
      <c r="BC14" s="337"/>
      <c r="BD14" s="337"/>
      <c r="BE14" s="337"/>
      <c r="BF14" s="338"/>
      <c r="BG14" s="336"/>
      <c r="BH14" s="337"/>
      <c r="BI14" s="337"/>
      <c r="BJ14" s="337"/>
      <c r="BK14" s="338"/>
      <c r="BL14" s="336"/>
      <c r="BM14" s="337"/>
      <c r="BN14" s="337"/>
      <c r="BO14" s="337"/>
      <c r="BP14" s="338"/>
      <c r="BQ14" s="336"/>
      <c r="BR14" s="337"/>
      <c r="BS14" s="337"/>
      <c r="BT14" s="337"/>
      <c r="BU14" s="339"/>
      <c r="BW14" s="236" t="str">
        <f>sum_level("o",'Needs 171007_1806'!D14:BU14)</f>
        <v/>
      </c>
      <c r="BX14" s="237" t="str">
        <f>sum_level("j",'Needs 171007_1806'!D14:BU14)</f>
        <v/>
      </c>
      <c r="BY14" s="237" t="str">
        <f>sum_level("m",'Needs 171007_1806'!D14:BU14)</f>
        <v/>
      </c>
      <c r="BZ14" s="237" t="str">
        <f>sum_level("s",'Needs 171007_1806'!D14:BU14)</f>
        <v/>
      </c>
      <c r="CA14" s="238" t="str">
        <f>sum_level("e",'Needs 171007_1806'!D14:BU14)</f>
        <v/>
      </c>
    </row>
    <row r="15" spans="1:79" ht="15.75" thickBot="1" x14ac:dyDescent="0.3">
      <c r="B15" s="435"/>
      <c r="C15" s="292" t="s">
        <v>61</v>
      </c>
      <c r="D15" s="340"/>
      <c r="E15" s="341"/>
      <c r="F15" s="341"/>
      <c r="G15" s="341"/>
      <c r="H15" s="342"/>
      <c r="I15" s="340"/>
      <c r="J15" s="341"/>
      <c r="K15" s="341"/>
      <c r="L15" s="341"/>
      <c r="M15" s="342"/>
      <c r="N15" s="340"/>
      <c r="O15" s="341"/>
      <c r="P15" s="341"/>
      <c r="Q15" s="341"/>
      <c r="R15" s="342"/>
      <c r="S15" s="340"/>
      <c r="T15" s="341"/>
      <c r="U15" s="341"/>
      <c r="V15" s="341"/>
      <c r="W15" s="342"/>
      <c r="X15" s="340"/>
      <c r="Y15" s="341"/>
      <c r="Z15" s="341"/>
      <c r="AA15" s="341"/>
      <c r="AB15" s="342"/>
      <c r="AC15" s="340"/>
      <c r="AD15" s="341"/>
      <c r="AE15" s="341"/>
      <c r="AF15" s="341"/>
      <c r="AG15" s="342"/>
      <c r="AH15" s="340"/>
      <c r="AI15" s="341"/>
      <c r="AJ15" s="341"/>
      <c r="AK15" s="341"/>
      <c r="AL15" s="342"/>
      <c r="AM15" s="340"/>
      <c r="AN15" s="341"/>
      <c r="AO15" s="341"/>
      <c r="AP15" s="341"/>
      <c r="AQ15" s="342"/>
      <c r="AR15" s="340"/>
      <c r="AS15" s="341"/>
      <c r="AT15" s="341"/>
      <c r="AU15" s="341"/>
      <c r="AV15" s="342"/>
      <c r="AW15" s="340"/>
      <c r="AX15" s="341"/>
      <c r="AY15" s="341"/>
      <c r="AZ15" s="341"/>
      <c r="BA15" s="342"/>
      <c r="BB15" s="340"/>
      <c r="BC15" s="341"/>
      <c r="BD15" s="341"/>
      <c r="BE15" s="341"/>
      <c r="BF15" s="342"/>
      <c r="BG15" s="340"/>
      <c r="BH15" s="341"/>
      <c r="BI15" s="341"/>
      <c r="BJ15" s="341"/>
      <c r="BK15" s="342"/>
      <c r="BL15" s="340"/>
      <c r="BM15" s="341"/>
      <c r="BN15" s="341"/>
      <c r="BO15" s="341"/>
      <c r="BP15" s="342"/>
      <c r="BQ15" s="340"/>
      <c r="BR15" s="341"/>
      <c r="BS15" s="341"/>
      <c r="BT15" s="341"/>
      <c r="BU15" s="343"/>
      <c r="BW15" s="239" t="str">
        <f>sum_level("o",'Needs 171007_1806'!D15:BU15)</f>
        <v/>
      </c>
      <c r="BX15" s="240" t="str">
        <f>sum_level("j",'Needs 171007_1806'!D15:BU15)</f>
        <v/>
      </c>
      <c r="BY15" s="240" t="str">
        <f>sum_level("m",'Needs 171007_1806'!D15:BU15)</f>
        <v/>
      </c>
      <c r="BZ15" s="240" t="str">
        <f>sum_level("s",'Needs 171007_1806'!D15:BU15)</f>
        <v/>
      </c>
      <c r="CA15" s="241" t="str">
        <f>sum_level("e",'Needs 171007_1806'!D15:BU15)</f>
        <v/>
      </c>
    </row>
    <row r="16" spans="1:79" ht="12.75" customHeight="1" thickTop="1" thickBot="1" x14ac:dyDescent="0.3">
      <c r="B16" s="436"/>
      <c r="C16" s="248"/>
      <c r="D16" s="344"/>
      <c r="E16" s="344"/>
      <c r="F16" s="344"/>
      <c r="G16" s="344"/>
      <c r="H16" s="344"/>
      <c r="I16" s="344"/>
      <c r="J16" s="344"/>
      <c r="K16" s="344"/>
      <c r="L16" s="344"/>
      <c r="M16" s="344"/>
      <c r="N16" s="344"/>
      <c r="O16" s="344"/>
      <c r="P16" s="344"/>
      <c r="Q16" s="344"/>
      <c r="R16" s="344"/>
      <c r="S16" s="344"/>
      <c r="T16" s="344"/>
      <c r="U16" s="344"/>
      <c r="V16" s="344"/>
      <c r="W16" s="344"/>
      <c r="X16" s="344"/>
      <c r="Y16" s="344"/>
      <c r="Z16" s="344"/>
      <c r="AA16" s="344"/>
      <c r="AB16" s="344"/>
      <c r="AC16" s="344"/>
      <c r="AD16" s="344"/>
      <c r="AE16" s="344"/>
      <c r="AF16" s="344"/>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4"/>
      <c r="BC16" s="344"/>
      <c r="BD16" s="344"/>
      <c r="BE16" s="344"/>
      <c r="BF16" s="344"/>
      <c r="BG16" s="344"/>
      <c r="BH16" s="344"/>
      <c r="BI16" s="344"/>
      <c r="BJ16" s="344"/>
      <c r="BK16" s="344"/>
      <c r="BL16" s="344"/>
      <c r="BM16" s="344"/>
      <c r="BN16" s="344"/>
      <c r="BO16" s="344"/>
      <c r="BP16" s="344"/>
      <c r="BQ16" s="344"/>
      <c r="BR16" s="344"/>
      <c r="BS16" s="344"/>
      <c r="BT16" s="344"/>
      <c r="BU16" s="344"/>
      <c r="BW16" s="249"/>
      <c r="BX16" s="249"/>
      <c r="BY16" s="249"/>
      <c r="BZ16" s="249"/>
      <c r="CA16" s="249"/>
    </row>
    <row r="17" spans="2:79" ht="15.75" thickTop="1" x14ac:dyDescent="0.25">
      <c r="B17" s="434" t="s">
        <v>62</v>
      </c>
      <c r="C17" s="290" t="s">
        <v>63</v>
      </c>
      <c r="D17" s="332"/>
      <c r="E17" s="333"/>
      <c r="F17" s="333"/>
      <c r="G17" s="333"/>
      <c r="H17" s="334"/>
      <c r="I17" s="332"/>
      <c r="J17" s="333"/>
      <c r="K17" s="333"/>
      <c r="L17" s="333"/>
      <c r="M17" s="334"/>
      <c r="N17" s="332"/>
      <c r="O17" s="333"/>
      <c r="P17" s="333"/>
      <c r="Q17" s="333"/>
      <c r="R17" s="334"/>
      <c r="S17" s="332"/>
      <c r="T17" s="333"/>
      <c r="U17" s="333"/>
      <c r="V17" s="333"/>
      <c r="W17" s="334"/>
      <c r="X17" s="332"/>
      <c r="Y17" s="333"/>
      <c r="Z17" s="333"/>
      <c r="AA17" s="333"/>
      <c r="AB17" s="334"/>
      <c r="AC17" s="332"/>
      <c r="AD17" s="333"/>
      <c r="AE17" s="333"/>
      <c r="AF17" s="333"/>
      <c r="AG17" s="334"/>
      <c r="AH17" s="332"/>
      <c r="AI17" s="333"/>
      <c r="AJ17" s="333"/>
      <c r="AK17" s="333"/>
      <c r="AL17" s="334"/>
      <c r="AM17" s="332"/>
      <c r="AN17" s="333"/>
      <c r="AO17" s="333"/>
      <c r="AP17" s="333"/>
      <c r="AQ17" s="334"/>
      <c r="AR17" s="332">
        <v>11</v>
      </c>
      <c r="AS17" s="333"/>
      <c r="AT17" s="333"/>
      <c r="AU17" s="333"/>
      <c r="AV17" s="334"/>
      <c r="AW17" s="332"/>
      <c r="AX17" s="333"/>
      <c r="AY17" s="333"/>
      <c r="AZ17" s="333"/>
      <c r="BA17" s="334"/>
      <c r="BB17" s="332"/>
      <c r="BC17" s="333"/>
      <c r="BD17" s="333"/>
      <c r="BE17" s="333"/>
      <c r="BF17" s="334"/>
      <c r="BG17" s="332"/>
      <c r="BH17" s="333"/>
      <c r="BI17" s="333"/>
      <c r="BJ17" s="333"/>
      <c r="BK17" s="334"/>
      <c r="BL17" s="332"/>
      <c r="BM17" s="333"/>
      <c r="BN17" s="333"/>
      <c r="BO17" s="333"/>
      <c r="BP17" s="334"/>
      <c r="BQ17" s="332"/>
      <c r="BR17" s="333"/>
      <c r="BS17" s="333"/>
      <c r="BT17" s="333"/>
      <c r="BU17" s="335"/>
      <c r="BW17" s="233" t="str">
        <f>sum_level("o",'Needs 171007_1806'!D17:BU17)</f>
        <v>11</v>
      </c>
      <c r="BX17" s="234" t="str">
        <f>sum_level("j",'Needs 171007_1806'!D17:BU17)</f>
        <v/>
      </c>
      <c r="BY17" s="234" t="str">
        <f>sum_level("m",'Needs 171007_1806'!D17:BU17)</f>
        <v/>
      </c>
      <c r="BZ17" s="234" t="str">
        <f>sum_level("s",'Needs 171007_1806'!D17:BU17)</f>
        <v/>
      </c>
      <c r="CA17" s="235" t="str">
        <f>sum_level("e",'Needs 171007_1806'!D17:BU17)</f>
        <v/>
      </c>
    </row>
    <row r="18" spans="2:79" x14ac:dyDescent="0.25">
      <c r="B18" s="435"/>
      <c r="C18" s="291" t="s">
        <v>118</v>
      </c>
      <c r="D18" s="336"/>
      <c r="E18" s="337"/>
      <c r="F18" s="337"/>
      <c r="G18" s="337"/>
      <c r="H18" s="338"/>
      <c r="I18" s="336"/>
      <c r="J18" s="337"/>
      <c r="K18" s="337"/>
      <c r="L18" s="337"/>
      <c r="M18" s="338"/>
      <c r="N18" s="336"/>
      <c r="O18" s="337"/>
      <c r="P18" s="337"/>
      <c r="Q18" s="337"/>
      <c r="R18" s="338"/>
      <c r="S18" s="336"/>
      <c r="T18" s="337"/>
      <c r="U18" s="337"/>
      <c r="V18" s="337"/>
      <c r="W18" s="338"/>
      <c r="X18" s="336"/>
      <c r="Y18" s="337"/>
      <c r="Z18" s="337"/>
      <c r="AA18" s="337"/>
      <c r="AB18" s="338"/>
      <c r="AC18" s="336"/>
      <c r="AD18" s="337"/>
      <c r="AE18" s="337"/>
      <c r="AF18" s="337"/>
      <c r="AG18" s="338"/>
      <c r="AH18" s="336"/>
      <c r="AI18" s="337"/>
      <c r="AJ18" s="337"/>
      <c r="AK18" s="337"/>
      <c r="AL18" s="338"/>
      <c r="AM18" s="336"/>
      <c r="AN18" s="337"/>
      <c r="AO18" s="337"/>
      <c r="AP18" s="337"/>
      <c r="AQ18" s="338"/>
      <c r="AR18" s="336"/>
      <c r="AS18" s="337">
        <v>12</v>
      </c>
      <c r="AT18" s="337"/>
      <c r="AU18" s="337"/>
      <c r="AV18" s="338"/>
      <c r="AW18" s="336"/>
      <c r="AX18" s="337"/>
      <c r="AY18" s="337"/>
      <c r="AZ18" s="337"/>
      <c r="BA18" s="338"/>
      <c r="BB18" s="336"/>
      <c r="BC18" s="337"/>
      <c r="BD18" s="337"/>
      <c r="BE18" s="337"/>
      <c r="BF18" s="338"/>
      <c r="BG18" s="336"/>
      <c r="BH18" s="337"/>
      <c r="BI18" s="337"/>
      <c r="BJ18" s="337"/>
      <c r="BK18" s="338"/>
      <c r="BL18" s="336"/>
      <c r="BM18" s="337"/>
      <c r="BN18" s="337"/>
      <c r="BO18" s="337"/>
      <c r="BP18" s="338"/>
      <c r="BQ18" s="336"/>
      <c r="BR18" s="337"/>
      <c r="BS18" s="337"/>
      <c r="BT18" s="337"/>
      <c r="BU18" s="339"/>
      <c r="BW18" s="236" t="str">
        <f>sum_level("o",'Needs 171007_1806'!D18:BU18)</f>
        <v/>
      </c>
      <c r="BX18" s="237" t="str">
        <f>sum_level("j",'Needs 171007_1806'!D18:BU18)</f>
        <v>12</v>
      </c>
      <c r="BY18" s="237" t="str">
        <f>sum_level("m",'Needs 171007_1806'!D18:BU18)</f>
        <v/>
      </c>
      <c r="BZ18" s="237" t="str">
        <f>sum_level("s",'Needs 171007_1806'!D18:BU18)</f>
        <v/>
      </c>
      <c r="CA18" s="238" t="str">
        <f>sum_level("e",'Needs 171007_1806'!D18:BU18)</f>
        <v/>
      </c>
    </row>
    <row r="19" spans="2:79" x14ac:dyDescent="0.25">
      <c r="B19" s="435"/>
      <c r="C19" s="291" t="s">
        <v>64</v>
      </c>
      <c r="D19" s="336"/>
      <c r="E19" s="337"/>
      <c r="F19" s="337"/>
      <c r="G19" s="337"/>
      <c r="H19" s="338"/>
      <c r="I19" s="336"/>
      <c r="J19" s="337"/>
      <c r="K19" s="337"/>
      <c r="L19" s="337"/>
      <c r="M19" s="338"/>
      <c r="N19" s="336"/>
      <c r="O19" s="337"/>
      <c r="P19" s="337"/>
      <c r="Q19" s="337"/>
      <c r="R19" s="338"/>
      <c r="S19" s="336"/>
      <c r="T19" s="337"/>
      <c r="U19" s="337"/>
      <c r="V19" s="337"/>
      <c r="W19" s="338"/>
      <c r="X19" s="336"/>
      <c r="Y19" s="337"/>
      <c r="Z19" s="337"/>
      <c r="AA19" s="337"/>
      <c r="AB19" s="338"/>
      <c r="AC19" s="336"/>
      <c r="AD19" s="337"/>
      <c r="AE19" s="337"/>
      <c r="AF19" s="337"/>
      <c r="AG19" s="338"/>
      <c r="AH19" s="336"/>
      <c r="AI19" s="337"/>
      <c r="AJ19" s="337"/>
      <c r="AK19" s="337"/>
      <c r="AL19" s="338"/>
      <c r="AM19" s="336"/>
      <c r="AN19" s="337"/>
      <c r="AO19" s="337"/>
      <c r="AP19" s="337"/>
      <c r="AQ19" s="338"/>
      <c r="AR19" s="336"/>
      <c r="AS19" s="337"/>
      <c r="AT19" s="337">
        <v>13</v>
      </c>
      <c r="AU19" s="337"/>
      <c r="AV19" s="338"/>
      <c r="AW19" s="336"/>
      <c r="AX19" s="337"/>
      <c r="AY19" s="337"/>
      <c r="AZ19" s="337"/>
      <c r="BA19" s="338"/>
      <c r="BB19" s="336"/>
      <c r="BC19" s="337"/>
      <c r="BD19" s="337"/>
      <c r="BE19" s="337"/>
      <c r="BF19" s="338"/>
      <c r="BG19" s="336"/>
      <c r="BH19" s="337"/>
      <c r="BI19" s="337"/>
      <c r="BJ19" s="337"/>
      <c r="BK19" s="338"/>
      <c r="BL19" s="336"/>
      <c r="BM19" s="337"/>
      <c r="BN19" s="337"/>
      <c r="BO19" s="337"/>
      <c r="BP19" s="338"/>
      <c r="BQ19" s="336"/>
      <c r="BR19" s="337"/>
      <c r="BS19" s="337"/>
      <c r="BT19" s="337"/>
      <c r="BU19" s="339"/>
      <c r="BW19" s="236" t="str">
        <f>sum_level("o",'Needs 171007_1806'!D19:BU19)</f>
        <v/>
      </c>
      <c r="BX19" s="237" t="str">
        <f>sum_level("j",'Needs 171007_1806'!D19:BU19)</f>
        <v/>
      </c>
      <c r="BY19" s="237" t="str">
        <f>sum_level("m",'Needs 171007_1806'!D19:BU19)</f>
        <v>13</v>
      </c>
      <c r="BZ19" s="237" t="str">
        <f>sum_level("s",'Needs 171007_1806'!D19:BU19)</f>
        <v/>
      </c>
      <c r="CA19" s="238" t="str">
        <f>sum_level("e",'Needs 171007_1806'!D19:BU19)</f>
        <v/>
      </c>
    </row>
    <row r="20" spans="2:79" x14ac:dyDescent="0.25">
      <c r="B20" s="435"/>
      <c r="C20" s="291" t="s">
        <v>65</v>
      </c>
      <c r="D20" s="336"/>
      <c r="E20" s="337"/>
      <c r="F20" s="337"/>
      <c r="G20" s="337"/>
      <c r="H20" s="338"/>
      <c r="I20" s="336"/>
      <c r="J20" s="337"/>
      <c r="K20" s="337"/>
      <c r="L20" s="337"/>
      <c r="M20" s="338"/>
      <c r="N20" s="336"/>
      <c r="O20" s="337"/>
      <c r="P20" s="337"/>
      <c r="Q20" s="337"/>
      <c r="R20" s="338"/>
      <c r="S20" s="336"/>
      <c r="T20" s="337"/>
      <c r="U20" s="337"/>
      <c r="V20" s="337"/>
      <c r="W20" s="338"/>
      <c r="X20" s="336"/>
      <c r="Y20" s="337"/>
      <c r="Z20" s="337"/>
      <c r="AA20" s="337"/>
      <c r="AB20" s="338"/>
      <c r="AC20" s="336"/>
      <c r="AD20" s="337"/>
      <c r="AE20" s="337"/>
      <c r="AF20" s="337"/>
      <c r="AG20" s="338"/>
      <c r="AH20" s="336"/>
      <c r="AI20" s="337"/>
      <c r="AJ20" s="337"/>
      <c r="AK20" s="337"/>
      <c r="AL20" s="338"/>
      <c r="AM20" s="336"/>
      <c r="AN20" s="337"/>
      <c r="AO20" s="337"/>
      <c r="AP20" s="337"/>
      <c r="AQ20" s="338"/>
      <c r="AR20" s="336"/>
      <c r="AS20" s="337"/>
      <c r="AT20" s="337"/>
      <c r="AU20" s="337">
        <v>14</v>
      </c>
      <c r="AV20" s="338"/>
      <c r="AW20" s="336"/>
      <c r="AX20" s="337"/>
      <c r="AY20" s="337"/>
      <c r="AZ20" s="337"/>
      <c r="BA20" s="338"/>
      <c r="BB20" s="336"/>
      <c r="BC20" s="337"/>
      <c r="BD20" s="337"/>
      <c r="BE20" s="337"/>
      <c r="BF20" s="338"/>
      <c r="BG20" s="336"/>
      <c r="BH20" s="337"/>
      <c r="BI20" s="337"/>
      <c r="BJ20" s="337"/>
      <c r="BK20" s="338"/>
      <c r="BL20" s="336"/>
      <c r="BM20" s="337"/>
      <c r="BN20" s="337"/>
      <c r="BO20" s="337"/>
      <c r="BP20" s="338"/>
      <c r="BQ20" s="336"/>
      <c r="BR20" s="337"/>
      <c r="BS20" s="337"/>
      <c r="BT20" s="337"/>
      <c r="BU20" s="339"/>
      <c r="BW20" s="236" t="str">
        <f>sum_level("o",'Needs 171007_1806'!D20:BU20)</f>
        <v/>
      </c>
      <c r="BX20" s="237" t="str">
        <f>sum_level("j",'Needs 171007_1806'!D20:BU20)</f>
        <v/>
      </c>
      <c r="BY20" s="237" t="str">
        <f>sum_level("m",'Needs 171007_1806'!D20:BU20)</f>
        <v/>
      </c>
      <c r="BZ20" s="237" t="str">
        <f>sum_level("s",'Needs 171007_1806'!D20:BU20)</f>
        <v>14</v>
      </c>
      <c r="CA20" s="238" t="str">
        <f>sum_level("e",'Needs 171007_1806'!D20:BU20)</f>
        <v/>
      </c>
    </row>
    <row r="21" spans="2:79" x14ac:dyDescent="0.25">
      <c r="B21" s="435"/>
      <c r="C21" s="291" t="s">
        <v>66</v>
      </c>
      <c r="D21" s="336"/>
      <c r="E21" s="337"/>
      <c r="F21" s="337"/>
      <c r="G21" s="337"/>
      <c r="H21" s="338"/>
      <c r="I21" s="336"/>
      <c r="J21" s="337"/>
      <c r="K21" s="337"/>
      <c r="L21" s="337"/>
      <c r="M21" s="338"/>
      <c r="N21" s="336"/>
      <c r="O21" s="337"/>
      <c r="P21" s="337"/>
      <c r="Q21" s="337"/>
      <c r="R21" s="338"/>
      <c r="S21" s="336"/>
      <c r="T21" s="337"/>
      <c r="U21" s="337"/>
      <c r="V21" s="337"/>
      <c r="W21" s="338"/>
      <c r="X21" s="336"/>
      <c r="Y21" s="337"/>
      <c r="Z21" s="337"/>
      <c r="AA21" s="337"/>
      <c r="AB21" s="338"/>
      <c r="AC21" s="336"/>
      <c r="AD21" s="337"/>
      <c r="AE21" s="337"/>
      <c r="AF21" s="337"/>
      <c r="AG21" s="338"/>
      <c r="AH21" s="336"/>
      <c r="AI21" s="337"/>
      <c r="AJ21" s="337"/>
      <c r="AK21" s="337"/>
      <c r="AL21" s="338"/>
      <c r="AM21" s="336"/>
      <c r="AN21" s="337"/>
      <c r="AO21" s="337"/>
      <c r="AP21" s="337"/>
      <c r="AQ21" s="338"/>
      <c r="AR21" s="336"/>
      <c r="AS21" s="337"/>
      <c r="AT21" s="337"/>
      <c r="AU21" s="337"/>
      <c r="AV21" s="338">
        <v>15</v>
      </c>
      <c r="AW21" s="336"/>
      <c r="AX21" s="337"/>
      <c r="AY21" s="337"/>
      <c r="AZ21" s="337"/>
      <c r="BA21" s="338"/>
      <c r="BB21" s="336"/>
      <c r="BC21" s="337"/>
      <c r="BD21" s="337"/>
      <c r="BE21" s="337"/>
      <c r="BF21" s="338"/>
      <c r="BG21" s="336"/>
      <c r="BH21" s="337"/>
      <c r="BI21" s="337"/>
      <c r="BJ21" s="337"/>
      <c r="BK21" s="338"/>
      <c r="BL21" s="336"/>
      <c r="BM21" s="337"/>
      <c r="BN21" s="337"/>
      <c r="BO21" s="337"/>
      <c r="BP21" s="338"/>
      <c r="BQ21" s="336"/>
      <c r="BR21" s="337"/>
      <c r="BS21" s="337"/>
      <c r="BT21" s="337"/>
      <c r="BU21" s="339"/>
      <c r="BW21" s="236" t="str">
        <f>sum_level("o",'Needs 171007_1806'!D21:BU21)</f>
        <v/>
      </c>
      <c r="BX21" s="237" t="str">
        <f>sum_level("j",'Needs 171007_1806'!D21:BU21)</f>
        <v/>
      </c>
      <c r="BY21" s="237" t="str">
        <f>sum_level("m",'Needs 171007_1806'!D21:BU21)</f>
        <v/>
      </c>
      <c r="BZ21" s="237" t="str">
        <f>sum_level("s",'Needs 171007_1806'!D21:BU21)</f>
        <v/>
      </c>
      <c r="CA21" s="238" t="str">
        <f>sum_level("e",'Needs 171007_1806'!D21:BU21)</f>
        <v>15</v>
      </c>
    </row>
    <row r="22" spans="2:79" x14ac:dyDescent="0.25">
      <c r="B22" s="435"/>
      <c r="C22" s="291" t="s">
        <v>67</v>
      </c>
      <c r="D22" s="336"/>
      <c r="E22" s="337"/>
      <c r="F22" s="337"/>
      <c r="G22" s="337"/>
      <c r="H22" s="338"/>
      <c r="I22" s="336"/>
      <c r="J22" s="337"/>
      <c r="K22" s="337"/>
      <c r="L22" s="337"/>
      <c r="M22" s="338"/>
      <c r="N22" s="336"/>
      <c r="O22" s="337"/>
      <c r="P22" s="337"/>
      <c r="Q22" s="337"/>
      <c r="R22" s="338"/>
      <c r="S22" s="336"/>
      <c r="T22" s="337"/>
      <c r="U22" s="337"/>
      <c r="V22" s="337"/>
      <c r="W22" s="338"/>
      <c r="X22" s="336"/>
      <c r="Y22" s="337"/>
      <c r="Z22" s="337"/>
      <c r="AA22" s="337"/>
      <c r="AB22" s="338"/>
      <c r="AC22" s="336"/>
      <c r="AD22" s="337"/>
      <c r="AE22" s="337"/>
      <c r="AF22" s="337"/>
      <c r="AG22" s="338"/>
      <c r="AH22" s="336"/>
      <c r="AI22" s="337"/>
      <c r="AJ22" s="337"/>
      <c r="AK22" s="337"/>
      <c r="AL22" s="338"/>
      <c r="AM22" s="336"/>
      <c r="AN22" s="337"/>
      <c r="AO22" s="337"/>
      <c r="AP22" s="337"/>
      <c r="AQ22" s="338"/>
      <c r="AR22" s="336"/>
      <c r="AS22" s="337"/>
      <c r="AT22" s="337"/>
      <c r="AU22" s="337"/>
      <c r="AV22" s="338"/>
      <c r="AW22" s="336"/>
      <c r="AX22" s="337"/>
      <c r="AY22" s="337"/>
      <c r="AZ22" s="337"/>
      <c r="BA22" s="338"/>
      <c r="BB22" s="336"/>
      <c r="BC22" s="337"/>
      <c r="BD22" s="337"/>
      <c r="BE22" s="337"/>
      <c r="BF22" s="338"/>
      <c r="BG22" s="336"/>
      <c r="BH22" s="337"/>
      <c r="BI22" s="337"/>
      <c r="BJ22" s="337"/>
      <c r="BK22" s="338"/>
      <c r="BL22" s="336"/>
      <c r="BM22" s="337"/>
      <c r="BN22" s="337"/>
      <c r="BO22" s="337"/>
      <c r="BP22" s="338"/>
      <c r="BQ22" s="336"/>
      <c r="BR22" s="337"/>
      <c r="BS22" s="337"/>
      <c r="BT22" s="337"/>
      <c r="BU22" s="339"/>
      <c r="BW22" s="236" t="str">
        <f>sum_level("o",'Needs 171007_1806'!D22:BU22)</f>
        <v/>
      </c>
      <c r="BX22" s="237" t="str">
        <f>sum_level("j",'Needs 171007_1806'!D22:BU22)</f>
        <v/>
      </c>
      <c r="BY22" s="237" t="str">
        <f>sum_level("m",'Needs 171007_1806'!D22:BU22)</f>
        <v/>
      </c>
      <c r="BZ22" s="237" t="str">
        <f>sum_level("s",'Needs 171007_1806'!D22:BU22)</f>
        <v/>
      </c>
      <c r="CA22" s="238" t="str">
        <f>sum_level("e",'Needs 171007_1806'!D22:BU22)</f>
        <v/>
      </c>
    </row>
    <row r="23" spans="2:79" x14ac:dyDescent="0.25">
      <c r="B23" s="435"/>
      <c r="C23" s="291" t="s">
        <v>68</v>
      </c>
      <c r="D23" s="336"/>
      <c r="E23" s="337"/>
      <c r="F23" s="337"/>
      <c r="G23" s="337"/>
      <c r="H23" s="338"/>
      <c r="I23" s="336"/>
      <c r="J23" s="337"/>
      <c r="K23" s="337"/>
      <c r="L23" s="337"/>
      <c r="M23" s="338"/>
      <c r="N23" s="336"/>
      <c r="O23" s="337"/>
      <c r="P23" s="337"/>
      <c r="Q23" s="337"/>
      <c r="R23" s="338"/>
      <c r="S23" s="336"/>
      <c r="T23" s="337"/>
      <c r="U23" s="337"/>
      <c r="V23" s="337"/>
      <c r="W23" s="338"/>
      <c r="X23" s="336"/>
      <c r="Y23" s="337"/>
      <c r="Z23" s="337"/>
      <c r="AA23" s="337"/>
      <c r="AB23" s="338"/>
      <c r="AC23" s="336"/>
      <c r="AD23" s="337"/>
      <c r="AE23" s="337"/>
      <c r="AF23" s="337"/>
      <c r="AG23" s="338"/>
      <c r="AH23" s="336"/>
      <c r="AI23" s="337"/>
      <c r="AJ23" s="337"/>
      <c r="AK23" s="337"/>
      <c r="AL23" s="338"/>
      <c r="AM23" s="336"/>
      <c r="AN23" s="337"/>
      <c r="AO23" s="337"/>
      <c r="AP23" s="337"/>
      <c r="AQ23" s="338"/>
      <c r="AR23" s="336"/>
      <c r="AS23" s="337"/>
      <c r="AT23" s="337"/>
      <c r="AU23" s="337"/>
      <c r="AV23" s="338"/>
      <c r="AW23" s="336"/>
      <c r="AX23" s="337"/>
      <c r="AY23" s="337"/>
      <c r="AZ23" s="337"/>
      <c r="BA23" s="338"/>
      <c r="BB23" s="336"/>
      <c r="BC23" s="337"/>
      <c r="BD23" s="337"/>
      <c r="BE23" s="337"/>
      <c r="BF23" s="338"/>
      <c r="BG23" s="336"/>
      <c r="BH23" s="337"/>
      <c r="BI23" s="337"/>
      <c r="BJ23" s="337"/>
      <c r="BK23" s="338"/>
      <c r="BL23" s="336"/>
      <c r="BM23" s="337"/>
      <c r="BN23" s="337"/>
      <c r="BO23" s="337"/>
      <c r="BP23" s="338"/>
      <c r="BQ23" s="336"/>
      <c r="BR23" s="337"/>
      <c r="BS23" s="337"/>
      <c r="BT23" s="337"/>
      <c r="BU23" s="339"/>
      <c r="BW23" s="236" t="str">
        <f>sum_level("o",'Needs 171007_1806'!D23:BU23)</f>
        <v/>
      </c>
      <c r="BX23" s="237" t="str">
        <f>sum_level("j",'Needs 171007_1806'!D23:BU23)</f>
        <v/>
      </c>
      <c r="BY23" s="237" t="str">
        <f>sum_level("m",'Needs 171007_1806'!D23:BU23)</f>
        <v/>
      </c>
      <c r="BZ23" s="237" t="str">
        <f>sum_level("s",'Needs 171007_1806'!D23:BU23)</f>
        <v/>
      </c>
      <c r="CA23" s="238" t="str">
        <f>sum_level("e",'Needs 171007_1806'!D23:BU23)</f>
        <v/>
      </c>
    </row>
    <row r="24" spans="2:79" x14ac:dyDescent="0.25">
      <c r="B24" s="435"/>
      <c r="C24" s="291" t="s">
        <v>69</v>
      </c>
      <c r="D24" s="336"/>
      <c r="E24" s="337"/>
      <c r="F24" s="337"/>
      <c r="G24" s="337"/>
      <c r="H24" s="338"/>
      <c r="I24" s="336"/>
      <c r="J24" s="337"/>
      <c r="K24" s="337"/>
      <c r="L24" s="337"/>
      <c r="M24" s="338"/>
      <c r="N24" s="336"/>
      <c r="O24" s="337"/>
      <c r="P24" s="337"/>
      <c r="Q24" s="337"/>
      <c r="R24" s="338"/>
      <c r="S24" s="336"/>
      <c r="T24" s="337"/>
      <c r="U24" s="337"/>
      <c r="V24" s="337"/>
      <c r="W24" s="338"/>
      <c r="X24" s="336"/>
      <c r="Y24" s="337"/>
      <c r="Z24" s="337"/>
      <c r="AA24" s="337"/>
      <c r="AB24" s="338"/>
      <c r="AC24" s="336"/>
      <c r="AD24" s="337"/>
      <c r="AE24" s="337"/>
      <c r="AF24" s="337"/>
      <c r="AG24" s="338"/>
      <c r="AH24" s="336"/>
      <c r="AI24" s="337"/>
      <c r="AJ24" s="337"/>
      <c r="AK24" s="337"/>
      <c r="AL24" s="338"/>
      <c r="AM24" s="336"/>
      <c r="AN24" s="337"/>
      <c r="AO24" s="337"/>
      <c r="AP24" s="337"/>
      <c r="AQ24" s="338"/>
      <c r="AR24" s="336"/>
      <c r="AS24" s="337"/>
      <c r="AT24" s="337"/>
      <c r="AU24" s="337"/>
      <c r="AV24" s="338"/>
      <c r="AW24" s="336"/>
      <c r="AX24" s="337"/>
      <c r="AY24" s="337"/>
      <c r="AZ24" s="337"/>
      <c r="BA24" s="338"/>
      <c r="BB24" s="336"/>
      <c r="BC24" s="337"/>
      <c r="BD24" s="337"/>
      <c r="BE24" s="337"/>
      <c r="BF24" s="338"/>
      <c r="BG24" s="336"/>
      <c r="BH24" s="337"/>
      <c r="BI24" s="337"/>
      <c r="BJ24" s="337"/>
      <c r="BK24" s="338"/>
      <c r="BL24" s="336"/>
      <c r="BM24" s="337"/>
      <c r="BN24" s="337"/>
      <c r="BO24" s="337"/>
      <c r="BP24" s="338"/>
      <c r="BQ24" s="336"/>
      <c r="BR24" s="337"/>
      <c r="BS24" s="337"/>
      <c r="BT24" s="337"/>
      <c r="BU24" s="339"/>
      <c r="BW24" s="236" t="str">
        <f>sum_level("o",'Needs 171007_1806'!D24:BU24)</f>
        <v/>
      </c>
      <c r="BX24" s="237" t="str">
        <f>sum_level("j",'Needs 171007_1806'!D24:BU24)</f>
        <v/>
      </c>
      <c r="BY24" s="237" t="str">
        <f>sum_level("m",'Needs 171007_1806'!D24:BU24)</f>
        <v/>
      </c>
      <c r="BZ24" s="237" t="str">
        <f>sum_level("s",'Needs 171007_1806'!D24:BU24)</f>
        <v/>
      </c>
      <c r="CA24" s="238" t="str">
        <f>sum_level("e",'Needs 171007_1806'!D24:BU24)</f>
        <v/>
      </c>
    </row>
    <row r="25" spans="2:79" ht="15.75" thickBot="1" x14ac:dyDescent="0.3">
      <c r="B25" s="435"/>
      <c r="C25" s="292" t="s">
        <v>75</v>
      </c>
      <c r="D25" s="340"/>
      <c r="E25" s="341"/>
      <c r="F25" s="341"/>
      <c r="G25" s="341"/>
      <c r="H25" s="342"/>
      <c r="I25" s="340"/>
      <c r="J25" s="341"/>
      <c r="K25" s="341"/>
      <c r="L25" s="341"/>
      <c r="M25" s="342"/>
      <c r="N25" s="340"/>
      <c r="O25" s="341"/>
      <c r="P25" s="341"/>
      <c r="Q25" s="341"/>
      <c r="R25" s="342"/>
      <c r="S25" s="340"/>
      <c r="T25" s="341"/>
      <c r="U25" s="341"/>
      <c r="V25" s="341"/>
      <c r="W25" s="342"/>
      <c r="X25" s="340"/>
      <c r="Y25" s="341"/>
      <c r="Z25" s="341"/>
      <c r="AA25" s="341"/>
      <c r="AB25" s="342"/>
      <c r="AC25" s="340"/>
      <c r="AD25" s="341"/>
      <c r="AE25" s="341"/>
      <c r="AF25" s="341"/>
      <c r="AG25" s="342"/>
      <c r="AH25" s="340"/>
      <c r="AI25" s="341"/>
      <c r="AJ25" s="341"/>
      <c r="AK25" s="341"/>
      <c r="AL25" s="342"/>
      <c r="AM25" s="340"/>
      <c r="AN25" s="341"/>
      <c r="AO25" s="341"/>
      <c r="AP25" s="341"/>
      <c r="AQ25" s="342"/>
      <c r="AR25" s="340"/>
      <c r="AS25" s="341"/>
      <c r="AT25" s="341"/>
      <c r="AU25" s="341"/>
      <c r="AV25" s="342"/>
      <c r="AW25" s="340"/>
      <c r="AX25" s="341"/>
      <c r="AY25" s="341"/>
      <c r="AZ25" s="341"/>
      <c r="BA25" s="342"/>
      <c r="BB25" s="340"/>
      <c r="BC25" s="341"/>
      <c r="BD25" s="341"/>
      <c r="BE25" s="341"/>
      <c r="BF25" s="342"/>
      <c r="BG25" s="340"/>
      <c r="BH25" s="341"/>
      <c r="BI25" s="341"/>
      <c r="BJ25" s="341"/>
      <c r="BK25" s="342"/>
      <c r="BL25" s="340"/>
      <c r="BM25" s="341"/>
      <c r="BN25" s="341"/>
      <c r="BO25" s="341"/>
      <c r="BP25" s="342"/>
      <c r="BQ25" s="340"/>
      <c r="BR25" s="341"/>
      <c r="BS25" s="341"/>
      <c r="BT25" s="341"/>
      <c r="BU25" s="343"/>
      <c r="BW25" s="239" t="str">
        <f>sum_level("o",'Needs 171007_1806'!D25:BU25)</f>
        <v/>
      </c>
      <c r="BX25" s="240" t="str">
        <f>sum_level("j",'Needs 171007_1806'!D25:BU25)</f>
        <v/>
      </c>
      <c r="BY25" s="240" t="str">
        <f>sum_level("m",'Needs 171007_1806'!D25:BU25)</f>
        <v/>
      </c>
      <c r="BZ25" s="240" t="str">
        <f>sum_level("s",'Needs 171007_1806'!D25:BU25)</f>
        <v/>
      </c>
      <c r="CA25" s="241" t="str">
        <f>sum_level("e",'Needs 171007_1806'!D25:BU25)</f>
        <v/>
      </c>
    </row>
    <row r="26" spans="2:79" ht="12.75" customHeight="1" thickTop="1" thickBot="1" x14ac:dyDescent="0.3">
      <c r="B26" s="436"/>
      <c r="C26" s="248"/>
      <c r="D26" s="344"/>
      <c r="E26" s="344"/>
      <c r="F26" s="344"/>
      <c r="G26" s="344"/>
      <c r="H26" s="344"/>
      <c r="I26" s="344"/>
      <c r="J26" s="344"/>
      <c r="K26" s="344"/>
      <c r="L26" s="344"/>
      <c r="M26" s="344"/>
      <c r="N26" s="344"/>
      <c r="O26" s="344"/>
      <c r="P26" s="344"/>
      <c r="Q26" s="344"/>
      <c r="R26" s="344"/>
      <c r="S26" s="344"/>
      <c r="T26" s="344"/>
      <c r="U26" s="344"/>
      <c r="V26" s="344"/>
      <c r="W26" s="344"/>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344"/>
      <c r="AW26" s="344"/>
      <c r="AX26" s="344"/>
      <c r="AY26" s="344"/>
      <c r="AZ26" s="344"/>
      <c r="BA26" s="344"/>
      <c r="BB26" s="344"/>
      <c r="BC26" s="344"/>
      <c r="BD26" s="344"/>
      <c r="BE26" s="344"/>
      <c r="BF26" s="344"/>
      <c r="BG26" s="344"/>
      <c r="BH26" s="344"/>
      <c r="BI26" s="344"/>
      <c r="BJ26" s="344"/>
      <c r="BK26" s="344"/>
      <c r="BL26" s="344"/>
      <c r="BM26" s="344"/>
      <c r="BN26" s="344"/>
      <c r="BO26" s="344"/>
      <c r="BP26" s="344"/>
      <c r="BQ26" s="344"/>
      <c r="BR26" s="344"/>
      <c r="BS26" s="344"/>
      <c r="BT26" s="344"/>
      <c r="BU26" s="344"/>
      <c r="BW26" s="249"/>
      <c r="BX26" s="249"/>
      <c r="BY26" s="249"/>
      <c r="BZ26" s="249"/>
      <c r="CA26" s="249"/>
    </row>
    <row r="27" spans="2:79" ht="15.75" thickTop="1" x14ac:dyDescent="0.25">
      <c r="B27" s="434" t="s">
        <v>70</v>
      </c>
      <c r="C27" s="290" t="s">
        <v>71</v>
      </c>
      <c r="D27" s="332"/>
      <c r="E27" s="333"/>
      <c r="F27" s="333"/>
      <c r="G27" s="333"/>
      <c r="H27" s="334"/>
      <c r="I27" s="332"/>
      <c r="J27" s="333"/>
      <c r="K27" s="333"/>
      <c r="L27" s="333"/>
      <c r="M27" s="334"/>
      <c r="N27" s="332"/>
      <c r="O27" s="333"/>
      <c r="P27" s="333"/>
      <c r="Q27" s="333"/>
      <c r="R27" s="334"/>
      <c r="S27" s="332"/>
      <c r="T27" s="333"/>
      <c r="U27" s="333"/>
      <c r="V27" s="333"/>
      <c r="W27" s="334"/>
      <c r="X27" s="332"/>
      <c r="Y27" s="333"/>
      <c r="Z27" s="333"/>
      <c r="AA27" s="333"/>
      <c r="AB27" s="334"/>
      <c r="AC27" s="332"/>
      <c r="AD27" s="333"/>
      <c r="AE27" s="333"/>
      <c r="AF27" s="333"/>
      <c r="AG27" s="334"/>
      <c r="AH27" s="332"/>
      <c r="AI27" s="333"/>
      <c r="AJ27" s="333"/>
      <c r="AK27" s="333"/>
      <c r="AL27" s="334"/>
      <c r="AM27" s="332"/>
      <c r="AN27" s="333"/>
      <c r="AO27" s="333"/>
      <c r="AP27" s="333"/>
      <c r="AQ27" s="334"/>
      <c r="AR27" s="332"/>
      <c r="AS27" s="333"/>
      <c r="AT27" s="333"/>
      <c r="AU27" s="333"/>
      <c r="AV27" s="334"/>
      <c r="AW27" s="332">
        <v>16</v>
      </c>
      <c r="AX27" s="333"/>
      <c r="AY27" s="333"/>
      <c r="AZ27" s="333"/>
      <c r="BA27" s="334"/>
      <c r="BB27" s="332"/>
      <c r="BC27" s="333"/>
      <c r="BD27" s="333"/>
      <c r="BE27" s="333"/>
      <c r="BF27" s="334"/>
      <c r="BG27" s="332"/>
      <c r="BH27" s="333"/>
      <c r="BI27" s="333"/>
      <c r="BJ27" s="333"/>
      <c r="BK27" s="334"/>
      <c r="BL27" s="332"/>
      <c r="BM27" s="333"/>
      <c r="BN27" s="333"/>
      <c r="BO27" s="333"/>
      <c r="BP27" s="334"/>
      <c r="BQ27" s="332"/>
      <c r="BR27" s="333"/>
      <c r="BS27" s="333"/>
      <c r="BT27" s="333"/>
      <c r="BU27" s="335"/>
      <c r="BW27" s="233" t="str">
        <f>sum_level("o",'Needs 171007_1806'!D27:BU27)</f>
        <v>16</v>
      </c>
      <c r="BX27" s="234" t="str">
        <f>sum_level("j",'Needs 171007_1806'!D27:BU27)</f>
        <v/>
      </c>
      <c r="BY27" s="234" t="str">
        <f>sum_level("m",'Needs 171007_1806'!D27:BU27)</f>
        <v/>
      </c>
      <c r="BZ27" s="234" t="str">
        <f>sum_level("s",'Needs 171007_1806'!D27:BU27)</f>
        <v/>
      </c>
      <c r="CA27" s="235" t="str">
        <f>sum_level("e",'Needs 171007_1806'!D27:BU27)</f>
        <v/>
      </c>
    </row>
    <row r="28" spans="2:79" x14ac:dyDescent="0.25">
      <c r="B28" s="435"/>
      <c r="C28" s="291" t="s">
        <v>72</v>
      </c>
      <c r="D28" s="336"/>
      <c r="E28" s="337"/>
      <c r="F28" s="337"/>
      <c r="G28" s="337"/>
      <c r="H28" s="338"/>
      <c r="I28" s="336"/>
      <c r="J28" s="337"/>
      <c r="K28" s="337"/>
      <c r="L28" s="337"/>
      <c r="M28" s="338"/>
      <c r="N28" s="336"/>
      <c r="O28" s="337"/>
      <c r="P28" s="337"/>
      <c r="Q28" s="337"/>
      <c r="R28" s="338"/>
      <c r="S28" s="336"/>
      <c r="T28" s="337"/>
      <c r="U28" s="337"/>
      <c r="V28" s="337"/>
      <c r="W28" s="338"/>
      <c r="X28" s="336"/>
      <c r="Y28" s="337"/>
      <c r="Z28" s="337"/>
      <c r="AA28" s="337"/>
      <c r="AB28" s="338"/>
      <c r="AC28" s="336"/>
      <c r="AD28" s="337"/>
      <c r="AE28" s="337"/>
      <c r="AF28" s="337"/>
      <c r="AG28" s="338"/>
      <c r="AH28" s="336"/>
      <c r="AI28" s="337"/>
      <c r="AJ28" s="337"/>
      <c r="AK28" s="337"/>
      <c r="AL28" s="338"/>
      <c r="AM28" s="336"/>
      <c r="AN28" s="337"/>
      <c r="AO28" s="337"/>
      <c r="AP28" s="337"/>
      <c r="AQ28" s="338"/>
      <c r="AR28" s="336"/>
      <c r="AS28" s="337"/>
      <c r="AT28" s="337"/>
      <c r="AU28" s="337"/>
      <c r="AV28" s="338"/>
      <c r="AW28" s="336"/>
      <c r="AX28" s="337">
        <v>17</v>
      </c>
      <c r="AY28" s="337"/>
      <c r="AZ28" s="337"/>
      <c r="BA28" s="338"/>
      <c r="BB28" s="336"/>
      <c r="BC28" s="337"/>
      <c r="BD28" s="337"/>
      <c r="BE28" s="337"/>
      <c r="BF28" s="338"/>
      <c r="BG28" s="336"/>
      <c r="BH28" s="337"/>
      <c r="BI28" s="337"/>
      <c r="BJ28" s="337"/>
      <c r="BK28" s="338"/>
      <c r="BL28" s="336"/>
      <c r="BM28" s="337"/>
      <c r="BN28" s="337"/>
      <c r="BO28" s="337"/>
      <c r="BP28" s="338"/>
      <c r="BQ28" s="336"/>
      <c r="BR28" s="337"/>
      <c r="BS28" s="337"/>
      <c r="BT28" s="337"/>
      <c r="BU28" s="339"/>
      <c r="BW28" s="236" t="str">
        <f>sum_level("o",'Needs 171007_1806'!D28:BU28)</f>
        <v/>
      </c>
      <c r="BX28" s="237" t="str">
        <f>sum_level("j",'Needs 171007_1806'!D28:BU28)</f>
        <v>17</v>
      </c>
      <c r="BY28" s="237" t="str">
        <f>sum_level("m",'Needs 171007_1806'!D28:BU28)</f>
        <v/>
      </c>
      <c r="BZ28" s="237" t="str">
        <f>sum_level("s",'Needs 171007_1806'!D28:BU28)</f>
        <v/>
      </c>
      <c r="CA28" s="238" t="str">
        <f>sum_level("e",'Needs 171007_1806'!D28:BU28)</f>
        <v/>
      </c>
    </row>
    <row r="29" spans="2:79" x14ac:dyDescent="0.25">
      <c r="B29" s="435"/>
      <c r="C29" s="291" t="s">
        <v>73</v>
      </c>
      <c r="D29" s="336"/>
      <c r="E29" s="337"/>
      <c r="F29" s="337"/>
      <c r="G29" s="337"/>
      <c r="H29" s="338"/>
      <c r="I29" s="336"/>
      <c r="J29" s="337"/>
      <c r="K29" s="337"/>
      <c r="L29" s="337"/>
      <c r="M29" s="338"/>
      <c r="N29" s="336"/>
      <c r="O29" s="337"/>
      <c r="P29" s="337"/>
      <c r="Q29" s="337"/>
      <c r="R29" s="338"/>
      <c r="S29" s="336"/>
      <c r="T29" s="337"/>
      <c r="U29" s="337"/>
      <c r="V29" s="337"/>
      <c r="W29" s="338"/>
      <c r="X29" s="336"/>
      <c r="Y29" s="337"/>
      <c r="Z29" s="337"/>
      <c r="AA29" s="337"/>
      <c r="AB29" s="338"/>
      <c r="AC29" s="336"/>
      <c r="AD29" s="337"/>
      <c r="AE29" s="337"/>
      <c r="AF29" s="337"/>
      <c r="AG29" s="338"/>
      <c r="AH29" s="336"/>
      <c r="AI29" s="337"/>
      <c r="AJ29" s="337"/>
      <c r="AK29" s="337"/>
      <c r="AL29" s="338"/>
      <c r="AM29" s="336"/>
      <c r="AN29" s="337"/>
      <c r="AO29" s="337"/>
      <c r="AP29" s="337"/>
      <c r="AQ29" s="338"/>
      <c r="AR29" s="336"/>
      <c r="AS29" s="337"/>
      <c r="AT29" s="337"/>
      <c r="AU29" s="337"/>
      <c r="AV29" s="338"/>
      <c r="AW29" s="336"/>
      <c r="AX29" s="337"/>
      <c r="AY29" s="337">
        <v>18</v>
      </c>
      <c r="AZ29" s="337"/>
      <c r="BA29" s="338"/>
      <c r="BB29" s="336"/>
      <c r="BC29" s="337"/>
      <c r="BD29" s="337"/>
      <c r="BE29" s="337"/>
      <c r="BF29" s="338"/>
      <c r="BG29" s="336"/>
      <c r="BH29" s="337"/>
      <c r="BI29" s="337"/>
      <c r="BJ29" s="337"/>
      <c r="BK29" s="338"/>
      <c r="BL29" s="336"/>
      <c r="BM29" s="337"/>
      <c r="BN29" s="337"/>
      <c r="BO29" s="337"/>
      <c r="BP29" s="338"/>
      <c r="BQ29" s="336"/>
      <c r="BR29" s="337"/>
      <c r="BS29" s="337"/>
      <c r="BT29" s="337"/>
      <c r="BU29" s="339"/>
      <c r="BW29" s="236" t="str">
        <f>sum_level("o",'Needs 171007_1806'!D29:BU29)</f>
        <v/>
      </c>
      <c r="BX29" s="237" t="str">
        <f>sum_level("j",'Needs 171007_1806'!D29:BU29)</f>
        <v/>
      </c>
      <c r="BY29" s="237" t="str">
        <f>sum_level("m",'Needs 171007_1806'!D29:BU29)</f>
        <v>18</v>
      </c>
      <c r="BZ29" s="237" t="str">
        <f>sum_level("s",'Needs 171007_1806'!D29:BU29)</f>
        <v/>
      </c>
      <c r="CA29" s="238" t="str">
        <f>sum_level("e",'Needs 171007_1806'!D29:BU29)</f>
        <v/>
      </c>
    </row>
    <row r="30" spans="2:79" x14ac:dyDescent="0.25">
      <c r="B30" s="435"/>
      <c r="C30" s="291" t="s">
        <v>74</v>
      </c>
      <c r="D30" s="336"/>
      <c r="E30" s="337"/>
      <c r="F30" s="337"/>
      <c r="G30" s="337"/>
      <c r="H30" s="338"/>
      <c r="I30" s="336"/>
      <c r="J30" s="337"/>
      <c r="K30" s="337"/>
      <c r="L30" s="337"/>
      <c r="M30" s="338"/>
      <c r="N30" s="336"/>
      <c r="O30" s="337"/>
      <c r="P30" s="337"/>
      <c r="Q30" s="337"/>
      <c r="R30" s="338"/>
      <c r="S30" s="336"/>
      <c r="T30" s="337"/>
      <c r="U30" s="337"/>
      <c r="V30" s="337"/>
      <c r="W30" s="338"/>
      <c r="X30" s="336"/>
      <c r="Y30" s="337"/>
      <c r="Z30" s="337"/>
      <c r="AA30" s="337"/>
      <c r="AB30" s="338"/>
      <c r="AC30" s="336"/>
      <c r="AD30" s="337"/>
      <c r="AE30" s="337"/>
      <c r="AF30" s="337"/>
      <c r="AG30" s="338"/>
      <c r="AH30" s="336"/>
      <c r="AI30" s="337"/>
      <c r="AJ30" s="337"/>
      <c r="AK30" s="337"/>
      <c r="AL30" s="338"/>
      <c r="AM30" s="336"/>
      <c r="AN30" s="337"/>
      <c r="AO30" s="337"/>
      <c r="AP30" s="337"/>
      <c r="AQ30" s="338"/>
      <c r="AR30" s="336"/>
      <c r="AS30" s="337"/>
      <c r="AT30" s="337"/>
      <c r="AU30" s="337"/>
      <c r="AV30" s="338"/>
      <c r="AW30" s="336"/>
      <c r="AX30" s="337"/>
      <c r="AY30" s="337"/>
      <c r="AZ30" s="337">
        <v>19</v>
      </c>
      <c r="BA30" s="338"/>
      <c r="BB30" s="336"/>
      <c r="BC30" s="337"/>
      <c r="BD30" s="337"/>
      <c r="BE30" s="337"/>
      <c r="BF30" s="338"/>
      <c r="BG30" s="336"/>
      <c r="BH30" s="337"/>
      <c r="BI30" s="337"/>
      <c r="BJ30" s="337"/>
      <c r="BK30" s="338"/>
      <c r="BL30" s="336"/>
      <c r="BM30" s="337"/>
      <c r="BN30" s="337"/>
      <c r="BO30" s="337"/>
      <c r="BP30" s="338"/>
      <c r="BQ30" s="336"/>
      <c r="BR30" s="337"/>
      <c r="BS30" s="337"/>
      <c r="BT30" s="337"/>
      <c r="BU30" s="339"/>
      <c r="BW30" s="236" t="str">
        <f>sum_level("o",'Needs 171007_1806'!D30:BU30)</f>
        <v/>
      </c>
      <c r="BX30" s="237" t="str">
        <f>sum_level("j",'Needs 171007_1806'!D30:BU30)</f>
        <v/>
      </c>
      <c r="BY30" s="237" t="str">
        <f>sum_level("m",'Needs 171007_1806'!D30:BU30)</f>
        <v/>
      </c>
      <c r="BZ30" s="237" t="str">
        <f>sum_level("s",'Needs 171007_1806'!D30:BU30)</f>
        <v>19</v>
      </c>
      <c r="CA30" s="238" t="str">
        <f>sum_level("e",'Needs 171007_1806'!D30:BU30)</f>
        <v/>
      </c>
    </row>
    <row r="31" spans="2:79" x14ac:dyDescent="0.25">
      <c r="B31" s="435"/>
      <c r="C31" s="291" t="s">
        <v>76</v>
      </c>
      <c r="D31" s="336"/>
      <c r="E31" s="337"/>
      <c r="F31" s="337"/>
      <c r="G31" s="337"/>
      <c r="H31" s="338"/>
      <c r="I31" s="336"/>
      <c r="J31" s="337"/>
      <c r="K31" s="337"/>
      <c r="L31" s="337"/>
      <c r="M31" s="338"/>
      <c r="N31" s="336"/>
      <c r="O31" s="337"/>
      <c r="P31" s="337"/>
      <c r="Q31" s="337"/>
      <c r="R31" s="338"/>
      <c r="S31" s="336"/>
      <c r="T31" s="337"/>
      <c r="U31" s="337"/>
      <c r="V31" s="337"/>
      <c r="W31" s="338"/>
      <c r="X31" s="336"/>
      <c r="Y31" s="337"/>
      <c r="Z31" s="337"/>
      <c r="AA31" s="337"/>
      <c r="AB31" s="338"/>
      <c r="AC31" s="336"/>
      <c r="AD31" s="337"/>
      <c r="AE31" s="337"/>
      <c r="AF31" s="337"/>
      <c r="AG31" s="338"/>
      <c r="AH31" s="336"/>
      <c r="AI31" s="337"/>
      <c r="AJ31" s="337"/>
      <c r="AK31" s="337"/>
      <c r="AL31" s="338"/>
      <c r="AM31" s="336"/>
      <c r="AN31" s="337"/>
      <c r="AO31" s="337"/>
      <c r="AP31" s="337"/>
      <c r="AQ31" s="338"/>
      <c r="AR31" s="336"/>
      <c r="AS31" s="337"/>
      <c r="AT31" s="337"/>
      <c r="AU31" s="337"/>
      <c r="AV31" s="338"/>
      <c r="AW31" s="336"/>
      <c r="AX31" s="337"/>
      <c r="AY31" s="337"/>
      <c r="AZ31" s="337"/>
      <c r="BA31" s="338">
        <v>20</v>
      </c>
      <c r="BB31" s="336"/>
      <c r="BC31" s="337"/>
      <c r="BD31" s="337"/>
      <c r="BE31" s="337"/>
      <c r="BF31" s="338"/>
      <c r="BG31" s="336"/>
      <c r="BH31" s="337"/>
      <c r="BI31" s="337"/>
      <c r="BJ31" s="337"/>
      <c r="BK31" s="338"/>
      <c r="BL31" s="336"/>
      <c r="BM31" s="337"/>
      <c r="BN31" s="337"/>
      <c r="BO31" s="337"/>
      <c r="BP31" s="338"/>
      <c r="BQ31" s="336"/>
      <c r="BR31" s="337"/>
      <c r="BS31" s="337"/>
      <c r="BT31" s="337"/>
      <c r="BU31" s="339"/>
      <c r="BW31" s="236" t="str">
        <f>sum_level("o",'Needs 171007_1806'!D31:BU31)</f>
        <v/>
      </c>
      <c r="BX31" s="237" t="str">
        <f>sum_level("j",'Needs 171007_1806'!D31:BU31)</f>
        <v/>
      </c>
      <c r="BY31" s="237" t="str">
        <f>sum_level("m",'Needs 171007_1806'!D31:BU31)</f>
        <v/>
      </c>
      <c r="BZ31" s="237" t="str">
        <f>sum_level("s",'Needs 171007_1806'!D31:BU31)</f>
        <v/>
      </c>
      <c r="CA31" s="238" t="str">
        <f>sum_level("e",'Needs 171007_1806'!D31:BU31)</f>
        <v>20</v>
      </c>
    </row>
    <row r="32" spans="2:79" x14ac:dyDescent="0.25">
      <c r="B32" s="435"/>
      <c r="C32" s="291" t="s">
        <v>77</v>
      </c>
      <c r="D32" s="336"/>
      <c r="E32" s="337"/>
      <c r="F32" s="337"/>
      <c r="G32" s="337"/>
      <c r="H32" s="338"/>
      <c r="I32" s="336"/>
      <c r="J32" s="337"/>
      <c r="K32" s="337"/>
      <c r="L32" s="337"/>
      <c r="M32" s="338"/>
      <c r="N32" s="336"/>
      <c r="O32" s="337"/>
      <c r="P32" s="337"/>
      <c r="Q32" s="337"/>
      <c r="R32" s="338"/>
      <c r="S32" s="336"/>
      <c r="T32" s="337"/>
      <c r="U32" s="337"/>
      <c r="V32" s="337"/>
      <c r="W32" s="338"/>
      <c r="X32" s="336"/>
      <c r="Y32" s="337"/>
      <c r="Z32" s="337"/>
      <c r="AA32" s="337"/>
      <c r="AB32" s="338"/>
      <c r="AC32" s="336"/>
      <c r="AD32" s="337"/>
      <c r="AE32" s="337"/>
      <c r="AF32" s="337"/>
      <c r="AG32" s="338"/>
      <c r="AH32" s="336"/>
      <c r="AI32" s="337"/>
      <c r="AJ32" s="337"/>
      <c r="AK32" s="337"/>
      <c r="AL32" s="338"/>
      <c r="AM32" s="336"/>
      <c r="AN32" s="337"/>
      <c r="AO32" s="337"/>
      <c r="AP32" s="337"/>
      <c r="AQ32" s="338"/>
      <c r="AR32" s="336"/>
      <c r="AS32" s="337"/>
      <c r="AT32" s="337"/>
      <c r="AU32" s="337"/>
      <c r="AV32" s="338"/>
      <c r="AW32" s="336"/>
      <c r="AX32" s="337"/>
      <c r="AY32" s="337"/>
      <c r="AZ32" s="337"/>
      <c r="BA32" s="338"/>
      <c r="BB32" s="336"/>
      <c r="BC32" s="337"/>
      <c r="BD32" s="337"/>
      <c r="BE32" s="337"/>
      <c r="BF32" s="338"/>
      <c r="BG32" s="336"/>
      <c r="BH32" s="337"/>
      <c r="BI32" s="337"/>
      <c r="BJ32" s="337"/>
      <c r="BK32" s="338"/>
      <c r="BL32" s="336"/>
      <c r="BM32" s="337"/>
      <c r="BN32" s="337"/>
      <c r="BO32" s="337"/>
      <c r="BP32" s="338"/>
      <c r="BQ32" s="336"/>
      <c r="BR32" s="337"/>
      <c r="BS32" s="337"/>
      <c r="BT32" s="337"/>
      <c r="BU32" s="339"/>
      <c r="BW32" s="236" t="str">
        <f>sum_level("o",'Needs 171007_1806'!D32:BU32)</f>
        <v/>
      </c>
      <c r="BX32" s="237" t="str">
        <f>sum_level("j",'Needs 171007_1806'!D32:BU32)</f>
        <v/>
      </c>
      <c r="BY32" s="237" t="str">
        <f>sum_level("m",'Needs 171007_1806'!D32:BU32)</f>
        <v/>
      </c>
      <c r="BZ32" s="237" t="str">
        <f>sum_level("s",'Needs 171007_1806'!D32:BU32)</f>
        <v/>
      </c>
      <c r="CA32" s="238" t="str">
        <f>sum_level("e",'Needs 171007_1806'!D32:BU32)</f>
        <v/>
      </c>
    </row>
    <row r="33" spans="2:79" x14ac:dyDescent="0.25">
      <c r="B33" s="435"/>
      <c r="C33" s="291" t="s">
        <v>78</v>
      </c>
      <c r="D33" s="336"/>
      <c r="E33" s="337"/>
      <c r="F33" s="337"/>
      <c r="G33" s="337"/>
      <c r="H33" s="338"/>
      <c r="I33" s="336"/>
      <c r="J33" s="337"/>
      <c r="K33" s="337"/>
      <c r="L33" s="337"/>
      <c r="M33" s="338"/>
      <c r="N33" s="336"/>
      <c r="O33" s="337"/>
      <c r="P33" s="337"/>
      <c r="Q33" s="337"/>
      <c r="R33" s="338"/>
      <c r="S33" s="336"/>
      <c r="T33" s="337"/>
      <c r="U33" s="337"/>
      <c r="V33" s="337"/>
      <c r="W33" s="338"/>
      <c r="X33" s="336"/>
      <c r="Y33" s="337"/>
      <c r="Z33" s="337"/>
      <c r="AA33" s="337"/>
      <c r="AB33" s="338"/>
      <c r="AC33" s="336"/>
      <c r="AD33" s="337"/>
      <c r="AE33" s="337"/>
      <c r="AF33" s="337"/>
      <c r="AG33" s="338"/>
      <c r="AH33" s="336"/>
      <c r="AI33" s="337"/>
      <c r="AJ33" s="337"/>
      <c r="AK33" s="337"/>
      <c r="AL33" s="338"/>
      <c r="AM33" s="336"/>
      <c r="AN33" s="337"/>
      <c r="AO33" s="337"/>
      <c r="AP33" s="337"/>
      <c r="AQ33" s="338"/>
      <c r="AR33" s="336"/>
      <c r="AS33" s="337"/>
      <c r="AT33" s="337"/>
      <c r="AU33" s="337"/>
      <c r="AV33" s="338"/>
      <c r="AW33" s="336"/>
      <c r="AX33" s="337"/>
      <c r="AY33" s="337"/>
      <c r="AZ33" s="337"/>
      <c r="BA33" s="338"/>
      <c r="BB33" s="336"/>
      <c r="BC33" s="337"/>
      <c r="BD33" s="337"/>
      <c r="BE33" s="337"/>
      <c r="BF33" s="338"/>
      <c r="BG33" s="336"/>
      <c r="BH33" s="337"/>
      <c r="BI33" s="337"/>
      <c r="BJ33" s="337"/>
      <c r="BK33" s="338"/>
      <c r="BL33" s="336"/>
      <c r="BM33" s="337"/>
      <c r="BN33" s="337"/>
      <c r="BO33" s="337"/>
      <c r="BP33" s="338"/>
      <c r="BQ33" s="336"/>
      <c r="BR33" s="337"/>
      <c r="BS33" s="337"/>
      <c r="BT33" s="337"/>
      <c r="BU33" s="339"/>
      <c r="BW33" s="236" t="str">
        <f>sum_level("o",'Needs 171007_1806'!D33:BU33)</f>
        <v/>
      </c>
      <c r="BX33" s="237" t="str">
        <f>sum_level("j",'Needs 171007_1806'!D33:BU33)</f>
        <v/>
      </c>
      <c r="BY33" s="237" t="str">
        <f>sum_level("m",'Needs 171007_1806'!D33:BU33)</f>
        <v/>
      </c>
      <c r="BZ33" s="237" t="str">
        <f>sum_level("s",'Needs 171007_1806'!D33:BU33)</f>
        <v/>
      </c>
      <c r="CA33" s="238" t="str">
        <f>sum_level("e",'Needs 171007_1806'!D33:BU33)</f>
        <v/>
      </c>
    </row>
    <row r="34" spans="2:79" x14ac:dyDescent="0.25">
      <c r="B34" s="435"/>
      <c r="C34" s="291" t="s">
        <v>79</v>
      </c>
      <c r="D34" s="336"/>
      <c r="E34" s="337"/>
      <c r="F34" s="337"/>
      <c r="G34" s="337"/>
      <c r="H34" s="338"/>
      <c r="I34" s="336"/>
      <c r="J34" s="337"/>
      <c r="K34" s="337"/>
      <c r="L34" s="337"/>
      <c r="M34" s="338"/>
      <c r="N34" s="336"/>
      <c r="O34" s="337"/>
      <c r="P34" s="337"/>
      <c r="Q34" s="337"/>
      <c r="R34" s="338"/>
      <c r="S34" s="336"/>
      <c r="T34" s="337"/>
      <c r="U34" s="337"/>
      <c r="V34" s="337"/>
      <c r="W34" s="338"/>
      <c r="X34" s="336"/>
      <c r="Y34" s="337"/>
      <c r="Z34" s="337"/>
      <c r="AA34" s="337"/>
      <c r="AB34" s="338"/>
      <c r="AC34" s="336"/>
      <c r="AD34" s="337"/>
      <c r="AE34" s="337"/>
      <c r="AF34" s="337"/>
      <c r="AG34" s="338"/>
      <c r="AH34" s="336"/>
      <c r="AI34" s="337"/>
      <c r="AJ34" s="337"/>
      <c r="AK34" s="337"/>
      <c r="AL34" s="338"/>
      <c r="AM34" s="336"/>
      <c r="AN34" s="337"/>
      <c r="AO34" s="337"/>
      <c r="AP34" s="337"/>
      <c r="AQ34" s="338"/>
      <c r="AR34" s="336"/>
      <c r="AS34" s="337"/>
      <c r="AT34" s="337"/>
      <c r="AU34" s="337"/>
      <c r="AV34" s="338"/>
      <c r="AW34" s="336"/>
      <c r="AX34" s="337"/>
      <c r="AY34" s="337"/>
      <c r="AZ34" s="337"/>
      <c r="BA34" s="338"/>
      <c r="BB34" s="336"/>
      <c r="BC34" s="337"/>
      <c r="BD34" s="337"/>
      <c r="BE34" s="337"/>
      <c r="BF34" s="338"/>
      <c r="BG34" s="336"/>
      <c r="BH34" s="337"/>
      <c r="BI34" s="337"/>
      <c r="BJ34" s="337"/>
      <c r="BK34" s="338"/>
      <c r="BL34" s="336"/>
      <c r="BM34" s="337"/>
      <c r="BN34" s="337"/>
      <c r="BO34" s="337"/>
      <c r="BP34" s="338"/>
      <c r="BQ34" s="336"/>
      <c r="BR34" s="337"/>
      <c r="BS34" s="337"/>
      <c r="BT34" s="337"/>
      <c r="BU34" s="339"/>
      <c r="BW34" s="236" t="str">
        <f>sum_level("o",'Needs 171007_1806'!D34:BU34)</f>
        <v/>
      </c>
      <c r="BX34" s="237" t="str">
        <f>sum_level("j",'Needs 171007_1806'!D34:BU34)</f>
        <v/>
      </c>
      <c r="BY34" s="237" t="str">
        <f>sum_level("m",'Needs 171007_1806'!D34:BU34)</f>
        <v/>
      </c>
      <c r="BZ34" s="237" t="str">
        <f>sum_level("s",'Needs 171007_1806'!D34:BU34)</f>
        <v/>
      </c>
      <c r="CA34" s="238" t="str">
        <f>sum_level("e",'Needs 171007_1806'!D34:BU34)</f>
        <v/>
      </c>
    </row>
    <row r="35" spans="2:79" x14ac:dyDescent="0.25">
      <c r="B35" s="435"/>
      <c r="C35" s="291" t="s">
        <v>80</v>
      </c>
      <c r="D35" s="336"/>
      <c r="E35" s="337"/>
      <c r="F35" s="337"/>
      <c r="G35" s="337"/>
      <c r="H35" s="338"/>
      <c r="I35" s="336"/>
      <c r="J35" s="337"/>
      <c r="K35" s="337"/>
      <c r="L35" s="337"/>
      <c r="M35" s="338"/>
      <c r="N35" s="336"/>
      <c r="O35" s="337"/>
      <c r="P35" s="337"/>
      <c r="Q35" s="337"/>
      <c r="R35" s="338"/>
      <c r="S35" s="336"/>
      <c r="T35" s="337"/>
      <c r="U35" s="337"/>
      <c r="V35" s="337"/>
      <c r="W35" s="338"/>
      <c r="X35" s="336"/>
      <c r="Y35" s="337"/>
      <c r="Z35" s="337"/>
      <c r="AA35" s="337"/>
      <c r="AB35" s="338"/>
      <c r="AC35" s="336"/>
      <c r="AD35" s="337"/>
      <c r="AE35" s="337"/>
      <c r="AF35" s="337"/>
      <c r="AG35" s="338"/>
      <c r="AH35" s="336"/>
      <c r="AI35" s="337"/>
      <c r="AJ35" s="337"/>
      <c r="AK35" s="337"/>
      <c r="AL35" s="338"/>
      <c r="AM35" s="336"/>
      <c r="AN35" s="337"/>
      <c r="AO35" s="337"/>
      <c r="AP35" s="337"/>
      <c r="AQ35" s="338"/>
      <c r="AR35" s="336"/>
      <c r="AS35" s="337"/>
      <c r="AT35" s="337"/>
      <c r="AU35" s="337"/>
      <c r="AV35" s="338"/>
      <c r="AW35" s="336"/>
      <c r="AX35" s="337"/>
      <c r="AY35" s="337"/>
      <c r="AZ35" s="337"/>
      <c r="BA35" s="338"/>
      <c r="BB35" s="336"/>
      <c r="BC35" s="337"/>
      <c r="BD35" s="337"/>
      <c r="BE35" s="337"/>
      <c r="BF35" s="338"/>
      <c r="BG35" s="336"/>
      <c r="BH35" s="337"/>
      <c r="BI35" s="337"/>
      <c r="BJ35" s="337"/>
      <c r="BK35" s="338"/>
      <c r="BL35" s="336"/>
      <c r="BM35" s="337"/>
      <c r="BN35" s="337"/>
      <c r="BO35" s="337"/>
      <c r="BP35" s="338"/>
      <c r="BQ35" s="336"/>
      <c r="BR35" s="337"/>
      <c r="BS35" s="337"/>
      <c r="BT35" s="337"/>
      <c r="BU35" s="339"/>
      <c r="BW35" s="236" t="str">
        <f>sum_level("o",'Needs 171007_1806'!D35:BU35)</f>
        <v/>
      </c>
      <c r="BX35" s="237" t="str">
        <f>sum_level("j",'Needs 171007_1806'!D35:BU35)</f>
        <v/>
      </c>
      <c r="BY35" s="237" t="str">
        <f>sum_level("m",'Needs 171007_1806'!D35:BU35)</f>
        <v/>
      </c>
      <c r="BZ35" s="237" t="str">
        <f>sum_level("s",'Needs 171007_1806'!D35:BU35)</f>
        <v/>
      </c>
      <c r="CA35" s="238" t="str">
        <f>sum_level("e",'Needs 171007_1806'!D35:BU35)</f>
        <v/>
      </c>
    </row>
    <row r="36" spans="2:79" ht="15.75" thickBot="1" x14ac:dyDescent="0.3">
      <c r="B36" s="435"/>
      <c r="C36" s="292" t="s">
        <v>225</v>
      </c>
      <c r="D36" s="340"/>
      <c r="E36" s="341"/>
      <c r="F36" s="341"/>
      <c r="G36" s="341"/>
      <c r="H36" s="342"/>
      <c r="I36" s="340"/>
      <c r="J36" s="341"/>
      <c r="K36" s="341"/>
      <c r="L36" s="341"/>
      <c r="M36" s="342"/>
      <c r="N36" s="340"/>
      <c r="O36" s="341"/>
      <c r="P36" s="341"/>
      <c r="Q36" s="341"/>
      <c r="R36" s="342"/>
      <c r="S36" s="340"/>
      <c r="T36" s="341"/>
      <c r="U36" s="341"/>
      <c r="V36" s="341"/>
      <c r="W36" s="342"/>
      <c r="X36" s="340"/>
      <c r="Y36" s="341"/>
      <c r="Z36" s="341"/>
      <c r="AA36" s="341"/>
      <c r="AB36" s="342"/>
      <c r="AC36" s="340"/>
      <c r="AD36" s="341"/>
      <c r="AE36" s="341"/>
      <c r="AF36" s="341"/>
      <c r="AG36" s="342"/>
      <c r="AH36" s="340"/>
      <c r="AI36" s="341"/>
      <c r="AJ36" s="341"/>
      <c r="AK36" s="341"/>
      <c r="AL36" s="342"/>
      <c r="AM36" s="340"/>
      <c r="AN36" s="341"/>
      <c r="AO36" s="341"/>
      <c r="AP36" s="341"/>
      <c r="AQ36" s="342"/>
      <c r="AR36" s="340"/>
      <c r="AS36" s="341"/>
      <c r="AT36" s="341"/>
      <c r="AU36" s="341"/>
      <c r="AV36" s="342"/>
      <c r="AW36" s="340"/>
      <c r="AX36" s="341"/>
      <c r="AY36" s="341"/>
      <c r="AZ36" s="341"/>
      <c r="BA36" s="342"/>
      <c r="BB36" s="340"/>
      <c r="BC36" s="341"/>
      <c r="BD36" s="341"/>
      <c r="BE36" s="341"/>
      <c r="BF36" s="342"/>
      <c r="BG36" s="340"/>
      <c r="BH36" s="341"/>
      <c r="BI36" s="341"/>
      <c r="BJ36" s="341"/>
      <c r="BK36" s="342"/>
      <c r="BL36" s="340"/>
      <c r="BM36" s="341"/>
      <c r="BN36" s="341"/>
      <c r="BO36" s="341"/>
      <c r="BP36" s="342"/>
      <c r="BQ36" s="340"/>
      <c r="BR36" s="341"/>
      <c r="BS36" s="341"/>
      <c r="BT36" s="341"/>
      <c r="BU36" s="343"/>
      <c r="BW36" s="239" t="str">
        <f>sum_level("o",'Needs 171007_1806'!D36:BU36)</f>
        <v/>
      </c>
      <c r="BX36" s="240" t="str">
        <f>sum_level("j",'Needs 171007_1806'!D36:BU36)</f>
        <v/>
      </c>
      <c r="BY36" s="240" t="str">
        <f>sum_level("m",'Needs 171007_1806'!D36:BU36)</f>
        <v/>
      </c>
      <c r="BZ36" s="240" t="str">
        <f>sum_level("s",'Needs 171007_1806'!D36:BU36)</f>
        <v/>
      </c>
      <c r="CA36" s="241" t="str">
        <f>sum_level("e",'Needs 171007_1806'!D36:BU36)</f>
        <v/>
      </c>
    </row>
    <row r="37" spans="2:79" ht="12.75" customHeight="1" thickTop="1" thickBot="1" x14ac:dyDescent="0.3">
      <c r="B37" s="436"/>
      <c r="C37" s="248"/>
      <c r="D37" s="344"/>
      <c r="E37" s="344"/>
      <c r="F37" s="344"/>
      <c r="G37" s="344"/>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c r="BH37" s="344"/>
      <c r="BI37" s="344"/>
      <c r="BJ37" s="344"/>
      <c r="BK37" s="344"/>
      <c r="BL37" s="344"/>
      <c r="BM37" s="344"/>
      <c r="BN37" s="344"/>
      <c r="BO37" s="344"/>
      <c r="BP37" s="344"/>
      <c r="BQ37" s="344"/>
      <c r="BR37" s="344"/>
      <c r="BS37" s="344"/>
      <c r="BT37" s="344"/>
      <c r="BU37" s="344"/>
      <c r="BW37" s="249"/>
      <c r="BX37" s="249"/>
      <c r="BY37" s="249"/>
      <c r="BZ37" s="249"/>
      <c r="CA37" s="249"/>
    </row>
    <row r="38" spans="2:79" ht="15.75" thickTop="1" x14ac:dyDescent="0.25">
      <c r="B38" s="434" t="s">
        <v>81</v>
      </c>
      <c r="C38" s="290" t="s">
        <v>82</v>
      </c>
      <c r="D38" s="332"/>
      <c r="E38" s="333"/>
      <c r="F38" s="333"/>
      <c r="G38" s="333"/>
      <c r="H38" s="334"/>
      <c r="I38" s="332"/>
      <c r="J38" s="333"/>
      <c r="K38" s="333"/>
      <c r="L38" s="333"/>
      <c r="M38" s="334"/>
      <c r="N38" s="332"/>
      <c r="O38" s="333"/>
      <c r="P38" s="333"/>
      <c r="Q38" s="333"/>
      <c r="R38" s="334"/>
      <c r="S38" s="332"/>
      <c r="T38" s="333"/>
      <c r="U38" s="333"/>
      <c r="V38" s="333"/>
      <c r="W38" s="334"/>
      <c r="X38" s="332"/>
      <c r="Y38" s="333"/>
      <c r="Z38" s="333"/>
      <c r="AA38" s="333"/>
      <c r="AB38" s="334"/>
      <c r="AC38" s="332"/>
      <c r="AD38" s="333"/>
      <c r="AE38" s="333"/>
      <c r="AF38" s="333"/>
      <c r="AG38" s="334"/>
      <c r="AH38" s="332"/>
      <c r="AI38" s="333"/>
      <c r="AJ38" s="333"/>
      <c r="AK38" s="333"/>
      <c r="AL38" s="334"/>
      <c r="AM38" s="332"/>
      <c r="AN38" s="333"/>
      <c r="AO38" s="333"/>
      <c r="AP38" s="333"/>
      <c r="AQ38" s="334"/>
      <c r="AR38" s="332"/>
      <c r="AS38" s="333"/>
      <c r="AT38" s="333"/>
      <c r="AU38" s="333"/>
      <c r="AV38" s="334"/>
      <c r="AW38" s="332"/>
      <c r="AX38" s="333"/>
      <c r="AY38" s="333"/>
      <c r="AZ38" s="333"/>
      <c r="BA38" s="334"/>
      <c r="BB38" s="332">
        <v>21</v>
      </c>
      <c r="BC38" s="333"/>
      <c r="BD38" s="333"/>
      <c r="BE38" s="333"/>
      <c r="BF38" s="334"/>
      <c r="BG38" s="332"/>
      <c r="BH38" s="333"/>
      <c r="BI38" s="333"/>
      <c r="BJ38" s="333"/>
      <c r="BK38" s="334"/>
      <c r="BL38" s="332"/>
      <c r="BM38" s="333"/>
      <c r="BN38" s="333"/>
      <c r="BO38" s="333"/>
      <c r="BP38" s="334"/>
      <c r="BQ38" s="332"/>
      <c r="BR38" s="333"/>
      <c r="BS38" s="333"/>
      <c r="BT38" s="333"/>
      <c r="BU38" s="335"/>
      <c r="BW38" s="233" t="str">
        <f>sum_level("o",'Needs 171007_1806'!D38:BU38)</f>
        <v>21</v>
      </c>
      <c r="BX38" s="234" t="str">
        <f>sum_level("j",'Needs 171007_1806'!D38:BU38)</f>
        <v/>
      </c>
      <c r="BY38" s="234" t="str">
        <f>sum_level("m",'Needs 171007_1806'!D38:BU38)</f>
        <v/>
      </c>
      <c r="BZ38" s="234" t="str">
        <f>sum_level("s",'Needs 171007_1806'!D38:BU38)</f>
        <v/>
      </c>
      <c r="CA38" s="235" t="str">
        <f>sum_level("e",'Needs 171007_1806'!D38:BU38)</f>
        <v/>
      </c>
    </row>
    <row r="39" spans="2:79" x14ac:dyDescent="0.25">
      <c r="B39" s="435"/>
      <c r="C39" s="291" t="s">
        <v>83</v>
      </c>
      <c r="D39" s="336"/>
      <c r="E39" s="337"/>
      <c r="F39" s="337"/>
      <c r="G39" s="337"/>
      <c r="H39" s="338"/>
      <c r="I39" s="336"/>
      <c r="J39" s="337"/>
      <c r="K39" s="337"/>
      <c r="L39" s="337"/>
      <c r="M39" s="338"/>
      <c r="N39" s="336"/>
      <c r="O39" s="337"/>
      <c r="P39" s="337"/>
      <c r="Q39" s="337"/>
      <c r="R39" s="338"/>
      <c r="S39" s="336"/>
      <c r="T39" s="337"/>
      <c r="U39" s="337"/>
      <c r="V39" s="337"/>
      <c r="W39" s="338"/>
      <c r="X39" s="336"/>
      <c r="Y39" s="337"/>
      <c r="Z39" s="337"/>
      <c r="AA39" s="337"/>
      <c r="AB39" s="338"/>
      <c r="AC39" s="336"/>
      <c r="AD39" s="337"/>
      <c r="AE39" s="337"/>
      <c r="AF39" s="337"/>
      <c r="AG39" s="338"/>
      <c r="AH39" s="336"/>
      <c r="AI39" s="337"/>
      <c r="AJ39" s="337"/>
      <c r="AK39" s="337"/>
      <c r="AL39" s="338"/>
      <c r="AM39" s="336"/>
      <c r="AN39" s="337"/>
      <c r="AO39" s="337"/>
      <c r="AP39" s="337"/>
      <c r="AQ39" s="338"/>
      <c r="AR39" s="336"/>
      <c r="AS39" s="337"/>
      <c r="AT39" s="337"/>
      <c r="AU39" s="337"/>
      <c r="AV39" s="338"/>
      <c r="AW39" s="336"/>
      <c r="AX39" s="337"/>
      <c r="AY39" s="337"/>
      <c r="AZ39" s="337"/>
      <c r="BA39" s="338"/>
      <c r="BB39" s="336"/>
      <c r="BC39" s="337">
        <v>22</v>
      </c>
      <c r="BD39" s="337"/>
      <c r="BE39" s="337"/>
      <c r="BF39" s="338"/>
      <c r="BG39" s="336"/>
      <c r="BH39" s="337"/>
      <c r="BI39" s="337"/>
      <c r="BJ39" s="337"/>
      <c r="BK39" s="338"/>
      <c r="BL39" s="336"/>
      <c r="BM39" s="337"/>
      <c r="BN39" s="337"/>
      <c r="BO39" s="337"/>
      <c r="BP39" s="338"/>
      <c r="BQ39" s="336"/>
      <c r="BR39" s="337"/>
      <c r="BS39" s="337"/>
      <c r="BT39" s="337"/>
      <c r="BU39" s="339"/>
      <c r="BW39" s="236" t="str">
        <f>sum_level("o",'Needs 171007_1806'!D39:BU39)</f>
        <v/>
      </c>
      <c r="BX39" s="237" t="str">
        <f>sum_level("j",'Needs 171007_1806'!D39:BU39)</f>
        <v>22</v>
      </c>
      <c r="BY39" s="237" t="str">
        <f>sum_level("m",'Needs 171007_1806'!D39:BU39)</f>
        <v/>
      </c>
      <c r="BZ39" s="237" t="str">
        <f>sum_level("s",'Needs 171007_1806'!D39:BU39)</f>
        <v/>
      </c>
      <c r="CA39" s="238" t="str">
        <f>sum_level("e",'Needs 171007_1806'!D39:BU39)</f>
        <v/>
      </c>
    </row>
    <row r="40" spans="2:79" x14ac:dyDescent="0.25">
      <c r="B40" s="435"/>
      <c r="C40" s="291" t="s">
        <v>84</v>
      </c>
      <c r="D40" s="336"/>
      <c r="E40" s="337"/>
      <c r="F40" s="337"/>
      <c r="G40" s="337"/>
      <c r="H40" s="338"/>
      <c r="I40" s="336"/>
      <c r="J40" s="337"/>
      <c r="K40" s="337"/>
      <c r="L40" s="337"/>
      <c r="M40" s="338"/>
      <c r="N40" s="336"/>
      <c r="O40" s="337"/>
      <c r="P40" s="337"/>
      <c r="Q40" s="337"/>
      <c r="R40" s="338"/>
      <c r="S40" s="336"/>
      <c r="T40" s="337"/>
      <c r="U40" s="337"/>
      <c r="V40" s="337"/>
      <c r="W40" s="338"/>
      <c r="X40" s="336"/>
      <c r="Y40" s="337"/>
      <c r="Z40" s="337"/>
      <c r="AA40" s="337"/>
      <c r="AB40" s="338"/>
      <c r="AC40" s="336"/>
      <c r="AD40" s="337"/>
      <c r="AE40" s="337"/>
      <c r="AF40" s="337"/>
      <c r="AG40" s="338"/>
      <c r="AH40" s="336"/>
      <c r="AI40" s="337"/>
      <c r="AJ40" s="337"/>
      <c r="AK40" s="337"/>
      <c r="AL40" s="338"/>
      <c r="AM40" s="336"/>
      <c r="AN40" s="337"/>
      <c r="AO40" s="337"/>
      <c r="AP40" s="337"/>
      <c r="AQ40" s="338"/>
      <c r="AR40" s="336"/>
      <c r="AS40" s="337"/>
      <c r="AT40" s="337"/>
      <c r="AU40" s="337"/>
      <c r="AV40" s="338"/>
      <c r="AW40" s="336"/>
      <c r="AX40" s="337"/>
      <c r="AY40" s="337"/>
      <c r="AZ40" s="337"/>
      <c r="BA40" s="338"/>
      <c r="BB40" s="336"/>
      <c r="BC40" s="337"/>
      <c r="BD40" s="337">
        <v>23</v>
      </c>
      <c r="BE40" s="337"/>
      <c r="BF40" s="338"/>
      <c r="BG40" s="336"/>
      <c r="BH40" s="337"/>
      <c r="BI40" s="337"/>
      <c r="BJ40" s="337"/>
      <c r="BK40" s="338"/>
      <c r="BL40" s="336"/>
      <c r="BM40" s="337"/>
      <c r="BN40" s="337"/>
      <c r="BO40" s="337"/>
      <c r="BP40" s="338"/>
      <c r="BQ40" s="336"/>
      <c r="BR40" s="337"/>
      <c r="BS40" s="337"/>
      <c r="BT40" s="337"/>
      <c r="BU40" s="339"/>
      <c r="BW40" s="236" t="str">
        <f>sum_level("o",'Needs 171007_1806'!D40:BU40)</f>
        <v/>
      </c>
      <c r="BX40" s="237" t="str">
        <f>sum_level("j",'Needs 171007_1806'!D40:BU40)</f>
        <v/>
      </c>
      <c r="BY40" s="237" t="str">
        <f>sum_level("m",'Needs 171007_1806'!D40:BU40)</f>
        <v>23</v>
      </c>
      <c r="BZ40" s="237" t="str">
        <f>sum_level("s",'Needs 171007_1806'!D40:BU40)</f>
        <v/>
      </c>
      <c r="CA40" s="238" t="str">
        <f>sum_level("e",'Needs 171007_1806'!D40:BU40)</f>
        <v/>
      </c>
    </row>
    <row r="41" spans="2:79" x14ac:dyDescent="0.25">
      <c r="B41" s="435"/>
      <c r="C41" s="291" t="s">
        <v>85</v>
      </c>
      <c r="D41" s="336"/>
      <c r="E41" s="337"/>
      <c r="F41" s="337"/>
      <c r="G41" s="337"/>
      <c r="H41" s="338"/>
      <c r="I41" s="336"/>
      <c r="J41" s="337"/>
      <c r="K41" s="337"/>
      <c r="L41" s="337"/>
      <c r="M41" s="338"/>
      <c r="N41" s="336"/>
      <c r="O41" s="337"/>
      <c r="P41" s="337"/>
      <c r="Q41" s="337"/>
      <c r="R41" s="338"/>
      <c r="S41" s="336"/>
      <c r="T41" s="337"/>
      <c r="U41" s="337"/>
      <c r="V41" s="337"/>
      <c r="W41" s="338"/>
      <c r="X41" s="336"/>
      <c r="Y41" s="337"/>
      <c r="Z41" s="337"/>
      <c r="AA41" s="337"/>
      <c r="AB41" s="338"/>
      <c r="AC41" s="336"/>
      <c r="AD41" s="337"/>
      <c r="AE41" s="337"/>
      <c r="AF41" s="337"/>
      <c r="AG41" s="338"/>
      <c r="AH41" s="336"/>
      <c r="AI41" s="337"/>
      <c r="AJ41" s="337"/>
      <c r="AK41" s="337"/>
      <c r="AL41" s="338"/>
      <c r="AM41" s="336"/>
      <c r="AN41" s="337"/>
      <c r="AO41" s="337"/>
      <c r="AP41" s="337"/>
      <c r="AQ41" s="338"/>
      <c r="AR41" s="336"/>
      <c r="AS41" s="337"/>
      <c r="AT41" s="337"/>
      <c r="AU41" s="337"/>
      <c r="AV41" s="338"/>
      <c r="AW41" s="336"/>
      <c r="AX41" s="337"/>
      <c r="AY41" s="337"/>
      <c r="AZ41" s="337"/>
      <c r="BA41" s="338"/>
      <c r="BB41" s="336"/>
      <c r="BC41" s="337"/>
      <c r="BD41" s="337"/>
      <c r="BE41" s="337">
        <v>24</v>
      </c>
      <c r="BF41" s="338"/>
      <c r="BG41" s="336"/>
      <c r="BH41" s="337"/>
      <c r="BI41" s="337"/>
      <c r="BJ41" s="337"/>
      <c r="BK41" s="338"/>
      <c r="BL41" s="336"/>
      <c r="BM41" s="337"/>
      <c r="BN41" s="337"/>
      <c r="BO41" s="337"/>
      <c r="BP41" s="338"/>
      <c r="BQ41" s="336"/>
      <c r="BR41" s="337"/>
      <c r="BS41" s="337"/>
      <c r="BT41" s="337"/>
      <c r="BU41" s="339"/>
      <c r="BW41" s="236" t="str">
        <f>sum_level("o",'Needs 171007_1806'!D41:BU41)</f>
        <v/>
      </c>
      <c r="BX41" s="237" t="str">
        <f>sum_level("j",'Needs 171007_1806'!D41:BU41)</f>
        <v/>
      </c>
      <c r="BY41" s="237" t="str">
        <f>sum_level("m",'Needs 171007_1806'!D41:BU41)</f>
        <v/>
      </c>
      <c r="BZ41" s="237" t="str">
        <f>sum_level("s",'Needs 171007_1806'!D41:BU41)</f>
        <v>24</v>
      </c>
      <c r="CA41" s="238" t="str">
        <f>sum_level("e",'Needs 171007_1806'!D41:BU41)</f>
        <v/>
      </c>
    </row>
    <row r="42" spans="2:79" x14ac:dyDescent="0.25">
      <c r="B42" s="435"/>
      <c r="C42" s="291" t="s">
        <v>86</v>
      </c>
      <c r="D42" s="336"/>
      <c r="E42" s="337"/>
      <c r="F42" s="337"/>
      <c r="G42" s="337"/>
      <c r="H42" s="338"/>
      <c r="I42" s="336"/>
      <c r="J42" s="337"/>
      <c r="K42" s="337"/>
      <c r="L42" s="337"/>
      <c r="M42" s="338"/>
      <c r="N42" s="336"/>
      <c r="O42" s="337"/>
      <c r="P42" s="337"/>
      <c r="Q42" s="337"/>
      <c r="R42" s="338"/>
      <c r="S42" s="336"/>
      <c r="T42" s="337"/>
      <c r="U42" s="337"/>
      <c r="V42" s="337"/>
      <c r="W42" s="338"/>
      <c r="X42" s="336"/>
      <c r="Y42" s="337"/>
      <c r="Z42" s="337"/>
      <c r="AA42" s="337"/>
      <c r="AB42" s="338"/>
      <c r="AC42" s="336"/>
      <c r="AD42" s="337"/>
      <c r="AE42" s="337"/>
      <c r="AF42" s="337"/>
      <c r="AG42" s="338"/>
      <c r="AH42" s="336"/>
      <c r="AI42" s="337"/>
      <c r="AJ42" s="337"/>
      <c r="AK42" s="337"/>
      <c r="AL42" s="338"/>
      <c r="AM42" s="336"/>
      <c r="AN42" s="337"/>
      <c r="AO42" s="337"/>
      <c r="AP42" s="337"/>
      <c r="AQ42" s="338"/>
      <c r="AR42" s="336"/>
      <c r="AS42" s="337"/>
      <c r="AT42" s="337"/>
      <c r="AU42" s="337"/>
      <c r="AV42" s="338"/>
      <c r="AW42" s="336"/>
      <c r="AX42" s="337"/>
      <c r="AY42" s="337"/>
      <c r="AZ42" s="337"/>
      <c r="BA42" s="338"/>
      <c r="BB42" s="336"/>
      <c r="BC42" s="337"/>
      <c r="BD42" s="337"/>
      <c r="BE42" s="337"/>
      <c r="BF42" s="338">
        <v>25</v>
      </c>
      <c r="BG42" s="336"/>
      <c r="BH42" s="337"/>
      <c r="BI42" s="337"/>
      <c r="BJ42" s="337"/>
      <c r="BK42" s="338"/>
      <c r="BL42" s="336"/>
      <c r="BM42" s="337"/>
      <c r="BN42" s="337"/>
      <c r="BO42" s="337"/>
      <c r="BP42" s="338"/>
      <c r="BQ42" s="336"/>
      <c r="BR42" s="337"/>
      <c r="BS42" s="337"/>
      <c r="BT42" s="337"/>
      <c r="BU42" s="339"/>
      <c r="BW42" s="236" t="str">
        <f>sum_level("o",'Needs 171007_1806'!D42:BU42)</f>
        <v/>
      </c>
      <c r="BX42" s="237" t="str">
        <f>sum_level("j",'Needs 171007_1806'!D42:BU42)</f>
        <v/>
      </c>
      <c r="BY42" s="237" t="str">
        <f>sum_level("m",'Needs 171007_1806'!D42:BU42)</f>
        <v/>
      </c>
      <c r="BZ42" s="237" t="str">
        <f>sum_level("s",'Needs 171007_1806'!D42:BU42)</f>
        <v/>
      </c>
      <c r="CA42" s="238" t="str">
        <f>sum_level("e",'Needs 171007_1806'!D42:BU42)</f>
        <v>25</v>
      </c>
    </row>
    <row r="43" spans="2:79" x14ac:dyDescent="0.25">
      <c r="B43" s="435"/>
      <c r="C43" s="291" t="s">
        <v>87</v>
      </c>
      <c r="D43" s="336"/>
      <c r="E43" s="337"/>
      <c r="F43" s="337"/>
      <c r="G43" s="337"/>
      <c r="H43" s="338"/>
      <c r="I43" s="336"/>
      <c r="J43" s="337"/>
      <c r="K43" s="337"/>
      <c r="L43" s="337"/>
      <c r="M43" s="338"/>
      <c r="N43" s="336"/>
      <c r="O43" s="337"/>
      <c r="P43" s="337"/>
      <c r="Q43" s="337"/>
      <c r="R43" s="338"/>
      <c r="S43" s="336"/>
      <c r="T43" s="337"/>
      <c r="U43" s="337"/>
      <c r="V43" s="337"/>
      <c r="W43" s="338"/>
      <c r="X43" s="336"/>
      <c r="Y43" s="337"/>
      <c r="Z43" s="337"/>
      <c r="AA43" s="337"/>
      <c r="AB43" s="338"/>
      <c r="AC43" s="336"/>
      <c r="AD43" s="337"/>
      <c r="AE43" s="337"/>
      <c r="AF43" s="337"/>
      <c r="AG43" s="338"/>
      <c r="AH43" s="336"/>
      <c r="AI43" s="337"/>
      <c r="AJ43" s="337"/>
      <c r="AK43" s="337"/>
      <c r="AL43" s="338"/>
      <c r="AM43" s="336"/>
      <c r="AN43" s="337"/>
      <c r="AO43" s="337"/>
      <c r="AP43" s="337"/>
      <c r="AQ43" s="338"/>
      <c r="AR43" s="336"/>
      <c r="AS43" s="337"/>
      <c r="AT43" s="337"/>
      <c r="AU43" s="337"/>
      <c r="AV43" s="338"/>
      <c r="AW43" s="336"/>
      <c r="AX43" s="337"/>
      <c r="AY43" s="337"/>
      <c r="AZ43" s="337"/>
      <c r="BA43" s="338"/>
      <c r="BB43" s="336"/>
      <c r="BC43" s="337"/>
      <c r="BD43" s="337"/>
      <c r="BE43" s="337"/>
      <c r="BF43" s="338"/>
      <c r="BG43" s="336"/>
      <c r="BH43" s="337"/>
      <c r="BI43" s="337"/>
      <c r="BJ43" s="337"/>
      <c r="BK43" s="338"/>
      <c r="BL43" s="336"/>
      <c r="BM43" s="337"/>
      <c r="BN43" s="337"/>
      <c r="BO43" s="337"/>
      <c r="BP43" s="338"/>
      <c r="BQ43" s="336"/>
      <c r="BR43" s="337"/>
      <c r="BS43" s="337"/>
      <c r="BT43" s="337"/>
      <c r="BU43" s="339"/>
      <c r="BW43" s="236" t="str">
        <f>sum_level("o",'Needs 171007_1806'!D43:BU43)</f>
        <v/>
      </c>
      <c r="BX43" s="237" t="str">
        <f>sum_level("j",'Needs 171007_1806'!D43:BU43)</f>
        <v/>
      </c>
      <c r="BY43" s="237" t="str">
        <f>sum_level("m",'Needs 171007_1806'!D43:BU43)</f>
        <v/>
      </c>
      <c r="BZ43" s="237" t="str">
        <f>sum_level("s",'Needs 171007_1806'!D43:BU43)</f>
        <v/>
      </c>
      <c r="CA43" s="238" t="str">
        <f>sum_level("e",'Needs 171007_1806'!D43:BU43)</f>
        <v/>
      </c>
    </row>
    <row r="44" spans="2:79" x14ac:dyDescent="0.25">
      <c r="B44" s="435"/>
      <c r="C44" s="291" t="s">
        <v>88</v>
      </c>
      <c r="D44" s="336"/>
      <c r="E44" s="337"/>
      <c r="F44" s="337"/>
      <c r="G44" s="337"/>
      <c r="H44" s="338"/>
      <c r="I44" s="336"/>
      <c r="J44" s="337"/>
      <c r="K44" s="337"/>
      <c r="L44" s="337"/>
      <c r="M44" s="338"/>
      <c r="N44" s="336"/>
      <c r="O44" s="337"/>
      <c r="P44" s="337"/>
      <c r="Q44" s="337"/>
      <c r="R44" s="338"/>
      <c r="S44" s="336"/>
      <c r="T44" s="337"/>
      <c r="U44" s="337"/>
      <c r="V44" s="337"/>
      <c r="W44" s="338"/>
      <c r="X44" s="336"/>
      <c r="Y44" s="337"/>
      <c r="Z44" s="337"/>
      <c r="AA44" s="337"/>
      <c r="AB44" s="338"/>
      <c r="AC44" s="336"/>
      <c r="AD44" s="337"/>
      <c r="AE44" s="337"/>
      <c r="AF44" s="337"/>
      <c r="AG44" s="338"/>
      <c r="AH44" s="336"/>
      <c r="AI44" s="337"/>
      <c r="AJ44" s="337"/>
      <c r="AK44" s="337"/>
      <c r="AL44" s="338"/>
      <c r="AM44" s="336"/>
      <c r="AN44" s="337"/>
      <c r="AO44" s="337"/>
      <c r="AP44" s="337"/>
      <c r="AQ44" s="338"/>
      <c r="AR44" s="336"/>
      <c r="AS44" s="337"/>
      <c r="AT44" s="337"/>
      <c r="AU44" s="337"/>
      <c r="AV44" s="338"/>
      <c r="AW44" s="336"/>
      <c r="AX44" s="337"/>
      <c r="AY44" s="337"/>
      <c r="AZ44" s="337"/>
      <c r="BA44" s="338"/>
      <c r="BB44" s="336"/>
      <c r="BC44" s="337"/>
      <c r="BD44" s="337"/>
      <c r="BE44" s="337"/>
      <c r="BF44" s="338"/>
      <c r="BG44" s="336"/>
      <c r="BH44" s="337"/>
      <c r="BI44" s="337"/>
      <c r="BJ44" s="337"/>
      <c r="BK44" s="338"/>
      <c r="BL44" s="336"/>
      <c r="BM44" s="337"/>
      <c r="BN44" s="337"/>
      <c r="BO44" s="337"/>
      <c r="BP44" s="338"/>
      <c r="BQ44" s="336"/>
      <c r="BR44" s="337"/>
      <c r="BS44" s="337"/>
      <c r="BT44" s="337"/>
      <c r="BU44" s="339"/>
      <c r="BW44" s="236" t="str">
        <f>sum_level("o",'Needs 171007_1806'!D44:BU44)</f>
        <v/>
      </c>
      <c r="BX44" s="237" t="str">
        <f>sum_level("j",'Needs 171007_1806'!D44:BU44)</f>
        <v/>
      </c>
      <c r="BY44" s="237" t="str">
        <f>sum_level("m",'Needs 171007_1806'!D44:BU44)</f>
        <v/>
      </c>
      <c r="BZ44" s="237" t="str">
        <f>sum_level("s",'Needs 171007_1806'!D44:BU44)</f>
        <v/>
      </c>
      <c r="CA44" s="238" t="str">
        <f>sum_level("e",'Needs 171007_1806'!D44:BU44)</f>
        <v/>
      </c>
    </row>
    <row r="45" spans="2:79" x14ac:dyDescent="0.25">
      <c r="B45" s="435"/>
      <c r="C45" s="291" t="s">
        <v>89</v>
      </c>
      <c r="D45" s="336"/>
      <c r="E45" s="337"/>
      <c r="F45" s="337"/>
      <c r="G45" s="337"/>
      <c r="H45" s="338"/>
      <c r="I45" s="336"/>
      <c r="J45" s="337"/>
      <c r="K45" s="337"/>
      <c r="L45" s="337"/>
      <c r="M45" s="338"/>
      <c r="N45" s="336"/>
      <c r="O45" s="337"/>
      <c r="P45" s="337"/>
      <c r="Q45" s="337"/>
      <c r="R45" s="338"/>
      <c r="S45" s="336"/>
      <c r="T45" s="337"/>
      <c r="U45" s="337"/>
      <c r="V45" s="337"/>
      <c r="W45" s="338"/>
      <c r="X45" s="336"/>
      <c r="Y45" s="337"/>
      <c r="Z45" s="337"/>
      <c r="AA45" s="337"/>
      <c r="AB45" s="338"/>
      <c r="AC45" s="336"/>
      <c r="AD45" s="337"/>
      <c r="AE45" s="337"/>
      <c r="AF45" s="337"/>
      <c r="AG45" s="338"/>
      <c r="AH45" s="336"/>
      <c r="AI45" s="337"/>
      <c r="AJ45" s="337"/>
      <c r="AK45" s="337"/>
      <c r="AL45" s="338"/>
      <c r="AM45" s="336"/>
      <c r="AN45" s="337"/>
      <c r="AO45" s="337"/>
      <c r="AP45" s="337"/>
      <c r="AQ45" s="338"/>
      <c r="AR45" s="336"/>
      <c r="AS45" s="337"/>
      <c r="AT45" s="337"/>
      <c r="AU45" s="337"/>
      <c r="AV45" s="338"/>
      <c r="AW45" s="336"/>
      <c r="AX45" s="337"/>
      <c r="AY45" s="337"/>
      <c r="AZ45" s="337"/>
      <c r="BA45" s="338"/>
      <c r="BB45" s="336"/>
      <c r="BC45" s="337"/>
      <c r="BD45" s="337"/>
      <c r="BE45" s="337"/>
      <c r="BF45" s="338"/>
      <c r="BG45" s="336"/>
      <c r="BH45" s="337"/>
      <c r="BI45" s="337"/>
      <c r="BJ45" s="337"/>
      <c r="BK45" s="338"/>
      <c r="BL45" s="336"/>
      <c r="BM45" s="337"/>
      <c r="BN45" s="337"/>
      <c r="BO45" s="337"/>
      <c r="BP45" s="338"/>
      <c r="BQ45" s="336"/>
      <c r="BR45" s="337"/>
      <c r="BS45" s="337"/>
      <c r="BT45" s="337"/>
      <c r="BU45" s="339"/>
      <c r="BW45" s="236" t="str">
        <f>sum_level("o",'Needs 171007_1806'!D45:BU45)</f>
        <v/>
      </c>
      <c r="BX45" s="237" t="str">
        <f>sum_level("j",'Needs 171007_1806'!D45:BU45)</f>
        <v/>
      </c>
      <c r="BY45" s="237" t="str">
        <f>sum_level("m",'Needs 171007_1806'!D45:BU45)</f>
        <v/>
      </c>
      <c r="BZ45" s="237" t="str">
        <f>sum_level("s",'Needs 171007_1806'!D45:BU45)</f>
        <v/>
      </c>
      <c r="CA45" s="238" t="str">
        <f>sum_level("e",'Needs 171007_1806'!D45:BU45)</f>
        <v/>
      </c>
    </row>
    <row r="46" spans="2:79" x14ac:dyDescent="0.25">
      <c r="B46" s="435"/>
      <c r="C46" s="291" t="s">
        <v>90</v>
      </c>
      <c r="D46" s="336"/>
      <c r="E46" s="337"/>
      <c r="F46" s="337"/>
      <c r="G46" s="337"/>
      <c r="H46" s="338"/>
      <c r="I46" s="336"/>
      <c r="J46" s="337"/>
      <c r="K46" s="337"/>
      <c r="L46" s="337"/>
      <c r="M46" s="338"/>
      <c r="N46" s="336"/>
      <c r="O46" s="337"/>
      <c r="P46" s="337"/>
      <c r="Q46" s="337"/>
      <c r="R46" s="338"/>
      <c r="S46" s="336"/>
      <c r="T46" s="337"/>
      <c r="U46" s="337"/>
      <c r="V46" s="337"/>
      <c r="W46" s="338"/>
      <c r="X46" s="336"/>
      <c r="Y46" s="337"/>
      <c r="Z46" s="337"/>
      <c r="AA46" s="337"/>
      <c r="AB46" s="338"/>
      <c r="AC46" s="336"/>
      <c r="AD46" s="337"/>
      <c r="AE46" s="337"/>
      <c r="AF46" s="337"/>
      <c r="AG46" s="338"/>
      <c r="AH46" s="336"/>
      <c r="AI46" s="337"/>
      <c r="AJ46" s="337"/>
      <c r="AK46" s="337"/>
      <c r="AL46" s="338"/>
      <c r="AM46" s="336"/>
      <c r="AN46" s="337"/>
      <c r="AO46" s="337"/>
      <c r="AP46" s="337"/>
      <c r="AQ46" s="338"/>
      <c r="AR46" s="336"/>
      <c r="AS46" s="337"/>
      <c r="AT46" s="337"/>
      <c r="AU46" s="337"/>
      <c r="AV46" s="338"/>
      <c r="AW46" s="336"/>
      <c r="AX46" s="337"/>
      <c r="AY46" s="337"/>
      <c r="AZ46" s="337"/>
      <c r="BA46" s="338"/>
      <c r="BB46" s="336"/>
      <c r="BC46" s="337"/>
      <c r="BD46" s="337"/>
      <c r="BE46" s="337"/>
      <c r="BF46" s="338"/>
      <c r="BG46" s="336"/>
      <c r="BH46" s="337"/>
      <c r="BI46" s="337"/>
      <c r="BJ46" s="337"/>
      <c r="BK46" s="338"/>
      <c r="BL46" s="336"/>
      <c r="BM46" s="337"/>
      <c r="BN46" s="337"/>
      <c r="BO46" s="337"/>
      <c r="BP46" s="338"/>
      <c r="BQ46" s="336"/>
      <c r="BR46" s="337"/>
      <c r="BS46" s="337"/>
      <c r="BT46" s="337"/>
      <c r="BU46" s="339"/>
      <c r="BW46" s="236" t="str">
        <f>sum_level("o",'Needs 171007_1806'!D46:BU46)</f>
        <v/>
      </c>
      <c r="BX46" s="237" t="str">
        <f>sum_level("j",'Needs 171007_1806'!D46:BU46)</f>
        <v/>
      </c>
      <c r="BY46" s="237" t="str">
        <f>sum_level("m",'Needs 171007_1806'!D46:BU46)</f>
        <v/>
      </c>
      <c r="BZ46" s="237" t="str">
        <f>sum_level("s",'Needs 171007_1806'!D46:BU46)</f>
        <v/>
      </c>
      <c r="CA46" s="238" t="str">
        <f>sum_level("e",'Needs 171007_1806'!D46:BU46)</f>
        <v/>
      </c>
    </row>
    <row r="47" spans="2:79" x14ac:dyDescent="0.25">
      <c r="B47" s="435"/>
      <c r="C47" s="291" t="s">
        <v>91</v>
      </c>
      <c r="D47" s="336"/>
      <c r="E47" s="337"/>
      <c r="F47" s="337"/>
      <c r="G47" s="337"/>
      <c r="H47" s="338"/>
      <c r="I47" s="336"/>
      <c r="J47" s="337"/>
      <c r="K47" s="337"/>
      <c r="L47" s="337"/>
      <c r="M47" s="338"/>
      <c r="N47" s="336"/>
      <c r="O47" s="337"/>
      <c r="P47" s="337"/>
      <c r="Q47" s="337"/>
      <c r="R47" s="338"/>
      <c r="S47" s="336"/>
      <c r="T47" s="337"/>
      <c r="U47" s="337"/>
      <c r="V47" s="337"/>
      <c r="W47" s="338"/>
      <c r="X47" s="336"/>
      <c r="Y47" s="337"/>
      <c r="Z47" s="337"/>
      <c r="AA47" s="337"/>
      <c r="AB47" s="338"/>
      <c r="AC47" s="336"/>
      <c r="AD47" s="337"/>
      <c r="AE47" s="337"/>
      <c r="AF47" s="337"/>
      <c r="AG47" s="338"/>
      <c r="AH47" s="336"/>
      <c r="AI47" s="337"/>
      <c r="AJ47" s="337"/>
      <c r="AK47" s="337"/>
      <c r="AL47" s="338"/>
      <c r="AM47" s="336"/>
      <c r="AN47" s="337"/>
      <c r="AO47" s="337"/>
      <c r="AP47" s="337"/>
      <c r="AQ47" s="338"/>
      <c r="AR47" s="336"/>
      <c r="AS47" s="337"/>
      <c r="AT47" s="337"/>
      <c r="AU47" s="337"/>
      <c r="AV47" s="338"/>
      <c r="AW47" s="336"/>
      <c r="AX47" s="337"/>
      <c r="AY47" s="337"/>
      <c r="AZ47" s="337"/>
      <c r="BA47" s="338"/>
      <c r="BB47" s="336"/>
      <c r="BC47" s="337"/>
      <c r="BD47" s="337"/>
      <c r="BE47" s="337"/>
      <c r="BF47" s="338"/>
      <c r="BG47" s="336"/>
      <c r="BH47" s="337"/>
      <c r="BI47" s="337"/>
      <c r="BJ47" s="337"/>
      <c r="BK47" s="338"/>
      <c r="BL47" s="336"/>
      <c r="BM47" s="337"/>
      <c r="BN47" s="337"/>
      <c r="BO47" s="337"/>
      <c r="BP47" s="338"/>
      <c r="BQ47" s="336"/>
      <c r="BR47" s="337"/>
      <c r="BS47" s="337"/>
      <c r="BT47" s="337"/>
      <c r="BU47" s="339"/>
      <c r="BW47" s="236" t="str">
        <f>sum_level("o",'Needs 171007_1806'!D47:BU47)</f>
        <v/>
      </c>
      <c r="BX47" s="237" t="str">
        <f>sum_level("j",'Needs 171007_1806'!D47:BU47)</f>
        <v/>
      </c>
      <c r="BY47" s="237" t="str">
        <f>sum_level("m",'Needs 171007_1806'!D47:BU47)</f>
        <v/>
      </c>
      <c r="BZ47" s="237" t="str">
        <f>sum_level("s",'Needs 171007_1806'!D47:BU47)</f>
        <v/>
      </c>
      <c r="CA47" s="238" t="str">
        <f>sum_level("e",'Needs 171007_1806'!D47:BU47)</f>
        <v/>
      </c>
    </row>
    <row r="48" spans="2:79" x14ac:dyDescent="0.25">
      <c r="B48" s="435"/>
      <c r="C48" s="291" t="s">
        <v>226</v>
      </c>
      <c r="D48" s="336"/>
      <c r="E48" s="337"/>
      <c r="F48" s="337"/>
      <c r="G48" s="337"/>
      <c r="H48" s="338"/>
      <c r="I48" s="336"/>
      <c r="J48" s="337"/>
      <c r="K48" s="337"/>
      <c r="L48" s="337"/>
      <c r="M48" s="338"/>
      <c r="N48" s="336"/>
      <c r="O48" s="337"/>
      <c r="P48" s="337"/>
      <c r="Q48" s="337"/>
      <c r="R48" s="338"/>
      <c r="S48" s="336"/>
      <c r="T48" s="337"/>
      <c r="U48" s="337"/>
      <c r="V48" s="337"/>
      <c r="W48" s="338"/>
      <c r="X48" s="336"/>
      <c r="Y48" s="337"/>
      <c r="Z48" s="337"/>
      <c r="AA48" s="337"/>
      <c r="AB48" s="338"/>
      <c r="AC48" s="336"/>
      <c r="AD48" s="337"/>
      <c r="AE48" s="337"/>
      <c r="AF48" s="337"/>
      <c r="AG48" s="338"/>
      <c r="AH48" s="336"/>
      <c r="AI48" s="337"/>
      <c r="AJ48" s="337"/>
      <c r="AK48" s="337"/>
      <c r="AL48" s="338"/>
      <c r="AM48" s="336"/>
      <c r="AN48" s="337"/>
      <c r="AO48" s="337"/>
      <c r="AP48" s="337"/>
      <c r="AQ48" s="338"/>
      <c r="AR48" s="336"/>
      <c r="AS48" s="337"/>
      <c r="AT48" s="337"/>
      <c r="AU48" s="337"/>
      <c r="AV48" s="338"/>
      <c r="AW48" s="336"/>
      <c r="AX48" s="337"/>
      <c r="AY48" s="337"/>
      <c r="AZ48" s="337"/>
      <c r="BA48" s="338"/>
      <c r="BB48" s="336"/>
      <c r="BC48" s="337"/>
      <c r="BD48" s="337"/>
      <c r="BE48" s="337"/>
      <c r="BF48" s="338"/>
      <c r="BG48" s="336"/>
      <c r="BH48" s="337"/>
      <c r="BI48" s="337"/>
      <c r="BJ48" s="337"/>
      <c r="BK48" s="338"/>
      <c r="BL48" s="336"/>
      <c r="BM48" s="337"/>
      <c r="BN48" s="337"/>
      <c r="BO48" s="337"/>
      <c r="BP48" s="338"/>
      <c r="BQ48" s="336"/>
      <c r="BR48" s="337"/>
      <c r="BS48" s="337"/>
      <c r="BT48" s="337"/>
      <c r="BU48" s="339"/>
      <c r="BW48" s="236" t="str">
        <f>sum_level("o",'Needs 171007_1806'!D48:BU48)</f>
        <v/>
      </c>
      <c r="BX48" s="237" t="str">
        <f>sum_level("j",'Needs 171007_1806'!D48:BU48)</f>
        <v/>
      </c>
      <c r="BY48" s="237" t="str">
        <f>sum_level("m",'Needs 171007_1806'!D48:BU48)</f>
        <v/>
      </c>
      <c r="BZ48" s="237" t="str">
        <f>sum_level("s",'Needs 171007_1806'!D48:BU48)</f>
        <v/>
      </c>
      <c r="CA48" s="238" t="str">
        <f>sum_level("e",'Needs 171007_1806'!D48:BU48)</f>
        <v/>
      </c>
    </row>
    <row r="49" spans="2:79" ht="15.75" thickBot="1" x14ac:dyDescent="0.3">
      <c r="B49" s="435"/>
      <c r="C49" s="292" t="s">
        <v>227</v>
      </c>
      <c r="D49" s="340"/>
      <c r="E49" s="341"/>
      <c r="F49" s="341"/>
      <c r="G49" s="341"/>
      <c r="H49" s="342"/>
      <c r="I49" s="340"/>
      <c r="J49" s="341"/>
      <c r="K49" s="341"/>
      <c r="L49" s="341"/>
      <c r="M49" s="342"/>
      <c r="N49" s="340"/>
      <c r="O49" s="341"/>
      <c r="P49" s="341"/>
      <c r="Q49" s="341"/>
      <c r="R49" s="342"/>
      <c r="S49" s="340"/>
      <c r="T49" s="341"/>
      <c r="U49" s="341"/>
      <c r="V49" s="341"/>
      <c r="W49" s="342"/>
      <c r="X49" s="340"/>
      <c r="Y49" s="341"/>
      <c r="Z49" s="341"/>
      <c r="AA49" s="341"/>
      <c r="AB49" s="342"/>
      <c r="AC49" s="340"/>
      <c r="AD49" s="341"/>
      <c r="AE49" s="341"/>
      <c r="AF49" s="341"/>
      <c r="AG49" s="342"/>
      <c r="AH49" s="340"/>
      <c r="AI49" s="341"/>
      <c r="AJ49" s="341"/>
      <c r="AK49" s="341"/>
      <c r="AL49" s="342"/>
      <c r="AM49" s="340"/>
      <c r="AN49" s="341"/>
      <c r="AO49" s="341"/>
      <c r="AP49" s="341"/>
      <c r="AQ49" s="342"/>
      <c r="AR49" s="340"/>
      <c r="AS49" s="341"/>
      <c r="AT49" s="341"/>
      <c r="AU49" s="341"/>
      <c r="AV49" s="342"/>
      <c r="AW49" s="340"/>
      <c r="AX49" s="341"/>
      <c r="AY49" s="341"/>
      <c r="AZ49" s="341"/>
      <c r="BA49" s="342"/>
      <c r="BB49" s="340"/>
      <c r="BC49" s="341"/>
      <c r="BD49" s="341"/>
      <c r="BE49" s="341"/>
      <c r="BF49" s="342"/>
      <c r="BG49" s="340"/>
      <c r="BH49" s="341"/>
      <c r="BI49" s="341"/>
      <c r="BJ49" s="341"/>
      <c r="BK49" s="342"/>
      <c r="BL49" s="340"/>
      <c r="BM49" s="341"/>
      <c r="BN49" s="341"/>
      <c r="BO49" s="341"/>
      <c r="BP49" s="342"/>
      <c r="BQ49" s="340"/>
      <c r="BR49" s="341"/>
      <c r="BS49" s="341"/>
      <c r="BT49" s="341"/>
      <c r="BU49" s="343"/>
      <c r="BW49" s="239" t="str">
        <f>sum_level("o",'Needs 171007_1806'!D49:BU49)</f>
        <v/>
      </c>
      <c r="BX49" s="240" t="str">
        <f>sum_level("j",'Needs 171007_1806'!D49:BU49)</f>
        <v/>
      </c>
      <c r="BY49" s="240" t="str">
        <f>sum_level("m",'Needs 171007_1806'!D49:BU49)</f>
        <v/>
      </c>
      <c r="BZ49" s="240" t="str">
        <f>sum_level("s",'Needs 171007_1806'!D49:BU49)</f>
        <v/>
      </c>
      <c r="CA49" s="241" t="str">
        <f>sum_level("e",'Needs 171007_1806'!D49:BU49)</f>
        <v/>
      </c>
    </row>
    <row r="50" spans="2:79" ht="12.75" customHeight="1" thickTop="1" thickBot="1" x14ac:dyDescent="0.3">
      <c r="B50" s="436"/>
      <c r="C50" s="248"/>
      <c r="D50" s="344"/>
      <c r="E50" s="344"/>
      <c r="F50" s="344"/>
      <c r="G50" s="344"/>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c r="BH50" s="344"/>
      <c r="BI50" s="344"/>
      <c r="BJ50" s="344"/>
      <c r="BK50" s="344"/>
      <c r="BL50" s="344"/>
      <c r="BM50" s="344"/>
      <c r="BN50" s="344"/>
      <c r="BO50" s="344"/>
      <c r="BP50" s="344"/>
      <c r="BQ50" s="344"/>
      <c r="BR50" s="344"/>
      <c r="BS50" s="344"/>
      <c r="BT50" s="344"/>
      <c r="BU50" s="344"/>
      <c r="BW50" s="249"/>
      <c r="BX50" s="249"/>
      <c r="BY50" s="249"/>
      <c r="BZ50" s="249"/>
      <c r="CA50" s="249"/>
    </row>
    <row r="51" spans="2:79" ht="15.75" thickTop="1" x14ac:dyDescent="0.25">
      <c r="B51" s="434" t="s">
        <v>122</v>
      </c>
      <c r="C51" s="290" t="s">
        <v>92</v>
      </c>
      <c r="D51" s="332"/>
      <c r="E51" s="333"/>
      <c r="F51" s="333"/>
      <c r="G51" s="333"/>
      <c r="H51" s="334"/>
      <c r="I51" s="332"/>
      <c r="J51" s="333"/>
      <c r="K51" s="333"/>
      <c r="L51" s="333"/>
      <c r="M51" s="334"/>
      <c r="N51" s="332"/>
      <c r="O51" s="333"/>
      <c r="P51" s="333"/>
      <c r="Q51" s="333"/>
      <c r="R51" s="334"/>
      <c r="S51" s="332"/>
      <c r="T51" s="333"/>
      <c r="U51" s="333"/>
      <c r="V51" s="333"/>
      <c r="W51" s="334"/>
      <c r="X51" s="332"/>
      <c r="Y51" s="333"/>
      <c r="Z51" s="333"/>
      <c r="AA51" s="333"/>
      <c r="AB51" s="334"/>
      <c r="AC51" s="332"/>
      <c r="AD51" s="333"/>
      <c r="AE51" s="333"/>
      <c r="AF51" s="333"/>
      <c r="AG51" s="334"/>
      <c r="AH51" s="332"/>
      <c r="AI51" s="333"/>
      <c r="AJ51" s="333"/>
      <c r="AK51" s="333"/>
      <c r="AL51" s="334"/>
      <c r="AM51" s="332"/>
      <c r="AN51" s="333"/>
      <c r="AO51" s="333"/>
      <c r="AP51" s="333"/>
      <c r="AQ51" s="334"/>
      <c r="AR51" s="332"/>
      <c r="AS51" s="333"/>
      <c r="AT51" s="333"/>
      <c r="AU51" s="333"/>
      <c r="AV51" s="334"/>
      <c r="AW51" s="332"/>
      <c r="AX51" s="333"/>
      <c r="AY51" s="333"/>
      <c r="AZ51" s="333"/>
      <c r="BA51" s="334"/>
      <c r="BB51" s="332"/>
      <c r="BC51" s="333"/>
      <c r="BD51" s="333"/>
      <c r="BE51" s="333"/>
      <c r="BF51" s="334"/>
      <c r="BG51" s="332">
        <v>26</v>
      </c>
      <c r="BH51" s="333"/>
      <c r="BI51" s="333"/>
      <c r="BJ51" s="333"/>
      <c r="BK51" s="334"/>
      <c r="BL51" s="332"/>
      <c r="BM51" s="333"/>
      <c r="BN51" s="333"/>
      <c r="BO51" s="333"/>
      <c r="BP51" s="334"/>
      <c r="BQ51" s="332"/>
      <c r="BR51" s="333"/>
      <c r="BS51" s="333"/>
      <c r="BT51" s="333"/>
      <c r="BU51" s="335"/>
      <c r="BW51" s="233" t="str">
        <f>sum_level("o",'Needs 171007_1806'!D51:BU51)</f>
        <v>26</v>
      </c>
      <c r="BX51" s="234" t="str">
        <f>sum_level("j",'Needs 171007_1806'!D51:BU51)</f>
        <v/>
      </c>
      <c r="BY51" s="234" t="str">
        <f>sum_level("m",'Needs 171007_1806'!D51:BU51)</f>
        <v/>
      </c>
      <c r="BZ51" s="234" t="str">
        <f>sum_level("s",'Needs 171007_1806'!D51:BU51)</f>
        <v/>
      </c>
      <c r="CA51" s="235" t="str">
        <f>sum_level("e",'Needs 171007_1806'!D51:BU51)</f>
        <v/>
      </c>
    </row>
    <row r="52" spans="2:79" x14ac:dyDescent="0.25">
      <c r="B52" s="435"/>
      <c r="C52" s="291" t="s">
        <v>93</v>
      </c>
      <c r="D52" s="336"/>
      <c r="E52" s="337"/>
      <c r="F52" s="337"/>
      <c r="G52" s="337"/>
      <c r="H52" s="338"/>
      <c r="I52" s="336"/>
      <c r="J52" s="337"/>
      <c r="K52" s="337"/>
      <c r="L52" s="337"/>
      <c r="M52" s="338"/>
      <c r="N52" s="336"/>
      <c r="O52" s="337"/>
      <c r="P52" s="337"/>
      <c r="Q52" s="337"/>
      <c r="R52" s="338"/>
      <c r="S52" s="336"/>
      <c r="T52" s="337"/>
      <c r="U52" s="337"/>
      <c r="V52" s="337"/>
      <c r="W52" s="338"/>
      <c r="X52" s="336"/>
      <c r="Y52" s="337"/>
      <c r="Z52" s="337"/>
      <c r="AA52" s="337"/>
      <c r="AB52" s="338"/>
      <c r="AC52" s="336"/>
      <c r="AD52" s="337"/>
      <c r="AE52" s="337"/>
      <c r="AF52" s="337"/>
      <c r="AG52" s="338"/>
      <c r="AH52" s="336"/>
      <c r="AI52" s="337"/>
      <c r="AJ52" s="337"/>
      <c r="AK52" s="337"/>
      <c r="AL52" s="338"/>
      <c r="AM52" s="336"/>
      <c r="AN52" s="337"/>
      <c r="AO52" s="337"/>
      <c r="AP52" s="337"/>
      <c r="AQ52" s="338"/>
      <c r="AR52" s="336"/>
      <c r="AS52" s="337"/>
      <c r="AT52" s="337"/>
      <c r="AU52" s="337"/>
      <c r="AV52" s="338"/>
      <c r="AW52" s="336"/>
      <c r="AX52" s="337"/>
      <c r="AY52" s="337"/>
      <c r="AZ52" s="337"/>
      <c r="BA52" s="338"/>
      <c r="BB52" s="336"/>
      <c r="BC52" s="337"/>
      <c r="BD52" s="337"/>
      <c r="BE52" s="337"/>
      <c r="BF52" s="338"/>
      <c r="BG52" s="336"/>
      <c r="BH52" s="337">
        <v>27</v>
      </c>
      <c r="BI52" s="337"/>
      <c r="BJ52" s="337"/>
      <c r="BK52" s="338"/>
      <c r="BL52" s="336"/>
      <c r="BM52" s="337"/>
      <c r="BN52" s="337"/>
      <c r="BO52" s="337"/>
      <c r="BP52" s="338"/>
      <c r="BQ52" s="336"/>
      <c r="BR52" s="337"/>
      <c r="BS52" s="337"/>
      <c r="BT52" s="337"/>
      <c r="BU52" s="339"/>
      <c r="BW52" s="236" t="str">
        <f>sum_level("o",'Needs 171007_1806'!D52:BU52)</f>
        <v/>
      </c>
      <c r="BX52" s="237" t="str">
        <f>sum_level("j",'Needs 171007_1806'!D52:BU52)</f>
        <v>27</v>
      </c>
      <c r="BY52" s="237" t="str">
        <f>sum_level("m",'Needs 171007_1806'!D52:BU52)</f>
        <v/>
      </c>
      <c r="BZ52" s="237" t="str">
        <f>sum_level("s",'Needs 171007_1806'!D52:BU52)</f>
        <v/>
      </c>
      <c r="CA52" s="238" t="str">
        <f>sum_level("e",'Needs 171007_1806'!D52:BU52)</f>
        <v/>
      </c>
    </row>
    <row r="53" spans="2:79" x14ac:dyDescent="0.25">
      <c r="B53" s="435"/>
      <c r="C53" s="291" t="s">
        <v>94</v>
      </c>
      <c r="D53" s="336"/>
      <c r="E53" s="337"/>
      <c r="F53" s="337"/>
      <c r="G53" s="337"/>
      <c r="H53" s="338"/>
      <c r="I53" s="336"/>
      <c r="J53" s="337"/>
      <c r="K53" s="337"/>
      <c r="L53" s="337"/>
      <c r="M53" s="338"/>
      <c r="N53" s="336"/>
      <c r="O53" s="337"/>
      <c r="P53" s="337"/>
      <c r="Q53" s="337"/>
      <c r="R53" s="338"/>
      <c r="S53" s="336"/>
      <c r="T53" s="337"/>
      <c r="U53" s="337"/>
      <c r="V53" s="337"/>
      <c r="W53" s="338"/>
      <c r="X53" s="336"/>
      <c r="Y53" s="337"/>
      <c r="Z53" s="337"/>
      <c r="AA53" s="337"/>
      <c r="AB53" s="338"/>
      <c r="AC53" s="336"/>
      <c r="AD53" s="337"/>
      <c r="AE53" s="337"/>
      <c r="AF53" s="337"/>
      <c r="AG53" s="338"/>
      <c r="AH53" s="336"/>
      <c r="AI53" s="337"/>
      <c r="AJ53" s="337"/>
      <c r="AK53" s="337"/>
      <c r="AL53" s="338"/>
      <c r="AM53" s="336"/>
      <c r="AN53" s="337"/>
      <c r="AO53" s="337"/>
      <c r="AP53" s="337"/>
      <c r="AQ53" s="338"/>
      <c r="AR53" s="336"/>
      <c r="AS53" s="337"/>
      <c r="AT53" s="337"/>
      <c r="AU53" s="337"/>
      <c r="AV53" s="338"/>
      <c r="AW53" s="336"/>
      <c r="AX53" s="337"/>
      <c r="AY53" s="337"/>
      <c r="AZ53" s="337"/>
      <c r="BA53" s="338"/>
      <c r="BB53" s="336"/>
      <c r="BC53" s="337"/>
      <c r="BD53" s="337"/>
      <c r="BE53" s="337"/>
      <c r="BF53" s="338"/>
      <c r="BG53" s="336"/>
      <c r="BH53" s="337"/>
      <c r="BI53" s="337">
        <v>28</v>
      </c>
      <c r="BJ53" s="337"/>
      <c r="BK53" s="338"/>
      <c r="BL53" s="336"/>
      <c r="BM53" s="337"/>
      <c r="BN53" s="337"/>
      <c r="BO53" s="337"/>
      <c r="BP53" s="338"/>
      <c r="BQ53" s="336"/>
      <c r="BR53" s="337"/>
      <c r="BS53" s="337"/>
      <c r="BT53" s="337"/>
      <c r="BU53" s="339"/>
      <c r="BW53" s="236" t="str">
        <f>sum_level("o",'Needs 171007_1806'!D53:BU53)</f>
        <v/>
      </c>
      <c r="BX53" s="237" t="str">
        <f>sum_level("j",'Needs 171007_1806'!D53:BU53)</f>
        <v/>
      </c>
      <c r="BY53" s="237" t="str">
        <f>sum_level("m",'Needs 171007_1806'!D53:BU53)</f>
        <v>28</v>
      </c>
      <c r="BZ53" s="237" t="str">
        <f>sum_level("s",'Needs 171007_1806'!D53:BU53)</f>
        <v/>
      </c>
      <c r="CA53" s="238" t="str">
        <f>sum_level("e",'Needs 171007_1806'!D53:BU53)</f>
        <v/>
      </c>
    </row>
    <row r="54" spans="2:79" x14ac:dyDescent="0.25">
      <c r="B54" s="435"/>
      <c r="C54" s="291" t="s">
        <v>95</v>
      </c>
      <c r="D54" s="336"/>
      <c r="E54" s="337"/>
      <c r="F54" s="337"/>
      <c r="G54" s="337"/>
      <c r="H54" s="338"/>
      <c r="I54" s="336"/>
      <c r="J54" s="337"/>
      <c r="K54" s="337"/>
      <c r="L54" s="337"/>
      <c r="M54" s="338"/>
      <c r="N54" s="336"/>
      <c r="O54" s="337"/>
      <c r="P54" s="337"/>
      <c r="Q54" s="337"/>
      <c r="R54" s="338"/>
      <c r="S54" s="336"/>
      <c r="T54" s="337"/>
      <c r="U54" s="337"/>
      <c r="V54" s="337"/>
      <c r="W54" s="338"/>
      <c r="X54" s="336"/>
      <c r="Y54" s="337"/>
      <c r="Z54" s="337"/>
      <c r="AA54" s="337"/>
      <c r="AB54" s="338"/>
      <c r="AC54" s="336"/>
      <c r="AD54" s="337"/>
      <c r="AE54" s="337"/>
      <c r="AF54" s="337"/>
      <c r="AG54" s="338"/>
      <c r="AH54" s="336"/>
      <c r="AI54" s="337"/>
      <c r="AJ54" s="337"/>
      <c r="AK54" s="337"/>
      <c r="AL54" s="338"/>
      <c r="AM54" s="336"/>
      <c r="AN54" s="337"/>
      <c r="AO54" s="337"/>
      <c r="AP54" s="337"/>
      <c r="AQ54" s="338"/>
      <c r="AR54" s="336"/>
      <c r="AS54" s="337"/>
      <c r="AT54" s="337"/>
      <c r="AU54" s="337"/>
      <c r="AV54" s="338"/>
      <c r="AW54" s="336"/>
      <c r="AX54" s="337"/>
      <c r="AY54" s="337"/>
      <c r="AZ54" s="337"/>
      <c r="BA54" s="338"/>
      <c r="BB54" s="336"/>
      <c r="BC54" s="337"/>
      <c r="BD54" s="337"/>
      <c r="BE54" s="337"/>
      <c r="BF54" s="338"/>
      <c r="BG54" s="336"/>
      <c r="BH54" s="337"/>
      <c r="BI54" s="337"/>
      <c r="BJ54" s="337">
        <v>29</v>
      </c>
      <c r="BK54" s="338"/>
      <c r="BL54" s="336"/>
      <c r="BM54" s="337"/>
      <c r="BN54" s="337"/>
      <c r="BO54" s="337"/>
      <c r="BP54" s="338"/>
      <c r="BQ54" s="336"/>
      <c r="BR54" s="337"/>
      <c r="BS54" s="337"/>
      <c r="BT54" s="337"/>
      <c r="BU54" s="339"/>
      <c r="BW54" s="236" t="str">
        <f>sum_level("o",'Needs 171007_1806'!D54:BU54)</f>
        <v/>
      </c>
      <c r="BX54" s="237" t="str">
        <f>sum_level("j",'Needs 171007_1806'!D54:BU54)</f>
        <v/>
      </c>
      <c r="BY54" s="237" t="str">
        <f>sum_level("m",'Needs 171007_1806'!D54:BU54)</f>
        <v/>
      </c>
      <c r="BZ54" s="237" t="str">
        <f>sum_level("s",'Needs 171007_1806'!D54:BU54)</f>
        <v>29</v>
      </c>
      <c r="CA54" s="238" t="str">
        <f>sum_level("e",'Needs 171007_1806'!D54:BU54)</f>
        <v/>
      </c>
    </row>
    <row r="55" spans="2:79" x14ac:dyDescent="0.25">
      <c r="B55" s="435"/>
      <c r="C55" s="291" t="s">
        <v>96</v>
      </c>
      <c r="D55" s="336"/>
      <c r="E55" s="337"/>
      <c r="F55" s="337"/>
      <c r="G55" s="337"/>
      <c r="H55" s="338"/>
      <c r="I55" s="336"/>
      <c r="J55" s="337"/>
      <c r="K55" s="337"/>
      <c r="L55" s="337"/>
      <c r="M55" s="338"/>
      <c r="N55" s="336"/>
      <c r="O55" s="337"/>
      <c r="P55" s="337"/>
      <c r="Q55" s="337"/>
      <c r="R55" s="338"/>
      <c r="S55" s="336"/>
      <c r="T55" s="337"/>
      <c r="U55" s="337"/>
      <c r="V55" s="337"/>
      <c r="W55" s="338"/>
      <c r="X55" s="336"/>
      <c r="Y55" s="337"/>
      <c r="Z55" s="337"/>
      <c r="AA55" s="337"/>
      <c r="AB55" s="338"/>
      <c r="AC55" s="336"/>
      <c r="AD55" s="337"/>
      <c r="AE55" s="337"/>
      <c r="AF55" s="337"/>
      <c r="AG55" s="338"/>
      <c r="AH55" s="336"/>
      <c r="AI55" s="337"/>
      <c r="AJ55" s="337"/>
      <c r="AK55" s="337"/>
      <c r="AL55" s="338"/>
      <c r="AM55" s="336"/>
      <c r="AN55" s="337"/>
      <c r="AO55" s="337"/>
      <c r="AP55" s="337"/>
      <c r="AQ55" s="338"/>
      <c r="AR55" s="336"/>
      <c r="AS55" s="337"/>
      <c r="AT55" s="337"/>
      <c r="AU55" s="337"/>
      <c r="AV55" s="338"/>
      <c r="AW55" s="336"/>
      <c r="AX55" s="337"/>
      <c r="AY55" s="337"/>
      <c r="AZ55" s="337"/>
      <c r="BA55" s="338"/>
      <c r="BB55" s="336"/>
      <c r="BC55" s="337"/>
      <c r="BD55" s="337"/>
      <c r="BE55" s="337"/>
      <c r="BF55" s="338"/>
      <c r="BG55" s="336"/>
      <c r="BH55" s="337"/>
      <c r="BI55" s="337"/>
      <c r="BJ55" s="337"/>
      <c r="BK55" s="338">
        <v>30</v>
      </c>
      <c r="BL55" s="336"/>
      <c r="BM55" s="337"/>
      <c r="BN55" s="337"/>
      <c r="BO55" s="337"/>
      <c r="BP55" s="338"/>
      <c r="BQ55" s="336"/>
      <c r="BR55" s="337"/>
      <c r="BS55" s="337"/>
      <c r="BT55" s="337"/>
      <c r="BU55" s="339"/>
      <c r="BW55" s="236" t="str">
        <f>sum_level("o",'Needs 171007_1806'!D55:BU55)</f>
        <v/>
      </c>
      <c r="BX55" s="237" t="str">
        <f>sum_level("j",'Needs 171007_1806'!D55:BU55)</f>
        <v/>
      </c>
      <c r="BY55" s="237" t="str">
        <f>sum_level("m",'Needs 171007_1806'!D55:BU55)</f>
        <v/>
      </c>
      <c r="BZ55" s="237" t="str">
        <f>sum_level("s",'Needs 171007_1806'!D55:BU55)</f>
        <v/>
      </c>
      <c r="CA55" s="238" t="str">
        <f>sum_level("e",'Needs 171007_1806'!D55:BU55)</f>
        <v>30</v>
      </c>
    </row>
    <row r="56" spans="2:79" x14ac:dyDescent="0.25">
      <c r="B56" s="435"/>
      <c r="C56" s="291" t="s">
        <v>97</v>
      </c>
      <c r="D56" s="336"/>
      <c r="E56" s="337"/>
      <c r="F56" s="337"/>
      <c r="G56" s="337"/>
      <c r="H56" s="338"/>
      <c r="I56" s="336"/>
      <c r="J56" s="337"/>
      <c r="K56" s="337"/>
      <c r="L56" s="337"/>
      <c r="M56" s="338"/>
      <c r="N56" s="336"/>
      <c r="O56" s="337"/>
      <c r="P56" s="337"/>
      <c r="Q56" s="337"/>
      <c r="R56" s="338"/>
      <c r="S56" s="336"/>
      <c r="T56" s="337"/>
      <c r="U56" s="337"/>
      <c r="V56" s="337"/>
      <c r="W56" s="338"/>
      <c r="X56" s="336"/>
      <c r="Y56" s="337"/>
      <c r="Z56" s="337"/>
      <c r="AA56" s="337"/>
      <c r="AB56" s="338"/>
      <c r="AC56" s="336"/>
      <c r="AD56" s="337"/>
      <c r="AE56" s="337"/>
      <c r="AF56" s="337"/>
      <c r="AG56" s="338"/>
      <c r="AH56" s="336"/>
      <c r="AI56" s="337"/>
      <c r="AJ56" s="337"/>
      <c r="AK56" s="337"/>
      <c r="AL56" s="338"/>
      <c r="AM56" s="336"/>
      <c r="AN56" s="337"/>
      <c r="AO56" s="337"/>
      <c r="AP56" s="337"/>
      <c r="AQ56" s="338"/>
      <c r="AR56" s="336"/>
      <c r="AS56" s="337"/>
      <c r="AT56" s="337"/>
      <c r="AU56" s="337"/>
      <c r="AV56" s="338"/>
      <c r="AW56" s="336"/>
      <c r="AX56" s="337"/>
      <c r="AY56" s="337"/>
      <c r="AZ56" s="337"/>
      <c r="BA56" s="338"/>
      <c r="BB56" s="336"/>
      <c r="BC56" s="337"/>
      <c r="BD56" s="337"/>
      <c r="BE56" s="337"/>
      <c r="BF56" s="338"/>
      <c r="BG56" s="336"/>
      <c r="BH56" s="337"/>
      <c r="BI56" s="337"/>
      <c r="BJ56" s="337"/>
      <c r="BK56" s="338"/>
      <c r="BL56" s="336"/>
      <c r="BM56" s="337"/>
      <c r="BN56" s="337"/>
      <c r="BO56" s="337"/>
      <c r="BP56" s="338"/>
      <c r="BQ56" s="336"/>
      <c r="BR56" s="337"/>
      <c r="BS56" s="337"/>
      <c r="BT56" s="337"/>
      <c r="BU56" s="339"/>
      <c r="BW56" s="236" t="str">
        <f>sum_level("o",'Needs 171007_1806'!D56:BU56)</f>
        <v/>
      </c>
      <c r="BX56" s="237" t="str">
        <f>sum_level("j",'Needs 171007_1806'!D56:BU56)</f>
        <v/>
      </c>
      <c r="BY56" s="237" t="str">
        <f>sum_level("m",'Needs 171007_1806'!D56:BU56)</f>
        <v/>
      </c>
      <c r="BZ56" s="237" t="str">
        <f>sum_level("s",'Needs 171007_1806'!D56:BU56)</f>
        <v/>
      </c>
      <c r="CA56" s="238" t="str">
        <f>sum_level("e",'Needs 171007_1806'!D56:BU56)</f>
        <v/>
      </c>
    </row>
    <row r="57" spans="2:79" x14ac:dyDescent="0.25">
      <c r="B57" s="435"/>
      <c r="C57" s="291" t="s">
        <v>228</v>
      </c>
      <c r="D57" s="336"/>
      <c r="E57" s="337"/>
      <c r="F57" s="337"/>
      <c r="G57" s="337"/>
      <c r="H57" s="338"/>
      <c r="I57" s="336"/>
      <c r="J57" s="337"/>
      <c r="K57" s="337"/>
      <c r="L57" s="337"/>
      <c r="M57" s="338"/>
      <c r="N57" s="336"/>
      <c r="O57" s="337"/>
      <c r="P57" s="337"/>
      <c r="Q57" s="337"/>
      <c r="R57" s="338"/>
      <c r="S57" s="336"/>
      <c r="T57" s="337"/>
      <c r="U57" s="337"/>
      <c r="V57" s="337"/>
      <c r="W57" s="338"/>
      <c r="X57" s="336"/>
      <c r="Y57" s="337"/>
      <c r="Z57" s="337"/>
      <c r="AA57" s="337"/>
      <c r="AB57" s="338"/>
      <c r="AC57" s="336"/>
      <c r="AD57" s="337"/>
      <c r="AE57" s="337"/>
      <c r="AF57" s="337"/>
      <c r="AG57" s="338"/>
      <c r="AH57" s="336"/>
      <c r="AI57" s="337"/>
      <c r="AJ57" s="337"/>
      <c r="AK57" s="337"/>
      <c r="AL57" s="338"/>
      <c r="AM57" s="336"/>
      <c r="AN57" s="337"/>
      <c r="AO57" s="337"/>
      <c r="AP57" s="337"/>
      <c r="AQ57" s="338"/>
      <c r="AR57" s="336"/>
      <c r="AS57" s="337"/>
      <c r="AT57" s="337"/>
      <c r="AU57" s="337"/>
      <c r="AV57" s="338"/>
      <c r="AW57" s="336"/>
      <c r="AX57" s="337"/>
      <c r="AY57" s="337"/>
      <c r="AZ57" s="337"/>
      <c r="BA57" s="338"/>
      <c r="BB57" s="336"/>
      <c r="BC57" s="337"/>
      <c r="BD57" s="337"/>
      <c r="BE57" s="337"/>
      <c r="BF57" s="338"/>
      <c r="BG57" s="336"/>
      <c r="BH57" s="337"/>
      <c r="BI57" s="337"/>
      <c r="BJ57" s="337"/>
      <c r="BK57" s="338"/>
      <c r="BL57" s="336"/>
      <c r="BM57" s="337"/>
      <c r="BN57" s="337"/>
      <c r="BO57" s="337"/>
      <c r="BP57" s="338"/>
      <c r="BQ57" s="336"/>
      <c r="BR57" s="337"/>
      <c r="BS57" s="337"/>
      <c r="BT57" s="337"/>
      <c r="BU57" s="339"/>
      <c r="BW57" s="236" t="str">
        <f>sum_level("o",'Needs 171007_1806'!D57:BU57)</f>
        <v/>
      </c>
      <c r="BX57" s="237" t="str">
        <f>sum_level("j",'Needs 171007_1806'!D57:BU57)</f>
        <v/>
      </c>
      <c r="BY57" s="237" t="str">
        <f>sum_level("m",'Needs 171007_1806'!D57:BU57)</f>
        <v/>
      </c>
      <c r="BZ57" s="237" t="str">
        <f>sum_level("s",'Needs 171007_1806'!D57:BU57)</f>
        <v/>
      </c>
      <c r="CA57" s="238" t="str">
        <f>sum_level("e",'Needs 171007_1806'!D57:BU57)</f>
        <v/>
      </c>
    </row>
    <row r="58" spans="2:79" ht="15.75" thickBot="1" x14ac:dyDescent="0.3">
      <c r="B58" s="435"/>
      <c r="C58" s="292" t="s">
        <v>229</v>
      </c>
      <c r="D58" s="340"/>
      <c r="E58" s="341"/>
      <c r="F58" s="341"/>
      <c r="G58" s="341"/>
      <c r="H58" s="342"/>
      <c r="I58" s="340"/>
      <c r="J58" s="341"/>
      <c r="K58" s="341"/>
      <c r="L58" s="341"/>
      <c r="M58" s="342"/>
      <c r="N58" s="340"/>
      <c r="O58" s="341"/>
      <c r="P58" s="341"/>
      <c r="Q58" s="341"/>
      <c r="R58" s="342"/>
      <c r="S58" s="340"/>
      <c r="T58" s="341"/>
      <c r="U58" s="341"/>
      <c r="V58" s="341"/>
      <c r="W58" s="342"/>
      <c r="X58" s="340"/>
      <c r="Y58" s="341"/>
      <c r="Z58" s="341"/>
      <c r="AA58" s="341"/>
      <c r="AB58" s="342"/>
      <c r="AC58" s="340"/>
      <c r="AD58" s="341"/>
      <c r="AE58" s="341"/>
      <c r="AF58" s="341"/>
      <c r="AG58" s="342"/>
      <c r="AH58" s="340"/>
      <c r="AI58" s="341"/>
      <c r="AJ58" s="341"/>
      <c r="AK58" s="341"/>
      <c r="AL58" s="342"/>
      <c r="AM58" s="340"/>
      <c r="AN58" s="341"/>
      <c r="AO58" s="341"/>
      <c r="AP58" s="341"/>
      <c r="AQ58" s="342"/>
      <c r="AR58" s="340"/>
      <c r="AS58" s="341"/>
      <c r="AT58" s="341"/>
      <c r="AU58" s="341"/>
      <c r="AV58" s="342"/>
      <c r="AW58" s="340"/>
      <c r="AX58" s="341"/>
      <c r="AY58" s="341"/>
      <c r="AZ58" s="341"/>
      <c r="BA58" s="342"/>
      <c r="BB58" s="340"/>
      <c r="BC58" s="341"/>
      <c r="BD58" s="341"/>
      <c r="BE58" s="341"/>
      <c r="BF58" s="342"/>
      <c r="BG58" s="340"/>
      <c r="BH58" s="341"/>
      <c r="BI58" s="341"/>
      <c r="BJ58" s="341"/>
      <c r="BK58" s="342"/>
      <c r="BL58" s="340"/>
      <c r="BM58" s="341"/>
      <c r="BN58" s="341"/>
      <c r="BO58" s="341"/>
      <c r="BP58" s="342"/>
      <c r="BQ58" s="340"/>
      <c r="BR58" s="341"/>
      <c r="BS58" s="341"/>
      <c r="BT58" s="341"/>
      <c r="BU58" s="343"/>
      <c r="BW58" s="239" t="str">
        <f>sum_level("o",'Needs 171007_1806'!D58:BU58)</f>
        <v/>
      </c>
      <c r="BX58" s="240" t="str">
        <f>sum_level("j",'Needs 171007_1806'!D58:BU58)</f>
        <v/>
      </c>
      <c r="BY58" s="240" t="str">
        <f>sum_level("m",'Needs 171007_1806'!D58:BU58)</f>
        <v/>
      </c>
      <c r="BZ58" s="240" t="str">
        <f>sum_level("s",'Needs 171007_1806'!D58:BU58)</f>
        <v/>
      </c>
      <c r="CA58" s="241" t="str">
        <f>sum_level("e",'Needs 171007_1806'!D58:BU58)</f>
        <v/>
      </c>
    </row>
    <row r="59" spans="2:79" ht="12.75" customHeight="1" thickTop="1" thickBot="1" x14ac:dyDescent="0.3">
      <c r="B59" s="436"/>
      <c r="C59" s="248"/>
      <c r="D59" s="344"/>
      <c r="E59" s="344"/>
      <c r="F59" s="344"/>
      <c r="G59" s="344"/>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c r="BH59" s="344"/>
      <c r="BI59" s="344"/>
      <c r="BJ59" s="344"/>
      <c r="BK59" s="344"/>
      <c r="BL59" s="344"/>
      <c r="BM59" s="344"/>
      <c r="BN59" s="344"/>
      <c r="BO59" s="344"/>
      <c r="BP59" s="344"/>
      <c r="BQ59" s="344"/>
      <c r="BR59" s="344"/>
      <c r="BS59" s="344"/>
      <c r="BT59" s="344"/>
      <c r="BU59" s="344"/>
      <c r="BW59" s="249"/>
      <c r="BX59" s="249"/>
      <c r="BY59" s="249"/>
      <c r="BZ59" s="249"/>
      <c r="CA59" s="249"/>
    </row>
    <row r="60" spans="2:79" ht="15.75" thickTop="1" x14ac:dyDescent="0.25">
      <c r="B60" s="434" t="s">
        <v>98</v>
      </c>
      <c r="C60" s="290" t="s">
        <v>99</v>
      </c>
      <c r="D60" s="332"/>
      <c r="E60" s="333"/>
      <c r="F60" s="333"/>
      <c r="G60" s="333"/>
      <c r="H60" s="334"/>
      <c r="I60" s="332"/>
      <c r="J60" s="333"/>
      <c r="K60" s="333"/>
      <c r="L60" s="333"/>
      <c r="M60" s="334"/>
      <c r="N60" s="332"/>
      <c r="O60" s="333"/>
      <c r="P60" s="333"/>
      <c r="Q60" s="333"/>
      <c r="R60" s="334"/>
      <c r="S60" s="332"/>
      <c r="T60" s="333"/>
      <c r="U60" s="333"/>
      <c r="V60" s="333"/>
      <c r="W60" s="334"/>
      <c r="X60" s="332"/>
      <c r="Y60" s="333"/>
      <c r="Z60" s="333"/>
      <c r="AA60" s="333"/>
      <c r="AB60" s="334"/>
      <c r="AC60" s="332"/>
      <c r="AD60" s="333"/>
      <c r="AE60" s="333"/>
      <c r="AF60" s="333"/>
      <c r="AG60" s="334"/>
      <c r="AH60" s="332"/>
      <c r="AI60" s="333"/>
      <c r="AJ60" s="333"/>
      <c r="AK60" s="333"/>
      <c r="AL60" s="334"/>
      <c r="AM60" s="332"/>
      <c r="AN60" s="333"/>
      <c r="AO60" s="333"/>
      <c r="AP60" s="333"/>
      <c r="AQ60" s="334"/>
      <c r="AR60" s="332"/>
      <c r="AS60" s="333"/>
      <c r="AT60" s="333"/>
      <c r="AU60" s="333"/>
      <c r="AV60" s="334"/>
      <c r="AW60" s="332"/>
      <c r="AX60" s="333"/>
      <c r="AY60" s="333"/>
      <c r="AZ60" s="333"/>
      <c r="BA60" s="334"/>
      <c r="BB60" s="332"/>
      <c r="BC60" s="333"/>
      <c r="BD60" s="333"/>
      <c r="BE60" s="333"/>
      <c r="BF60" s="334"/>
      <c r="BG60" s="332"/>
      <c r="BH60" s="333"/>
      <c r="BI60" s="333"/>
      <c r="BJ60" s="333"/>
      <c r="BK60" s="334"/>
      <c r="BL60" s="332">
        <v>31</v>
      </c>
      <c r="BM60" s="333"/>
      <c r="BN60" s="333"/>
      <c r="BO60" s="333"/>
      <c r="BP60" s="334"/>
      <c r="BQ60" s="332"/>
      <c r="BR60" s="333"/>
      <c r="BS60" s="333"/>
      <c r="BT60" s="333"/>
      <c r="BU60" s="335"/>
      <c r="BW60" s="233" t="str">
        <f>sum_level("o",'Needs 171007_1806'!D60:BU60)</f>
        <v>31</v>
      </c>
      <c r="BX60" s="234" t="str">
        <f>sum_level("j",'Needs 171007_1806'!D60:BU60)</f>
        <v/>
      </c>
      <c r="BY60" s="234" t="str">
        <f>sum_level("m",'Needs 171007_1806'!D60:BU60)</f>
        <v/>
      </c>
      <c r="BZ60" s="234" t="str">
        <f>sum_level("s",'Needs 171007_1806'!D60:BU60)</f>
        <v/>
      </c>
      <c r="CA60" s="235" t="str">
        <f>sum_level("e",'Needs 171007_1806'!D60:BU60)</f>
        <v/>
      </c>
    </row>
    <row r="61" spans="2:79" x14ac:dyDescent="0.25">
      <c r="B61" s="435"/>
      <c r="C61" s="291" t="s">
        <v>100</v>
      </c>
      <c r="D61" s="336"/>
      <c r="E61" s="337"/>
      <c r="F61" s="337"/>
      <c r="G61" s="337"/>
      <c r="H61" s="338"/>
      <c r="I61" s="336"/>
      <c r="J61" s="337"/>
      <c r="K61" s="337"/>
      <c r="L61" s="337"/>
      <c r="M61" s="338"/>
      <c r="N61" s="336"/>
      <c r="O61" s="337"/>
      <c r="P61" s="337"/>
      <c r="Q61" s="337"/>
      <c r="R61" s="338"/>
      <c r="S61" s="336"/>
      <c r="T61" s="337"/>
      <c r="U61" s="337"/>
      <c r="V61" s="337"/>
      <c r="W61" s="338"/>
      <c r="X61" s="336"/>
      <c r="Y61" s="337"/>
      <c r="Z61" s="337"/>
      <c r="AA61" s="337"/>
      <c r="AB61" s="338"/>
      <c r="AC61" s="336"/>
      <c r="AD61" s="337"/>
      <c r="AE61" s="337"/>
      <c r="AF61" s="337"/>
      <c r="AG61" s="338"/>
      <c r="AH61" s="336"/>
      <c r="AI61" s="337"/>
      <c r="AJ61" s="337"/>
      <c r="AK61" s="337"/>
      <c r="AL61" s="338"/>
      <c r="AM61" s="336"/>
      <c r="AN61" s="337"/>
      <c r="AO61" s="337"/>
      <c r="AP61" s="337"/>
      <c r="AQ61" s="338"/>
      <c r="AR61" s="336"/>
      <c r="AS61" s="337"/>
      <c r="AT61" s="337"/>
      <c r="AU61" s="337"/>
      <c r="AV61" s="338"/>
      <c r="AW61" s="336"/>
      <c r="AX61" s="337"/>
      <c r="AY61" s="337"/>
      <c r="AZ61" s="337"/>
      <c r="BA61" s="338"/>
      <c r="BB61" s="336"/>
      <c r="BC61" s="337"/>
      <c r="BD61" s="337"/>
      <c r="BE61" s="337"/>
      <c r="BF61" s="338"/>
      <c r="BG61" s="336"/>
      <c r="BH61" s="337"/>
      <c r="BI61" s="337"/>
      <c r="BJ61" s="337"/>
      <c r="BK61" s="338"/>
      <c r="BL61" s="336"/>
      <c r="BM61" s="337">
        <v>32</v>
      </c>
      <c r="BN61" s="337"/>
      <c r="BO61" s="337"/>
      <c r="BP61" s="338"/>
      <c r="BQ61" s="336"/>
      <c r="BR61" s="337"/>
      <c r="BS61" s="337"/>
      <c r="BT61" s="337"/>
      <c r="BU61" s="339"/>
      <c r="BW61" s="236" t="str">
        <f>sum_level("o",'Needs 171007_1806'!D61:BU61)</f>
        <v/>
      </c>
      <c r="BX61" s="237" t="str">
        <f>sum_level("j",'Needs 171007_1806'!D61:BU61)</f>
        <v>32</v>
      </c>
      <c r="BY61" s="237" t="str">
        <f>sum_level("m",'Needs 171007_1806'!D61:BU61)</f>
        <v/>
      </c>
      <c r="BZ61" s="237" t="str">
        <f>sum_level("s",'Needs 171007_1806'!D61:BU61)</f>
        <v/>
      </c>
      <c r="CA61" s="238" t="str">
        <f>sum_level("e",'Needs 171007_1806'!D61:BU61)</f>
        <v/>
      </c>
    </row>
    <row r="62" spans="2:79" x14ac:dyDescent="0.25">
      <c r="B62" s="435"/>
      <c r="C62" s="291" t="s">
        <v>101</v>
      </c>
      <c r="D62" s="336"/>
      <c r="E62" s="337"/>
      <c r="F62" s="337"/>
      <c r="G62" s="337"/>
      <c r="H62" s="338"/>
      <c r="I62" s="336"/>
      <c r="J62" s="337"/>
      <c r="K62" s="337"/>
      <c r="L62" s="337"/>
      <c r="M62" s="338"/>
      <c r="N62" s="336"/>
      <c r="O62" s="337"/>
      <c r="P62" s="337"/>
      <c r="Q62" s="337"/>
      <c r="R62" s="338"/>
      <c r="S62" s="336"/>
      <c r="T62" s="337"/>
      <c r="U62" s="337"/>
      <c r="V62" s="337"/>
      <c r="W62" s="338"/>
      <c r="X62" s="336"/>
      <c r="Y62" s="337"/>
      <c r="Z62" s="337"/>
      <c r="AA62" s="337"/>
      <c r="AB62" s="338"/>
      <c r="AC62" s="336"/>
      <c r="AD62" s="337"/>
      <c r="AE62" s="337"/>
      <c r="AF62" s="337"/>
      <c r="AG62" s="338"/>
      <c r="AH62" s="336"/>
      <c r="AI62" s="337"/>
      <c r="AJ62" s="337"/>
      <c r="AK62" s="337"/>
      <c r="AL62" s="338"/>
      <c r="AM62" s="336"/>
      <c r="AN62" s="337"/>
      <c r="AO62" s="337"/>
      <c r="AP62" s="337"/>
      <c r="AQ62" s="338"/>
      <c r="AR62" s="336"/>
      <c r="AS62" s="337"/>
      <c r="AT62" s="337"/>
      <c r="AU62" s="337"/>
      <c r="AV62" s="338"/>
      <c r="AW62" s="336"/>
      <c r="AX62" s="337"/>
      <c r="AY62" s="337"/>
      <c r="AZ62" s="337"/>
      <c r="BA62" s="338"/>
      <c r="BB62" s="336"/>
      <c r="BC62" s="337"/>
      <c r="BD62" s="337"/>
      <c r="BE62" s="337"/>
      <c r="BF62" s="338"/>
      <c r="BG62" s="336"/>
      <c r="BH62" s="337"/>
      <c r="BI62" s="337"/>
      <c r="BJ62" s="337"/>
      <c r="BK62" s="338"/>
      <c r="BL62" s="336"/>
      <c r="BM62" s="337"/>
      <c r="BN62" s="337">
        <v>33</v>
      </c>
      <c r="BO62" s="337"/>
      <c r="BP62" s="338"/>
      <c r="BQ62" s="336"/>
      <c r="BR62" s="337"/>
      <c r="BS62" s="337"/>
      <c r="BT62" s="337"/>
      <c r="BU62" s="339"/>
      <c r="BW62" s="236" t="str">
        <f>sum_level("o",'Needs 171007_1806'!D62:BU62)</f>
        <v/>
      </c>
      <c r="BX62" s="237" t="str">
        <f>sum_level("j",'Needs 171007_1806'!D62:BU62)</f>
        <v/>
      </c>
      <c r="BY62" s="237" t="str">
        <f>sum_level("m",'Needs 171007_1806'!D62:BU62)</f>
        <v>33</v>
      </c>
      <c r="BZ62" s="237" t="str">
        <f>sum_level("s",'Needs 171007_1806'!D62:BU62)</f>
        <v/>
      </c>
      <c r="CA62" s="238" t="str">
        <f>sum_level("e",'Needs 171007_1806'!D62:BU62)</f>
        <v/>
      </c>
    </row>
    <row r="63" spans="2:79" x14ac:dyDescent="0.25">
      <c r="B63" s="435"/>
      <c r="C63" s="291" t="s">
        <v>102</v>
      </c>
      <c r="D63" s="336"/>
      <c r="E63" s="337"/>
      <c r="F63" s="337"/>
      <c r="G63" s="337"/>
      <c r="H63" s="338"/>
      <c r="I63" s="336"/>
      <c r="J63" s="337"/>
      <c r="K63" s="337"/>
      <c r="L63" s="337"/>
      <c r="M63" s="338"/>
      <c r="N63" s="336"/>
      <c r="O63" s="337"/>
      <c r="P63" s="337"/>
      <c r="Q63" s="337"/>
      <c r="R63" s="338"/>
      <c r="S63" s="336"/>
      <c r="T63" s="337"/>
      <c r="U63" s="337"/>
      <c r="V63" s="337"/>
      <c r="W63" s="338"/>
      <c r="X63" s="336"/>
      <c r="Y63" s="337"/>
      <c r="Z63" s="337"/>
      <c r="AA63" s="337"/>
      <c r="AB63" s="338"/>
      <c r="AC63" s="336"/>
      <c r="AD63" s="337"/>
      <c r="AE63" s="337"/>
      <c r="AF63" s="337"/>
      <c r="AG63" s="338"/>
      <c r="AH63" s="336"/>
      <c r="AI63" s="337"/>
      <c r="AJ63" s="337"/>
      <c r="AK63" s="337"/>
      <c r="AL63" s="338"/>
      <c r="AM63" s="336"/>
      <c r="AN63" s="337"/>
      <c r="AO63" s="337"/>
      <c r="AP63" s="337"/>
      <c r="AQ63" s="338"/>
      <c r="AR63" s="336"/>
      <c r="AS63" s="337"/>
      <c r="AT63" s="337"/>
      <c r="AU63" s="337"/>
      <c r="AV63" s="338"/>
      <c r="AW63" s="336"/>
      <c r="AX63" s="337"/>
      <c r="AY63" s="337"/>
      <c r="AZ63" s="337"/>
      <c r="BA63" s="338"/>
      <c r="BB63" s="336"/>
      <c r="BC63" s="337"/>
      <c r="BD63" s="337"/>
      <c r="BE63" s="337"/>
      <c r="BF63" s="338"/>
      <c r="BG63" s="336"/>
      <c r="BH63" s="337"/>
      <c r="BI63" s="337"/>
      <c r="BJ63" s="337"/>
      <c r="BK63" s="338"/>
      <c r="BL63" s="336"/>
      <c r="BM63" s="337"/>
      <c r="BN63" s="337"/>
      <c r="BO63" s="337">
        <v>34</v>
      </c>
      <c r="BP63" s="338"/>
      <c r="BQ63" s="336"/>
      <c r="BR63" s="337"/>
      <c r="BS63" s="337"/>
      <c r="BT63" s="337"/>
      <c r="BU63" s="339"/>
      <c r="BW63" s="236" t="str">
        <f>sum_level("o",'Needs 171007_1806'!D63:BU63)</f>
        <v/>
      </c>
      <c r="BX63" s="237" t="str">
        <f>sum_level("j",'Needs 171007_1806'!D63:BU63)</f>
        <v/>
      </c>
      <c r="BY63" s="237" t="str">
        <f>sum_level("m",'Needs 171007_1806'!D63:BU63)</f>
        <v/>
      </c>
      <c r="BZ63" s="237" t="str">
        <f>sum_level("s",'Needs 171007_1806'!D63:BU63)</f>
        <v>34</v>
      </c>
      <c r="CA63" s="238" t="str">
        <f>sum_level("e",'Needs 171007_1806'!D63:BU63)</f>
        <v/>
      </c>
    </row>
    <row r="64" spans="2:79" x14ac:dyDescent="0.25">
      <c r="B64" s="435"/>
      <c r="C64" s="291" t="s">
        <v>103</v>
      </c>
      <c r="D64" s="336"/>
      <c r="E64" s="337"/>
      <c r="F64" s="337"/>
      <c r="G64" s="337"/>
      <c r="H64" s="338"/>
      <c r="I64" s="336"/>
      <c r="J64" s="337"/>
      <c r="K64" s="337"/>
      <c r="L64" s="337"/>
      <c r="M64" s="338"/>
      <c r="N64" s="336"/>
      <c r="O64" s="337"/>
      <c r="P64" s="337"/>
      <c r="Q64" s="337"/>
      <c r="R64" s="338"/>
      <c r="S64" s="336"/>
      <c r="T64" s="337"/>
      <c r="U64" s="337"/>
      <c r="V64" s="337"/>
      <c r="W64" s="338"/>
      <c r="X64" s="336"/>
      <c r="Y64" s="337"/>
      <c r="Z64" s="337"/>
      <c r="AA64" s="337"/>
      <c r="AB64" s="338"/>
      <c r="AC64" s="336"/>
      <c r="AD64" s="337"/>
      <c r="AE64" s="337"/>
      <c r="AF64" s="337"/>
      <c r="AG64" s="338"/>
      <c r="AH64" s="336"/>
      <c r="AI64" s="337"/>
      <c r="AJ64" s="337"/>
      <c r="AK64" s="337"/>
      <c r="AL64" s="338"/>
      <c r="AM64" s="336"/>
      <c r="AN64" s="337"/>
      <c r="AO64" s="337"/>
      <c r="AP64" s="337"/>
      <c r="AQ64" s="338"/>
      <c r="AR64" s="336"/>
      <c r="AS64" s="337"/>
      <c r="AT64" s="337"/>
      <c r="AU64" s="337"/>
      <c r="AV64" s="338"/>
      <c r="AW64" s="336"/>
      <c r="AX64" s="337"/>
      <c r="AY64" s="337"/>
      <c r="AZ64" s="337"/>
      <c r="BA64" s="338"/>
      <c r="BB64" s="336"/>
      <c r="BC64" s="337"/>
      <c r="BD64" s="337"/>
      <c r="BE64" s="337"/>
      <c r="BF64" s="338"/>
      <c r="BG64" s="336"/>
      <c r="BH64" s="337"/>
      <c r="BI64" s="337"/>
      <c r="BJ64" s="337"/>
      <c r="BK64" s="338"/>
      <c r="BL64" s="336"/>
      <c r="BM64" s="337"/>
      <c r="BN64" s="337"/>
      <c r="BO64" s="337"/>
      <c r="BP64" s="338">
        <v>35</v>
      </c>
      <c r="BQ64" s="336"/>
      <c r="BR64" s="337"/>
      <c r="BS64" s="337"/>
      <c r="BT64" s="337"/>
      <c r="BU64" s="339"/>
      <c r="BW64" s="236" t="str">
        <f>sum_level("o",'Needs 171007_1806'!D64:BU64)</f>
        <v/>
      </c>
      <c r="BX64" s="237" t="str">
        <f>sum_level("j",'Needs 171007_1806'!D64:BU64)</f>
        <v/>
      </c>
      <c r="BY64" s="237" t="str">
        <f>sum_level("m",'Needs 171007_1806'!D64:BU64)</f>
        <v/>
      </c>
      <c r="BZ64" s="237" t="str">
        <f>sum_level("s",'Needs 171007_1806'!D64:BU64)</f>
        <v/>
      </c>
      <c r="CA64" s="238" t="str">
        <f>sum_level("e",'Needs 171007_1806'!D64:BU64)</f>
        <v>35</v>
      </c>
    </row>
    <row r="65" spans="2:79" x14ac:dyDescent="0.25">
      <c r="B65" s="435"/>
      <c r="C65" s="291" t="s">
        <v>104</v>
      </c>
      <c r="D65" s="336"/>
      <c r="E65" s="337"/>
      <c r="F65" s="337"/>
      <c r="G65" s="337"/>
      <c r="H65" s="338"/>
      <c r="I65" s="336"/>
      <c r="J65" s="337"/>
      <c r="K65" s="337"/>
      <c r="L65" s="337"/>
      <c r="M65" s="338"/>
      <c r="N65" s="336"/>
      <c r="O65" s="337"/>
      <c r="P65" s="337"/>
      <c r="Q65" s="337"/>
      <c r="R65" s="338"/>
      <c r="S65" s="336"/>
      <c r="T65" s="337"/>
      <c r="U65" s="337"/>
      <c r="V65" s="337"/>
      <c r="W65" s="338"/>
      <c r="X65" s="336"/>
      <c r="Y65" s="337"/>
      <c r="Z65" s="337"/>
      <c r="AA65" s="337"/>
      <c r="AB65" s="338"/>
      <c r="AC65" s="336"/>
      <c r="AD65" s="337"/>
      <c r="AE65" s="337"/>
      <c r="AF65" s="337"/>
      <c r="AG65" s="338"/>
      <c r="AH65" s="336"/>
      <c r="AI65" s="337"/>
      <c r="AJ65" s="337"/>
      <c r="AK65" s="337"/>
      <c r="AL65" s="338"/>
      <c r="AM65" s="336"/>
      <c r="AN65" s="337"/>
      <c r="AO65" s="337"/>
      <c r="AP65" s="337"/>
      <c r="AQ65" s="338"/>
      <c r="AR65" s="336"/>
      <c r="AS65" s="337"/>
      <c r="AT65" s="337"/>
      <c r="AU65" s="337"/>
      <c r="AV65" s="338"/>
      <c r="AW65" s="336"/>
      <c r="AX65" s="337"/>
      <c r="AY65" s="337"/>
      <c r="AZ65" s="337"/>
      <c r="BA65" s="338"/>
      <c r="BB65" s="336"/>
      <c r="BC65" s="337"/>
      <c r="BD65" s="337"/>
      <c r="BE65" s="337"/>
      <c r="BF65" s="338"/>
      <c r="BG65" s="336"/>
      <c r="BH65" s="337"/>
      <c r="BI65" s="337"/>
      <c r="BJ65" s="337"/>
      <c r="BK65" s="338"/>
      <c r="BL65" s="336"/>
      <c r="BM65" s="337"/>
      <c r="BN65" s="337"/>
      <c r="BO65" s="337"/>
      <c r="BP65" s="338"/>
      <c r="BQ65" s="336"/>
      <c r="BR65" s="337"/>
      <c r="BS65" s="337"/>
      <c r="BT65" s="337"/>
      <c r="BU65" s="339"/>
      <c r="BW65" s="236" t="str">
        <f>sum_level("o",'Needs 171007_1806'!D65:BU65)</f>
        <v/>
      </c>
      <c r="BX65" s="237" t="str">
        <f>sum_level("j",'Needs 171007_1806'!D65:BU65)</f>
        <v/>
      </c>
      <c r="BY65" s="237" t="str">
        <f>sum_level("m",'Needs 171007_1806'!D65:BU65)</f>
        <v/>
      </c>
      <c r="BZ65" s="237" t="str">
        <f>sum_level("s",'Needs 171007_1806'!D65:BU65)</f>
        <v/>
      </c>
      <c r="CA65" s="238" t="str">
        <f>sum_level("e",'Needs 171007_1806'!D65:BU65)</f>
        <v/>
      </c>
    </row>
    <row r="66" spans="2:79" x14ac:dyDescent="0.25">
      <c r="B66" s="435"/>
      <c r="C66" s="291" t="s">
        <v>105</v>
      </c>
      <c r="D66" s="336"/>
      <c r="E66" s="337"/>
      <c r="F66" s="337"/>
      <c r="G66" s="337"/>
      <c r="H66" s="338"/>
      <c r="I66" s="336"/>
      <c r="J66" s="337"/>
      <c r="K66" s="337"/>
      <c r="L66" s="337"/>
      <c r="M66" s="338"/>
      <c r="N66" s="336"/>
      <c r="O66" s="337"/>
      <c r="P66" s="337"/>
      <c r="Q66" s="337"/>
      <c r="R66" s="338"/>
      <c r="S66" s="336"/>
      <c r="T66" s="337"/>
      <c r="U66" s="337"/>
      <c r="V66" s="337"/>
      <c r="W66" s="338"/>
      <c r="X66" s="336"/>
      <c r="Y66" s="337"/>
      <c r="Z66" s="337"/>
      <c r="AA66" s="337"/>
      <c r="AB66" s="338"/>
      <c r="AC66" s="336"/>
      <c r="AD66" s="337"/>
      <c r="AE66" s="337"/>
      <c r="AF66" s="337"/>
      <c r="AG66" s="338"/>
      <c r="AH66" s="336"/>
      <c r="AI66" s="337"/>
      <c r="AJ66" s="337"/>
      <c r="AK66" s="337"/>
      <c r="AL66" s="338"/>
      <c r="AM66" s="336"/>
      <c r="AN66" s="337"/>
      <c r="AO66" s="337"/>
      <c r="AP66" s="337"/>
      <c r="AQ66" s="338"/>
      <c r="AR66" s="336"/>
      <c r="AS66" s="337"/>
      <c r="AT66" s="337"/>
      <c r="AU66" s="337"/>
      <c r="AV66" s="338"/>
      <c r="AW66" s="336"/>
      <c r="AX66" s="337"/>
      <c r="AY66" s="337"/>
      <c r="AZ66" s="337"/>
      <c r="BA66" s="338"/>
      <c r="BB66" s="336"/>
      <c r="BC66" s="337"/>
      <c r="BD66" s="337"/>
      <c r="BE66" s="337"/>
      <c r="BF66" s="338"/>
      <c r="BG66" s="336"/>
      <c r="BH66" s="337"/>
      <c r="BI66" s="337"/>
      <c r="BJ66" s="337"/>
      <c r="BK66" s="338"/>
      <c r="BL66" s="336"/>
      <c r="BM66" s="337"/>
      <c r="BN66" s="337"/>
      <c r="BO66" s="337"/>
      <c r="BP66" s="338"/>
      <c r="BQ66" s="336"/>
      <c r="BR66" s="337"/>
      <c r="BS66" s="337"/>
      <c r="BT66" s="337"/>
      <c r="BU66" s="339"/>
      <c r="BW66" s="236" t="str">
        <f>sum_level("o",'Needs 171007_1806'!D66:BU66)</f>
        <v/>
      </c>
      <c r="BX66" s="237" t="str">
        <f>sum_level("j",'Needs 171007_1806'!D66:BU66)</f>
        <v/>
      </c>
      <c r="BY66" s="237" t="str">
        <f>sum_level("m",'Needs 171007_1806'!D66:BU66)</f>
        <v/>
      </c>
      <c r="BZ66" s="237" t="str">
        <f>sum_level("s",'Needs 171007_1806'!D66:BU66)</f>
        <v/>
      </c>
      <c r="CA66" s="238" t="str">
        <f>sum_level("e",'Needs 171007_1806'!D66:BU66)</f>
        <v/>
      </c>
    </row>
    <row r="67" spans="2:79" x14ac:dyDescent="0.25">
      <c r="B67" s="435"/>
      <c r="C67" s="291" t="s">
        <v>106</v>
      </c>
      <c r="D67" s="336"/>
      <c r="E67" s="337"/>
      <c r="F67" s="337"/>
      <c r="G67" s="337"/>
      <c r="H67" s="338"/>
      <c r="I67" s="336"/>
      <c r="J67" s="337"/>
      <c r="K67" s="337"/>
      <c r="L67" s="337"/>
      <c r="M67" s="338"/>
      <c r="N67" s="336"/>
      <c r="O67" s="337"/>
      <c r="P67" s="337"/>
      <c r="Q67" s="337"/>
      <c r="R67" s="338"/>
      <c r="S67" s="336"/>
      <c r="T67" s="337"/>
      <c r="U67" s="337"/>
      <c r="V67" s="337"/>
      <c r="W67" s="338"/>
      <c r="X67" s="336"/>
      <c r="Y67" s="337"/>
      <c r="Z67" s="337"/>
      <c r="AA67" s="337"/>
      <c r="AB67" s="338"/>
      <c r="AC67" s="336"/>
      <c r="AD67" s="337"/>
      <c r="AE67" s="337"/>
      <c r="AF67" s="337"/>
      <c r="AG67" s="338"/>
      <c r="AH67" s="336"/>
      <c r="AI67" s="337"/>
      <c r="AJ67" s="337"/>
      <c r="AK67" s="337"/>
      <c r="AL67" s="338"/>
      <c r="AM67" s="336"/>
      <c r="AN67" s="337"/>
      <c r="AO67" s="337"/>
      <c r="AP67" s="337"/>
      <c r="AQ67" s="338"/>
      <c r="AR67" s="336"/>
      <c r="AS67" s="337"/>
      <c r="AT67" s="337"/>
      <c r="AU67" s="337"/>
      <c r="AV67" s="338"/>
      <c r="AW67" s="336"/>
      <c r="AX67" s="337"/>
      <c r="AY67" s="337"/>
      <c r="AZ67" s="337"/>
      <c r="BA67" s="338"/>
      <c r="BB67" s="336"/>
      <c r="BC67" s="337"/>
      <c r="BD67" s="337"/>
      <c r="BE67" s="337"/>
      <c r="BF67" s="338"/>
      <c r="BG67" s="336"/>
      <c r="BH67" s="337"/>
      <c r="BI67" s="337"/>
      <c r="BJ67" s="337"/>
      <c r="BK67" s="338"/>
      <c r="BL67" s="336"/>
      <c r="BM67" s="337"/>
      <c r="BN67" s="337"/>
      <c r="BO67" s="337"/>
      <c r="BP67" s="338"/>
      <c r="BQ67" s="336"/>
      <c r="BR67" s="337"/>
      <c r="BS67" s="337"/>
      <c r="BT67" s="337"/>
      <c r="BU67" s="339"/>
      <c r="BW67" s="236" t="str">
        <f>sum_level("o",'Needs 171007_1806'!D67:BU67)</f>
        <v/>
      </c>
      <c r="BX67" s="237" t="str">
        <f>sum_level("j",'Needs 171007_1806'!D67:BU67)</f>
        <v/>
      </c>
      <c r="BY67" s="237" t="str">
        <f>sum_level("m",'Needs 171007_1806'!D67:BU67)</f>
        <v/>
      </c>
      <c r="BZ67" s="237" t="str">
        <f>sum_level("s",'Needs 171007_1806'!D67:BU67)</f>
        <v/>
      </c>
      <c r="CA67" s="238" t="str">
        <f>sum_level("e",'Needs 171007_1806'!D67:BU67)</f>
        <v/>
      </c>
    </row>
    <row r="68" spans="2:79" x14ac:dyDescent="0.25">
      <c r="B68" s="435"/>
      <c r="C68" s="291" t="s">
        <v>107</v>
      </c>
      <c r="D68" s="336"/>
      <c r="E68" s="337"/>
      <c r="F68" s="337"/>
      <c r="G68" s="337"/>
      <c r="H68" s="338"/>
      <c r="I68" s="336"/>
      <c r="J68" s="337"/>
      <c r="K68" s="337"/>
      <c r="L68" s="337"/>
      <c r="M68" s="338"/>
      <c r="N68" s="336"/>
      <c r="O68" s="337"/>
      <c r="P68" s="337"/>
      <c r="Q68" s="337"/>
      <c r="R68" s="338"/>
      <c r="S68" s="336"/>
      <c r="T68" s="337"/>
      <c r="U68" s="337"/>
      <c r="V68" s="337"/>
      <c r="W68" s="338"/>
      <c r="X68" s="336"/>
      <c r="Y68" s="337"/>
      <c r="Z68" s="337"/>
      <c r="AA68" s="337"/>
      <c r="AB68" s="338"/>
      <c r="AC68" s="336"/>
      <c r="AD68" s="337"/>
      <c r="AE68" s="337"/>
      <c r="AF68" s="337"/>
      <c r="AG68" s="338"/>
      <c r="AH68" s="336"/>
      <c r="AI68" s="337"/>
      <c r="AJ68" s="337"/>
      <c r="AK68" s="337"/>
      <c r="AL68" s="338"/>
      <c r="AM68" s="336"/>
      <c r="AN68" s="337"/>
      <c r="AO68" s="337"/>
      <c r="AP68" s="337"/>
      <c r="AQ68" s="338"/>
      <c r="AR68" s="336"/>
      <c r="AS68" s="337"/>
      <c r="AT68" s="337"/>
      <c r="AU68" s="337"/>
      <c r="AV68" s="338"/>
      <c r="AW68" s="336"/>
      <c r="AX68" s="337"/>
      <c r="AY68" s="337"/>
      <c r="AZ68" s="337"/>
      <c r="BA68" s="338"/>
      <c r="BB68" s="336"/>
      <c r="BC68" s="337"/>
      <c r="BD68" s="337"/>
      <c r="BE68" s="337"/>
      <c r="BF68" s="338"/>
      <c r="BG68" s="336"/>
      <c r="BH68" s="337"/>
      <c r="BI68" s="337"/>
      <c r="BJ68" s="337"/>
      <c r="BK68" s="338"/>
      <c r="BL68" s="336"/>
      <c r="BM68" s="337"/>
      <c r="BN68" s="337"/>
      <c r="BO68" s="337"/>
      <c r="BP68" s="338"/>
      <c r="BQ68" s="336"/>
      <c r="BR68" s="337"/>
      <c r="BS68" s="337"/>
      <c r="BT68" s="337"/>
      <c r="BU68" s="339"/>
      <c r="BW68" s="236" t="str">
        <f>sum_level("o",'Needs 171007_1806'!D68:BU68)</f>
        <v/>
      </c>
      <c r="BX68" s="237" t="str">
        <f>sum_level("j",'Needs 171007_1806'!D68:BU68)</f>
        <v/>
      </c>
      <c r="BY68" s="237" t="str">
        <f>sum_level("m",'Needs 171007_1806'!D68:BU68)</f>
        <v/>
      </c>
      <c r="BZ68" s="237" t="str">
        <f>sum_level("s",'Needs 171007_1806'!D68:BU68)</f>
        <v/>
      </c>
      <c r="CA68" s="238" t="str">
        <f>sum_level("e",'Needs 171007_1806'!D68:BU68)</f>
        <v/>
      </c>
    </row>
    <row r="69" spans="2:79" x14ac:dyDescent="0.25">
      <c r="B69" s="435"/>
      <c r="C69" s="291" t="s">
        <v>108</v>
      </c>
      <c r="D69" s="336"/>
      <c r="E69" s="337"/>
      <c r="F69" s="337"/>
      <c r="G69" s="337"/>
      <c r="H69" s="338"/>
      <c r="I69" s="336"/>
      <c r="J69" s="337"/>
      <c r="K69" s="337"/>
      <c r="L69" s="337"/>
      <c r="M69" s="338"/>
      <c r="N69" s="336"/>
      <c r="O69" s="337"/>
      <c r="P69" s="337"/>
      <c r="Q69" s="337"/>
      <c r="R69" s="338"/>
      <c r="S69" s="336"/>
      <c r="T69" s="337"/>
      <c r="U69" s="337"/>
      <c r="V69" s="337"/>
      <c r="W69" s="338"/>
      <c r="X69" s="336"/>
      <c r="Y69" s="337"/>
      <c r="Z69" s="337"/>
      <c r="AA69" s="337"/>
      <c r="AB69" s="338"/>
      <c r="AC69" s="336"/>
      <c r="AD69" s="337"/>
      <c r="AE69" s="337"/>
      <c r="AF69" s="337"/>
      <c r="AG69" s="338"/>
      <c r="AH69" s="336"/>
      <c r="AI69" s="337"/>
      <c r="AJ69" s="337"/>
      <c r="AK69" s="337"/>
      <c r="AL69" s="338"/>
      <c r="AM69" s="336"/>
      <c r="AN69" s="337"/>
      <c r="AO69" s="337"/>
      <c r="AP69" s="337"/>
      <c r="AQ69" s="338"/>
      <c r="AR69" s="336"/>
      <c r="AS69" s="337"/>
      <c r="AT69" s="337"/>
      <c r="AU69" s="337"/>
      <c r="AV69" s="338"/>
      <c r="AW69" s="336"/>
      <c r="AX69" s="337"/>
      <c r="AY69" s="337"/>
      <c r="AZ69" s="337"/>
      <c r="BA69" s="338"/>
      <c r="BB69" s="336"/>
      <c r="BC69" s="337"/>
      <c r="BD69" s="337"/>
      <c r="BE69" s="337"/>
      <c r="BF69" s="338"/>
      <c r="BG69" s="336"/>
      <c r="BH69" s="337"/>
      <c r="BI69" s="337"/>
      <c r="BJ69" s="337"/>
      <c r="BK69" s="338"/>
      <c r="BL69" s="336"/>
      <c r="BM69" s="337"/>
      <c r="BN69" s="337"/>
      <c r="BO69" s="337"/>
      <c r="BP69" s="338"/>
      <c r="BQ69" s="336"/>
      <c r="BR69" s="337"/>
      <c r="BS69" s="337"/>
      <c r="BT69" s="337"/>
      <c r="BU69" s="339"/>
      <c r="BW69" s="236" t="str">
        <f>sum_level("o",'Needs 171007_1806'!D69:BU69)</f>
        <v/>
      </c>
      <c r="BX69" s="237" t="str">
        <f>sum_level("j",'Needs 171007_1806'!D69:BU69)</f>
        <v/>
      </c>
      <c r="BY69" s="237" t="str">
        <f>sum_level("m",'Needs 171007_1806'!D69:BU69)</f>
        <v/>
      </c>
      <c r="BZ69" s="237" t="str">
        <f>sum_level("s",'Needs 171007_1806'!D69:BU69)</f>
        <v/>
      </c>
      <c r="CA69" s="238" t="str">
        <f>sum_level("e",'Needs 171007_1806'!D69:BU69)</f>
        <v/>
      </c>
    </row>
    <row r="70" spans="2:79" x14ac:dyDescent="0.25">
      <c r="B70" s="435"/>
      <c r="C70" s="291" t="s">
        <v>109</v>
      </c>
      <c r="D70" s="336"/>
      <c r="E70" s="337"/>
      <c r="F70" s="337"/>
      <c r="G70" s="337"/>
      <c r="H70" s="338"/>
      <c r="I70" s="336"/>
      <c r="J70" s="337"/>
      <c r="K70" s="337"/>
      <c r="L70" s="337"/>
      <c r="M70" s="338"/>
      <c r="N70" s="336"/>
      <c r="O70" s="337"/>
      <c r="P70" s="337"/>
      <c r="Q70" s="337"/>
      <c r="R70" s="338"/>
      <c r="S70" s="336"/>
      <c r="T70" s="337"/>
      <c r="U70" s="337"/>
      <c r="V70" s="337"/>
      <c r="W70" s="338"/>
      <c r="X70" s="336"/>
      <c r="Y70" s="337"/>
      <c r="Z70" s="337"/>
      <c r="AA70" s="337"/>
      <c r="AB70" s="338"/>
      <c r="AC70" s="336"/>
      <c r="AD70" s="337"/>
      <c r="AE70" s="337"/>
      <c r="AF70" s="337"/>
      <c r="AG70" s="338"/>
      <c r="AH70" s="336"/>
      <c r="AI70" s="337"/>
      <c r="AJ70" s="337"/>
      <c r="AK70" s="337"/>
      <c r="AL70" s="338"/>
      <c r="AM70" s="336"/>
      <c r="AN70" s="337"/>
      <c r="AO70" s="337"/>
      <c r="AP70" s="337"/>
      <c r="AQ70" s="338"/>
      <c r="AR70" s="336"/>
      <c r="AS70" s="337"/>
      <c r="AT70" s="337"/>
      <c r="AU70" s="337"/>
      <c r="AV70" s="338"/>
      <c r="AW70" s="336"/>
      <c r="AX70" s="337"/>
      <c r="AY70" s="337"/>
      <c r="AZ70" s="337"/>
      <c r="BA70" s="338"/>
      <c r="BB70" s="336"/>
      <c r="BC70" s="337"/>
      <c r="BD70" s="337"/>
      <c r="BE70" s="337"/>
      <c r="BF70" s="338"/>
      <c r="BG70" s="336"/>
      <c r="BH70" s="337"/>
      <c r="BI70" s="337"/>
      <c r="BJ70" s="337"/>
      <c r="BK70" s="338"/>
      <c r="BL70" s="336"/>
      <c r="BM70" s="337"/>
      <c r="BN70" s="337"/>
      <c r="BO70" s="337"/>
      <c r="BP70" s="338"/>
      <c r="BQ70" s="336"/>
      <c r="BR70" s="337"/>
      <c r="BS70" s="337"/>
      <c r="BT70" s="337"/>
      <c r="BU70" s="339"/>
      <c r="BW70" s="236" t="str">
        <f>sum_level("o",'Needs 171007_1806'!D70:BU70)</f>
        <v/>
      </c>
      <c r="BX70" s="237" t="str">
        <f>sum_level("j",'Needs 171007_1806'!D70:BU70)</f>
        <v/>
      </c>
      <c r="BY70" s="237" t="str">
        <f>sum_level("m",'Needs 171007_1806'!D70:BU70)</f>
        <v/>
      </c>
      <c r="BZ70" s="237" t="str">
        <f>sum_level("s",'Needs 171007_1806'!D70:BU70)</f>
        <v/>
      </c>
      <c r="CA70" s="238" t="str">
        <f>sum_level("e",'Needs 171007_1806'!D70:BU70)</f>
        <v/>
      </c>
    </row>
    <row r="71" spans="2:79" x14ac:dyDescent="0.25">
      <c r="B71" s="435"/>
      <c r="C71" s="291" t="s">
        <v>110</v>
      </c>
      <c r="D71" s="336"/>
      <c r="E71" s="337"/>
      <c r="F71" s="337"/>
      <c r="G71" s="337"/>
      <c r="H71" s="338"/>
      <c r="I71" s="336"/>
      <c r="J71" s="337"/>
      <c r="K71" s="337"/>
      <c r="L71" s="337"/>
      <c r="M71" s="338"/>
      <c r="N71" s="336"/>
      <c r="O71" s="337"/>
      <c r="P71" s="337"/>
      <c r="Q71" s="337"/>
      <c r="R71" s="338"/>
      <c r="S71" s="336"/>
      <c r="T71" s="337"/>
      <c r="U71" s="337"/>
      <c r="V71" s="337"/>
      <c r="W71" s="338"/>
      <c r="X71" s="336"/>
      <c r="Y71" s="337"/>
      <c r="Z71" s="337"/>
      <c r="AA71" s="337"/>
      <c r="AB71" s="338"/>
      <c r="AC71" s="336"/>
      <c r="AD71" s="337"/>
      <c r="AE71" s="337"/>
      <c r="AF71" s="337"/>
      <c r="AG71" s="338"/>
      <c r="AH71" s="336"/>
      <c r="AI71" s="337"/>
      <c r="AJ71" s="337"/>
      <c r="AK71" s="337"/>
      <c r="AL71" s="338"/>
      <c r="AM71" s="336"/>
      <c r="AN71" s="337"/>
      <c r="AO71" s="337"/>
      <c r="AP71" s="337"/>
      <c r="AQ71" s="338"/>
      <c r="AR71" s="336"/>
      <c r="AS71" s="337"/>
      <c r="AT71" s="337"/>
      <c r="AU71" s="337"/>
      <c r="AV71" s="338"/>
      <c r="AW71" s="336"/>
      <c r="AX71" s="337"/>
      <c r="AY71" s="337"/>
      <c r="AZ71" s="337"/>
      <c r="BA71" s="338"/>
      <c r="BB71" s="336"/>
      <c r="BC71" s="337"/>
      <c r="BD71" s="337"/>
      <c r="BE71" s="337"/>
      <c r="BF71" s="338"/>
      <c r="BG71" s="336"/>
      <c r="BH71" s="337"/>
      <c r="BI71" s="337"/>
      <c r="BJ71" s="337"/>
      <c r="BK71" s="338"/>
      <c r="BL71" s="336"/>
      <c r="BM71" s="337"/>
      <c r="BN71" s="337"/>
      <c r="BO71" s="337"/>
      <c r="BP71" s="338"/>
      <c r="BQ71" s="336"/>
      <c r="BR71" s="337"/>
      <c r="BS71" s="337"/>
      <c r="BT71" s="337"/>
      <c r="BU71" s="339"/>
      <c r="BW71" s="236" t="str">
        <f>sum_level("o",'Needs 171007_1806'!D71:BU71)</f>
        <v/>
      </c>
      <c r="BX71" s="237" t="str">
        <f>sum_level("j",'Needs 171007_1806'!D71:BU71)</f>
        <v/>
      </c>
      <c r="BY71" s="237" t="str">
        <f>sum_level("m",'Needs 171007_1806'!D71:BU71)</f>
        <v/>
      </c>
      <c r="BZ71" s="237" t="str">
        <f>sum_level("s",'Needs 171007_1806'!D71:BU71)</f>
        <v/>
      </c>
      <c r="CA71" s="238" t="str">
        <f>sum_level("e",'Needs 171007_1806'!D71:BU71)</f>
        <v/>
      </c>
    </row>
    <row r="72" spans="2:79" x14ac:dyDescent="0.25">
      <c r="B72" s="435"/>
      <c r="C72" s="291" t="s">
        <v>111</v>
      </c>
      <c r="D72" s="336"/>
      <c r="E72" s="337"/>
      <c r="F72" s="337"/>
      <c r="G72" s="337"/>
      <c r="H72" s="338"/>
      <c r="I72" s="336"/>
      <c r="J72" s="337"/>
      <c r="K72" s="337"/>
      <c r="L72" s="337"/>
      <c r="M72" s="338"/>
      <c r="N72" s="336"/>
      <c r="O72" s="337"/>
      <c r="P72" s="337"/>
      <c r="Q72" s="337"/>
      <c r="R72" s="338"/>
      <c r="S72" s="336"/>
      <c r="T72" s="337"/>
      <c r="U72" s="337"/>
      <c r="V72" s="337"/>
      <c r="W72" s="338"/>
      <c r="X72" s="336"/>
      <c r="Y72" s="337"/>
      <c r="Z72" s="337"/>
      <c r="AA72" s="337"/>
      <c r="AB72" s="338"/>
      <c r="AC72" s="336"/>
      <c r="AD72" s="337"/>
      <c r="AE72" s="337"/>
      <c r="AF72" s="337"/>
      <c r="AG72" s="338"/>
      <c r="AH72" s="336"/>
      <c r="AI72" s="337"/>
      <c r="AJ72" s="337"/>
      <c r="AK72" s="337"/>
      <c r="AL72" s="338"/>
      <c r="AM72" s="336"/>
      <c r="AN72" s="337"/>
      <c r="AO72" s="337"/>
      <c r="AP72" s="337"/>
      <c r="AQ72" s="338"/>
      <c r="AR72" s="336"/>
      <c r="AS72" s="337"/>
      <c r="AT72" s="337"/>
      <c r="AU72" s="337"/>
      <c r="AV72" s="338"/>
      <c r="AW72" s="336"/>
      <c r="AX72" s="337"/>
      <c r="AY72" s="337"/>
      <c r="AZ72" s="337"/>
      <c r="BA72" s="338"/>
      <c r="BB72" s="336"/>
      <c r="BC72" s="337"/>
      <c r="BD72" s="337"/>
      <c r="BE72" s="337"/>
      <c r="BF72" s="338"/>
      <c r="BG72" s="336"/>
      <c r="BH72" s="337"/>
      <c r="BI72" s="337"/>
      <c r="BJ72" s="337"/>
      <c r="BK72" s="338"/>
      <c r="BL72" s="336"/>
      <c r="BM72" s="337"/>
      <c r="BN72" s="337"/>
      <c r="BO72" s="337"/>
      <c r="BP72" s="338"/>
      <c r="BQ72" s="336"/>
      <c r="BR72" s="337"/>
      <c r="BS72" s="337"/>
      <c r="BT72" s="337"/>
      <c r="BU72" s="339"/>
      <c r="BW72" s="236" t="str">
        <f>sum_level("o",'Needs 171007_1806'!D72:BU72)</f>
        <v/>
      </c>
      <c r="BX72" s="237" t="str">
        <f>sum_level("j",'Needs 171007_1806'!D72:BU72)</f>
        <v/>
      </c>
      <c r="BY72" s="237" t="str">
        <f>sum_level("m",'Needs 171007_1806'!D72:BU72)</f>
        <v/>
      </c>
      <c r="BZ72" s="237" t="str">
        <f>sum_level("s",'Needs 171007_1806'!D72:BU72)</f>
        <v/>
      </c>
      <c r="CA72" s="238" t="str">
        <f>sum_level("e",'Needs 171007_1806'!D72:BU72)</f>
        <v/>
      </c>
    </row>
    <row r="73" spans="2:79" x14ac:dyDescent="0.25">
      <c r="B73" s="435"/>
      <c r="C73" s="291" t="s">
        <v>112</v>
      </c>
      <c r="D73" s="336"/>
      <c r="E73" s="337"/>
      <c r="F73" s="337"/>
      <c r="G73" s="337"/>
      <c r="H73" s="338"/>
      <c r="I73" s="336"/>
      <c r="J73" s="337"/>
      <c r="K73" s="337"/>
      <c r="L73" s="337"/>
      <c r="M73" s="338"/>
      <c r="N73" s="336"/>
      <c r="O73" s="337"/>
      <c r="P73" s="337"/>
      <c r="Q73" s="337"/>
      <c r="R73" s="338"/>
      <c r="S73" s="336"/>
      <c r="T73" s="337"/>
      <c r="U73" s="337"/>
      <c r="V73" s="337"/>
      <c r="W73" s="338"/>
      <c r="X73" s="336"/>
      <c r="Y73" s="337"/>
      <c r="Z73" s="337"/>
      <c r="AA73" s="337"/>
      <c r="AB73" s="338"/>
      <c r="AC73" s="336"/>
      <c r="AD73" s="337"/>
      <c r="AE73" s="337"/>
      <c r="AF73" s="337"/>
      <c r="AG73" s="338"/>
      <c r="AH73" s="336"/>
      <c r="AI73" s="337"/>
      <c r="AJ73" s="337"/>
      <c r="AK73" s="337"/>
      <c r="AL73" s="338"/>
      <c r="AM73" s="336"/>
      <c r="AN73" s="337"/>
      <c r="AO73" s="337"/>
      <c r="AP73" s="337"/>
      <c r="AQ73" s="338"/>
      <c r="AR73" s="336"/>
      <c r="AS73" s="337"/>
      <c r="AT73" s="337"/>
      <c r="AU73" s="337"/>
      <c r="AV73" s="338"/>
      <c r="AW73" s="336"/>
      <c r="AX73" s="337"/>
      <c r="AY73" s="337"/>
      <c r="AZ73" s="337"/>
      <c r="BA73" s="338"/>
      <c r="BB73" s="336"/>
      <c r="BC73" s="337"/>
      <c r="BD73" s="337"/>
      <c r="BE73" s="337"/>
      <c r="BF73" s="338"/>
      <c r="BG73" s="336"/>
      <c r="BH73" s="337"/>
      <c r="BI73" s="337"/>
      <c r="BJ73" s="337"/>
      <c r="BK73" s="338"/>
      <c r="BL73" s="336"/>
      <c r="BM73" s="337"/>
      <c r="BN73" s="337"/>
      <c r="BO73" s="337"/>
      <c r="BP73" s="338"/>
      <c r="BQ73" s="336"/>
      <c r="BR73" s="337"/>
      <c r="BS73" s="337"/>
      <c r="BT73" s="337"/>
      <c r="BU73" s="339"/>
      <c r="BW73" s="236" t="str">
        <f>sum_level("o",'Needs 171007_1806'!D73:BU73)</f>
        <v/>
      </c>
      <c r="BX73" s="237" t="str">
        <f>sum_level("j",'Needs 171007_1806'!D73:BU73)</f>
        <v/>
      </c>
      <c r="BY73" s="237" t="str">
        <f>sum_level("m",'Needs 171007_1806'!D73:BU73)</f>
        <v/>
      </c>
      <c r="BZ73" s="237" t="str">
        <f>sum_level("s",'Needs 171007_1806'!D73:BU73)</f>
        <v/>
      </c>
      <c r="CA73" s="238" t="str">
        <f>sum_level("e",'Needs 171007_1806'!D73:BU73)</f>
        <v/>
      </c>
    </row>
    <row r="74" spans="2:79" x14ac:dyDescent="0.25">
      <c r="B74" s="435"/>
      <c r="C74" s="291" t="s">
        <v>113</v>
      </c>
      <c r="D74" s="336"/>
      <c r="E74" s="337"/>
      <c r="F74" s="337"/>
      <c r="G74" s="337"/>
      <c r="H74" s="338"/>
      <c r="I74" s="336"/>
      <c r="J74" s="337"/>
      <c r="K74" s="337"/>
      <c r="L74" s="337"/>
      <c r="M74" s="338"/>
      <c r="N74" s="336"/>
      <c r="O74" s="337"/>
      <c r="P74" s="337"/>
      <c r="Q74" s="337"/>
      <c r="R74" s="338"/>
      <c r="S74" s="336"/>
      <c r="T74" s="337"/>
      <c r="U74" s="337"/>
      <c r="V74" s="337"/>
      <c r="W74" s="338"/>
      <c r="X74" s="336"/>
      <c r="Y74" s="337"/>
      <c r="Z74" s="337"/>
      <c r="AA74" s="337"/>
      <c r="AB74" s="338"/>
      <c r="AC74" s="336"/>
      <c r="AD74" s="337"/>
      <c r="AE74" s="337"/>
      <c r="AF74" s="337"/>
      <c r="AG74" s="338"/>
      <c r="AH74" s="336"/>
      <c r="AI74" s="337"/>
      <c r="AJ74" s="337"/>
      <c r="AK74" s="337"/>
      <c r="AL74" s="338"/>
      <c r="AM74" s="336"/>
      <c r="AN74" s="337"/>
      <c r="AO74" s="337"/>
      <c r="AP74" s="337"/>
      <c r="AQ74" s="338"/>
      <c r="AR74" s="336"/>
      <c r="AS74" s="337"/>
      <c r="AT74" s="337"/>
      <c r="AU74" s="337"/>
      <c r="AV74" s="338"/>
      <c r="AW74" s="336"/>
      <c r="AX74" s="337"/>
      <c r="AY74" s="337"/>
      <c r="AZ74" s="337"/>
      <c r="BA74" s="338"/>
      <c r="BB74" s="336"/>
      <c r="BC74" s="337"/>
      <c r="BD74" s="337"/>
      <c r="BE74" s="337"/>
      <c r="BF74" s="338"/>
      <c r="BG74" s="336"/>
      <c r="BH74" s="337"/>
      <c r="BI74" s="337"/>
      <c r="BJ74" s="337"/>
      <c r="BK74" s="338"/>
      <c r="BL74" s="336"/>
      <c r="BM74" s="337"/>
      <c r="BN74" s="337"/>
      <c r="BO74" s="337"/>
      <c r="BP74" s="338"/>
      <c r="BQ74" s="336"/>
      <c r="BR74" s="337"/>
      <c r="BS74" s="337"/>
      <c r="BT74" s="337"/>
      <c r="BU74" s="339"/>
      <c r="BW74" s="236" t="str">
        <f>sum_level("o",'Needs 171007_1806'!D74:BU74)</f>
        <v/>
      </c>
      <c r="BX74" s="237" t="str">
        <f>sum_level("j",'Needs 171007_1806'!D74:BU74)</f>
        <v/>
      </c>
      <c r="BY74" s="237" t="str">
        <f>sum_level("m",'Needs 171007_1806'!D74:BU74)</f>
        <v/>
      </c>
      <c r="BZ74" s="237" t="str">
        <f>sum_level("s",'Needs 171007_1806'!D74:BU74)</f>
        <v/>
      </c>
      <c r="CA74" s="238" t="str">
        <f>sum_level("e",'Needs 171007_1806'!D74:BU74)</f>
        <v/>
      </c>
    </row>
    <row r="75" spans="2:79" x14ac:dyDescent="0.25">
      <c r="B75" s="435"/>
      <c r="C75" s="291" t="s">
        <v>114</v>
      </c>
      <c r="D75" s="336"/>
      <c r="E75" s="337"/>
      <c r="F75" s="337"/>
      <c r="G75" s="337"/>
      <c r="H75" s="338"/>
      <c r="I75" s="336"/>
      <c r="J75" s="337"/>
      <c r="K75" s="337"/>
      <c r="L75" s="337"/>
      <c r="M75" s="338"/>
      <c r="N75" s="336"/>
      <c r="O75" s="337"/>
      <c r="P75" s="337"/>
      <c r="Q75" s="337"/>
      <c r="R75" s="338"/>
      <c r="S75" s="336"/>
      <c r="T75" s="337"/>
      <c r="U75" s="337"/>
      <c r="V75" s="337"/>
      <c r="W75" s="338"/>
      <c r="X75" s="336"/>
      <c r="Y75" s="337"/>
      <c r="Z75" s="337"/>
      <c r="AA75" s="337"/>
      <c r="AB75" s="338"/>
      <c r="AC75" s="336"/>
      <c r="AD75" s="337"/>
      <c r="AE75" s="337"/>
      <c r="AF75" s="337"/>
      <c r="AG75" s="338"/>
      <c r="AH75" s="336"/>
      <c r="AI75" s="337"/>
      <c r="AJ75" s="337"/>
      <c r="AK75" s="337"/>
      <c r="AL75" s="338"/>
      <c r="AM75" s="336"/>
      <c r="AN75" s="337"/>
      <c r="AO75" s="337"/>
      <c r="AP75" s="337"/>
      <c r="AQ75" s="338"/>
      <c r="AR75" s="336"/>
      <c r="AS75" s="337"/>
      <c r="AT75" s="337"/>
      <c r="AU75" s="337"/>
      <c r="AV75" s="338"/>
      <c r="AW75" s="336"/>
      <c r="AX75" s="337"/>
      <c r="AY75" s="337"/>
      <c r="AZ75" s="337"/>
      <c r="BA75" s="338"/>
      <c r="BB75" s="336"/>
      <c r="BC75" s="337"/>
      <c r="BD75" s="337"/>
      <c r="BE75" s="337"/>
      <c r="BF75" s="338"/>
      <c r="BG75" s="336"/>
      <c r="BH75" s="337"/>
      <c r="BI75" s="337"/>
      <c r="BJ75" s="337"/>
      <c r="BK75" s="338"/>
      <c r="BL75" s="336"/>
      <c r="BM75" s="337"/>
      <c r="BN75" s="337"/>
      <c r="BO75" s="337"/>
      <c r="BP75" s="338"/>
      <c r="BQ75" s="336"/>
      <c r="BR75" s="337"/>
      <c r="BS75" s="337"/>
      <c r="BT75" s="337"/>
      <c r="BU75" s="339"/>
      <c r="BW75" s="236" t="str">
        <f>sum_level("o",'Needs 171007_1806'!D75:BU75)</f>
        <v/>
      </c>
      <c r="BX75" s="237" t="str">
        <f>sum_level("j",'Needs 171007_1806'!D75:BU75)</f>
        <v/>
      </c>
      <c r="BY75" s="237" t="str">
        <f>sum_level("m",'Needs 171007_1806'!D75:BU75)</f>
        <v/>
      </c>
      <c r="BZ75" s="237" t="str">
        <f>sum_level("s",'Needs 171007_1806'!D75:BU75)</f>
        <v/>
      </c>
      <c r="CA75" s="238" t="str">
        <f>sum_level("e",'Needs 171007_1806'!D75:BU75)</f>
        <v/>
      </c>
    </row>
    <row r="76" spans="2:79" x14ac:dyDescent="0.25">
      <c r="B76" s="435"/>
      <c r="C76" s="291" t="s">
        <v>115</v>
      </c>
      <c r="D76" s="336"/>
      <c r="E76" s="337"/>
      <c r="F76" s="337"/>
      <c r="G76" s="337"/>
      <c r="H76" s="338"/>
      <c r="I76" s="336"/>
      <c r="J76" s="337"/>
      <c r="K76" s="337"/>
      <c r="L76" s="337"/>
      <c r="M76" s="338"/>
      <c r="N76" s="336"/>
      <c r="O76" s="337"/>
      <c r="P76" s="337"/>
      <c r="Q76" s="337"/>
      <c r="R76" s="338"/>
      <c r="S76" s="336"/>
      <c r="T76" s="337"/>
      <c r="U76" s="337"/>
      <c r="V76" s="337"/>
      <c r="W76" s="338"/>
      <c r="X76" s="336"/>
      <c r="Y76" s="337"/>
      <c r="Z76" s="337"/>
      <c r="AA76" s="337"/>
      <c r="AB76" s="338"/>
      <c r="AC76" s="336"/>
      <c r="AD76" s="337"/>
      <c r="AE76" s="337"/>
      <c r="AF76" s="337"/>
      <c r="AG76" s="338"/>
      <c r="AH76" s="336"/>
      <c r="AI76" s="337"/>
      <c r="AJ76" s="337"/>
      <c r="AK76" s="337"/>
      <c r="AL76" s="338"/>
      <c r="AM76" s="336"/>
      <c r="AN76" s="337"/>
      <c r="AO76" s="337"/>
      <c r="AP76" s="337"/>
      <c r="AQ76" s="338"/>
      <c r="AR76" s="336"/>
      <c r="AS76" s="337"/>
      <c r="AT76" s="337"/>
      <c r="AU76" s="337"/>
      <c r="AV76" s="338"/>
      <c r="AW76" s="336"/>
      <c r="AX76" s="337"/>
      <c r="AY76" s="337"/>
      <c r="AZ76" s="337"/>
      <c r="BA76" s="338"/>
      <c r="BB76" s="336"/>
      <c r="BC76" s="337"/>
      <c r="BD76" s="337"/>
      <c r="BE76" s="337"/>
      <c r="BF76" s="338"/>
      <c r="BG76" s="336"/>
      <c r="BH76" s="337"/>
      <c r="BI76" s="337"/>
      <c r="BJ76" s="337"/>
      <c r="BK76" s="338"/>
      <c r="BL76" s="336"/>
      <c r="BM76" s="337"/>
      <c r="BN76" s="337"/>
      <c r="BO76" s="337"/>
      <c r="BP76" s="338"/>
      <c r="BQ76" s="336"/>
      <c r="BR76" s="337"/>
      <c r="BS76" s="337"/>
      <c r="BT76" s="337"/>
      <c r="BU76" s="339"/>
      <c r="BW76" s="236" t="str">
        <f>sum_level("o",'Needs 171007_1806'!D76:BU76)</f>
        <v/>
      </c>
      <c r="BX76" s="237" t="str">
        <f>sum_level("j",'Needs 171007_1806'!D76:BU76)</f>
        <v/>
      </c>
      <c r="BY76" s="237" t="str">
        <f>sum_level("m",'Needs 171007_1806'!D76:BU76)</f>
        <v/>
      </c>
      <c r="BZ76" s="237" t="str">
        <f>sum_level("s",'Needs 171007_1806'!D76:BU76)</f>
        <v/>
      </c>
      <c r="CA76" s="238" t="str">
        <f>sum_level("e",'Needs 171007_1806'!D76:BU76)</f>
        <v/>
      </c>
    </row>
    <row r="77" spans="2:79" ht="15.75" thickBot="1" x14ac:dyDescent="0.3">
      <c r="B77" s="435"/>
      <c r="C77" s="292" t="s">
        <v>116</v>
      </c>
      <c r="D77" s="340"/>
      <c r="E77" s="341"/>
      <c r="F77" s="341"/>
      <c r="G77" s="341"/>
      <c r="H77" s="342"/>
      <c r="I77" s="340"/>
      <c r="J77" s="341"/>
      <c r="K77" s="341"/>
      <c r="L77" s="341"/>
      <c r="M77" s="342"/>
      <c r="N77" s="340"/>
      <c r="O77" s="341"/>
      <c r="P77" s="341"/>
      <c r="Q77" s="341"/>
      <c r="R77" s="342"/>
      <c r="S77" s="340"/>
      <c r="T77" s="341"/>
      <c r="U77" s="341"/>
      <c r="V77" s="341"/>
      <c r="W77" s="342"/>
      <c r="X77" s="340"/>
      <c r="Y77" s="341"/>
      <c r="Z77" s="341"/>
      <c r="AA77" s="341"/>
      <c r="AB77" s="342"/>
      <c r="AC77" s="340"/>
      <c r="AD77" s="341"/>
      <c r="AE77" s="341"/>
      <c r="AF77" s="341"/>
      <c r="AG77" s="342"/>
      <c r="AH77" s="340"/>
      <c r="AI77" s="341"/>
      <c r="AJ77" s="341"/>
      <c r="AK77" s="341"/>
      <c r="AL77" s="342"/>
      <c r="AM77" s="340"/>
      <c r="AN77" s="341"/>
      <c r="AO77" s="341"/>
      <c r="AP77" s="341"/>
      <c r="AQ77" s="342"/>
      <c r="AR77" s="340"/>
      <c r="AS77" s="341"/>
      <c r="AT77" s="341"/>
      <c r="AU77" s="341"/>
      <c r="AV77" s="342"/>
      <c r="AW77" s="340"/>
      <c r="AX77" s="341"/>
      <c r="AY77" s="341"/>
      <c r="AZ77" s="341"/>
      <c r="BA77" s="342"/>
      <c r="BB77" s="340"/>
      <c r="BC77" s="341"/>
      <c r="BD77" s="341"/>
      <c r="BE77" s="341"/>
      <c r="BF77" s="342"/>
      <c r="BG77" s="340"/>
      <c r="BH77" s="341"/>
      <c r="BI77" s="341"/>
      <c r="BJ77" s="341"/>
      <c r="BK77" s="342"/>
      <c r="BL77" s="340"/>
      <c r="BM77" s="341"/>
      <c r="BN77" s="341"/>
      <c r="BO77" s="341"/>
      <c r="BP77" s="342"/>
      <c r="BQ77" s="340"/>
      <c r="BR77" s="341"/>
      <c r="BS77" s="341"/>
      <c r="BT77" s="341"/>
      <c r="BU77" s="343"/>
      <c r="BW77" s="239" t="str">
        <f>sum_level("o",'Needs 171007_1806'!D77:BU77)</f>
        <v/>
      </c>
      <c r="BX77" s="240" t="str">
        <f>sum_level("j",'Needs 171007_1806'!D77:BU77)</f>
        <v/>
      </c>
      <c r="BY77" s="240" t="str">
        <f>sum_level("m",'Needs 171007_1806'!D77:BU77)</f>
        <v/>
      </c>
      <c r="BZ77" s="240" t="str">
        <f>sum_level("s",'Needs 171007_1806'!D77:BU77)</f>
        <v/>
      </c>
      <c r="CA77" s="241" t="str">
        <f>sum_level("e",'Needs 171007_1806'!D77:BU77)</f>
        <v/>
      </c>
    </row>
    <row r="78" spans="2:79" ht="12.75" customHeight="1" thickTop="1" thickBot="1" x14ac:dyDescent="0.3">
      <c r="B78" s="436"/>
      <c r="C78" s="248"/>
      <c r="D78" s="344"/>
      <c r="E78" s="344"/>
      <c r="F78" s="344"/>
      <c r="G78" s="344"/>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c r="BH78" s="344"/>
      <c r="BI78" s="344"/>
      <c r="BJ78" s="344"/>
      <c r="BK78" s="344"/>
      <c r="BL78" s="344"/>
      <c r="BM78" s="344"/>
      <c r="BN78" s="344"/>
      <c r="BO78" s="344"/>
      <c r="BP78" s="344"/>
      <c r="BQ78" s="344"/>
      <c r="BR78" s="344"/>
      <c r="BS78" s="344"/>
      <c r="BT78" s="344"/>
      <c r="BU78" s="344"/>
      <c r="BW78" s="249"/>
      <c r="BX78" s="249"/>
      <c r="BY78" s="249"/>
      <c r="BZ78" s="249"/>
      <c r="CA78" s="249"/>
    </row>
    <row r="79" spans="2:79" ht="15.75" thickTop="1" x14ac:dyDescent="0.25">
      <c r="B79" s="434" t="s">
        <v>266</v>
      </c>
      <c r="C79" s="290" t="s">
        <v>184</v>
      </c>
      <c r="D79" s="332"/>
      <c r="E79" s="333"/>
      <c r="F79" s="333"/>
      <c r="G79" s="333"/>
      <c r="H79" s="334"/>
      <c r="I79" s="332"/>
      <c r="J79" s="333"/>
      <c r="K79" s="333"/>
      <c r="L79" s="333"/>
      <c r="M79" s="334"/>
      <c r="N79" s="332"/>
      <c r="O79" s="333"/>
      <c r="P79" s="333"/>
      <c r="Q79" s="333"/>
      <c r="R79" s="334"/>
      <c r="S79" s="332"/>
      <c r="T79" s="333"/>
      <c r="U79" s="333"/>
      <c r="V79" s="333"/>
      <c r="W79" s="334"/>
      <c r="X79" s="332"/>
      <c r="Y79" s="333"/>
      <c r="Z79" s="333"/>
      <c r="AA79" s="333"/>
      <c r="AB79" s="334"/>
      <c r="AC79" s="332"/>
      <c r="AD79" s="333"/>
      <c r="AE79" s="333"/>
      <c r="AF79" s="333"/>
      <c r="AG79" s="334"/>
      <c r="AH79" s="332"/>
      <c r="AI79" s="333"/>
      <c r="AJ79" s="333"/>
      <c r="AK79" s="333"/>
      <c r="AL79" s="334"/>
      <c r="AM79" s="332"/>
      <c r="AN79" s="333"/>
      <c r="AO79" s="333"/>
      <c r="AP79" s="333"/>
      <c r="AQ79" s="334"/>
      <c r="AR79" s="332"/>
      <c r="AS79" s="333"/>
      <c r="AT79" s="333"/>
      <c r="AU79" s="333"/>
      <c r="AV79" s="334"/>
      <c r="AW79" s="332"/>
      <c r="AX79" s="333"/>
      <c r="AY79" s="333"/>
      <c r="AZ79" s="333"/>
      <c r="BA79" s="334"/>
      <c r="BB79" s="332"/>
      <c r="BC79" s="333"/>
      <c r="BD79" s="333"/>
      <c r="BE79" s="333"/>
      <c r="BF79" s="334"/>
      <c r="BG79" s="332"/>
      <c r="BH79" s="333"/>
      <c r="BI79" s="333"/>
      <c r="BJ79" s="333"/>
      <c r="BK79" s="334"/>
      <c r="BL79" s="332"/>
      <c r="BM79" s="333"/>
      <c r="BN79" s="333"/>
      <c r="BO79" s="333"/>
      <c r="BP79" s="334"/>
      <c r="BQ79" s="332"/>
      <c r="BR79" s="333"/>
      <c r="BS79" s="333"/>
      <c r="BT79" s="333"/>
      <c r="BU79" s="335"/>
      <c r="BW79" s="233" t="str">
        <f>sum_level("o",'Needs 171007_1806'!D79:BU79)</f>
        <v/>
      </c>
      <c r="BX79" s="234" t="str">
        <f>sum_level("j",'Needs 171007_1806'!D79:BU79)</f>
        <v/>
      </c>
      <c r="BY79" s="234" t="str">
        <f>sum_level("m",'Needs 171007_1806'!D79:BU79)</f>
        <v/>
      </c>
      <c r="BZ79" s="234" t="str">
        <f>sum_level("s",'Needs 171007_1806'!D79:BU79)</f>
        <v/>
      </c>
      <c r="CA79" s="235" t="str">
        <f>sum_level("e",'Needs 171007_1806'!D79:BU79)</f>
        <v/>
      </c>
    </row>
    <row r="80" spans="2:79" x14ac:dyDescent="0.25">
      <c r="B80" s="435"/>
      <c r="C80" s="291" t="s">
        <v>123</v>
      </c>
      <c r="D80" s="336"/>
      <c r="E80" s="337"/>
      <c r="F80" s="337"/>
      <c r="G80" s="337"/>
      <c r="H80" s="338"/>
      <c r="I80" s="336"/>
      <c r="J80" s="337"/>
      <c r="K80" s="337"/>
      <c r="L80" s="337"/>
      <c r="M80" s="338"/>
      <c r="N80" s="336"/>
      <c r="O80" s="337"/>
      <c r="P80" s="337"/>
      <c r="Q80" s="337"/>
      <c r="R80" s="338"/>
      <c r="S80" s="336"/>
      <c r="T80" s="337"/>
      <c r="U80" s="337"/>
      <c r="V80" s="337"/>
      <c r="W80" s="338"/>
      <c r="X80" s="336"/>
      <c r="Y80" s="337"/>
      <c r="Z80" s="337"/>
      <c r="AA80" s="337"/>
      <c r="AB80" s="338"/>
      <c r="AC80" s="336"/>
      <c r="AD80" s="337"/>
      <c r="AE80" s="337"/>
      <c r="AF80" s="337"/>
      <c r="AG80" s="338"/>
      <c r="AH80" s="336"/>
      <c r="AI80" s="337"/>
      <c r="AJ80" s="337"/>
      <c r="AK80" s="337"/>
      <c r="AL80" s="338"/>
      <c r="AM80" s="336"/>
      <c r="AN80" s="337"/>
      <c r="AO80" s="337"/>
      <c r="AP80" s="337"/>
      <c r="AQ80" s="338"/>
      <c r="AR80" s="336"/>
      <c r="AS80" s="337"/>
      <c r="AT80" s="337"/>
      <c r="AU80" s="337"/>
      <c r="AV80" s="338"/>
      <c r="AW80" s="336"/>
      <c r="AX80" s="337"/>
      <c r="AY80" s="337"/>
      <c r="AZ80" s="337"/>
      <c r="BA80" s="338"/>
      <c r="BB80" s="336"/>
      <c r="BC80" s="337"/>
      <c r="BD80" s="337"/>
      <c r="BE80" s="337"/>
      <c r="BF80" s="338"/>
      <c r="BG80" s="336"/>
      <c r="BH80" s="337"/>
      <c r="BI80" s="337"/>
      <c r="BJ80" s="337"/>
      <c r="BK80" s="338"/>
      <c r="BL80" s="336"/>
      <c r="BM80" s="337"/>
      <c r="BN80" s="337"/>
      <c r="BO80" s="337"/>
      <c r="BP80" s="338"/>
      <c r="BQ80" s="336"/>
      <c r="BR80" s="337"/>
      <c r="BS80" s="337"/>
      <c r="BT80" s="337"/>
      <c r="BU80" s="339"/>
      <c r="BW80" s="236" t="str">
        <f>sum_level("o",'Needs 171007_1806'!D80:BU80)</f>
        <v/>
      </c>
      <c r="BX80" s="237" t="str">
        <f>sum_level("j",'Needs 171007_1806'!D80:BU80)</f>
        <v/>
      </c>
      <c r="BY80" s="237" t="str">
        <f>sum_level("m",'Needs 171007_1806'!D80:BU80)</f>
        <v/>
      </c>
      <c r="BZ80" s="237" t="str">
        <f>sum_level("s",'Needs 171007_1806'!D80:BU80)</f>
        <v/>
      </c>
      <c r="CA80" s="238" t="str">
        <f>sum_level("e",'Needs 171007_1806'!D80:BU80)</f>
        <v/>
      </c>
    </row>
    <row r="81" spans="2:79" x14ac:dyDescent="0.25">
      <c r="B81" s="435"/>
      <c r="C81" s="291" t="s">
        <v>268</v>
      </c>
      <c r="D81" s="336"/>
      <c r="E81" s="337"/>
      <c r="F81" s="337"/>
      <c r="G81" s="337"/>
      <c r="H81" s="338"/>
      <c r="I81" s="336"/>
      <c r="J81" s="337"/>
      <c r="K81" s="337"/>
      <c r="L81" s="337"/>
      <c r="M81" s="338"/>
      <c r="N81" s="336"/>
      <c r="O81" s="337"/>
      <c r="P81" s="337"/>
      <c r="Q81" s="337"/>
      <c r="R81" s="338"/>
      <c r="S81" s="336"/>
      <c r="T81" s="337"/>
      <c r="U81" s="337"/>
      <c r="V81" s="337"/>
      <c r="W81" s="338"/>
      <c r="X81" s="336"/>
      <c r="Y81" s="337"/>
      <c r="Z81" s="337"/>
      <c r="AA81" s="337"/>
      <c r="AB81" s="338"/>
      <c r="AC81" s="336"/>
      <c r="AD81" s="337"/>
      <c r="AE81" s="337"/>
      <c r="AF81" s="337"/>
      <c r="AG81" s="338"/>
      <c r="AH81" s="336"/>
      <c r="AI81" s="337"/>
      <c r="AJ81" s="337"/>
      <c r="AK81" s="337"/>
      <c r="AL81" s="338"/>
      <c r="AM81" s="336"/>
      <c r="AN81" s="337"/>
      <c r="AO81" s="337"/>
      <c r="AP81" s="337"/>
      <c r="AQ81" s="338"/>
      <c r="AR81" s="336"/>
      <c r="AS81" s="337"/>
      <c r="AT81" s="337"/>
      <c r="AU81" s="337"/>
      <c r="AV81" s="338"/>
      <c r="AW81" s="336"/>
      <c r="AX81" s="337"/>
      <c r="AY81" s="337"/>
      <c r="AZ81" s="337"/>
      <c r="BA81" s="338"/>
      <c r="BB81" s="336"/>
      <c r="BC81" s="337"/>
      <c r="BD81" s="337"/>
      <c r="BE81" s="337"/>
      <c r="BF81" s="338"/>
      <c r="BG81" s="336"/>
      <c r="BH81" s="337"/>
      <c r="BI81" s="337"/>
      <c r="BJ81" s="337"/>
      <c r="BK81" s="338"/>
      <c r="BL81" s="336"/>
      <c r="BM81" s="337"/>
      <c r="BN81" s="337"/>
      <c r="BO81" s="337"/>
      <c r="BP81" s="338"/>
      <c r="BQ81" s="336"/>
      <c r="BR81" s="337"/>
      <c r="BS81" s="337"/>
      <c r="BT81" s="337"/>
      <c r="BU81" s="339"/>
      <c r="BW81" s="236" t="str">
        <f>sum_level("o",'Needs 171007_1806'!D81:BU81)</f>
        <v/>
      </c>
      <c r="BX81" s="237" t="str">
        <f>sum_level("j",'Needs 171007_1806'!D81:BU81)</f>
        <v/>
      </c>
      <c r="BY81" s="237" t="str">
        <f>sum_level("m",'Needs 171007_1806'!D81:BU81)</f>
        <v/>
      </c>
      <c r="BZ81" s="237" t="str">
        <f>sum_level("s",'Needs 171007_1806'!D81:BU81)</f>
        <v/>
      </c>
      <c r="CA81" s="238" t="str">
        <f>sum_level("e",'Needs 171007_1806'!D81:BU81)</f>
        <v/>
      </c>
    </row>
    <row r="82" spans="2:79" ht="15.75" thickBot="1" x14ac:dyDescent="0.3">
      <c r="B82" s="435"/>
      <c r="C82" s="292" t="s">
        <v>143</v>
      </c>
      <c r="D82" s="340"/>
      <c r="E82" s="341"/>
      <c r="F82" s="341"/>
      <c r="G82" s="341"/>
      <c r="H82" s="342"/>
      <c r="I82" s="340"/>
      <c r="J82" s="341"/>
      <c r="K82" s="341"/>
      <c r="L82" s="341"/>
      <c r="M82" s="342"/>
      <c r="N82" s="340"/>
      <c r="O82" s="341"/>
      <c r="P82" s="341"/>
      <c r="Q82" s="341"/>
      <c r="R82" s="342"/>
      <c r="S82" s="340"/>
      <c r="T82" s="341"/>
      <c r="U82" s="341"/>
      <c r="V82" s="341"/>
      <c r="W82" s="342"/>
      <c r="X82" s="340"/>
      <c r="Y82" s="341"/>
      <c r="Z82" s="341"/>
      <c r="AA82" s="341"/>
      <c r="AB82" s="342"/>
      <c r="AC82" s="340"/>
      <c r="AD82" s="341"/>
      <c r="AE82" s="341"/>
      <c r="AF82" s="341"/>
      <c r="AG82" s="342"/>
      <c r="AH82" s="340"/>
      <c r="AI82" s="341"/>
      <c r="AJ82" s="341"/>
      <c r="AK82" s="341"/>
      <c r="AL82" s="342"/>
      <c r="AM82" s="340"/>
      <c r="AN82" s="341"/>
      <c r="AO82" s="341"/>
      <c r="AP82" s="341"/>
      <c r="AQ82" s="342"/>
      <c r="AR82" s="340"/>
      <c r="AS82" s="341"/>
      <c r="AT82" s="341"/>
      <c r="AU82" s="341"/>
      <c r="AV82" s="342"/>
      <c r="AW82" s="340"/>
      <c r="AX82" s="341"/>
      <c r="AY82" s="341"/>
      <c r="AZ82" s="341"/>
      <c r="BA82" s="342"/>
      <c r="BB82" s="340"/>
      <c r="BC82" s="341"/>
      <c r="BD82" s="341"/>
      <c r="BE82" s="341"/>
      <c r="BF82" s="342"/>
      <c r="BG82" s="340"/>
      <c r="BH82" s="341"/>
      <c r="BI82" s="341"/>
      <c r="BJ82" s="341"/>
      <c r="BK82" s="342"/>
      <c r="BL82" s="340"/>
      <c r="BM82" s="341"/>
      <c r="BN82" s="341"/>
      <c r="BO82" s="341"/>
      <c r="BP82" s="342"/>
      <c r="BQ82" s="340"/>
      <c r="BR82" s="341"/>
      <c r="BS82" s="341"/>
      <c r="BT82" s="341"/>
      <c r="BU82" s="343"/>
      <c r="BW82" s="239" t="str">
        <f>sum_level("o",'Needs 171007_1806'!D82:BU82)</f>
        <v/>
      </c>
      <c r="BX82" s="240" t="str">
        <f>sum_level("j",'Needs 171007_1806'!D82:BU82)</f>
        <v/>
      </c>
      <c r="BY82" s="240" t="str">
        <f>sum_level("m",'Needs 171007_1806'!D82:BU82)</f>
        <v/>
      </c>
      <c r="BZ82" s="240" t="str">
        <f>sum_level("s",'Needs 171007_1806'!D82:BU82)</f>
        <v/>
      </c>
      <c r="CA82" s="241" t="str">
        <f>sum_level("e",'Needs 171007_1806'!D82:BU82)</f>
        <v/>
      </c>
    </row>
    <row r="83" spans="2:79" ht="12.75" customHeight="1" thickTop="1" thickBot="1" x14ac:dyDescent="0.3">
      <c r="B83" s="436"/>
      <c r="C83" s="248"/>
      <c r="D83" s="344"/>
      <c r="E83" s="344"/>
      <c r="F83" s="344"/>
      <c r="G83" s="344"/>
      <c r="H83" s="344"/>
      <c r="I83" s="344"/>
      <c r="J83" s="344"/>
      <c r="K83" s="344"/>
      <c r="L83" s="344"/>
      <c r="M83" s="344"/>
      <c r="N83" s="344"/>
      <c r="O83" s="344"/>
      <c r="P83" s="344"/>
      <c r="Q83" s="344"/>
      <c r="R83" s="344"/>
      <c r="S83" s="344"/>
      <c r="T83" s="344"/>
      <c r="U83" s="344"/>
      <c r="V83" s="344"/>
      <c r="W83" s="344"/>
      <c r="X83" s="344"/>
      <c r="Y83" s="344"/>
      <c r="Z83" s="344"/>
      <c r="AA83" s="344"/>
      <c r="AB83" s="344"/>
      <c r="AC83" s="344"/>
      <c r="AD83" s="344"/>
      <c r="AE83" s="344"/>
      <c r="AF83" s="344"/>
      <c r="AG83" s="344"/>
      <c r="AH83" s="344"/>
      <c r="AI83" s="344"/>
      <c r="AJ83" s="344"/>
      <c r="AK83" s="344"/>
      <c r="AL83" s="344"/>
      <c r="AM83" s="344"/>
      <c r="AN83" s="344"/>
      <c r="AO83" s="344"/>
      <c r="AP83" s="344"/>
      <c r="AQ83" s="344"/>
      <c r="AR83" s="344"/>
      <c r="AS83" s="344"/>
      <c r="AT83" s="344"/>
      <c r="AU83" s="344"/>
      <c r="AV83" s="344"/>
      <c r="AW83" s="344"/>
      <c r="AX83" s="344"/>
      <c r="AY83" s="344"/>
      <c r="AZ83" s="344"/>
      <c r="BA83" s="344"/>
      <c r="BB83" s="344"/>
      <c r="BC83" s="344"/>
      <c r="BD83" s="344"/>
      <c r="BE83" s="344"/>
      <c r="BF83" s="344"/>
      <c r="BG83" s="344"/>
      <c r="BH83" s="344"/>
      <c r="BI83" s="344"/>
      <c r="BJ83" s="344"/>
      <c r="BK83" s="344"/>
      <c r="BL83" s="344"/>
      <c r="BM83" s="344"/>
      <c r="BN83" s="344"/>
      <c r="BO83" s="344"/>
      <c r="BP83" s="344"/>
      <c r="BQ83" s="344"/>
      <c r="BR83" s="344"/>
      <c r="BS83" s="344"/>
      <c r="BT83" s="344"/>
      <c r="BU83" s="344"/>
      <c r="BW83" s="249"/>
      <c r="BX83" s="249"/>
      <c r="BY83" s="249"/>
      <c r="BZ83" s="249"/>
      <c r="CA83" s="249"/>
    </row>
    <row r="84" spans="2:79" ht="15.75" thickTop="1" x14ac:dyDescent="0.25">
      <c r="B84" s="434" t="s">
        <v>267</v>
      </c>
      <c r="C84" s="290" t="s">
        <v>269</v>
      </c>
      <c r="D84" s="332"/>
      <c r="E84" s="333"/>
      <c r="F84" s="333"/>
      <c r="G84" s="333"/>
      <c r="H84" s="334"/>
      <c r="I84" s="332"/>
      <c r="J84" s="333"/>
      <c r="K84" s="333"/>
      <c r="L84" s="333"/>
      <c r="M84" s="334"/>
      <c r="N84" s="332"/>
      <c r="O84" s="333"/>
      <c r="P84" s="333"/>
      <c r="Q84" s="333"/>
      <c r="R84" s="334"/>
      <c r="S84" s="332"/>
      <c r="T84" s="333"/>
      <c r="U84" s="333"/>
      <c r="V84" s="333"/>
      <c r="W84" s="334"/>
      <c r="X84" s="332"/>
      <c r="Y84" s="333"/>
      <c r="Z84" s="333"/>
      <c r="AA84" s="333"/>
      <c r="AB84" s="334"/>
      <c r="AC84" s="332"/>
      <c r="AD84" s="333"/>
      <c r="AE84" s="333"/>
      <c r="AF84" s="333"/>
      <c r="AG84" s="334"/>
      <c r="AH84" s="332"/>
      <c r="AI84" s="333"/>
      <c r="AJ84" s="333"/>
      <c r="AK84" s="333"/>
      <c r="AL84" s="334"/>
      <c r="AM84" s="332"/>
      <c r="AN84" s="333"/>
      <c r="AO84" s="333"/>
      <c r="AP84" s="333"/>
      <c r="AQ84" s="334"/>
      <c r="AR84" s="332"/>
      <c r="AS84" s="333"/>
      <c r="AT84" s="333"/>
      <c r="AU84" s="333"/>
      <c r="AV84" s="334"/>
      <c r="AW84" s="332"/>
      <c r="AX84" s="333"/>
      <c r="AY84" s="333"/>
      <c r="AZ84" s="333"/>
      <c r="BA84" s="334"/>
      <c r="BB84" s="332"/>
      <c r="BC84" s="333"/>
      <c r="BD84" s="333"/>
      <c r="BE84" s="333"/>
      <c r="BF84" s="334"/>
      <c r="BG84" s="332"/>
      <c r="BH84" s="333"/>
      <c r="BI84" s="333"/>
      <c r="BJ84" s="333"/>
      <c r="BK84" s="334"/>
      <c r="BL84" s="332"/>
      <c r="BM84" s="333"/>
      <c r="BN84" s="333"/>
      <c r="BO84" s="333"/>
      <c r="BP84" s="334"/>
      <c r="BQ84" s="332"/>
      <c r="BR84" s="333"/>
      <c r="BS84" s="333"/>
      <c r="BT84" s="333"/>
      <c r="BU84" s="335"/>
      <c r="BW84" s="233" t="str">
        <f>sum_level("o",'Needs 171007_1806'!D84:BU84)</f>
        <v/>
      </c>
      <c r="BX84" s="234" t="str">
        <f>sum_level("j",'Needs 171007_1806'!D84:BU84)</f>
        <v/>
      </c>
      <c r="BY84" s="234" t="str">
        <f>sum_level("m",'Needs 171007_1806'!D84:BU84)</f>
        <v/>
      </c>
      <c r="BZ84" s="234" t="str">
        <f>sum_level("s",'Needs 171007_1806'!D84:BU84)</f>
        <v/>
      </c>
      <c r="CA84" s="235" t="str">
        <f>sum_level("e",'Needs 171007_1806'!D84:BU84)</f>
        <v/>
      </c>
    </row>
    <row r="85" spans="2:79" x14ac:dyDescent="0.25">
      <c r="B85" s="435"/>
      <c r="C85" s="291" t="s">
        <v>270</v>
      </c>
      <c r="D85" s="336"/>
      <c r="E85" s="337"/>
      <c r="F85" s="337"/>
      <c r="G85" s="337"/>
      <c r="H85" s="338"/>
      <c r="I85" s="336"/>
      <c r="J85" s="337"/>
      <c r="K85" s="337"/>
      <c r="L85" s="337"/>
      <c r="M85" s="338"/>
      <c r="N85" s="336"/>
      <c r="O85" s="337"/>
      <c r="P85" s="337"/>
      <c r="Q85" s="337"/>
      <c r="R85" s="338"/>
      <c r="S85" s="336"/>
      <c r="T85" s="337"/>
      <c r="U85" s="337"/>
      <c r="V85" s="337"/>
      <c r="W85" s="338"/>
      <c r="X85" s="336"/>
      <c r="Y85" s="337"/>
      <c r="Z85" s="337"/>
      <c r="AA85" s="337"/>
      <c r="AB85" s="338"/>
      <c r="AC85" s="336"/>
      <c r="AD85" s="337"/>
      <c r="AE85" s="337"/>
      <c r="AF85" s="337"/>
      <c r="AG85" s="338"/>
      <c r="AH85" s="336"/>
      <c r="AI85" s="337"/>
      <c r="AJ85" s="337"/>
      <c r="AK85" s="337"/>
      <c r="AL85" s="338"/>
      <c r="AM85" s="336"/>
      <c r="AN85" s="337"/>
      <c r="AO85" s="337"/>
      <c r="AP85" s="337"/>
      <c r="AQ85" s="338"/>
      <c r="AR85" s="336"/>
      <c r="AS85" s="337"/>
      <c r="AT85" s="337"/>
      <c r="AU85" s="337"/>
      <c r="AV85" s="338"/>
      <c r="AW85" s="336"/>
      <c r="AX85" s="337"/>
      <c r="AY85" s="337"/>
      <c r="AZ85" s="337"/>
      <c r="BA85" s="338"/>
      <c r="BB85" s="336"/>
      <c r="BC85" s="337"/>
      <c r="BD85" s="337"/>
      <c r="BE85" s="337"/>
      <c r="BF85" s="338"/>
      <c r="BG85" s="336"/>
      <c r="BH85" s="337"/>
      <c r="BI85" s="337"/>
      <c r="BJ85" s="337"/>
      <c r="BK85" s="338"/>
      <c r="BL85" s="336"/>
      <c r="BM85" s="337"/>
      <c r="BN85" s="337"/>
      <c r="BO85" s="337"/>
      <c r="BP85" s="338"/>
      <c r="BQ85" s="336"/>
      <c r="BR85" s="337"/>
      <c r="BS85" s="337"/>
      <c r="BT85" s="337"/>
      <c r="BU85" s="339"/>
      <c r="BW85" s="236" t="str">
        <f>sum_level("o",'Needs 171007_1806'!D85:BU85)</f>
        <v/>
      </c>
      <c r="BX85" s="237" t="str">
        <f>sum_level("j",'Needs 171007_1806'!D85:BU85)</f>
        <v/>
      </c>
      <c r="BY85" s="237" t="str">
        <f>sum_level("m",'Needs 171007_1806'!D85:BU85)</f>
        <v/>
      </c>
      <c r="BZ85" s="237" t="str">
        <f>sum_level("s",'Needs 171007_1806'!D85:BU85)</f>
        <v/>
      </c>
      <c r="CA85" s="238" t="str">
        <f>sum_level("e",'Needs 171007_1806'!D85:BU85)</f>
        <v/>
      </c>
    </row>
    <row r="86" spans="2:79" x14ac:dyDescent="0.25">
      <c r="B86" s="435"/>
      <c r="C86" s="291" t="s">
        <v>271</v>
      </c>
      <c r="D86" s="336"/>
      <c r="E86" s="337"/>
      <c r="F86" s="337"/>
      <c r="G86" s="337"/>
      <c r="H86" s="338"/>
      <c r="I86" s="336"/>
      <c r="J86" s="337"/>
      <c r="K86" s="337"/>
      <c r="L86" s="337"/>
      <c r="M86" s="338"/>
      <c r="N86" s="336"/>
      <c r="O86" s="337"/>
      <c r="P86" s="337"/>
      <c r="Q86" s="337"/>
      <c r="R86" s="338"/>
      <c r="S86" s="336"/>
      <c r="T86" s="337"/>
      <c r="U86" s="337"/>
      <c r="V86" s="337"/>
      <c r="W86" s="338"/>
      <c r="X86" s="336"/>
      <c r="Y86" s="337"/>
      <c r="Z86" s="337"/>
      <c r="AA86" s="337"/>
      <c r="AB86" s="338"/>
      <c r="AC86" s="336"/>
      <c r="AD86" s="337"/>
      <c r="AE86" s="337"/>
      <c r="AF86" s="337"/>
      <c r="AG86" s="338"/>
      <c r="AH86" s="336"/>
      <c r="AI86" s="337"/>
      <c r="AJ86" s="337"/>
      <c r="AK86" s="337"/>
      <c r="AL86" s="338"/>
      <c r="AM86" s="336"/>
      <c r="AN86" s="337"/>
      <c r="AO86" s="337"/>
      <c r="AP86" s="337"/>
      <c r="AQ86" s="338"/>
      <c r="AR86" s="336"/>
      <c r="AS86" s="337"/>
      <c r="AT86" s="337"/>
      <c r="AU86" s="337"/>
      <c r="AV86" s="338"/>
      <c r="AW86" s="336"/>
      <c r="AX86" s="337"/>
      <c r="AY86" s="337"/>
      <c r="AZ86" s="337"/>
      <c r="BA86" s="338"/>
      <c r="BB86" s="336"/>
      <c r="BC86" s="337"/>
      <c r="BD86" s="337"/>
      <c r="BE86" s="337"/>
      <c r="BF86" s="338"/>
      <c r="BG86" s="336"/>
      <c r="BH86" s="337"/>
      <c r="BI86" s="337"/>
      <c r="BJ86" s="337"/>
      <c r="BK86" s="338"/>
      <c r="BL86" s="336"/>
      <c r="BM86" s="337"/>
      <c r="BN86" s="337"/>
      <c r="BO86" s="337"/>
      <c r="BP86" s="338"/>
      <c r="BQ86" s="336"/>
      <c r="BR86" s="337"/>
      <c r="BS86" s="337"/>
      <c r="BT86" s="337"/>
      <c r="BU86" s="339"/>
      <c r="BW86" s="236" t="str">
        <f>sum_level("o",'Needs 171007_1806'!D86:BU86)</f>
        <v/>
      </c>
      <c r="BX86" s="237" t="str">
        <f>sum_level("j",'Needs 171007_1806'!D86:BU86)</f>
        <v/>
      </c>
      <c r="BY86" s="237" t="str">
        <f>sum_level("m",'Needs 171007_1806'!D86:BU86)</f>
        <v/>
      </c>
      <c r="BZ86" s="237" t="str">
        <f>sum_level("s",'Needs 171007_1806'!D86:BU86)</f>
        <v/>
      </c>
      <c r="CA86" s="238" t="str">
        <f>sum_level("e",'Needs 171007_1806'!D86:BU86)</f>
        <v/>
      </c>
    </row>
    <row r="87" spans="2:79" x14ac:dyDescent="0.25">
      <c r="B87" s="435"/>
      <c r="C87" s="291" t="s">
        <v>272</v>
      </c>
      <c r="D87" s="336"/>
      <c r="E87" s="337"/>
      <c r="F87" s="337"/>
      <c r="G87" s="337"/>
      <c r="H87" s="338"/>
      <c r="I87" s="336"/>
      <c r="J87" s="337"/>
      <c r="K87" s="337"/>
      <c r="L87" s="337"/>
      <c r="M87" s="338"/>
      <c r="N87" s="336"/>
      <c r="O87" s="337"/>
      <c r="P87" s="337"/>
      <c r="Q87" s="337"/>
      <c r="R87" s="338"/>
      <c r="S87" s="336"/>
      <c r="T87" s="337"/>
      <c r="U87" s="337"/>
      <c r="V87" s="337"/>
      <c r="W87" s="338"/>
      <c r="X87" s="336"/>
      <c r="Y87" s="337"/>
      <c r="Z87" s="337"/>
      <c r="AA87" s="337"/>
      <c r="AB87" s="338"/>
      <c r="AC87" s="336"/>
      <c r="AD87" s="337"/>
      <c r="AE87" s="337"/>
      <c r="AF87" s="337"/>
      <c r="AG87" s="338"/>
      <c r="AH87" s="336"/>
      <c r="AI87" s="337"/>
      <c r="AJ87" s="337"/>
      <c r="AK87" s="337"/>
      <c r="AL87" s="338"/>
      <c r="AM87" s="336"/>
      <c r="AN87" s="337"/>
      <c r="AO87" s="337"/>
      <c r="AP87" s="337"/>
      <c r="AQ87" s="338"/>
      <c r="AR87" s="336"/>
      <c r="AS87" s="337"/>
      <c r="AT87" s="337"/>
      <c r="AU87" s="337"/>
      <c r="AV87" s="338"/>
      <c r="AW87" s="336"/>
      <c r="AX87" s="337"/>
      <c r="AY87" s="337"/>
      <c r="AZ87" s="337"/>
      <c r="BA87" s="338"/>
      <c r="BB87" s="336"/>
      <c r="BC87" s="337"/>
      <c r="BD87" s="337"/>
      <c r="BE87" s="337"/>
      <c r="BF87" s="338"/>
      <c r="BG87" s="336"/>
      <c r="BH87" s="337"/>
      <c r="BI87" s="337"/>
      <c r="BJ87" s="337"/>
      <c r="BK87" s="338"/>
      <c r="BL87" s="336"/>
      <c r="BM87" s="337"/>
      <c r="BN87" s="337"/>
      <c r="BO87" s="337"/>
      <c r="BP87" s="338"/>
      <c r="BQ87" s="336"/>
      <c r="BR87" s="337"/>
      <c r="BS87" s="337"/>
      <c r="BT87" s="337"/>
      <c r="BU87" s="339"/>
      <c r="BW87" s="236" t="str">
        <f>sum_level("o",'Needs 171007_1806'!D87:BU87)</f>
        <v/>
      </c>
      <c r="BX87" s="237" t="str">
        <f>sum_level("j",'Needs 171007_1806'!D87:BU87)</f>
        <v/>
      </c>
      <c r="BY87" s="237" t="str">
        <f>sum_level("m",'Needs 171007_1806'!D87:BU87)</f>
        <v/>
      </c>
      <c r="BZ87" s="237" t="str">
        <f>sum_level("s",'Needs 171007_1806'!D87:BU87)</f>
        <v/>
      </c>
      <c r="CA87" s="238" t="str">
        <f>sum_level("e",'Needs 171007_1806'!D87:BU87)</f>
        <v/>
      </c>
    </row>
    <row r="88" spans="2:79" x14ac:dyDescent="0.25">
      <c r="B88" s="435"/>
      <c r="C88" s="291" t="s">
        <v>273</v>
      </c>
      <c r="D88" s="336"/>
      <c r="E88" s="337"/>
      <c r="F88" s="337"/>
      <c r="G88" s="337"/>
      <c r="H88" s="338"/>
      <c r="I88" s="336"/>
      <c r="J88" s="337"/>
      <c r="K88" s="337"/>
      <c r="L88" s="337"/>
      <c r="M88" s="338"/>
      <c r="N88" s="336"/>
      <c r="O88" s="337"/>
      <c r="P88" s="337"/>
      <c r="Q88" s="337"/>
      <c r="R88" s="338"/>
      <c r="S88" s="336"/>
      <c r="T88" s="337"/>
      <c r="U88" s="337"/>
      <c r="V88" s="337"/>
      <c r="W88" s="338"/>
      <c r="X88" s="336"/>
      <c r="Y88" s="337"/>
      <c r="Z88" s="337"/>
      <c r="AA88" s="337"/>
      <c r="AB88" s="338"/>
      <c r="AC88" s="336"/>
      <c r="AD88" s="337"/>
      <c r="AE88" s="337"/>
      <c r="AF88" s="337"/>
      <c r="AG88" s="338"/>
      <c r="AH88" s="336"/>
      <c r="AI88" s="337"/>
      <c r="AJ88" s="337"/>
      <c r="AK88" s="337"/>
      <c r="AL88" s="338"/>
      <c r="AM88" s="336"/>
      <c r="AN88" s="337"/>
      <c r="AO88" s="337"/>
      <c r="AP88" s="337"/>
      <c r="AQ88" s="338"/>
      <c r="AR88" s="336"/>
      <c r="AS88" s="337"/>
      <c r="AT88" s="337"/>
      <c r="AU88" s="337"/>
      <c r="AV88" s="338"/>
      <c r="AW88" s="336"/>
      <c r="AX88" s="337"/>
      <c r="AY88" s="337"/>
      <c r="AZ88" s="337"/>
      <c r="BA88" s="338"/>
      <c r="BB88" s="336"/>
      <c r="BC88" s="337"/>
      <c r="BD88" s="337"/>
      <c r="BE88" s="337"/>
      <c r="BF88" s="338"/>
      <c r="BG88" s="336"/>
      <c r="BH88" s="337"/>
      <c r="BI88" s="337"/>
      <c r="BJ88" s="337"/>
      <c r="BK88" s="338"/>
      <c r="BL88" s="336"/>
      <c r="BM88" s="337"/>
      <c r="BN88" s="337"/>
      <c r="BO88" s="337"/>
      <c r="BP88" s="338"/>
      <c r="BQ88" s="336"/>
      <c r="BR88" s="337"/>
      <c r="BS88" s="337"/>
      <c r="BT88" s="337"/>
      <c r="BU88" s="339"/>
      <c r="BW88" s="236" t="str">
        <f>sum_level("o",'Needs 171007_1806'!D88:BU88)</f>
        <v/>
      </c>
      <c r="BX88" s="237" t="str">
        <f>sum_level("j",'Needs 171007_1806'!D88:BU88)</f>
        <v/>
      </c>
      <c r="BY88" s="237" t="str">
        <f>sum_level("m",'Needs 171007_1806'!D88:BU88)</f>
        <v/>
      </c>
      <c r="BZ88" s="237" t="str">
        <f>sum_level("s",'Needs 171007_1806'!D88:BU88)</f>
        <v/>
      </c>
      <c r="CA88" s="238" t="str">
        <f>sum_level("e",'Needs 171007_1806'!D88:BU88)</f>
        <v/>
      </c>
    </row>
    <row r="89" spans="2:79" x14ac:dyDescent="0.25">
      <c r="B89" s="435"/>
      <c r="C89" s="291" t="s">
        <v>274</v>
      </c>
      <c r="D89" s="336"/>
      <c r="E89" s="337"/>
      <c r="F89" s="337"/>
      <c r="G89" s="337"/>
      <c r="H89" s="338"/>
      <c r="I89" s="336"/>
      <c r="J89" s="337"/>
      <c r="K89" s="337"/>
      <c r="L89" s="337"/>
      <c r="M89" s="338"/>
      <c r="N89" s="336"/>
      <c r="O89" s="337"/>
      <c r="P89" s="337"/>
      <c r="Q89" s="337"/>
      <c r="R89" s="338"/>
      <c r="S89" s="336"/>
      <c r="T89" s="337"/>
      <c r="U89" s="337"/>
      <c r="V89" s="337"/>
      <c r="W89" s="338"/>
      <c r="X89" s="336"/>
      <c r="Y89" s="337"/>
      <c r="Z89" s="337"/>
      <c r="AA89" s="337"/>
      <c r="AB89" s="338"/>
      <c r="AC89" s="336"/>
      <c r="AD89" s="337"/>
      <c r="AE89" s="337"/>
      <c r="AF89" s="337"/>
      <c r="AG89" s="338"/>
      <c r="AH89" s="336"/>
      <c r="AI89" s="337"/>
      <c r="AJ89" s="337"/>
      <c r="AK89" s="337"/>
      <c r="AL89" s="338"/>
      <c r="AM89" s="336"/>
      <c r="AN89" s="337"/>
      <c r="AO89" s="337"/>
      <c r="AP89" s="337"/>
      <c r="AQ89" s="338"/>
      <c r="AR89" s="336"/>
      <c r="AS89" s="337"/>
      <c r="AT89" s="337"/>
      <c r="AU89" s="337"/>
      <c r="AV89" s="338"/>
      <c r="AW89" s="336"/>
      <c r="AX89" s="337"/>
      <c r="AY89" s="337"/>
      <c r="AZ89" s="337"/>
      <c r="BA89" s="338"/>
      <c r="BB89" s="336"/>
      <c r="BC89" s="337"/>
      <c r="BD89" s="337"/>
      <c r="BE89" s="337"/>
      <c r="BF89" s="338"/>
      <c r="BG89" s="336"/>
      <c r="BH89" s="337"/>
      <c r="BI89" s="337"/>
      <c r="BJ89" s="337"/>
      <c r="BK89" s="338"/>
      <c r="BL89" s="336"/>
      <c r="BM89" s="337"/>
      <c r="BN89" s="337"/>
      <c r="BO89" s="337"/>
      <c r="BP89" s="338"/>
      <c r="BQ89" s="336"/>
      <c r="BR89" s="337"/>
      <c r="BS89" s="337"/>
      <c r="BT89" s="337"/>
      <c r="BU89" s="339"/>
      <c r="BW89" s="236" t="str">
        <f>sum_level("o",'Needs 171007_1806'!D89:BU89)</f>
        <v/>
      </c>
      <c r="BX89" s="237" t="str">
        <f>sum_level("j",'Needs 171007_1806'!D89:BU89)</f>
        <v/>
      </c>
      <c r="BY89" s="237" t="str">
        <f>sum_level("m",'Needs 171007_1806'!D89:BU89)</f>
        <v/>
      </c>
      <c r="BZ89" s="237" t="str">
        <f>sum_level("s",'Needs 171007_1806'!D89:BU89)</f>
        <v/>
      </c>
      <c r="CA89" s="238" t="str">
        <f>sum_level("e",'Needs 171007_1806'!D89:BU89)</f>
        <v/>
      </c>
    </row>
    <row r="90" spans="2:79" x14ac:dyDescent="0.25">
      <c r="B90" s="435"/>
      <c r="C90" s="291" t="s">
        <v>275</v>
      </c>
      <c r="D90" s="336"/>
      <c r="E90" s="337"/>
      <c r="F90" s="337"/>
      <c r="G90" s="337"/>
      <c r="H90" s="338"/>
      <c r="I90" s="336"/>
      <c r="J90" s="337"/>
      <c r="K90" s="337"/>
      <c r="L90" s="337"/>
      <c r="M90" s="338"/>
      <c r="N90" s="336"/>
      <c r="O90" s="337"/>
      <c r="P90" s="337"/>
      <c r="Q90" s="337"/>
      <c r="R90" s="338"/>
      <c r="S90" s="336"/>
      <c r="T90" s="337"/>
      <c r="U90" s="337"/>
      <c r="V90" s="337"/>
      <c r="W90" s="338"/>
      <c r="X90" s="336"/>
      <c r="Y90" s="337"/>
      <c r="Z90" s="337"/>
      <c r="AA90" s="337"/>
      <c r="AB90" s="338"/>
      <c r="AC90" s="336"/>
      <c r="AD90" s="337"/>
      <c r="AE90" s="337"/>
      <c r="AF90" s="337"/>
      <c r="AG90" s="338"/>
      <c r="AH90" s="336"/>
      <c r="AI90" s="337"/>
      <c r="AJ90" s="337"/>
      <c r="AK90" s="337"/>
      <c r="AL90" s="338"/>
      <c r="AM90" s="336"/>
      <c r="AN90" s="337"/>
      <c r="AO90" s="337"/>
      <c r="AP90" s="337"/>
      <c r="AQ90" s="338"/>
      <c r="AR90" s="336"/>
      <c r="AS90" s="337"/>
      <c r="AT90" s="337"/>
      <c r="AU90" s="337"/>
      <c r="AV90" s="338"/>
      <c r="AW90" s="336"/>
      <c r="AX90" s="337"/>
      <c r="AY90" s="337"/>
      <c r="AZ90" s="337"/>
      <c r="BA90" s="338"/>
      <c r="BB90" s="336"/>
      <c r="BC90" s="337"/>
      <c r="BD90" s="337"/>
      <c r="BE90" s="337"/>
      <c r="BF90" s="338"/>
      <c r="BG90" s="336"/>
      <c r="BH90" s="337"/>
      <c r="BI90" s="337"/>
      <c r="BJ90" s="337"/>
      <c r="BK90" s="338"/>
      <c r="BL90" s="336"/>
      <c r="BM90" s="337"/>
      <c r="BN90" s="337"/>
      <c r="BO90" s="337"/>
      <c r="BP90" s="338"/>
      <c r="BQ90" s="336"/>
      <c r="BR90" s="337"/>
      <c r="BS90" s="337"/>
      <c r="BT90" s="337"/>
      <c r="BU90" s="339"/>
      <c r="BW90" s="236" t="str">
        <f>sum_level("o",'Needs 171007_1806'!D90:BU90)</f>
        <v/>
      </c>
      <c r="BX90" s="237" t="str">
        <f>sum_level("j",'Needs 171007_1806'!D90:BU90)</f>
        <v/>
      </c>
      <c r="BY90" s="237" t="str">
        <f>sum_level("m",'Needs 171007_1806'!D90:BU90)</f>
        <v/>
      </c>
      <c r="BZ90" s="237" t="str">
        <f>sum_level("s",'Needs 171007_1806'!D90:BU90)</f>
        <v/>
      </c>
      <c r="CA90" s="238" t="str">
        <f>sum_level("e",'Needs 171007_1806'!D90:BU90)</f>
        <v/>
      </c>
    </row>
    <row r="91" spans="2:79" x14ac:dyDescent="0.25">
      <c r="B91" s="435"/>
      <c r="C91" s="291" t="s">
        <v>281</v>
      </c>
      <c r="D91" s="336"/>
      <c r="E91" s="337"/>
      <c r="F91" s="337"/>
      <c r="G91" s="337"/>
      <c r="H91" s="338"/>
      <c r="I91" s="336"/>
      <c r="J91" s="337"/>
      <c r="K91" s="337"/>
      <c r="L91" s="337"/>
      <c r="M91" s="338"/>
      <c r="N91" s="336"/>
      <c r="O91" s="337"/>
      <c r="P91" s="337"/>
      <c r="Q91" s="337"/>
      <c r="R91" s="338"/>
      <c r="S91" s="336"/>
      <c r="T91" s="337"/>
      <c r="U91" s="337"/>
      <c r="V91" s="337"/>
      <c r="W91" s="338"/>
      <c r="X91" s="336"/>
      <c r="Y91" s="337"/>
      <c r="Z91" s="337"/>
      <c r="AA91" s="337"/>
      <c r="AB91" s="338"/>
      <c r="AC91" s="336"/>
      <c r="AD91" s="337"/>
      <c r="AE91" s="337"/>
      <c r="AF91" s="337"/>
      <c r="AG91" s="338"/>
      <c r="AH91" s="336"/>
      <c r="AI91" s="337"/>
      <c r="AJ91" s="337"/>
      <c r="AK91" s="337"/>
      <c r="AL91" s="338"/>
      <c r="AM91" s="336"/>
      <c r="AN91" s="337"/>
      <c r="AO91" s="337"/>
      <c r="AP91" s="337"/>
      <c r="AQ91" s="338"/>
      <c r="AR91" s="336"/>
      <c r="AS91" s="337"/>
      <c r="AT91" s="337"/>
      <c r="AU91" s="337"/>
      <c r="AV91" s="338"/>
      <c r="AW91" s="336"/>
      <c r="AX91" s="337"/>
      <c r="AY91" s="337"/>
      <c r="AZ91" s="337"/>
      <c r="BA91" s="338"/>
      <c r="BB91" s="336"/>
      <c r="BC91" s="337"/>
      <c r="BD91" s="337"/>
      <c r="BE91" s="337"/>
      <c r="BF91" s="338"/>
      <c r="BG91" s="336"/>
      <c r="BH91" s="337"/>
      <c r="BI91" s="337"/>
      <c r="BJ91" s="337"/>
      <c r="BK91" s="338"/>
      <c r="BL91" s="336"/>
      <c r="BM91" s="337"/>
      <c r="BN91" s="337"/>
      <c r="BO91" s="337"/>
      <c r="BP91" s="338"/>
      <c r="BQ91" s="336"/>
      <c r="BR91" s="337"/>
      <c r="BS91" s="337"/>
      <c r="BT91" s="337"/>
      <c r="BU91" s="339"/>
      <c r="BW91" s="236" t="str">
        <f>sum_level("o",'Needs 171007_1806'!D91:BU91)</f>
        <v/>
      </c>
      <c r="BX91" s="237" t="str">
        <f>sum_level("j",'Needs 171007_1806'!D91:BU91)</f>
        <v/>
      </c>
      <c r="BY91" s="237" t="str">
        <f>sum_level("m",'Needs 171007_1806'!D91:BU91)</f>
        <v/>
      </c>
      <c r="BZ91" s="237" t="str">
        <f>sum_level("s",'Needs 171007_1806'!D91:BU91)</f>
        <v/>
      </c>
      <c r="CA91" s="238" t="str">
        <f>sum_level("e",'Needs 171007_1806'!D91:BU91)</f>
        <v/>
      </c>
    </row>
    <row r="92" spans="2:79" x14ac:dyDescent="0.25">
      <c r="B92" s="435"/>
      <c r="C92" s="291" t="s">
        <v>276</v>
      </c>
      <c r="D92" s="336"/>
      <c r="E92" s="337"/>
      <c r="F92" s="337"/>
      <c r="G92" s="337"/>
      <c r="H92" s="338"/>
      <c r="I92" s="336"/>
      <c r="J92" s="337"/>
      <c r="K92" s="337"/>
      <c r="L92" s="337"/>
      <c r="M92" s="338"/>
      <c r="N92" s="336"/>
      <c r="O92" s="337"/>
      <c r="P92" s="337"/>
      <c r="Q92" s="337"/>
      <c r="R92" s="338"/>
      <c r="S92" s="336"/>
      <c r="T92" s="337"/>
      <c r="U92" s="337"/>
      <c r="V92" s="337"/>
      <c r="W92" s="338"/>
      <c r="X92" s="336"/>
      <c r="Y92" s="337"/>
      <c r="Z92" s="337"/>
      <c r="AA92" s="337"/>
      <c r="AB92" s="338"/>
      <c r="AC92" s="336"/>
      <c r="AD92" s="337"/>
      <c r="AE92" s="337"/>
      <c r="AF92" s="337"/>
      <c r="AG92" s="338"/>
      <c r="AH92" s="336"/>
      <c r="AI92" s="337"/>
      <c r="AJ92" s="337"/>
      <c r="AK92" s="337"/>
      <c r="AL92" s="338"/>
      <c r="AM92" s="336"/>
      <c r="AN92" s="337"/>
      <c r="AO92" s="337"/>
      <c r="AP92" s="337"/>
      <c r="AQ92" s="338"/>
      <c r="AR92" s="336"/>
      <c r="AS92" s="337"/>
      <c r="AT92" s="337"/>
      <c r="AU92" s="337"/>
      <c r="AV92" s="338"/>
      <c r="AW92" s="336"/>
      <c r="AX92" s="337"/>
      <c r="AY92" s="337"/>
      <c r="AZ92" s="337"/>
      <c r="BA92" s="338"/>
      <c r="BB92" s="336"/>
      <c r="BC92" s="337"/>
      <c r="BD92" s="337"/>
      <c r="BE92" s="337"/>
      <c r="BF92" s="338"/>
      <c r="BG92" s="336"/>
      <c r="BH92" s="337"/>
      <c r="BI92" s="337"/>
      <c r="BJ92" s="337"/>
      <c r="BK92" s="338"/>
      <c r="BL92" s="336"/>
      <c r="BM92" s="337"/>
      <c r="BN92" s="337"/>
      <c r="BO92" s="337"/>
      <c r="BP92" s="338"/>
      <c r="BQ92" s="336"/>
      <c r="BR92" s="337"/>
      <c r="BS92" s="337"/>
      <c r="BT92" s="337"/>
      <c r="BU92" s="339"/>
      <c r="BW92" s="236" t="str">
        <f>sum_level("o",'Needs 171007_1806'!D92:BU92)</f>
        <v/>
      </c>
      <c r="BX92" s="237" t="str">
        <f>sum_level("j",'Needs 171007_1806'!D92:BU92)</f>
        <v/>
      </c>
      <c r="BY92" s="237" t="str">
        <f>sum_level("m",'Needs 171007_1806'!D92:BU92)</f>
        <v/>
      </c>
      <c r="BZ92" s="237" t="str">
        <f>sum_level("s",'Needs 171007_1806'!D92:BU92)</f>
        <v/>
      </c>
      <c r="CA92" s="238" t="str">
        <f>sum_level("e",'Needs 171007_1806'!D92:BU92)</f>
        <v/>
      </c>
    </row>
    <row r="93" spans="2:79" x14ac:dyDescent="0.25">
      <c r="B93" s="435"/>
      <c r="C93" s="291" t="s">
        <v>277</v>
      </c>
      <c r="D93" s="336"/>
      <c r="E93" s="337"/>
      <c r="F93" s="337"/>
      <c r="G93" s="337"/>
      <c r="H93" s="338"/>
      <c r="I93" s="336"/>
      <c r="J93" s="337"/>
      <c r="K93" s="337"/>
      <c r="L93" s="337"/>
      <c r="M93" s="338"/>
      <c r="N93" s="336"/>
      <c r="O93" s="337"/>
      <c r="P93" s="337"/>
      <c r="Q93" s="337"/>
      <c r="R93" s="338"/>
      <c r="S93" s="336"/>
      <c r="T93" s="337"/>
      <c r="U93" s="337"/>
      <c r="V93" s="337"/>
      <c r="W93" s="338"/>
      <c r="X93" s="336"/>
      <c r="Y93" s="337"/>
      <c r="Z93" s="337"/>
      <c r="AA93" s="337"/>
      <c r="AB93" s="338"/>
      <c r="AC93" s="336"/>
      <c r="AD93" s="337"/>
      <c r="AE93" s="337"/>
      <c r="AF93" s="337"/>
      <c r="AG93" s="338"/>
      <c r="AH93" s="336"/>
      <c r="AI93" s="337"/>
      <c r="AJ93" s="337"/>
      <c r="AK93" s="337"/>
      <c r="AL93" s="338"/>
      <c r="AM93" s="336"/>
      <c r="AN93" s="337"/>
      <c r="AO93" s="337"/>
      <c r="AP93" s="337"/>
      <c r="AQ93" s="338"/>
      <c r="AR93" s="336"/>
      <c r="AS93" s="337"/>
      <c r="AT93" s="337"/>
      <c r="AU93" s="337"/>
      <c r="AV93" s="338"/>
      <c r="AW93" s="336"/>
      <c r="AX93" s="337"/>
      <c r="AY93" s="337"/>
      <c r="AZ93" s="337"/>
      <c r="BA93" s="338"/>
      <c r="BB93" s="336"/>
      <c r="BC93" s="337"/>
      <c r="BD93" s="337"/>
      <c r="BE93" s="337"/>
      <c r="BF93" s="338"/>
      <c r="BG93" s="336"/>
      <c r="BH93" s="337"/>
      <c r="BI93" s="337"/>
      <c r="BJ93" s="337"/>
      <c r="BK93" s="338"/>
      <c r="BL93" s="336"/>
      <c r="BM93" s="337"/>
      <c r="BN93" s="337"/>
      <c r="BO93" s="337"/>
      <c r="BP93" s="338"/>
      <c r="BQ93" s="336"/>
      <c r="BR93" s="337"/>
      <c r="BS93" s="337"/>
      <c r="BT93" s="337"/>
      <c r="BU93" s="339"/>
      <c r="BW93" s="236" t="str">
        <f>sum_level("o",'Needs 171007_1806'!D93:BU93)</f>
        <v/>
      </c>
      <c r="BX93" s="237" t="str">
        <f>sum_level("j",'Needs 171007_1806'!D93:BU93)</f>
        <v/>
      </c>
      <c r="BY93" s="237" t="str">
        <f>sum_level("m",'Needs 171007_1806'!D93:BU93)</f>
        <v/>
      </c>
      <c r="BZ93" s="237" t="str">
        <f>sum_level("s",'Needs 171007_1806'!D93:BU93)</f>
        <v/>
      </c>
      <c r="CA93" s="238" t="str">
        <f>sum_level("e",'Needs 171007_1806'!D93:BU93)</f>
        <v/>
      </c>
    </row>
    <row r="94" spans="2:79" x14ac:dyDescent="0.25">
      <c r="B94" s="435"/>
      <c r="C94" s="291" t="s">
        <v>278</v>
      </c>
      <c r="D94" s="336"/>
      <c r="E94" s="337"/>
      <c r="F94" s="337"/>
      <c r="G94" s="337"/>
      <c r="H94" s="338"/>
      <c r="I94" s="336"/>
      <c r="J94" s="337"/>
      <c r="K94" s="337"/>
      <c r="L94" s="337"/>
      <c r="M94" s="338"/>
      <c r="N94" s="336"/>
      <c r="O94" s="337"/>
      <c r="P94" s="337"/>
      <c r="Q94" s="337"/>
      <c r="R94" s="338"/>
      <c r="S94" s="336"/>
      <c r="T94" s="337"/>
      <c r="U94" s="337"/>
      <c r="V94" s="337"/>
      <c r="W94" s="338"/>
      <c r="X94" s="336"/>
      <c r="Y94" s="337"/>
      <c r="Z94" s="337"/>
      <c r="AA94" s="337"/>
      <c r="AB94" s="338"/>
      <c r="AC94" s="336"/>
      <c r="AD94" s="337"/>
      <c r="AE94" s="337"/>
      <c r="AF94" s="337"/>
      <c r="AG94" s="338"/>
      <c r="AH94" s="336"/>
      <c r="AI94" s="337"/>
      <c r="AJ94" s="337"/>
      <c r="AK94" s="337"/>
      <c r="AL94" s="338"/>
      <c r="AM94" s="336"/>
      <c r="AN94" s="337"/>
      <c r="AO94" s="337"/>
      <c r="AP94" s="337"/>
      <c r="AQ94" s="338"/>
      <c r="AR94" s="336"/>
      <c r="AS94" s="337"/>
      <c r="AT94" s="337"/>
      <c r="AU94" s="337"/>
      <c r="AV94" s="338"/>
      <c r="AW94" s="336"/>
      <c r="AX94" s="337"/>
      <c r="AY94" s="337"/>
      <c r="AZ94" s="337"/>
      <c r="BA94" s="338"/>
      <c r="BB94" s="336"/>
      <c r="BC94" s="337"/>
      <c r="BD94" s="337"/>
      <c r="BE94" s="337"/>
      <c r="BF94" s="338"/>
      <c r="BG94" s="336"/>
      <c r="BH94" s="337"/>
      <c r="BI94" s="337"/>
      <c r="BJ94" s="337"/>
      <c r="BK94" s="338"/>
      <c r="BL94" s="336"/>
      <c r="BM94" s="337"/>
      <c r="BN94" s="337"/>
      <c r="BO94" s="337"/>
      <c r="BP94" s="338"/>
      <c r="BQ94" s="336"/>
      <c r="BR94" s="337"/>
      <c r="BS94" s="337"/>
      <c r="BT94" s="337"/>
      <c r="BU94" s="339"/>
      <c r="BW94" s="236" t="str">
        <f>sum_level("o",'Needs 171007_1806'!D94:BU94)</f>
        <v/>
      </c>
      <c r="BX94" s="237" t="str">
        <f>sum_level("j",'Needs 171007_1806'!D94:BU94)</f>
        <v/>
      </c>
      <c r="BY94" s="237" t="str">
        <f>sum_level("m",'Needs 171007_1806'!D94:BU94)</f>
        <v/>
      </c>
      <c r="BZ94" s="237" t="str">
        <f>sum_level("s",'Needs 171007_1806'!D94:BU94)</f>
        <v/>
      </c>
      <c r="CA94" s="238" t="str">
        <f>sum_level("e",'Needs 171007_1806'!D94:BU94)</f>
        <v/>
      </c>
    </row>
    <row r="95" spans="2:79" x14ac:dyDescent="0.25">
      <c r="B95" s="435"/>
      <c r="C95" s="291" t="s">
        <v>282</v>
      </c>
      <c r="D95" s="336"/>
      <c r="E95" s="337"/>
      <c r="F95" s="337"/>
      <c r="G95" s="337"/>
      <c r="H95" s="338"/>
      <c r="I95" s="336"/>
      <c r="J95" s="337"/>
      <c r="K95" s="337"/>
      <c r="L95" s="337"/>
      <c r="M95" s="338"/>
      <c r="N95" s="336"/>
      <c r="O95" s="337"/>
      <c r="P95" s="337"/>
      <c r="Q95" s="337"/>
      <c r="R95" s="338"/>
      <c r="S95" s="336"/>
      <c r="T95" s="337"/>
      <c r="U95" s="337"/>
      <c r="V95" s="337"/>
      <c r="W95" s="338"/>
      <c r="X95" s="336"/>
      <c r="Y95" s="337"/>
      <c r="Z95" s="337"/>
      <c r="AA95" s="337"/>
      <c r="AB95" s="338"/>
      <c r="AC95" s="336"/>
      <c r="AD95" s="337"/>
      <c r="AE95" s="337"/>
      <c r="AF95" s="337"/>
      <c r="AG95" s="338"/>
      <c r="AH95" s="336"/>
      <c r="AI95" s="337"/>
      <c r="AJ95" s="337"/>
      <c r="AK95" s="337"/>
      <c r="AL95" s="338"/>
      <c r="AM95" s="336"/>
      <c r="AN95" s="337"/>
      <c r="AO95" s="337"/>
      <c r="AP95" s="337"/>
      <c r="AQ95" s="338"/>
      <c r="AR95" s="336"/>
      <c r="AS95" s="337"/>
      <c r="AT95" s="337"/>
      <c r="AU95" s="337"/>
      <c r="AV95" s="338"/>
      <c r="AW95" s="336"/>
      <c r="AX95" s="337"/>
      <c r="AY95" s="337"/>
      <c r="AZ95" s="337"/>
      <c r="BA95" s="338"/>
      <c r="BB95" s="336"/>
      <c r="BC95" s="337"/>
      <c r="BD95" s="337"/>
      <c r="BE95" s="337"/>
      <c r="BF95" s="338"/>
      <c r="BG95" s="336"/>
      <c r="BH95" s="337"/>
      <c r="BI95" s="337"/>
      <c r="BJ95" s="337"/>
      <c r="BK95" s="338"/>
      <c r="BL95" s="336"/>
      <c r="BM95" s="337"/>
      <c r="BN95" s="337"/>
      <c r="BO95" s="337"/>
      <c r="BP95" s="338"/>
      <c r="BQ95" s="336"/>
      <c r="BR95" s="337"/>
      <c r="BS95" s="337"/>
      <c r="BT95" s="337"/>
      <c r="BU95" s="339"/>
      <c r="BW95" s="236" t="str">
        <f>sum_level("o",'Needs 171007_1806'!D95:BU95)</f>
        <v/>
      </c>
      <c r="BX95" s="237" t="str">
        <f>sum_level("j",'Needs 171007_1806'!D95:BU95)</f>
        <v/>
      </c>
      <c r="BY95" s="237" t="str">
        <f>sum_level("m",'Needs 171007_1806'!D95:BU95)</f>
        <v/>
      </c>
      <c r="BZ95" s="237" t="str">
        <f>sum_level("s",'Needs 171007_1806'!D95:BU95)</f>
        <v/>
      </c>
      <c r="CA95" s="238" t="str">
        <f>sum_level("e",'Needs 171007_1806'!D95:BU95)</f>
        <v/>
      </c>
    </row>
    <row r="96" spans="2:79" x14ac:dyDescent="0.25">
      <c r="B96" s="435"/>
      <c r="C96" s="291" t="s">
        <v>283</v>
      </c>
      <c r="D96" s="336"/>
      <c r="E96" s="337"/>
      <c r="F96" s="337"/>
      <c r="G96" s="337"/>
      <c r="H96" s="338"/>
      <c r="I96" s="336"/>
      <c r="J96" s="337"/>
      <c r="K96" s="337"/>
      <c r="L96" s="337"/>
      <c r="M96" s="338"/>
      <c r="N96" s="336"/>
      <c r="O96" s="337"/>
      <c r="P96" s="337"/>
      <c r="Q96" s="337"/>
      <c r="R96" s="338"/>
      <c r="S96" s="336"/>
      <c r="T96" s="337"/>
      <c r="U96" s="337"/>
      <c r="V96" s="337"/>
      <c r="W96" s="338"/>
      <c r="X96" s="336"/>
      <c r="Y96" s="337"/>
      <c r="Z96" s="337"/>
      <c r="AA96" s="337"/>
      <c r="AB96" s="338"/>
      <c r="AC96" s="336"/>
      <c r="AD96" s="337"/>
      <c r="AE96" s="337"/>
      <c r="AF96" s="337"/>
      <c r="AG96" s="338"/>
      <c r="AH96" s="336"/>
      <c r="AI96" s="337"/>
      <c r="AJ96" s="337"/>
      <c r="AK96" s="337"/>
      <c r="AL96" s="338"/>
      <c r="AM96" s="336"/>
      <c r="AN96" s="337"/>
      <c r="AO96" s="337"/>
      <c r="AP96" s="337"/>
      <c r="AQ96" s="338"/>
      <c r="AR96" s="336"/>
      <c r="AS96" s="337"/>
      <c r="AT96" s="337"/>
      <c r="AU96" s="337"/>
      <c r="AV96" s="338"/>
      <c r="AW96" s="336"/>
      <c r="AX96" s="337"/>
      <c r="AY96" s="337"/>
      <c r="AZ96" s="337"/>
      <c r="BA96" s="338"/>
      <c r="BB96" s="336"/>
      <c r="BC96" s="337"/>
      <c r="BD96" s="337"/>
      <c r="BE96" s="337"/>
      <c r="BF96" s="338"/>
      <c r="BG96" s="336"/>
      <c r="BH96" s="337"/>
      <c r="BI96" s="337"/>
      <c r="BJ96" s="337"/>
      <c r="BK96" s="338"/>
      <c r="BL96" s="336"/>
      <c r="BM96" s="337"/>
      <c r="BN96" s="337"/>
      <c r="BO96" s="337"/>
      <c r="BP96" s="338"/>
      <c r="BQ96" s="336"/>
      <c r="BR96" s="337"/>
      <c r="BS96" s="337"/>
      <c r="BT96" s="337"/>
      <c r="BU96" s="339"/>
      <c r="BW96" s="236" t="str">
        <f>sum_level("o",'Needs 171007_1806'!D96:BU96)</f>
        <v/>
      </c>
      <c r="BX96" s="237" t="str">
        <f>sum_level("j",'Needs 171007_1806'!D96:BU96)</f>
        <v/>
      </c>
      <c r="BY96" s="237" t="str">
        <f>sum_level("m",'Needs 171007_1806'!D96:BU96)</f>
        <v/>
      </c>
      <c r="BZ96" s="237" t="str">
        <f>sum_level("s",'Needs 171007_1806'!D96:BU96)</f>
        <v/>
      </c>
      <c r="CA96" s="238" t="str">
        <f>sum_level("e",'Needs 171007_1806'!D96:BU96)</f>
        <v/>
      </c>
    </row>
    <row r="97" spans="2:79" x14ac:dyDescent="0.25">
      <c r="B97" s="435"/>
      <c r="C97" s="291" t="s">
        <v>279</v>
      </c>
      <c r="D97" s="336"/>
      <c r="E97" s="337"/>
      <c r="F97" s="337"/>
      <c r="G97" s="337"/>
      <c r="H97" s="338"/>
      <c r="I97" s="336"/>
      <c r="J97" s="337"/>
      <c r="K97" s="337"/>
      <c r="L97" s="337"/>
      <c r="M97" s="338"/>
      <c r="N97" s="336"/>
      <c r="O97" s="337"/>
      <c r="P97" s="337"/>
      <c r="Q97" s="337"/>
      <c r="R97" s="338"/>
      <c r="S97" s="336"/>
      <c r="T97" s="337"/>
      <c r="U97" s="337"/>
      <c r="V97" s="337"/>
      <c r="W97" s="338"/>
      <c r="X97" s="336"/>
      <c r="Y97" s="337"/>
      <c r="Z97" s="337"/>
      <c r="AA97" s="337"/>
      <c r="AB97" s="338"/>
      <c r="AC97" s="336"/>
      <c r="AD97" s="337"/>
      <c r="AE97" s="337"/>
      <c r="AF97" s="337"/>
      <c r="AG97" s="338"/>
      <c r="AH97" s="336"/>
      <c r="AI97" s="337"/>
      <c r="AJ97" s="337"/>
      <c r="AK97" s="337"/>
      <c r="AL97" s="338"/>
      <c r="AM97" s="336"/>
      <c r="AN97" s="337"/>
      <c r="AO97" s="337"/>
      <c r="AP97" s="337"/>
      <c r="AQ97" s="338"/>
      <c r="AR97" s="336"/>
      <c r="AS97" s="337"/>
      <c r="AT97" s="337"/>
      <c r="AU97" s="337"/>
      <c r="AV97" s="338"/>
      <c r="AW97" s="336"/>
      <c r="AX97" s="337"/>
      <c r="AY97" s="337"/>
      <c r="AZ97" s="337"/>
      <c r="BA97" s="338"/>
      <c r="BB97" s="336"/>
      <c r="BC97" s="337"/>
      <c r="BD97" s="337"/>
      <c r="BE97" s="337"/>
      <c r="BF97" s="338"/>
      <c r="BG97" s="336"/>
      <c r="BH97" s="337"/>
      <c r="BI97" s="337"/>
      <c r="BJ97" s="337"/>
      <c r="BK97" s="338"/>
      <c r="BL97" s="336"/>
      <c r="BM97" s="337"/>
      <c r="BN97" s="337"/>
      <c r="BO97" s="337"/>
      <c r="BP97" s="338"/>
      <c r="BQ97" s="336"/>
      <c r="BR97" s="337"/>
      <c r="BS97" s="337"/>
      <c r="BT97" s="337"/>
      <c r="BU97" s="339"/>
      <c r="BW97" s="236" t="str">
        <f>sum_level("o",'Needs 171007_1806'!D97:BU97)</f>
        <v/>
      </c>
      <c r="BX97" s="237" t="str">
        <f>sum_level("j",'Needs 171007_1806'!D97:BU97)</f>
        <v/>
      </c>
      <c r="BY97" s="237" t="str">
        <f>sum_level("m",'Needs 171007_1806'!D97:BU97)</f>
        <v/>
      </c>
      <c r="BZ97" s="237" t="str">
        <f>sum_level("s",'Needs 171007_1806'!D97:BU97)</f>
        <v/>
      </c>
      <c r="CA97" s="238" t="str">
        <f>sum_level("e",'Needs 171007_1806'!D97:BU97)</f>
        <v/>
      </c>
    </row>
    <row r="98" spans="2:79" ht="15.75" thickBot="1" x14ac:dyDescent="0.3">
      <c r="B98" s="435"/>
      <c r="C98" s="292" t="s">
        <v>280</v>
      </c>
      <c r="D98" s="340"/>
      <c r="E98" s="341"/>
      <c r="F98" s="341"/>
      <c r="G98" s="341"/>
      <c r="H98" s="342"/>
      <c r="I98" s="340"/>
      <c r="J98" s="341"/>
      <c r="K98" s="341"/>
      <c r="L98" s="341"/>
      <c r="M98" s="342"/>
      <c r="N98" s="340"/>
      <c r="O98" s="341"/>
      <c r="P98" s="341"/>
      <c r="Q98" s="341"/>
      <c r="R98" s="342"/>
      <c r="S98" s="340"/>
      <c r="T98" s="341"/>
      <c r="U98" s="341"/>
      <c r="V98" s="341"/>
      <c r="W98" s="342"/>
      <c r="X98" s="340"/>
      <c r="Y98" s="341"/>
      <c r="Z98" s="341"/>
      <c r="AA98" s="341"/>
      <c r="AB98" s="342"/>
      <c r="AC98" s="340"/>
      <c r="AD98" s="341"/>
      <c r="AE98" s="341"/>
      <c r="AF98" s="341"/>
      <c r="AG98" s="342"/>
      <c r="AH98" s="340"/>
      <c r="AI98" s="341"/>
      <c r="AJ98" s="341"/>
      <c r="AK98" s="341"/>
      <c r="AL98" s="342"/>
      <c r="AM98" s="340"/>
      <c r="AN98" s="341"/>
      <c r="AO98" s="341"/>
      <c r="AP98" s="341"/>
      <c r="AQ98" s="342"/>
      <c r="AR98" s="340"/>
      <c r="AS98" s="341"/>
      <c r="AT98" s="341"/>
      <c r="AU98" s="341"/>
      <c r="AV98" s="342"/>
      <c r="AW98" s="340"/>
      <c r="AX98" s="341"/>
      <c r="AY98" s="341"/>
      <c r="AZ98" s="341"/>
      <c r="BA98" s="342"/>
      <c r="BB98" s="340"/>
      <c r="BC98" s="341"/>
      <c r="BD98" s="341"/>
      <c r="BE98" s="341"/>
      <c r="BF98" s="342"/>
      <c r="BG98" s="340"/>
      <c r="BH98" s="341"/>
      <c r="BI98" s="341"/>
      <c r="BJ98" s="341"/>
      <c r="BK98" s="342"/>
      <c r="BL98" s="340"/>
      <c r="BM98" s="341"/>
      <c r="BN98" s="341"/>
      <c r="BO98" s="341"/>
      <c r="BP98" s="342"/>
      <c r="BQ98" s="340"/>
      <c r="BR98" s="341"/>
      <c r="BS98" s="341"/>
      <c r="BT98" s="341"/>
      <c r="BU98" s="343"/>
      <c r="BW98" s="239" t="str">
        <f>sum_level("o",'Needs 171007_1806'!D98:BU98)</f>
        <v/>
      </c>
      <c r="BX98" s="240" t="str">
        <f>sum_level("j",'Needs 171007_1806'!D98:BU98)</f>
        <v/>
      </c>
      <c r="BY98" s="240" t="str">
        <f>sum_level("m",'Needs 171007_1806'!D98:BU98)</f>
        <v/>
      </c>
      <c r="BZ98" s="240" t="str">
        <f>sum_level("s",'Needs 171007_1806'!D98:BU98)</f>
        <v/>
      </c>
      <c r="CA98" s="241" t="str">
        <f>sum_level("e",'Needs 171007_1806'!D98:BU98)</f>
        <v/>
      </c>
    </row>
    <row r="99" spans="2:79" ht="12.75" customHeight="1" thickTop="1" thickBot="1" x14ac:dyDescent="0.3">
      <c r="B99" s="437"/>
      <c r="C99" s="248"/>
      <c r="D99" s="344"/>
      <c r="E99" s="344"/>
      <c r="F99" s="344"/>
      <c r="G99" s="344"/>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c r="BH99" s="344"/>
      <c r="BI99" s="344"/>
      <c r="BJ99" s="344"/>
      <c r="BK99" s="344"/>
      <c r="BL99" s="344"/>
      <c r="BM99" s="344"/>
      <c r="BN99" s="344"/>
      <c r="BO99" s="344"/>
      <c r="BP99" s="344"/>
      <c r="BQ99" s="344"/>
      <c r="BR99" s="344"/>
      <c r="BS99" s="344"/>
      <c r="BT99" s="344"/>
      <c r="BU99" s="344"/>
      <c r="BW99" s="249"/>
      <c r="BX99" s="249"/>
      <c r="BY99" s="249"/>
      <c r="BZ99" s="249"/>
      <c r="CA99" s="249"/>
    </row>
    <row r="100" spans="2:79" ht="16.5" thickTop="1" thickBot="1" x14ac:dyDescent="0.3"/>
    <row r="101" spans="2:79" ht="16.5" thickTop="1" thickBot="1" x14ac:dyDescent="0.3">
      <c r="C101" s="297" t="s">
        <v>222</v>
      </c>
      <c r="D101" s="232">
        <f t="shared" ref="D101:AI101" si="0">SUM(D3:D99)</f>
        <v>0</v>
      </c>
      <c r="E101" s="246">
        <f t="shared" si="0"/>
        <v>0</v>
      </c>
      <c r="F101" s="246">
        <f t="shared" si="0"/>
        <v>0</v>
      </c>
      <c r="G101" s="246">
        <f t="shared" si="0"/>
        <v>0</v>
      </c>
      <c r="H101" s="244">
        <f t="shared" si="0"/>
        <v>0</v>
      </c>
      <c r="I101" s="245">
        <f t="shared" si="0"/>
        <v>0</v>
      </c>
      <c r="J101" s="246">
        <f t="shared" si="0"/>
        <v>0</v>
      </c>
      <c r="K101" s="246">
        <f t="shared" si="0"/>
        <v>0</v>
      </c>
      <c r="L101" s="246">
        <f t="shared" si="0"/>
        <v>0</v>
      </c>
      <c r="M101" s="244">
        <f t="shared" si="0"/>
        <v>0</v>
      </c>
      <c r="N101" s="245">
        <f t="shared" si="0"/>
        <v>0</v>
      </c>
      <c r="O101" s="246">
        <f t="shared" si="0"/>
        <v>0</v>
      </c>
      <c r="P101" s="246">
        <f t="shared" si="0"/>
        <v>0</v>
      </c>
      <c r="Q101" s="246">
        <f t="shared" si="0"/>
        <v>0</v>
      </c>
      <c r="R101" s="244">
        <f t="shared" si="0"/>
        <v>0</v>
      </c>
      <c r="S101" s="245">
        <f t="shared" si="0"/>
        <v>0</v>
      </c>
      <c r="T101" s="246">
        <f t="shared" si="0"/>
        <v>0</v>
      </c>
      <c r="U101" s="246">
        <f t="shared" si="0"/>
        <v>0</v>
      </c>
      <c r="V101" s="246">
        <f t="shared" si="0"/>
        <v>0</v>
      </c>
      <c r="W101" s="244">
        <f t="shared" si="0"/>
        <v>0</v>
      </c>
      <c r="X101" s="245">
        <f t="shared" si="0"/>
        <v>0</v>
      </c>
      <c r="Y101" s="246">
        <f t="shared" si="0"/>
        <v>0</v>
      </c>
      <c r="Z101" s="246">
        <f t="shared" si="0"/>
        <v>0</v>
      </c>
      <c r="AA101" s="246">
        <f t="shared" si="0"/>
        <v>0</v>
      </c>
      <c r="AB101" s="244">
        <f t="shared" si="0"/>
        <v>0</v>
      </c>
      <c r="AC101" s="245">
        <f t="shared" si="0"/>
        <v>0</v>
      </c>
      <c r="AD101" s="246">
        <f t="shared" si="0"/>
        <v>0</v>
      </c>
      <c r="AE101" s="246">
        <f t="shared" si="0"/>
        <v>0</v>
      </c>
      <c r="AF101" s="246">
        <f t="shared" si="0"/>
        <v>0</v>
      </c>
      <c r="AG101" s="244">
        <f t="shared" si="0"/>
        <v>0</v>
      </c>
      <c r="AH101" s="245">
        <f t="shared" si="0"/>
        <v>1</v>
      </c>
      <c r="AI101" s="246">
        <f t="shared" si="0"/>
        <v>2</v>
      </c>
      <c r="AJ101" s="246">
        <f t="shared" ref="AJ101:BO101" si="1">SUM(AJ3:AJ99)</f>
        <v>3</v>
      </c>
      <c r="AK101" s="246">
        <f t="shared" si="1"/>
        <v>4</v>
      </c>
      <c r="AL101" s="244">
        <f t="shared" si="1"/>
        <v>5</v>
      </c>
      <c r="AM101" s="245">
        <f t="shared" si="1"/>
        <v>6</v>
      </c>
      <c r="AN101" s="246">
        <f t="shared" si="1"/>
        <v>7</v>
      </c>
      <c r="AO101" s="246">
        <f t="shared" si="1"/>
        <v>8</v>
      </c>
      <c r="AP101" s="246">
        <f t="shared" si="1"/>
        <v>9</v>
      </c>
      <c r="AQ101" s="244">
        <f t="shared" si="1"/>
        <v>10</v>
      </c>
      <c r="AR101" s="245">
        <f t="shared" si="1"/>
        <v>11</v>
      </c>
      <c r="AS101" s="246">
        <f t="shared" si="1"/>
        <v>12</v>
      </c>
      <c r="AT101" s="246">
        <f t="shared" si="1"/>
        <v>13</v>
      </c>
      <c r="AU101" s="246">
        <f t="shared" si="1"/>
        <v>14</v>
      </c>
      <c r="AV101" s="244">
        <f t="shared" si="1"/>
        <v>15</v>
      </c>
      <c r="AW101" s="245">
        <f t="shared" si="1"/>
        <v>16</v>
      </c>
      <c r="AX101" s="246">
        <f t="shared" si="1"/>
        <v>17</v>
      </c>
      <c r="AY101" s="246">
        <f t="shared" si="1"/>
        <v>18</v>
      </c>
      <c r="AZ101" s="246">
        <f t="shared" si="1"/>
        <v>19</v>
      </c>
      <c r="BA101" s="244">
        <f t="shared" si="1"/>
        <v>20</v>
      </c>
      <c r="BB101" s="245">
        <f t="shared" si="1"/>
        <v>21</v>
      </c>
      <c r="BC101" s="246">
        <f t="shared" si="1"/>
        <v>22</v>
      </c>
      <c r="BD101" s="246">
        <f t="shared" si="1"/>
        <v>23</v>
      </c>
      <c r="BE101" s="246">
        <f t="shared" si="1"/>
        <v>24</v>
      </c>
      <c r="BF101" s="244">
        <f t="shared" si="1"/>
        <v>25</v>
      </c>
      <c r="BG101" s="245">
        <f t="shared" si="1"/>
        <v>26</v>
      </c>
      <c r="BH101" s="246">
        <f t="shared" si="1"/>
        <v>27</v>
      </c>
      <c r="BI101" s="246">
        <f t="shared" si="1"/>
        <v>28</v>
      </c>
      <c r="BJ101" s="246">
        <f t="shared" si="1"/>
        <v>29</v>
      </c>
      <c r="BK101" s="244">
        <f t="shared" si="1"/>
        <v>30</v>
      </c>
      <c r="BL101" s="245">
        <f t="shared" si="1"/>
        <v>31</v>
      </c>
      <c r="BM101" s="246">
        <f t="shared" si="1"/>
        <v>32</v>
      </c>
      <c r="BN101" s="246">
        <f t="shared" si="1"/>
        <v>33</v>
      </c>
      <c r="BO101" s="246">
        <f t="shared" si="1"/>
        <v>34</v>
      </c>
      <c r="BP101" s="244">
        <f t="shared" ref="BP101:BU101" si="2">SUM(BP3:BP99)</f>
        <v>35</v>
      </c>
      <c r="BQ101" s="245">
        <f t="shared" si="2"/>
        <v>0</v>
      </c>
      <c r="BR101" s="246">
        <f t="shared" si="2"/>
        <v>0</v>
      </c>
      <c r="BS101" s="246">
        <f t="shared" si="2"/>
        <v>0</v>
      </c>
      <c r="BT101" s="246">
        <f t="shared" si="2"/>
        <v>0</v>
      </c>
      <c r="BU101" s="247">
        <f t="shared" si="2"/>
        <v>0</v>
      </c>
    </row>
    <row r="102" spans="2:79" ht="15.75" thickTop="1" x14ac:dyDescent="0.25"/>
  </sheetData>
  <mergeCells count="24">
    <mergeCell ref="X1:AB1"/>
    <mergeCell ref="S1:W1"/>
    <mergeCell ref="B3:B16"/>
    <mergeCell ref="B17:B26"/>
    <mergeCell ref="B27:B37"/>
    <mergeCell ref="B38:B50"/>
    <mergeCell ref="A1:C1"/>
    <mergeCell ref="B79:B83"/>
    <mergeCell ref="B84:B99"/>
    <mergeCell ref="D1:H1"/>
    <mergeCell ref="I1:M1"/>
    <mergeCell ref="N1:R1"/>
    <mergeCell ref="B51:B59"/>
    <mergeCell ref="B60:B78"/>
    <mergeCell ref="BL1:BP1"/>
    <mergeCell ref="BQ1:BU1"/>
    <mergeCell ref="BW1:CA1"/>
    <mergeCell ref="AC1:AG1"/>
    <mergeCell ref="AH1:AL1"/>
    <mergeCell ref="AM1:AQ1"/>
    <mergeCell ref="BB1:BF1"/>
    <mergeCell ref="BG1:BK1"/>
    <mergeCell ref="AR1:AV1"/>
    <mergeCell ref="AW1:BA1"/>
  </mergeCells>
  <conditionalFormatting sqref="D3:H15">
    <cfRule type="expression" dxfId="151" priority="1" stopIfTrue="1">
      <formula>LEN(TRIM(D3))=0</formula>
    </cfRule>
  </conditionalFormatting>
  <conditionalFormatting sqref="D17:H25">
    <cfRule type="expression" dxfId="150" priority="2" stopIfTrue="1">
      <formula>LEN(TRIM(D17))=0</formula>
    </cfRule>
  </conditionalFormatting>
  <conditionalFormatting sqref="D27:H36">
    <cfRule type="expression" dxfId="149" priority="3" stopIfTrue="1">
      <formula>LEN(TRIM(D27))=0</formula>
    </cfRule>
  </conditionalFormatting>
  <conditionalFormatting sqref="D38:H49">
    <cfRule type="expression" dxfId="148" priority="4" stopIfTrue="1">
      <formula>LEN(TRIM(D38))=0</formula>
    </cfRule>
  </conditionalFormatting>
  <conditionalFormatting sqref="D51:H58">
    <cfRule type="expression" dxfId="147" priority="5" stopIfTrue="1">
      <formula>LEN(TRIM(D51))=0</formula>
    </cfRule>
  </conditionalFormatting>
  <conditionalFormatting sqref="D60:H77">
    <cfRule type="expression" dxfId="146" priority="6" stopIfTrue="1">
      <formula>LEN(TRIM(D60))=0</formula>
    </cfRule>
  </conditionalFormatting>
  <conditionalFormatting sqref="D79:H82">
    <cfRule type="expression" dxfId="145" priority="7" stopIfTrue="1">
      <formula>LEN(TRIM(D79))=0</formula>
    </cfRule>
  </conditionalFormatting>
  <conditionalFormatting sqref="D84:H98">
    <cfRule type="expression" dxfId="144" priority="8" stopIfTrue="1">
      <formula>LEN(TRIM(D84))=0</formula>
    </cfRule>
  </conditionalFormatting>
  <conditionalFormatting sqref="D101:H101">
    <cfRule type="expression" dxfId="143" priority="9" stopIfTrue="1">
      <formula>LEN(TRIM(D101))=0</formula>
    </cfRule>
  </conditionalFormatting>
  <conditionalFormatting sqref="I3:M15">
    <cfRule type="expression" dxfId="142" priority="10" stopIfTrue="1">
      <formula>LEN(TRIM(I3))=0</formula>
    </cfRule>
  </conditionalFormatting>
  <conditionalFormatting sqref="I17:M25">
    <cfRule type="expression" dxfId="141" priority="11" stopIfTrue="1">
      <formula>LEN(TRIM(I17))=0</formula>
    </cfRule>
  </conditionalFormatting>
  <conditionalFormatting sqref="I27:M36">
    <cfRule type="expression" dxfId="140" priority="12" stopIfTrue="1">
      <formula>LEN(TRIM(I27))=0</formula>
    </cfRule>
  </conditionalFormatting>
  <conditionalFormatting sqref="I38:M49">
    <cfRule type="expression" dxfId="139" priority="13" stopIfTrue="1">
      <formula>LEN(TRIM(I38))=0</formula>
    </cfRule>
  </conditionalFormatting>
  <conditionalFormatting sqref="I51:M58">
    <cfRule type="expression" dxfId="138" priority="14" stopIfTrue="1">
      <formula>LEN(TRIM(I51))=0</formula>
    </cfRule>
  </conditionalFormatting>
  <conditionalFormatting sqref="I60:M77">
    <cfRule type="expression" dxfId="137" priority="15" stopIfTrue="1">
      <formula>LEN(TRIM(I60))=0</formula>
    </cfRule>
  </conditionalFormatting>
  <conditionalFormatting sqref="I79:M82">
    <cfRule type="expression" dxfId="136" priority="16" stopIfTrue="1">
      <formula>LEN(TRIM(I79))=0</formula>
    </cfRule>
  </conditionalFormatting>
  <conditionalFormatting sqref="I84:M98">
    <cfRule type="expression" dxfId="135" priority="17" stopIfTrue="1">
      <formula>LEN(TRIM(I84))=0</formula>
    </cfRule>
  </conditionalFormatting>
  <conditionalFormatting sqref="I101:M101">
    <cfRule type="expression" dxfId="134" priority="18" stopIfTrue="1">
      <formula>LEN(TRIM(I101))=0</formula>
    </cfRule>
  </conditionalFormatting>
  <conditionalFormatting sqref="N3:R15">
    <cfRule type="expression" dxfId="133" priority="19" stopIfTrue="1">
      <formula>LEN(TRIM(N3))=0</formula>
    </cfRule>
  </conditionalFormatting>
  <conditionalFormatting sqref="N17:R25">
    <cfRule type="expression" dxfId="132" priority="20" stopIfTrue="1">
      <formula>LEN(TRIM(N17))=0</formula>
    </cfRule>
  </conditionalFormatting>
  <conditionalFormatting sqref="N27:R36">
    <cfRule type="expression" dxfId="131" priority="21" stopIfTrue="1">
      <formula>LEN(TRIM(N27))=0</formula>
    </cfRule>
  </conditionalFormatting>
  <conditionalFormatting sqref="N38:R49">
    <cfRule type="expression" dxfId="130" priority="22" stopIfTrue="1">
      <formula>LEN(TRIM(N38))=0</formula>
    </cfRule>
  </conditionalFormatting>
  <conditionalFormatting sqref="N51:R58">
    <cfRule type="expression" dxfId="129" priority="23" stopIfTrue="1">
      <formula>LEN(TRIM(N51))=0</formula>
    </cfRule>
  </conditionalFormatting>
  <conditionalFormatting sqref="N60:R77">
    <cfRule type="expression" dxfId="128" priority="24" stopIfTrue="1">
      <formula>LEN(TRIM(N60))=0</formula>
    </cfRule>
  </conditionalFormatting>
  <conditionalFormatting sqref="N79:R82">
    <cfRule type="expression" dxfId="127" priority="25" stopIfTrue="1">
      <formula>LEN(TRIM(N79))=0</formula>
    </cfRule>
  </conditionalFormatting>
  <conditionalFormatting sqref="N84:R98">
    <cfRule type="expression" dxfId="126" priority="26" stopIfTrue="1">
      <formula>LEN(TRIM(N84))=0</formula>
    </cfRule>
  </conditionalFormatting>
  <conditionalFormatting sqref="N101:R101">
    <cfRule type="expression" dxfId="125" priority="27" stopIfTrue="1">
      <formula>LEN(TRIM(N101))=0</formula>
    </cfRule>
  </conditionalFormatting>
  <conditionalFormatting sqref="S3:W15">
    <cfRule type="expression" dxfId="124" priority="28" stopIfTrue="1">
      <formula>LEN(TRIM(S3))=0</formula>
    </cfRule>
  </conditionalFormatting>
  <conditionalFormatting sqref="S17:W25">
    <cfRule type="expression" dxfId="123" priority="29" stopIfTrue="1">
      <formula>LEN(TRIM(S17))=0</formula>
    </cfRule>
  </conditionalFormatting>
  <conditionalFormatting sqref="S27:W36">
    <cfRule type="expression" dxfId="122" priority="30" stopIfTrue="1">
      <formula>LEN(TRIM(S27))=0</formula>
    </cfRule>
  </conditionalFormatting>
  <conditionalFormatting sqref="S38:W49">
    <cfRule type="expression" dxfId="121" priority="31" stopIfTrue="1">
      <formula>LEN(TRIM(S38))=0</formula>
    </cfRule>
  </conditionalFormatting>
  <conditionalFormatting sqref="S51:W58">
    <cfRule type="expression" dxfId="120" priority="32" stopIfTrue="1">
      <formula>LEN(TRIM(S51))=0</formula>
    </cfRule>
  </conditionalFormatting>
  <conditionalFormatting sqref="S60:W77">
    <cfRule type="expression" dxfId="119" priority="33" stopIfTrue="1">
      <formula>LEN(TRIM(S60))=0</formula>
    </cfRule>
  </conditionalFormatting>
  <conditionalFormatting sqref="S79:W82">
    <cfRule type="expression" dxfId="118" priority="34" stopIfTrue="1">
      <formula>LEN(TRIM(S79))=0</formula>
    </cfRule>
  </conditionalFormatting>
  <conditionalFormatting sqref="S84:W98">
    <cfRule type="expression" dxfId="117" priority="35" stopIfTrue="1">
      <formula>LEN(TRIM(S84))=0</formula>
    </cfRule>
  </conditionalFormatting>
  <conditionalFormatting sqref="S101:W101">
    <cfRule type="expression" dxfId="116" priority="36" stopIfTrue="1">
      <formula>LEN(TRIM(S101))=0</formula>
    </cfRule>
  </conditionalFormatting>
  <conditionalFormatting sqref="X3:AB15">
    <cfRule type="expression" dxfId="115" priority="37" stopIfTrue="1">
      <formula>LEN(TRIM(X3))=0</formula>
    </cfRule>
  </conditionalFormatting>
  <conditionalFormatting sqref="X17:AB25">
    <cfRule type="expression" dxfId="114" priority="38" stopIfTrue="1">
      <formula>LEN(TRIM(X17))=0</formula>
    </cfRule>
  </conditionalFormatting>
  <conditionalFormatting sqref="X27:AB36">
    <cfRule type="expression" dxfId="113" priority="39" stopIfTrue="1">
      <formula>LEN(TRIM(X27))=0</formula>
    </cfRule>
  </conditionalFormatting>
  <conditionalFormatting sqref="X38:AB49">
    <cfRule type="expression" dxfId="112" priority="40" stopIfTrue="1">
      <formula>LEN(TRIM(X38))=0</formula>
    </cfRule>
  </conditionalFormatting>
  <conditionalFormatting sqref="X51:AB58">
    <cfRule type="expression" dxfId="111" priority="41" stopIfTrue="1">
      <formula>LEN(TRIM(X51))=0</formula>
    </cfRule>
  </conditionalFormatting>
  <conditionalFormatting sqref="X60:AB77">
    <cfRule type="expression" dxfId="110" priority="42" stopIfTrue="1">
      <formula>LEN(TRIM(X60))=0</formula>
    </cfRule>
  </conditionalFormatting>
  <conditionalFormatting sqref="X79:AB82">
    <cfRule type="expression" dxfId="109" priority="43" stopIfTrue="1">
      <formula>LEN(TRIM(X79))=0</formula>
    </cfRule>
  </conditionalFormatting>
  <conditionalFormatting sqref="X84:AB98">
    <cfRule type="expression" dxfId="108" priority="44" stopIfTrue="1">
      <formula>LEN(TRIM(X84))=0</formula>
    </cfRule>
  </conditionalFormatting>
  <conditionalFormatting sqref="X101:AB101">
    <cfRule type="expression" dxfId="107" priority="45" stopIfTrue="1">
      <formula>LEN(TRIM(X101))=0</formula>
    </cfRule>
  </conditionalFormatting>
  <conditionalFormatting sqref="AC3:AG15">
    <cfRule type="expression" dxfId="106" priority="46" stopIfTrue="1">
      <formula>LEN(TRIM(AC3))=0</formula>
    </cfRule>
  </conditionalFormatting>
  <conditionalFormatting sqref="AC17:AG25">
    <cfRule type="expression" dxfId="105" priority="47" stopIfTrue="1">
      <formula>LEN(TRIM(AC17))=0</formula>
    </cfRule>
  </conditionalFormatting>
  <conditionalFormatting sqref="AC27:AG36">
    <cfRule type="expression" dxfId="104" priority="48" stopIfTrue="1">
      <formula>LEN(TRIM(AC27))=0</formula>
    </cfRule>
  </conditionalFormatting>
  <conditionalFormatting sqref="AC38:AG49">
    <cfRule type="expression" dxfId="103" priority="49" stopIfTrue="1">
      <formula>LEN(TRIM(AC38))=0</formula>
    </cfRule>
  </conditionalFormatting>
  <conditionalFormatting sqref="AC51:AG58">
    <cfRule type="expression" dxfId="102" priority="50" stopIfTrue="1">
      <formula>LEN(TRIM(AC51))=0</formula>
    </cfRule>
  </conditionalFormatting>
  <conditionalFormatting sqref="AC60:AG77">
    <cfRule type="expression" dxfId="101" priority="51" stopIfTrue="1">
      <formula>LEN(TRIM(AC60))=0</formula>
    </cfRule>
  </conditionalFormatting>
  <conditionalFormatting sqref="AC79:AG82">
    <cfRule type="expression" dxfId="100" priority="52" stopIfTrue="1">
      <formula>LEN(TRIM(AC79))=0</formula>
    </cfRule>
  </conditionalFormatting>
  <conditionalFormatting sqref="AC84:AG98">
    <cfRule type="expression" dxfId="99" priority="53" stopIfTrue="1">
      <formula>LEN(TRIM(AC84))=0</formula>
    </cfRule>
  </conditionalFormatting>
  <conditionalFormatting sqref="AC101:AG101">
    <cfRule type="expression" dxfId="98" priority="54" stopIfTrue="1">
      <formula>LEN(TRIM(AC101))=0</formula>
    </cfRule>
  </conditionalFormatting>
  <conditionalFormatting sqref="AH3:AL15">
    <cfRule type="expression" dxfId="97" priority="55" stopIfTrue="1">
      <formula>LEN(TRIM(AH3))=0</formula>
    </cfRule>
  </conditionalFormatting>
  <conditionalFormatting sqref="AH17:AL25">
    <cfRule type="expression" dxfId="96" priority="56" stopIfTrue="1">
      <formula>LEN(TRIM(AH17))=0</formula>
    </cfRule>
  </conditionalFormatting>
  <conditionalFormatting sqref="AH27:AL36">
    <cfRule type="expression" dxfId="95" priority="57" stopIfTrue="1">
      <formula>LEN(TRIM(AH27))=0</formula>
    </cfRule>
  </conditionalFormatting>
  <conditionalFormatting sqref="AH38:AL49">
    <cfRule type="expression" dxfId="94" priority="58" stopIfTrue="1">
      <formula>LEN(TRIM(AH38))=0</formula>
    </cfRule>
  </conditionalFormatting>
  <conditionalFormatting sqref="AH51:AL58">
    <cfRule type="expression" dxfId="93" priority="59" stopIfTrue="1">
      <formula>LEN(TRIM(AH51))=0</formula>
    </cfRule>
  </conditionalFormatting>
  <conditionalFormatting sqref="AH60:AL77">
    <cfRule type="expression" dxfId="92" priority="60" stopIfTrue="1">
      <formula>LEN(TRIM(AH60))=0</formula>
    </cfRule>
  </conditionalFormatting>
  <conditionalFormatting sqref="AH79:AL82">
    <cfRule type="expression" dxfId="91" priority="61" stopIfTrue="1">
      <formula>LEN(TRIM(AH79))=0</formula>
    </cfRule>
  </conditionalFormatting>
  <conditionalFormatting sqref="AH84:AL98">
    <cfRule type="expression" dxfId="90" priority="62" stopIfTrue="1">
      <formula>LEN(TRIM(AH84))=0</formula>
    </cfRule>
  </conditionalFormatting>
  <conditionalFormatting sqref="AH101:AL101">
    <cfRule type="expression" dxfId="89" priority="63" stopIfTrue="1">
      <formula>LEN(TRIM(AH101))=0</formula>
    </cfRule>
  </conditionalFormatting>
  <conditionalFormatting sqref="AM3:AQ15">
    <cfRule type="expression" dxfId="88" priority="64" stopIfTrue="1">
      <formula>LEN(TRIM(AM3))=0</formula>
    </cfRule>
  </conditionalFormatting>
  <conditionalFormatting sqref="AM17:AQ25">
    <cfRule type="expression" dxfId="87" priority="65" stopIfTrue="1">
      <formula>LEN(TRIM(AM17))=0</formula>
    </cfRule>
  </conditionalFormatting>
  <conditionalFormatting sqref="AM27:AQ36">
    <cfRule type="expression" dxfId="86" priority="66" stopIfTrue="1">
      <formula>LEN(TRIM(AM27))=0</formula>
    </cfRule>
  </conditionalFormatting>
  <conditionalFormatting sqref="AM38:AQ49">
    <cfRule type="expression" dxfId="85" priority="67" stopIfTrue="1">
      <formula>LEN(TRIM(AM38))=0</formula>
    </cfRule>
  </conditionalFormatting>
  <conditionalFormatting sqref="AM51:AQ58">
    <cfRule type="expression" dxfId="84" priority="68" stopIfTrue="1">
      <formula>LEN(TRIM(AM51))=0</formula>
    </cfRule>
  </conditionalFormatting>
  <conditionalFormatting sqref="AM60:AQ77">
    <cfRule type="expression" dxfId="83" priority="69" stopIfTrue="1">
      <formula>LEN(TRIM(AM60))=0</formula>
    </cfRule>
  </conditionalFormatting>
  <conditionalFormatting sqref="AM79:AQ82">
    <cfRule type="expression" dxfId="82" priority="70" stopIfTrue="1">
      <formula>LEN(TRIM(AM79))=0</formula>
    </cfRule>
  </conditionalFormatting>
  <conditionalFormatting sqref="AM84:AQ98">
    <cfRule type="expression" dxfId="81" priority="71" stopIfTrue="1">
      <formula>LEN(TRIM(AM84))=0</formula>
    </cfRule>
  </conditionalFormatting>
  <conditionalFormatting sqref="AM101:AQ101">
    <cfRule type="expression" dxfId="80" priority="72" stopIfTrue="1">
      <formula>LEN(TRIM(AM101))=0</formula>
    </cfRule>
  </conditionalFormatting>
  <conditionalFormatting sqref="AR3:AV15">
    <cfRule type="expression" dxfId="79" priority="73" stopIfTrue="1">
      <formula>LEN(TRIM(AR3))=0</formula>
    </cfRule>
  </conditionalFormatting>
  <conditionalFormatting sqref="AR17:AV25">
    <cfRule type="expression" dxfId="78" priority="74" stopIfTrue="1">
      <formula>LEN(TRIM(AR17))=0</formula>
    </cfRule>
  </conditionalFormatting>
  <conditionalFormatting sqref="AR27:AV36">
    <cfRule type="expression" dxfId="77" priority="75" stopIfTrue="1">
      <formula>LEN(TRIM(AR27))=0</formula>
    </cfRule>
  </conditionalFormatting>
  <conditionalFormatting sqref="AR38:AV49">
    <cfRule type="expression" dxfId="76" priority="76" stopIfTrue="1">
      <formula>LEN(TRIM(AR38))=0</formula>
    </cfRule>
  </conditionalFormatting>
  <conditionalFormatting sqref="AR51:AV58">
    <cfRule type="expression" dxfId="75" priority="77" stopIfTrue="1">
      <formula>LEN(TRIM(AR51))=0</formula>
    </cfRule>
  </conditionalFormatting>
  <conditionalFormatting sqref="AR60:AV77">
    <cfRule type="expression" dxfId="74" priority="78" stopIfTrue="1">
      <formula>LEN(TRIM(AR60))=0</formula>
    </cfRule>
  </conditionalFormatting>
  <conditionalFormatting sqref="AR79:AV82">
    <cfRule type="expression" dxfId="73" priority="79" stopIfTrue="1">
      <formula>LEN(TRIM(AR79))=0</formula>
    </cfRule>
  </conditionalFormatting>
  <conditionalFormatting sqref="AR84:AV98">
    <cfRule type="expression" dxfId="72" priority="80" stopIfTrue="1">
      <formula>LEN(TRIM(AR84))=0</formula>
    </cfRule>
  </conditionalFormatting>
  <conditionalFormatting sqref="AR101:AV101">
    <cfRule type="expression" dxfId="71" priority="81" stopIfTrue="1">
      <formula>LEN(TRIM(AR101))=0</formula>
    </cfRule>
  </conditionalFormatting>
  <conditionalFormatting sqref="AW3:BA15">
    <cfRule type="expression" dxfId="70" priority="82" stopIfTrue="1">
      <formula>LEN(TRIM(AW3))=0</formula>
    </cfRule>
  </conditionalFormatting>
  <conditionalFormatting sqref="AW17:BA25">
    <cfRule type="expression" dxfId="69" priority="83" stopIfTrue="1">
      <formula>LEN(TRIM(AW17))=0</formula>
    </cfRule>
  </conditionalFormatting>
  <conditionalFormatting sqref="AW27:BA36">
    <cfRule type="expression" dxfId="68" priority="84" stopIfTrue="1">
      <formula>LEN(TRIM(AW27))=0</formula>
    </cfRule>
  </conditionalFormatting>
  <conditionalFormatting sqref="AW38:BA49">
    <cfRule type="expression" dxfId="67" priority="85" stopIfTrue="1">
      <formula>LEN(TRIM(AW38))=0</formula>
    </cfRule>
  </conditionalFormatting>
  <conditionalFormatting sqref="AW51:BA58">
    <cfRule type="expression" dxfId="66" priority="86" stopIfTrue="1">
      <formula>LEN(TRIM(AW51))=0</formula>
    </cfRule>
  </conditionalFormatting>
  <conditionalFormatting sqref="AW60:BA77">
    <cfRule type="expression" dxfId="65" priority="87" stopIfTrue="1">
      <formula>LEN(TRIM(AW60))=0</formula>
    </cfRule>
  </conditionalFormatting>
  <conditionalFormatting sqref="AW79:BA82">
    <cfRule type="expression" dxfId="64" priority="88" stopIfTrue="1">
      <formula>LEN(TRIM(AW79))=0</formula>
    </cfRule>
  </conditionalFormatting>
  <conditionalFormatting sqref="AW84:BA98">
    <cfRule type="expression" dxfId="63" priority="89" stopIfTrue="1">
      <formula>LEN(TRIM(AW84))=0</formula>
    </cfRule>
  </conditionalFormatting>
  <conditionalFormatting sqref="AW101:BA101">
    <cfRule type="expression" dxfId="62" priority="90" stopIfTrue="1">
      <formula>LEN(TRIM(AW101))=0</formula>
    </cfRule>
  </conditionalFormatting>
  <conditionalFormatting sqref="BB3:BF15">
    <cfRule type="expression" dxfId="61" priority="91" stopIfTrue="1">
      <formula>LEN(TRIM(BB3))=0</formula>
    </cfRule>
  </conditionalFormatting>
  <conditionalFormatting sqref="BB17:BF25">
    <cfRule type="expression" dxfId="60" priority="92" stopIfTrue="1">
      <formula>LEN(TRIM(BB17))=0</formula>
    </cfRule>
  </conditionalFormatting>
  <conditionalFormatting sqref="BB27:BF36">
    <cfRule type="expression" dxfId="59" priority="93" stopIfTrue="1">
      <formula>LEN(TRIM(BB27))=0</formula>
    </cfRule>
  </conditionalFormatting>
  <conditionalFormatting sqref="BB38:BF49">
    <cfRule type="expression" dxfId="58" priority="94" stopIfTrue="1">
      <formula>LEN(TRIM(BB38))=0</formula>
    </cfRule>
  </conditionalFormatting>
  <conditionalFormatting sqref="BB51:BF58">
    <cfRule type="expression" dxfId="57" priority="95" stopIfTrue="1">
      <formula>LEN(TRIM(BB51))=0</formula>
    </cfRule>
  </conditionalFormatting>
  <conditionalFormatting sqref="BB60:BF77">
    <cfRule type="expression" dxfId="56" priority="96" stopIfTrue="1">
      <formula>LEN(TRIM(BB60))=0</formula>
    </cfRule>
  </conditionalFormatting>
  <conditionalFormatting sqref="BB79:BF82">
    <cfRule type="expression" dxfId="55" priority="97" stopIfTrue="1">
      <formula>LEN(TRIM(BB79))=0</formula>
    </cfRule>
  </conditionalFormatting>
  <conditionalFormatting sqref="BB84:BF98">
    <cfRule type="expression" dxfId="54" priority="98" stopIfTrue="1">
      <formula>LEN(TRIM(BB84))=0</formula>
    </cfRule>
  </conditionalFormatting>
  <conditionalFormatting sqref="BB101:BF101">
    <cfRule type="expression" dxfId="53" priority="99" stopIfTrue="1">
      <formula>LEN(TRIM(BB101))=0</formula>
    </cfRule>
  </conditionalFormatting>
  <conditionalFormatting sqref="BG3:BK15">
    <cfRule type="expression" dxfId="52" priority="100" stopIfTrue="1">
      <formula>LEN(TRIM(BG3))=0</formula>
    </cfRule>
  </conditionalFormatting>
  <conditionalFormatting sqref="BG17:BK25">
    <cfRule type="expression" dxfId="51" priority="101" stopIfTrue="1">
      <formula>LEN(TRIM(BG17))=0</formula>
    </cfRule>
  </conditionalFormatting>
  <conditionalFormatting sqref="BG27:BK36">
    <cfRule type="expression" dxfId="50" priority="102" stopIfTrue="1">
      <formula>LEN(TRIM(BG27))=0</formula>
    </cfRule>
  </conditionalFormatting>
  <conditionalFormatting sqref="BG38:BK49">
    <cfRule type="expression" dxfId="49" priority="103" stopIfTrue="1">
      <formula>LEN(TRIM(BG38))=0</formula>
    </cfRule>
  </conditionalFormatting>
  <conditionalFormatting sqref="BG51:BK58">
    <cfRule type="expression" dxfId="48" priority="104" stopIfTrue="1">
      <formula>LEN(TRIM(BG51))=0</formula>
    </cfRule>
  </conditionalFormatting>
  <conditionalFormatting sqref="BG60:BK77">
    <cfRule type="expression" dxfId="47" priority="105" stopIfTrue="1">
      <formula>LEN(TRIM(BG60))=0</formula>
    </cfRule>
  </conditionalFormatting>
  <conditionalFormatting sqref="BG79:BK82">
    <cfRule type="expression" dxfId="46" priority="106" stopIfTrue="1">
      <formula>LEN(TRIM(BG79))=0</formula>
    </cfRule>
  </conditionalFormatting>
  <conditionalFormatting sqref="BG84:BK98">
    <cfRule type="expression" dxfId="45" priority="107" stopIfTrue="1">
      <formula>LEN(TRIM(BG84))=0</formula>
    </cfRule>
  </conditionalFormatting>
  <conditionalFormatting sqref="BG101:BK101">
    <cfRule type="expression" dxfId="44" priority="108" stopIfTrue="1">
      <formula>LEN(TRIM(BG101))=0</formula>
    </cfRule>
  </conditionalFormatting>
  <conditionalFormatting sqref="BL3:BP15">
    <cfRule type="expression" dxfId="43" priority="109" stopIfTrue="1">
      <formula>LEN(TRIM(BL3))=0</formula>
    </cfRule>
  </conditionalFormatting>
  <conditionalFormatting sqref="BL17:BP25">
    <cfRule type="expression" dxfId="42" priority="110" stopIfTrue="1">
      <formula>LEN(TRIM(BL17))=0</formula>
    </cfRule>
  </conditionalFormatting>
  <conditionalFormatting sqref="BL27:BP36">
    <cfRule type="expression" dxfId="41" priority="111" stopIfTrue="1">
      <formula>LEN(TRIM(BL27))=0</formula>
    </cfRule>
  </conditionalFormatting>
  <conditionalFormatting sqref="BL38:BP49">
    <cfRule type="expression" dxfId="40" priority="112" stopIfTrue="1">
      <formula>LEN(TRIM(BL38))=0</formula>
    </cfRule>
  </conditionalFormatting>
  <conditionalFormatting sqref="BL51:BP58">
    <cfRule type="expression" dxfId="39" priority="113" stopIfTrue="1">
      <formula>LEN(TRIM(BL51))=0</formula>
    </cfRule>
  </conditionalFormatting>
  <conditionalFormatting sqref="BL60:BP77">
    <cfRule type="expression" dxfId="38" priority="114" stopIfTrue="1">
      <formula>LEN(TRIM(BL60))=0</formula>
    </cfRule>
  </conditionalFormatting>
  <conditionalFormatting sqref="BL79:BP82">
    <cfRule type="expression" dxfId="37" priority="115" stopIfTrue="1">
      <formula>LEN(TRIM(BL79))=0</formula>
    </cfRule>
  </conditionalFormatting>
  <conditionalFormatting sqref="BL84:BP98">
    <cfRule type="expression" dxfId="36" priority="116" stopIfTrue="1">
      <formula>LEN(TRIM(BL84))=0</formula>
    </cfRule>
  </conditionalFormatting>
  <conditionalFormatting sqref="BL101:BP101">
    <cfRule type="expression" dxfId="35" priority="117" stopIfTrue="1">
      <formula>LEN(TRIM(BL101))=0</formula>
    </cfRule>
  </conditionalFormatting>
  <conditionalFormatting sqref="BQ3:BU15">
    <cfRule type="expression" dxfId="34" priority="118" stopIfTrue="1">
      <formula>LEN(TRIM(BQ3))=0</formula>
    </cfRule>
  </conditionalFormatting>
  <conditionalFormatting sqref="BQ17:BU25">
    <cfRule type="expression" dxfId="33" priority="119" stopIfTrue="1">
      <formula>LEN(TRIM(BQ17))=0</formula>
    </cfRule>
  </conditionalFormatting>
  <conditionalFormatting sqref="BQ27:BU36">
    <cfRule type="expression" dxfId="32" priority="120" stopIfTrue="1">
      <formula>LEN(TRIM(BQ27))=0</formula>
    </cfRule>
  </conditionalFormatting>
  <conditionalFormatting sqref="BQ38:BU49">
    <cfRule type="expression" dxfId="31" priority="121" stopIfTrue="1">
      <formula>LEN(TRIM(BQ38))=0</formula>
    </cfRule>
  </conditionalFormatting>
  <conditionalFormatting sqref="BQ51:BU58">
    <cfRule type="expression" dxfId="30" priority="122" stopIfTrue="1">
      <formula>LEN(TRIM(BQ51))=0</formula>
    </cfRule>
  </conditionalFormatting>
  <conditionalFormatting sqref="BQ60:BU77">
    <cfRule type="expression" dxfId="29" priority="123" stopIfTrue="1">
      <formula>LEN(TRIM(BQ60))=0</formula>
    </cfRule>
  </conditionalFormatting>
  <conditionalFormatting sqref="BQ79:BU82">
    <cfRule type="expression" dxfId="28" priority="124" stopIfTrue="1">
      <formula>LEN(TRIM(BQ79))=0</formula>
    </cfRule>
  </conditionalFormatting>
  <conditionalFormatting sqref="BQ84:BU98">
    <cfRule type="expression" dxfId="27" priority="125" stopIfTrue="1">
      <formula>LEN(TRIM(BQ84))=0</formula>
    </cfRule>
  </conditionalFormatting>
  <conditionalFormatting sqref="BQ101:BU101">
    <cfRule type="expression" dxfId="26" priority="126" stopIfTrue="1">
      <formula>LEN(TRIM(BQ101))=0</formula>
    </cfRule>
  </conditionalFormatting>
  <conditionalFormatting sqref="BW3:CA15">
    <cfRule type="expression" dxfId="25" priority="127" stopIfTrue="1">
      <formula>LEN(TRIM(BW3))=0</formula>
    </cfRule>
  </conditionalFormatting>
  <conditionalFormatting sqref="BW17:CA25">
    <cfRule type="expression" dxfId="24" priority="128" stopIfTrue="1">
      <formula>LEN(TRIM(BW17))=0</formula>
    </cfRule>
  </conditionalFormatting>
  <conditionalFormatting sqref="BW27:CA36">
    <cfRule type="expression" dxfId="23" priority="129" stopIfTrue="1">
      <formula>LEN(TRIM(BW27))=0</formula>
    </cfRule>
  </conditionalFormatting>
  <conditionalFormatting sqref="BW38:CA49">
    <cfRule type="expression" dxfId="22" priority="130" stopIfTrue="1">
      <formula>LEN(TRIM(BW38))=0</formula>
    </cfRule>
  </conditionalFormatting>
  <conditionalFormatting sqref="BW51:CA58">
    <cfRule type="expression" dxfId="21" priority="131" stopIfTrue="1">
      <formula>LEN(TRIM(BW51))=0</formula>
    </cfRule>
  </conditionalFormatting>
  <conditionalFormatting sqref="BW60:CA77">
    <cfRule type="expression" dxfId="20" priority="132" stopIfTrue="1">
      <formula>LEN(TRIM(BW60))=0</formula>
    </cfRule>
  </conditionalFormatting>
  <conditionalFormatting sqref="BW79:CA82">
    <cfRule type="expression" dxfId="19" priority="133" stopIfTrue="1">
      <formula>LEN(TRIM(BW79))=0</formula>
    </cfRule>
  </conditionalFormatting>
  <conditionalFormatting sqref="BW84:CA98">
    <cfRule type="expression" dxfId="18" priority="134" stopIfTrue="1">
      <formula>LEN(TRIM(BW84))=0</formula>
    </cfRule>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Categories"/>
  <dimension ref="B2:C13"/>
  <sheetViews>
    <sheetView showGridLines="0" workbookViewId="0">
      <selection activeCell="C12" sqref="C12"/>
    </sheetView>
  </sheetViews>
  <sheetFormatPr defaultRowHeight="12.75" x14ac:dyDescent="0.2"/>
  <cols>
    <col min="1" max="1" width="9.140625" style="172"/>
    <col min="2" max="2" width="27.28515625" style="172" customWidth="1"/>
    <col min="3" max="3" width="26.42578125" style="172" customWidth="1"/>
    <col min="4" max="16384" width="9.140625" style="172"/>
  </cols>
  <sheetData>
    <row r="2" spans="2:3" ht="18.75" x14ac:dyDescent="0.3">
      <c r="B2" s="171" t="s">
        <v>183</v>
      </c>
    </row>
    <row r="4" spans="2:3" ht="20.100000000000001" customHeight="1" thickBot="1" x14ac:dyDescent="0.25">
      <c r="B4" s="173" t="s">
        <v>184</v>
      </c>
      <c r="C4" s="173" t="s">
        <v>185</v>
      </c>
    </row>
    <row r="5" spans="2:3" ht="37.5" customHeight="1" thickTop="1" thickBot="1" x14ac:dyDescent="0.25">
      <c r="B5" s="347" t="s">
        <v>48</v>
      </c>
      <c r="C5" s="348" t="s">
        <v>186</v>
      </c>
    </row>
    <row r="6" spans="2:3" ht="37.5" customHeight="1" thickTop="1" thickBot="1" x14ac:dyDescent="0.25">
      <c r="B6" s="347" t="s">
        <v>62</v>
      </c>
      <c r="C6" s="348" t="s">
        <v>187</v>
      </c>
    </row>
    <row r="7" spans="2:3" ht="37.5" customHeight="1" thickTop="1" thickBot="1" x14ac:dyDescent="0.25">
      <c r="B7" s="347" t="s">
        <v>70</v>
      </c>
      <c r="C7" s="348" t="s">
        <v>188</v>
      </c>
    </row>
    <row r="8" spans="2:3" ht="37.5" customHeight="1" thickTop="1" thickBot="1" x14ac:dyDescent="0.25">
      <c r="B8" s="347" t="s">
        <v>81</v>
      </c>
      <c r="C8" s="348" t="s">
        <v>189</v>
      </c>
    </row>
    <row r="9" spans="2:3" ht="37.5" customHeight="1" thickTop="1" thickBot="1" x14ac:dyDescent="0.25">
      <c r="B9" s="347" t="s">
        <v>122</v>
      </c>
      <c r="C9" s="348" t="s">
        <v>190</v>
      </c>
    </row>
    <row r="10" spans="2:3" ht="37.5" customHeight="1" thickTop="1" thickBot="1" x14ac:dyDescent="0.25">
      <c r="B10" s="347" t="s">
        <v>98</v>
      </c>
      <c r="C10" s="348" t="s">
        <v>191</v>
      </c>
    </row>
    <row r="11" spans="2:3" ht="37.5" customHeight="1" thickTop="1" thickBot="1" x14ac:dyDescent="0.25">
      <c r="B11" s="347" t="s">
        <v>267</v>
      </c>
      <c r="C11" s="348" t="s">
        <v>286</v>
      </c>
    </row>
    <row r="12" spans="2:3" ht="37.5" customHeight="1" thickTop="1" thickBot="1" x14ac:dyDescent="0.25">
      <c r="B12" s="346" t="s">
        <v>266</v>
      </c>
      <c r="C12" s="345" t="s">
        <v>285</v>
      </c>
    </row>
    <row r="13" spans="2:3" ht="13.5" thickTop="1" x14ac:dyDescent="0.2"/>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butEditCats">
          <controlPr defaultSize="0" autoLine="0" r:id="rId5">
            <anchor moveWithCells="1">
              <from>
                <xdr:col>1</xdr:col>
                <xdr:colOff>1800225</xdr:colOff>
                <xdr:row>0</xdr:row>
                <xdr:rowOff>114300</xdr:rowOff>
              </from>
              <to>
                <xdr:col>3</xdr:col>
                <xdr:colOff>19050</xdr:colOff>
                <xdr:row>2</xdr:row>
                <xdr:rowOff>38100</xdr:rowOff>
              </to>
            </anchor>
          </controlPr>
        </control>
      </mc:Choice>
      <mc:Fallback>
        <control shapeId="3073" r:id="rId4" name="butEditCat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kills">
    <pageSetUpPr fitToPage="1"/>
  </sheetPr>
  <dimension ref="B2:D97"/>
  <sheetViews>
    <sheetView showGridLines="0" zoomScale="75" zoomScaleNormal="75" workbookViewId="0">
      <pane ySplit="4" topLeftCell="A5" activePane="bottomLeft" state="frozenSplit"/>
      <selection pane="bottomLeft" activeCell="B5" sqref="B5:D96"/>
    </sheetView>
  </sheetViews>
  <sheetFormatPr defaultRowHeight="12.75" x14ac:dyDescent="0.2"/>
  <cols>
    <col min="1" max="1" width="5.42578125" style="172" customWidth="1"/>
    <col min="2" max="2" width="29.85546875" style="172" bestFit="1" customWidth="1"/>
    <col min="3" max="3" width="28" style="172" customWidth="1"/>
    <col min="4" max="4" width="30.28515625" style="172" customWidth="1"/>
    <col min="5" max="5" width="5.42578125" style="172" customWidth="1"/>
    <col min="6" max="16384" width="9.140625" style="172"/>
  </cols>
  <sheetData>
    <row r="2" spans="2:4" ht="18.75" x14ac:dyDescent="0.3">
      <c r="B2" s="171" t="s">
        <v>190</v>
      </c>
    </row>
    <row r="4" spans="2:4" ht="13.5" thickBot="1" x14ac:dyDescent="0.25">
      <c r="B4" s="176" t="s">
        <v>192</v>
      </c>
      <c r="C4" s="176" t="s">
        <v>184</v>
      </c>
      <c r="D4" s="176" t="s">
        <v>185</v>
      </c>
    </row>
    <row r="5" spans="2:4" ht="13.5" thickTop="1" x14ac:dyDescent="0.2">
      <c r="B5" s="177" t="s">
        <v>48</v>
      </c>
      <c r="C5" s="178" t="s">
        <v>49</v>
      </c>
      <c r="D5" s="179"/>
    </row>
    <row r="6" spans="2:4" x14ac:dyDescent="0.2">
      <c r="B6" s="180" t="s">
        <v>48</v>
      </c>
      <c r="C6" s="181" t="s">
        <v>54</v>
      </c>
      <c r="D6" s="182"/>
    </row>
    <row r="7" spans="2:4" x14ac:dyDescent="0.2">
      <c r="B7" s="180" t="s">
        <v>48</v>
      </c>
      <c r="C7" s="181" t="s">
        <v>51</v>
      </c>
      <c r="D7" s="182"/>
    </row>
    <row r="8" spans="2:4" x14ac:dyDescent="0.2">
      <c r="B8" s="180" t="s">
        <v>48</v>
      </c>
      <c r="C8" s="181" t="s">
        <v>52</v>
      </c>
      <c r="D8" s="182"/>
    </row>
    <row r="9" spans="2:4" x14ac:dyDescent="0.2">
      <c r="B9" s="180" t="s">
        <v>48</v>
      </c>
      <c r="C9" s="181" t="s">
        <v>53</v>
      </c>
      <c r="D9" s="182"/>
    </row>
    <row r="10" spans="2:4" x14ac:dyDescent="0.2">
      <c r="B10" s="180" t="s">
        <v>48</v>
      </c>
      <c r="C10" s="181" t="s">
        <v>50</v>
      </c>
      <c r="D10" s="182"/>
    </row>
    <row r="11" spans="2:4" x14ac:dyDescent="0.2">
      <c r="B11" s="180" t="s">
        <v>48</v>
      </c>
      <c r="C11" s="181" t="s">
        <v>55</v>
      </c>
      <c r="D11" s="182"/>
    </row>
    <row r="12" spans="2:4" x14ac:dyDescent="0.2">
      <c r="B12" s="180" t="s">
        <v>48</v>
      </c>
      <c r="C12" s="181" t="s">
        <v>56</v>
      </c>
      <c r="D12" s="182"/>
    </row>
    <row r="13" spans="2:4" x14ac:dyDescent="0.2">
      <c r="B13" s="180" t="s">
        <v>48</v>
      </c>
      <c r="C13" s="181" t="s">
        <v>57</v>
      </c>
      <c r="D13" s="182"/>
    </row>
    <row r="14" spans="2:4" x14ac:dyDescent="0.2">
      <c r="B14" s="180" t="s">
        <v>48</v>
      </c>
      <c r="C14" s="181" t="s">
        <v>58</v>
      </c>
      <c r="D14" s="182"/>
    </row>
    <row r="15" spans="2:4" x14ac:dyDescent="0.2">
      <c r="B15" s="180" t="s">
        <v>48</v>
      </c>
      <c r="C15" s="181" t="s">
        <v>59</v>
      </c>
      <c r="D15" s="182"/>
    </row>
    <row r="16" spans="2:4" x14ac:dyDescent="0.2">
      <c r="B16" s="180" t="s">
        <v>48</v>
      </c>
      <c r="C16" s="181" t="s">
        <v>60</v>
      </c>
      <c r="D16" s="182"/>
    </row>
    <row r="17" spans="2:4" x14ac:dyDescent="0.2">
      <c r="B17" s="180" t="s">
        <v>48</v>
      </c>
      <c r="C17" s="181" t="s">
        <v>61</v>
      </c>
      <c r="D17" s="182"/>
    </row>
    <row r="18" spans="2:4" x14ac:dyDescent="0.2">
      <c r="B18" s="180" t="s">
        <v>62</v>
      </c>
      <c r="C18" s="181" t="s">
        <v>63</v>
      </c>
      <c r="D18" s="182"/>
    </row>
    <row r="19" spans="2:4" x14ac:dyDescent="0.2">
      <c r="B19" s="180" t="s">
        <v>62</v>
      </c>
      <c r="C19" s="181" t="s">
        <v>118</v>
      </c>
      <c r="D19" s="182"/>
    </row>
    <row r="20" spans="2:4" x14ac:dyDescent="0.2">
      <c r="B20" s="180" t="s">
        <v>62</v>
      </c>
      <c r="C20" s="181" t="s">
        <v>64</v>
      </c>
      <c r="D20" s="182"/>
    </row>
    <row r="21" spans="2:4" x14ac:dyDescent="0.2">
      <c r="B21" s="180" t="s">
        <v>62</v>
      </c>
      <c r="C21" s="181" t="s">
        <v>65</v>
      </c>
      <c r="D21" s="182"/>
    </row>
    <row r="22" spans="2:4" x14ac:dyDescent="0.2">
      <c r="B22" s="180" t="s">
        <v>62</v>
      </c>
      <c r="C22" s="181" t="s">
        <v>66</v>
      </c>
      <c r="D22" s="182"/>
    </row>
    <row r="23" spans="2:4" x14ac:dyDescent="0.2">
      <c r="B23" s="180" t="s">
        <v>62</v>
      </c>
      <c r="C23" s="181" t="s">
        <v>67</v>
      </c>
      <c r="D23" s="182"/>
    </row>
    <row r="24" spans="2:4" x14ac:dyDescent="0.2">
      <c r="B24" s="180" t="s">
        <v>62</v>
      </c>
      <c r="C24" s="181" t="s">
        <v>68</v>
      </c>
      <c r="D24" s="182"/>
    </row>
    <row r="25" spans="2:4" x14ac:dyDescent="0.2">
      <c r="B25" s="180" t="s">
        <v>62</v>
      </c>
      <c r="C25" s="181" t="s">
        <v>69</v>
      </c>
      <c r="D25" s="182"/>
    </row>
    <row r="26" spans="2:4" x14ac:dyDescent="0.2">
      <c r="B26" s="180" t="s">
        <v>62</v>
      </c>
      <c r="C26" s="181" t="s">
        <v>75</v>
      </c>
      <c r="D26" s="182"/>
    </row>
    <row r="27" spans="2:4" x14ac:dyDescent="0.2">
      <c r="B27" s="180" t="s">
        <v>70</v>
      </c>
      <c r="C27" s="181" t="s">
        <v>71</v>
      </c>
      <c r="D27" s="182"/>
    </row>
    <row r="28" spans="2:4" x14ac:dyDescent="0.2">
      <c r="B28" s="180" t="s">
        <v>70</v>
      </c>
      <c r="C28" s="181" t="s">
        <v>72</v>
      </c>
      <c r="D28" s="182"/>
    </row>
    <row r="29" spans="2:4" x14ac:dyDescent="0.2">
      <c r="B29" s="180" t="s">
        <v>70</v>
      </c>
      <c r="C29" s="181" t="s">
        <v>73</v>
      </c>
      <c r="D29" s="182"/>
    </row>
    <row r="30" spans="2:4" x14ac:dyDescent="0.2">
      <c r="B30" s="180" t="s">
        <v>70</v>
      </c>
      <c r="C30" s="181" t="s">
        <v>74</v>
      </c>
      <c r="D30" s="182"/>
    </row>
    <row r="31" spans="2:4" x14ac:dyDescent="0.2">
      <c r="B31" s="180" t="s">
        <v>70</v>
      </c>
      <c r="C31" s="181" t="s">
        <v>76</v>
      </c>
      <c r="D31" s="182"/>
    </row>
    <row r="32" spans="2:4" x14ac:dyDescent="0.2">
      <c r="B32" s="180" t="s">
        <v>70</v>
      </c>
      <c r="C32" s="181" t="s">
        <v>77</v>
      </c>
      <c r="D32" s="182"/>
    </row>
    <row r="33" spans="2:4" x14ac:dyDescent="0.2">
      <c r="B33" s="180" t="s">
        <v>70</v>
      </c>
      <c r="C33" s="181" t="s">
        <v>78</v>
      </c>
      <c r="D33" s="182"/>
    </row>
    <row r="34" spans="2:4" x14ac:dyDescent="0.2">
      <c r="B34" s="180" t="s">
        <v>70</v>
      </c>
      <c r="C34" s="181" t="s">
        <v>79</v>
      </c>
      <c r="D34" s="182"/>
    </row>
    <row r="35" spans="2:4" x14ac:dyDescent="0.2">
      <c r="B35" s="180" t="s">
        <v>70</v>
      </c>
      <c r="C35" s="181" t="s">
        <v>80</v>
      </c>
      <c r="D35" s="182"/>
    </row>
    <row r="36" spans="2:4" x14ac:dyDescent="0.2">
      <c r="B36" s="180" t="s">
        <v>70</v>
      </c>
      <c r="C36" s="181" t="s">
        <v>225</v>
      </c>
      <c r="D36" s="182" t="s">
        <v>225</v>
      </c>
    </row>
    <row r="37" spans="2:4" x14ac:dyDescent="0.2">
      <c r="B37" s="180" t="s">
        <v>81</v>
      </c>
      <c r="C37" s="181" t="s">
        <v>82</v>
      </c>
      <c r="D37" s="182"/>
    </row>
    <row r="38" spans="2:4" x14ac:dyDescent="0.2">
      <c r="B38" s="180" t="s">
        <v>81</v>
      </c>
      <c r="C38" s="181" t="s">
        <v>83</v>
      </c>
      <c r="D38" s="182"/>
    </row>
    <row r="39" spans="2:4" x14ac:dyDescent="0.2">
      <c r="B39" s="180" t="s">
        <v>81</v>
      </c>
      <c r="C39" s="181" t="s">
        <v>84</v>
      </c>
      <c r="D39" s="182"/>
    </row>
    <row r="40" spans="2:4" x14ac:dyDescent="0.2">
      <c r="B40" s="180" t="s">
        <v>81</v>
      </c>
      <c r="C40" s="181" t="s">
        <v>85</v>
      </c>
      <c r="D40" s="182"/>
    </row>
    <row r="41" spans="2:4" x14ac:dyDescent="0.2">
      <c r="B41" s="180" t="s">
        <v>81</v>
      </c>
      <c r="C41" s="181" t="s">
        <v>86</v>
      </c>
      <c r="D41" s="182"/>
    </row>
    <row r="42" spans="2:4" x14ac:dyDescent="0.2">
      <c r="B42" s="180" t="s">
        <v>81</v>
      </c>
      <c r="C42" s="181" t="s">
        <v>87</v>
      </c>
      <c r="D42" s="182"/>
    </row>
    <row r="43" spans="2:4" x14ac:dyDescent="0.2">
      <c r="B43" s="180" t="s">
        <v>81</v>
      </c>
      <c r="C43" s="181" t="s">
        <v>88</v>
      </c>
      <c r="D43" s="182"/>
    </row>
    <row r="44" spans="2:4" x14ac:dyDescent="0.2">
      <c r="B44" s="180" t="s">
        <v>81</v>
      </c>
      <c r="C44" s="181" t="s">
        <v>89</v>
      </c>
      <c r="D44" s="182"/>
    </row>
    <row r="45" spans="2:4" x14ac:dyDescent="0.2">
      <c r="B45" s="180" t="s">
        <v>81</v>
      </c>
      <c r="C45" s="181" t="s">
        <v>90</v>
      </c>
      <c r="D45" s="182"/>
    </row>
    <row r="46" spans="2:4" x14ac:dyDescent="0.2">
      <c r="B46" s="180" t="s">
        <v>81</v>
      </c>
      <c r="C46" s="181" t="s">
        <v>91</v>
      </c>
      <c r="D46" s="182"/>
    </row>
    <row r="47" spans="2:4" x14ac:dyDescent="0.2">
      <c r="B47" s="180" t="s">
        <v>81</v>
      </c>
      <c r="C47" s="181" t="s">
        <v>226</v>
      </c>
      <c r="D47" s="182" t="s">
        <v>226</v>
      </c>
    </row>
    <row r="48" spans="2:4" x14ac:dyDescent="0.2">
      <c r="B48" s="180" t="s">
        <v>81</v>
      </c>
      <c r="C48" s="181" t="s">
        <v>227</v>
      </c>
      <c r="D48" s="182" t="s">
        <v>227</v>
      </c>
    </row>
    <row r="49" spans="2:4" x14ac:dyDescent="0.2">
      <c r="B49" s="180" t="s">
        <v>122</v>
      </c>
      <c r="C49" s="181" t="s">
        <v>92</v>
      </c>
      <c r="D49" s="182"/>
    </row>
    <row r="50" spans="2:4" x14ac:dyDescent="0.2">
      <c r="B50" s="180" t="s">
        <v>122</v>
      </c>
      <c r="C50" s="181" t="s">
        <v>93</v>
      </c>
      <c r="D50" s="182"/>
    </row>
    <row r="51" spans="2:4" x14ac:dyDescent="0.2">
      <c r="B51" s="180" t="s">
        <v>122</v>
      </c>
      <c r="C51" s="181" t="s">
        <v>94</v>
      </c>
      <c r="D51" s="182"/>
    </row>
    <row r="52" spans="2:4" x14ac:dyDescent="0.2">
      <c r="B52" s="180" t="s">
        <v>122</v>
      </c>
      <c r="C52" s="181" t="s">
        <v>95</v>
      </c>
      <c r="D52" s="182"/>
    </row>
    <row r="53" spans="2:4" x14ac:dyDescent="0.2">
      <c r="B53" s="180" t="s">
        <v>122</v>
      </c>
      <c r="C53" s="181" t="s">
        <v>96</v>
      </c>
      <c r="D53" s="182"/>
    </row>
    <row r="54" spans="2:4" x14ac:dyDescent="0.2">
      <c r="B54" s="180" t="s">
        <v>122</v>
      </c>
      <c r="C54" s="181" t="s">
        <v>97</v>
      </c>
      <c r="D54" s="182"/>
    </row>
    <row r="55" spans="2:4" x14ac:dyDescent="0.2">
      <c r="B55" s="180" t="s">
        <v>122</v>
      </c>
      <c r="C55" s="181" t="s">
        <v>228</v>
      </c>
      <c r="D55" s="182" t="s">
        <v>228</v>
      </c>
    </row>
    <row r="56" spans="2:4" x14ac:dyDescent="0.2">
      <c r="B56" s="180" t="s">
        <v>122</v>
      </c>
      <c r="C56" s="181" t="s">
        <v>229</v>
      </c>
      <c r="D56" s="182" t="s">
        <v>229</v>
      </c>
    </row>
    <row r="57" spans="2:4" x14ac:dyDescent="0.2">
      <c r="B57" s="180" t="s">
        <v>98</v>
      </c>
      <c r="C57" s="181" t="s">
        <v>99</v>
      </c>
      <c r="D57" s="182"/>
    </row>
    <row r="58" spans="2:4" x14ac:dyDescent="0.2">
      <c r="B58" s="180" t="s">
        <v>98</v>
      </c>
      <c r="C58" s="181" t="s">
        <v>100</v>
      </c>
      <c r="D58" s="182"/>
    </row>
    <row r="59" spans="2:4" x14ac:dyDescent="0.2">
      <c r="B59" s="180" t="s">
        <v>98</v>
      </c>
      <c r="C59" s="181" t="s">
        <v>101</v>
      </c>
      <c r="D59" s="182"/>
    </row>
    <row r="60" spans="2:4" x14ac:dyDescent="0.2">
      <c r="B60" s="180" t="s">
        <v>98</v>
      </c>
      <c r="C60" s="181" t="s">
        <v>102</v>
      </c>
      <c r="D60" s="182"/>
    </row>
    <row r="61" spans="2:4" x14ac:dyDescent="0.2">
      <c r="B61" s="180" t="s">
        <v>98</v>
      </c>
      <c r="C61" s="181" t="s">
        <v>103</v>
      </c>
      <c r="D61" s="182"/>
    </row>
    <row r="62" spans="2:4" x14ac:dyDescent="0.2">
      <c r="B62" s="180" t="s">
        <v>98</v>
      </c>
      <c r="C62" s="181" t="s">
        <v>104</v>
      </c>
      <c r="D62" s="182"/>
    </row>
    <row r="63" spans="2:4" x14ac:dyDescent="0.2">
      <c r="B63" s="180" t="s">
        <v>98</v>
      </c>
      <c r="C63" s="181" t="s">
        <v>105</v>
      </c>
      <c r="D63" s="182"/>
    </row>
    <row r="64" spans="2:4" x14ac:dyDescent="0.2">
      <c r="B64" s="180" t="s">
        <v>98</v>
      </c>
      <c r="C64" s="181" t="s">
        <v>106</v>
      </c>
      <c r="D64" s="182"/>
    </row>
    <row r="65" spans="2:4" x14ac:dyDescent="0.2">
      <c r="B65" s="180" t="s">
        <v>98</v>
      </c>
      <c r="C65" s="181" t="s">
        <v>107</v>
      </c>
      <c r="D65" s="182"/>
    </row>
    <row r="66" spans="2:4" x14ac:dyDescent="0.2">
      <c r="B66" s="180" t="s">
        <v>98</v>
      </c>
      <c r="C66" s="181" t="s">
        <v>108</v>
      </c>
      <c r="D66" s="182"/>
    </row>
    <row r="67" spans="2:4" x14ac:dyDescent="0.2">
      <c r="B67" s="180" t="s">
        <v>98</v>
      </c>
      <c r="C67" s="181" t="s">
        <v>109</v>
      </c>
      <c r="D67" s="182"/>
    </row>
    <row r="68" spans="2:4" x14ac:dyDescent="0.2">
      <c r="B68" s="180" t="s">
        <v>98</v>
      </c>
      <c r="C68" s="181" t="s">
        <v>110</v>
      </c>
      <c r="D68" s="182"/>
    </row>
    <row r="69" spans="2:4" x14ac:dyDescent="0.2">
      <c r="B69" s="180" t="s">
        <v>98</v>
      </c>
      <c r="C69" s="181" t="s">
        <v>111</v>
      </c>
      <c r="D69" s="182"/>
    </row>
    <row r="70" spans="2:4" x14ac:dyDescent="0.2">
      <c r="B70" s="180" t="s">
        <v>98</v>
      </c>
      <c r="C70" s="181" t="s">
        <v>112</v>
      </c>
      <c r="D70" s="182"/>
    </row>
    <row r="71" spans="2:4" x14ac:dyDescent="0.2">
      <c r="B71" s="180" t="s">
        <v>98</v>
      </c>
      <c r="C71" s="181" t="s">
        <v>113</v>
      </c>
      <c r="D71" s="182"/>
    </row>
    <row r="72" spans="2:4" x14ac:dyDescent="0.2">
      <c r="B72" s="180" t="s">
        <v>98</v>
      </c>
      <c r="C72" s="181" t="s">
        <v>114</v>
      </c>
      <c r="D72" s="182"/>
    </row>
    <row r="73" spans="2:4" x14ac:dyDescent="0.2">
      <c r="B73" s="180" t="s">
        <v>98</v>
      </c>
      <c r="C73" s="181" t="s">
        <v>115</v>
      </c>
      <c r="D73" s="182"/>
    </row>
    <row r="74" spans="2:4" x14ac:dyDescent="0.2">
      <c r="B74" s="180" t="s">
        <v>98</v>
      </c>
      <c r="C74" s="181" t="s">
        <v>116</v>
      </c>
      <c r="D74" s="182"/>
    </row>
    <row r="75" spans="2:4" x14ac:dyDescent="0.2">
      <c r="B75" s="180" t="s">
        <v>266</v>
      </c>
      <c r="C75" s="181" t="s">
        <v>184</v>
      </c>
      <c r="D75" s="182"/>
    </row>
    <row r="76" spans="2:4" x14ac:dyDescent="0.2">
      <c r="B76" s="180" t="s">
        <v>266</v>
      </c>
      <c r="C76" s="181" t="s">
        <v>123</v>
      </c>
      <c r="D76" s="182"/>
    </row>
    <row r="77" spans="2:4" x14ac:dyDescent="0.2">
      <c r="B77" s="180" t="s">
        <v>266</v>
      </c>
      <c r="C77" s="181" t="s">
        <v>268</v>
      </c>
      <c r="D77" s="182"/>
    </row>
    <row r="78" spans="2:4" x14ac:dyDescent="0.2">
      <c r="B78" s="180" t="s">
        <v>266</v>
      </c>
      <c r="C78" s="181" t="s">
        <v>143</v>
      </c>
      <c r="D78" s="182"/>
    </row>
    <row r="79" spans="2:4" x14ac:dyDescent="0.2">
      <c r="B79" s="180" t="s">
        <v>267</v>
      </c>
      <c r="C79" s="181" t="s">
        <v>269</v>
      </c>
      <c r="D79" s="182"/>
    </row>
    <row r="80" spans="2:4" x14ac:dyDescent="0.2">
      <c r="B80" s="180" t="s">
        <v>267</v>
      </c>
      <c r="C80" s="181" t="s">
        <v>270</v>
      </c>
      <c r="D80" s="182"/>
    </row>
    <row r="81" spans="2:4" x14ac:dyDescent="0.2">
      <c r="B81" s="180" t="s">
        <v>267</v>
      </c>
      <c r="C81" s="181" t="s">
        <v>271</v>
      </c>
      <c r="D81" s="182"/>
    </row>
    <row r="82" spans="2:4" x14ac:dyDescent="0.2">
      <c r="B82" s="180" t="s">
        <v>267</v>
      </c>
      <c r="C82" s="181" t="s">
        <v>272</v>
      </c>
      <c r="D82" s="182"/>
    </row>
    <row r="83" spans="2:4" x14ac:dyDescent="0.2">
      <c r="B83" s="180" t="s">
        <v>267</v>
      </c>
      <c r="C83" s="181" t="s">
        <v>273</v>
      </c>
      <c r="D83" s="182"/>
    </row>
    <row r="84" spans="2:4" x14ac:dyDescent="0.2">
      <c r="B84" s="180" t="s">
        <v>267</v>
      </c>
      <c r="C84" s="181" t="s">
        <v>274</v>
      </c>
      <c r="D84" s="182"/>
    </row>
    <row r="85" spans="2:4" x14ac:dyDescent="0.2">
      <c r="B85" s="180" t="s">
        <v>267</v>
      </c>
      <c r="C85" s="181" t="s">
        <v>275</v>
      </c>
      <c r="D85" s="182"/>
    </row>
    <row r="86" spans="2:4" x14ac:dyDescent="0.2">
      <c r="B86" s="180" t="s">
        <v>267</v>
      </c>
      <c r="C86" s="181" t="s">
        <v>281</v>
      </c>
      <c r="D86" s="182"/>
    </row>
    <row r="87" spans="2:4" x14ac:dyDescent="0.2">
      <c r="B87" s="180" t="s">
        <v>267</v>
      </c>
      <c r="C87" s="181" t="s">
        <v>276</v>
      </c>
      <c r="D87" s="182"/>
    </row>
    <row r="88" spans="2:4" x14ac:dyDescent="0.2">
      <c r="B88" s="180" t="s">
        <v>267</v>
      </c>
      <c r="C88" s="181" t="s">
        <v>277</v>
      </c>
      <c r="D88" s="182"/>
    </row>
    <row r="89" spans="2:4" x14ac:dyDescent="0.2">
      <c r="B89" s="180" t="s">
        <v>267</v>
      </c>
      <c r="C89" s="181" t="s">
        <v>278</v>
      </c>
      <c r="D89" s="182"/>
    </row>
    <row r="90" spans="2:4" x14ac:dyDescent="0.2">
      <c r="B90" s="180" t="s">
        <v>267</v>
      </c>
      <c r="C90" s="181" t="s">
        <v>282</v>
      </c>
      <c r="D90" s="182"/>
    </row>
    <row r="91" spans="2:4" x14ac:dyDescent="0.2">
      <c r="B91" s="180" t="s">
        <v>267</v>
      </c>
      <c r="C91" s="181" t="s">
        <v>283</v>
      </c>
      <c r="D91" s="182"/>
    </row>
    <row r="92" spans="2:4" x14ac:dyDescent="0.2">
      <c r="B92" s="180" t="s">
        <v>267</v>
      </c>
      <c r="C92" s="181" t="s">
        <v>279</v>
      </c>
      <c r="D92" s="182"/>
    </row>
    <row r="93" spans="2:4" x14ac:dyDescent="0.2">
      <c r="B93" s="180" t="s">
        <v>267</v>
      </c>
      <c r="C93" s="181" t="s">
        <v>280</v>
      </c>
      <c r="D93" s="182"/>
    </row>
    <row r="94" spans="2:4" x14ac:dyDescent="0.2">
      <c r="B94" s="180" t="s">
        <v>287</v>
      </c>
      <c r="C94" s="181" t="s">
        <v>288</v>
      </c>
      <c r="D94" s="182" t="s">
        <v>289</v>
      </c>
    </row>
    <row r="95" spans="2:4" x14ac:dyDescent="0.2">
      <c r="B95" s="180" t="s">
        <v>287</v>
      </c>
      <c r="C95" s="181" t="s">
        <v>290</v>
      </c>
      <c r="D95" s="182" t="s">
        <v>291</v>
      </c>
    </row>
    <row r="96" spans="2:4" ht="13.5" thickBot="1" x14ac:dyDescent="0.25">
      <c r="B96" s="183" t="s">
        <v>287</v>
      </c>
      <c r="C96" s="184" t="s">
        <v>292</v>
      </c>
      <c r="D96" s="185" t="s">
        <v>293</v>
      </c>
    </row>
    <row r="97" ht="13.5" thickTop="1" x14ac:dyDescent="0.2"/>
  </sheetData>
  <autoFilter ref="B4:D4"/>
  <conditionalFormatting sqref="B5:D96">
    <cfRule type="cellIs" dxfId="17" priority="1" stopIfTrue="1" operator="equal">
      <formula>"E"</formula>
    </cfRule>
    <cfRule type="cellIs" dxfId="16" priority="2" stopIfTrue="1" operator="equal">
      <formula>"S"</formula>
    </cfRule>
    <cfRule type="cellIs" dxfId="15" priority="3" stopIfTrue="1" operator="equal">
      <formula>"M"</formula>
    </cfRule>
    <cfRule type="cellIs" dxfId="14" priority="4" stopIfTrue="1" operator="equal">
      <formula>"J"</formula>
    </cfRule>
    <cfRule type="cellIs" dxfId="13" priority="5" stopIfTrue="1" operator="equal">
      <formula>"O"</formula>
    </cfRule>
    <cfRule type="expression" dxfId="12" priority="6" stopIfTrue="1">
      <formula>LEN(TRIM(B5))=0</formula>
    </cfRule>
  </conditionalFormatting>
  <printOptions horizontalCentered="1"/>
  <pageMargins left="0.7" right="0.7" top="0.75" bottom="0.75" header="0.3" footer="0.3"/>
  <pageSetup fitToHeight="0" orientation="landscape"/>
  <headerFooter>
    <oddHeader>&amp;C- &amp;A -</oddHeader>
    <oddFooter>&amp;L&amp;F&amp;C&amp;D &amp;T&amp;Rpg.&amp;P / &amp;N</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epartments"/>
  <dimension ref="B2:G19"/>
  <sheetViews>
    <sheetView showGridLines="0" workbookViewId="0">
      <selection activeCell="C18" sqref="C18"/>
    </sheetView>
  </sheetViews>
  <sheetFormatPr defaultRowHeight="12.75" x14ac:dyDescent="0.2"/>
  <cols>
    <col min="1" max="1" width="9.140625" style="172"/>
    <col min="2" max="3" width="24.85546875" style="172" customWidth="1"/>
    <col min="4" max="5" width="9.140625" style="172"/>
    <col min="6" max="7" width="27.28515625" style="172" customWidth="1"/>
    <col min="8" max="16384" width="9.140625" style="172"/>
  </cols>
  <sheetData>
    <row r="2" spans="2:7" ht="18.75" x14ac:dyDescent="0.3">
      <c r="B2" s="171" t="s">
        <v>193</v>
      </c>
    </row>
    <row r="4" spans="2:7" ht="20.100000000000001" customHeight="1" thickBot="1" x14ac:dyDescent="0.3">
      <c r="B4" s="173" t="s">
        <v>184</v>
      </c>
      <c r="C4" s="173" t="s">
        <v>185</v>
      </c>
      <c r="F4"/>
      <c r="G4"/>
    </row>
    <row r="5" spans="2:7" ht="37.5" customHeight="1" thickTop="1" thickBot="1" x14ac:dyDescent="0.25">
      <c r="B5" s="347" t="s">
        <v>230</v>
      </c>
      <c r="C5" s="348" t="s">
        <v>230</v>
      </c>
    </row>
    <row r="6" spans="2:7" ht="37.5" customHeight="1" thickTop="1" thickBot="1" x14ac:dyDescent="0.25">
      <c r="B6" s="347" t="s">
        <v>231</v>
      </c>
      <c r="C6" s="348" t="s">
        <v>231</v>
      </c>
    </row>
    <row r="7" spans="2:7" ht="37.5" customHeight="1" thickTop="1" thickBot="1" x14ac:dyDescent="0.25">
      <c r="B7" s="347" t="s">
        <v>232</v>
      </c>
      <c r="C7" s="348" t="s">
        <v>232</v>
      </c>
    </row>
    <row r="8" spans="2:7" ht="37.5" customHeight="1" thickTop="1" thickBot="1" x14ac:dyDescent="0.25">
      <c r="B8" s="347" t="s">
        <v>233</v>
      </c>
      <c r="C8" s="348" t="s">
        <v>233</v>
      </c>
    </row>
    <row r="9" spans="2:7" ht="37.5" customHeight="1" thickTop="1" thickBot="1" x14ac:dyDescent="0.25">
      <c r="B9" s="347" t="s">
        <v>234</v>
      </c>
      <c r="C9" s="348" t="s">
        <v>234</v>
      </c>
    </row>
    <row r="10" spans="2:7" ht="37.5" customHeight="1" thickTop="1" thickBot="1" x14ac:dyDescent="0.25">
      <c r="B10" s="347" t="s">
        <v>235</v>
      </c>
      <c r="C10" s="348" t="s">
        <v>235</v>
      </c>
    </row>
    <row r="11" spans="2:7" ht="37.5" customHeight="1" thickTop="1" thickBot="1" x14ac:dyDescent="0.25">
      <c r="B11" s="347" t="s">
        <v>1</v>
      </c>
      <c r="C11" s="348" t="s">
        <v>1</v>
      </c>
    </row>
    <row r="12" spans="2:7" ht="37.5" customHeight="1" thickTop="1" thickBot="1" x14ac:dyDescent="0.25">
      <c r="B12" s="347" t="s">
        <v>131</v>
      </c>
      <c r="C12" s="348" t="s">
        <v>131</v>
      </c>
    </row>
    <row r="13" spans="2:7" ht="37.5" customHeight="1" thickTop="1" thickBot="1" x14ac:dyDescent="0.25">
      <c r="B13" s="347" t="s">
        <v>3</v>
      </c>
      <c r="C13" s="348" t="s">
        <v>3</v>
      </c>
    </row>
    <row r="14" spans="2:7" ht="37.5" customHeight="1" thickTop="1" thickBot="1" x14ac:dyDescent="0.25">
      <c r="B14" s="347" t="s">
        <v>4</v>
      </c>
      <c r="C14" s="348" t="s">
        <v>4</v>
      </c>
    </row>
    <row r="15" spans="2:7" ht="37.5" customHeight="1" thickTop="1" thickBot="1" x14ac:dyDescent="0.25">
      <c r="B15" s="347" t="s">
        <v>5</v>
      </c>
      <c r="C15" s="348" t="s">
        <v>5</v>
      </c>
    </row>
    <row r="16" spans="2:7" ht="37.5" customHeight="1" thickTop="1" thickBot="1" x14ac:dyDescent="0.25">
      <c r="B16" s="347" t="s">
        <v>6</v>
      </c>
      <c r="C16" s="348" t="s">
        <v>6</v>
      </c>
    </row>
    <row r="17" spans="2:3" ht="37.5" customHeight="1" thickTop="1" thickBot="1" x14ac:dyDescent="0.25">
      <c r="B17" s="347" t="s">
        <v>135</v>
      </c>
      <c r="C17" s="348" t="s">
        <v>135</v>
      </c>
    </row>
    <row r="18" spans="2:3" ht="37.5" customHeight="1" thickTop="1" thickBot="1" x14ac:dyDescent="0.25">
      <c r="B18" s="346" t="s">
        <v>236</v>
      </c>
      <c r="C18" s="345" t="s">
        <v>236</v>
      </c>
    </row>
    <row r="19" spans="2:3" ht="13.5" thickTop="1" x14ac:dyDescent="0.2"/>
  </sheetData>
  <pageMargins left="0.7" right="0.7" top="0.75" bottom="0.75" header="0.3" footer="0.3"/>
  <pageSetup paperSize="9" orientation="portrait" verticalDpi="0"/>
  <drawing r:id="rId1"/>
  <legacyDrawing r:id="rId2"/>
  <controls>
    <mc:AlternateContent xmlns:mc="http://schemas.openxmlformats.org/markup-compatibility/2006">
      <mc:Choice Requires="x14">
        <control shapeId="4097" r:id="rId3" name="butEditDepts">
          <controlPr defaultSize="0" autoLine="0" r:id="rId4">
            <anchor moveWithCells="1">
              <from>
                <xdr:col>1</xdr:col>
                <xdr:colOff>1524000</xdr:colOff>
                <xdr:row>0</xdr:row>
                <xdr:rowOff>104775</xdr:rowOff>
              </from>
              <to>
                <xdr:col>3</xdr:col>
                <xdr:colOff>9525</xdr:colOff>
                <xdr:row>2</xdr:row>
                <xdr:rowOff>28575</xdr:rowOff>
              </to>
            </anchor>
          </controlPr>
        </control>
      </mc:Choice>
      <mc:Fallback>
        <control shapeId="4097" r:id="rId3" name="butEditDepts"/>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eptMembers">
    <pageSetUpPr fitToPage="1"/>
  </sheetPr>
  <dimension ref="B2:J89"/>
  <sheetViews>
    <sheetView showGridLines="0" zoomScale="75" zoomScaleNormal="75" workbookViewId="0">
      <pane ySplit="4" topLeftCell="A71" activePane="bottomLeft" state="frozenSplit"/>
      <selection pane="bottomLeft" activeCell="E4" sqref="E4"/>
    </sheetView>
  </sheetViews>
  <sheetFormatPr defaultRowHeight="12.75" x14ac:dyDescent="0.2"/>
  <cols>
    <col min="1" max="1" width="4.85546875" style="172" customWidth="1"/>
    <col min="2" max="2" width="8.5703125" style="172" customWidth="1"/>
    <col min="3" max="3" width="29.140625" style="172" customWidth="1"/>
    <col min="4" max="5" width="36.7109375" style="172" customWidth="1"/>
    <col min="6" max="6" width="14.28515625" style="186" bestFit="1" customWidth="1"/>
    <col min="7" max="7" width="4.85546875" style="172" customWidth="1"/>
    <col min="8" max="8" width="31.7109375" style="172" customWidth="1"/>
    <col min="9" max="9" width="22.85546875" style="172" customWidth="1"/>
    <col min="10" max="10" width="11.28515625" style="172" customWidth="1"/>
    <col min="11" max="16384" width="9.140625" style="172"/>
  </cols>
  <sheetData>
    <row r="2" spans="2:10" ht="18.75" x14ac:dyDescent="0.3">
      <c r="C2" s="171" t="s">
        <v>194</v>
      </c>
    </row>
    <row r="4" spans="2:10" ht="15.75" thickBot="1" x14ac:dyDescent="0.3">
      <c r="B4" s="349" t="s">
        <v>216</v>
      </c>
      <c r="C4" s="176" t="s">
        <v>301</v>
      </c>
      <c r="D4" s="176" t="s">
        <v>195</v>
      </c>
      <c r="E4" s="176" t="s">
        <v>1391</v>
      </c>
      <c r="F4" s="176" t="s">
        <v>196</v>
      </c>
      <c r="H4"/>
      <c r="I4"/>
      <c r="J4"/>
    </row>
    <row r="5" spans="2:10" x14ac:dyDescent="0.2">
      <c r="B5" s="350">
        <v>1</v>
      </c>
      <c r="C5" s="351" t="s">
        <v>1</v>
      </c>
      <c r="D5" s="351" t="s">
        <v>10</v>
      </c>
      <c r="E5" s="351" t="s">
        <v>1348</v>
      </c>
      <c r="F5" s="352" t="s">
        <v>46</v>
      </c>
    </row>
    <row r="6" spans="2:10" x14ac:dyDescent="0.2">
      <c r="B6" s="353">
        <v>2</v>
      </c>
      <c r="C6" s="354" t="s">
        <v>1</v>
      </c>
      <c r="D6" s="354" t="s">
        <v>11</v>
      </c>
      <c r="E6" s="354" t="s">
        <v>1328</v>
      </c>
      <c r="F6" s="355" t="s">
        <v>46</v>
      </c>
    </row>
    <row r="7" spans="2:10" x14ac:dyDescent="0.2">
      <c r="B7" s="353">
        <v>3</v>
      </c>
      <c r="C7" s="354" t="s">
        <v>1</v>
      </c>
      <c r="D7" s="354" t="s">
        <v>12</v>
      </c>
      <c r="E7" s="354" t="s">
        <v>1349</v>
      </c>
      <c r="F7" s="355" t="s">
        <v>46</v>
      </c>
    </row>
    <row r="8" spans="2:10" x14ac:dyDescent="0.2">
      <c r="B8" s="353">
        <v>4</v>
      </c>
      <c r="C8" s="354" t="s">
        <v>1</v>
      </c>
      <c r="D8" s="354" t="s">
        <v>13</v>
      </c>
      <c r="E8" s="354" t="s">
        <v>1329</v>
      </c>
      <c r="F8" s="355" t="s">
        <v>46</v>
      </c>
    </row>
    <row r="9" spans="2:10" x14ac:dyDescent="0.2">
      <c r="B9" s="353">
        <v>5</v>
      </c>
      <c r="C9" s="354" t="s">
        <v>1</v>
      </c>
      <c r="D9" s="354" t="s">
        <v>14</v>
      </c>
      <c r="E9" s="354" t="s">
        <v>1350</v>
      </c>
      <c r="F9" s="355" t="s">
        <v>46</v>
      </c>
    </row>
    <row r="10" spans="2:10" x14ac:dyDescent="0.2">
      <c r="B10" s="353">
        <v>6</v>
      </c>
      <c r="C10" s="354" t="s">
        <v>1</v>
      </c>
      <c r="D10" s="354" t="s">
        <v>125</v>
      </c>
      <c r="E10" s="354" t="s">
        <v>1351</v>
      </c>
      <c r="F10" s="355" t="s">
        <v>47</v>
      </c>
    </row>
    <row r="11" spans="2:10" x14ac:dyDescent="0.2">
      <c r="B11" s="353">
        <v>7</v>
      </c>
      <c r="C11" s="354" t="s">
        <v>1</v>
      </c>
      <c r="D11" s="354" t="s">
        <v>121</v>
      </c>
      <c r="E11" s="354" t="s">
        <v>1330</v>
      </c>
      <c r="F11" s="355" t="s">
        <v>47</v>
      </c>
    </row>
    <row r="12" spans="2:10" x14ac:dyDescent="0.2">
      <c r="B12" s="353">
        <v>8</v>
      </c>
      <c r="C12" s="354" t="s">
        <v>1</v>
      </c>
      <c r="D12" s="354" t="s">
        <v>15</v>
      </c>
      <c r="E12" s="354" t="s">
        <v>1352</v>
      </c>
      <c r="F12" s="355" t="s">
        <v>47</v>
      </c>
    </row>
    <row r="13" spans="2:10" x14ac:dyDescent="0.2">
      <c r="B13" s="353">
        <v>9</v>
      </c>
      <c r="C13" s="354" t="s">
        <v>131</v>
      </c>
      <c r="D13" s="354" t="s">
        <v>16</v>
      </c>
      <c r="E13" s="354" t="s">
        <v>1331</v>
      </c>
      <c r="F13" s="355" t="s">
        <v>46</v>
      </c>
    </row>
    <row r="14" spans="2:10" x14ac:dyDescent="0.2">
      <c r="B14" s="353">
        <v>10</v>
      </c>
      <c r="C14" s="354" t="s">
        <v>131</v>
      </c>
      <c r="D14" s="354" t="s">
        <v>17</v>
      </c>
      <c r="E14" s="354" t="s">
        <v>1334</v>
      </c>
      <c r="F14" s="355" t="s">
        <v>46</v>
      </c>
    </row>
    <row r="15" spans="2:10" x14ac:dyDescent="0.2">
      <c r="B15" s="353">
        <v>11</v>
      </c>
      <c r="C15" s="354" t="s">
        <v>131</v>
      </c>
      <c r="D15" s="354" t="s">
        <v>18</v>
      </c>
      <c r="E15" s="354" t="s">
        <v>1353</v>
      </c>
      <c r="F15" s="355" t="s">
        <v>46</v>
      </c>
    </row>
    <row r="16" spans="2:10" x14ac:dyDescent="0.2">
      <c r="B16" s="353">
        <v>12</v>
      </c>
      <c r="C16" s="354" t="s">
        <v>131</v>
      </c>
      <c r="D16" s="354" t="s">
        <v>19</v>
      </c>
      <c r="E16" s="354" t="s">
        <v>1354</v>
      </c>
      <c r="F16" s="355" t="s">
        <v>46</v>
      </c>
    </row>
    <row r="17" spans="2:6" x14ac:dyDescent="0.2">
      <c r="B17" s="353">
        <v>13</v>
      </c>
      <c r="C17" s="354" t="s">
        <v>131</v>
      </c>
      <c r="D17" s="354" t="s">
        <v>20</v>
      </c>
      <c r="E17" s="354" t="s">
        <v>20</v>
      </c>
      <c r="F17" s="355" t="s">
        <v>46</v>
      </c>
    </row>
    <row r="18" spans="2:6" x14ac:dyDescent="0.2">
      <c r="B18" s="353">
        <v>14</v>
      </c>
      <c r="C18" s="354" t="s">
        <v>3</v>
      </c>
      <c r="D18" s="354" t="s">
        <v>21</v>
      </c>
      <c r="E18" s="354" t="s">
        <v>1355</v>
      </c>
      <c r="F18" s="355" t="s">
        <v>46</v>
      </c>
    </row>
    <row r="19" spans="2:6" x14ac:dyDescent="0.2">
      <c r="B19" s="353">
        <v>15</v>
      </c>
      <c r="C19" s="354" t="s">
        <v>3</v>
      </c>
      <c r="D19" s="354" t="s">
        <v>22</v>
      </c>
      <c r="E19" s="354" t="s">
        <v>1335</v>
      </c>
      <c r="F19" s="355" t="s">
        <v>46</v>
      </c>
    </row>
    <row r="20" spans="2:6" x14ac:dyDescent="0.2">
      <c r="B20" s="353">
        <v>16</v>
      </c>
      <c r="C20" s="354" t="s">
        <v>3</v>
      </c>
      <c r="D20" s="354" t="s">
        <v>20</v>
      </c>
      <c r="E20" s="354" t="s">
        <v>20</v>
      </c>
      <c r="F20" s="355" t="s">
        <v>46</v>
      </c>
    </row>
    <row r="21" spans="2:6" x14ac:dyDescent="0.2">
      <c r="B21" s="353">
        <v>17</v>
      </c>
      <c r="C21" s="354" t="s">
        <v>4</v>
      </c>
      <c r="D21" s="354" t="s">
        <v>28</v>
      </c>
      <c r="E21" s="354" t="s">
        <v>1356</v>
      </c>
      <c r="F21" s="355" t="s">
        <v>46</v>
      </c>
    </row>
    <row r="22" spans="2:6" x14ac:dyDescent="0.2">
      <c r="B22" s="353">
        <v>18</v>
      </c>
      <c r="C22" s="354" t="s">
        <v>4</v>
      </c>
      <c r="D22" s="354" t="s">
        <v>24</v>
      </c>
      <c r="E22" s="354" t="s">
        <v>1357</v>
      </c>
      <c r="F22" s="355" t="s">
        <v>47</v>
      </c>
    </row>
    <row r="23" spans="2:6" x14ac:dyDescent="0.2">
      <c r="B23" s="353">
        <v>19</v>
      </c>
      <c r="C23" s="354" t="s">
        <v>4</v>
      </c>
      <c r="D23" s="354" t="s">
        <v>27</v>
      </c>
      <c r="E23" s="354" t="s">
        <v>1358</v>
      </c>
      <c r="F23" s="355" t="s">
        <v>47</v>
      </c>
    </row>
    <row r="24" spans="2:6" x14ac:dyDescent="0.2">
      <c r="B24" s="353">
        <v>20</v>
      </c>
      <c r="C24" s="354" t="s">
        <v>4</v>
      </c>
      <c r="D24" s="354" t="s">
        <v>124</v>
      </c>
      <c r="E24" s="354" t="s">
        <v>1359</v>
      </c>
      <c r="F24" s="355" t="s">
        <v>47</v>
      </c>
    </row>
    <row r="25" spans="2:6" x14ac:dyDescent="0.2">
      <c r="B25" s="353">
        <v>21</v>
      </c>
      <c r="C25" s="354" t="s">
        <v>5</v>
      </c>
      <c r="D25" s="354" t="s">
        <v>33</v>
      </c>
      <c r="E25" s="354" t="s">
        <v>1360</v>
      </c>
      <c r="F25" s="355" t="s">
        <v>46</v>
      </c>
    </row>
    <row r="26" spans="2:6" x14ac:dyDescent="0.2">
      <c r="B26" s="353">
        <v>22</v>
      </c>
      <c r="C26" s="354" t="s">
        <v>5</v>
      </c>
      <c r="D26" s="354" t="s">
        <v>29</v>
      </c>
      <c r="E26" s="354" t="s">
        <v>1336</v>
      </c>
      <c r="F26" s="355" t="s">
        <v>46</v>
      </c>
    </row>
    <row r="27" spans="2:6" x14ac:dyDescent="0.2">
      <c r="B27" s="353">
        <v>23</v>
      </c>
      <c r="C27" s="354" t="s">
        <v>5</v>
      </c>
      <c r="D27" s="354" t="s">
        <v>30</v>
      </c>
      <c r="E27" s="354" t="s">
        <v>1361</v>
      </c>
      <c r="F27" s="355" t="s">
        <v>46</v>
      </c>
    </row>
    <row r="28" spans="2:6" x14ac:dyDescent="0.2">
      <c r="B28" s="353">
        <v>24</v>
      </c>
      <c r="C28" s="354" t="s">
        <v>5</v>
      </c>
      <c r="D28" s="354" t="s">
        <v>181</v>
      </c>
      <c r="E28" s="354" t="s">
        <v>1362</v>
      </c>
      <c r="F28" s="355" t="s">
        <v>47</v>
      </c>
    </row>
    <row r="29" spans="2:6" x14ac:dyDescent="0.2">
      <c r="B29" s="353">
        <v>25</v>
      </c>
      <c r="C29" s="354" t="s">
        <v>5</v>
      </c>
      <c r="D29" s="354" t="s">
        <v>26</v>
      </c>
      <c r="E29" s="354" t="s">
        <v>1332</v>
      </c>
      <c r="F29" s="355" t="s">
        <v>47</v>
      </c>
    </row>
    <row r="30" spans="2:6" x14ac:dyDescent="0.2">
      <c r="B30" s="353">
        <v>26</v>
      </c>
      <c r="C30" s="354" t="s">
        <v>5</v>
      </c>
      <c r="D30" s="354" t="s">
        <v>31</v>
      </c>
      <c r="E30" s="354" t="s">
        <v>1363</v>
      </c>
      <c r="F30" s="355" t="s">
        <v>47</v>
      </c>
    </row>
    <row r="31" spans="2:6" x14ac:dyDescent="0.2">
      <c r="B31" s="353">
        <v>27</v>
      </c>
      <c r="C31" s="354" t="s">
        <v>5</v>
      </c>
      <c r="D31" s="354" t="s">
        <v>32</v>
      </c>
      <c r="E31" s="354" t="s">
        <v>1364</v>
      </c>
      <c r="F31" s="355" t="s">
        <v>47</v>
      </c>
    </row>
    <row r="32" spans="2:6" x14ac:dyDescent="0.2">
      <c r="B32" s="353">
        <v>28</v>
      </c>
      <c r="C32" s="354" t="s">
        <v>5</v>
      </c>
      <c r="D32" s="354" t="s">
        <v>23</v>
      </c>
      <c r="E32" s="354" t="s">
        <v>1337</v>
      </c>
      <c r="F32" s="355" t="s">
        <v>47</v>
      </c>
    </row>
    <row r="33" spans="2:6" x14ac:dyDescent="0.2">
      <c r="B33" s="353">
        <v>29</v>
      </c>
      <c r="C33" s="354" t="s">
        <v>6</v>
      </c>
      <c r="D33" s="354" t="s">
        <v>34</v>
      </c>
      <c r="E33" s="354" t="s">
        <v>1333</v>
      </c>
      <c r="F33" s="355" t="s">
        <v>46</v>
      </c>
    </row>
    <row r="34" spans="2:6" x14ac:dyDescent="0.2">
      <c r="B34" s="353">
        <v>30</v>
      </c>
      <c r="C34" s="354" t="s">
        <v>6</v>
      </c>
      <c r="D34" s="354" t="s">
        <v>25</v>
      </c>
      <c r="E34" s="354" t="s">
        <v>1365</v>
      </c>
      <c r="F34" s="355" t="s">
        <v>46</v>
      </c>
    </row>
    <row r="35" spans="2:6" x14ac:dyDescent="0.2">
      <c r="B35" s="353">
        <v>31</v>
      </c>
      <c r="C35" s="354" t="s">
        <v>6</v>
      </c>
      <c r="D35" s="354" t="s">
        <v>35</v>
      </c>
      <c r="E35" s="354" t="s">
        <v>1338</v>
      </c>
      <c r="F35" s="355" t="s">
        <v>46</v>
      </c>
    </row>
    <row r="36" spans="2:6" x14ac:dyDescent="0.2">
      <c r="B36" s="353">
        <v>32</v>
      </c>
      <c r="C36" s="354" t="s">
        <v>6</v>
      </c>
      <c r="D36" s="354" t="s">
        <v>38</v>
      </c>
      <c r="E36" s="354" t="s">
        <v>1339</v>
      </c>
      <c r="F36" s="355" t="s">
        <v>46</v>
      </c>
    </row>
    <row r="37" spans="2:6" x14ac:dyDescent="0.2">
      <c r="B37" s="353">
        <v>33</v>
      </c>
      <c r="C37" s="354" t="s">
        <v>6</v>
      </c>
      <c r="D37" s="354" t="s">
        <v>36</v>
      </c>
      <c r="E37" s="354" t="s">
        <v>1366</v>
      </c>
      <c r="F37" s="355" t="s">
        <v>46</v>
      </c>
    </row>
    <row r="38" spans="2:6" x14ac:dyDescent="0.2">
      <c r="B38" s="353">
        <v>34</v>
      </c>
      <c r="C38" s="354" t="s">
        <v>6</v>
      </c>
      <c r="D38" s="354" t="s">
        <v>37</v>
      </c>
      <c r="E38" s="354" t="s">
        <v>1367</v>
      </c>
      <c r="F38" s="355" t="s">
        <v>46</v>
      </c>
    </row>
    <row r="39" spans="2:6" x14ac:dyDescent="0.2">
      <c r="B39" s="353">
        <v>35</v>
      </c>
      <c r="C39" s="354" t="s">
        <v>135</v>
      </c>
      <c r="D39" s="354" t="s">
        <v>133</v>
      </c>
      <c r="E39" s="354" t="s">
        <v>1368</v>
      </c>
      <c r="F39" s="355" t="s">
        <v>46</v>
      </c>
    </row>
    <row r="40" spans="2:6" x14ac:dyDescent="0.2">
      <c r="B40" s="353">
        <v>36</v>
      </c>
      <c r="C40" s="354" t="s">
        <v>135</v>
      </c>
      <c r="D40" s="354" t="s">
        <v>39</v>
      </c>
      <c r="E40" s="354" t="s">
        <v>1369</v>
      </c>
      <c r="F40" s="355" t="s">
        <v>46</v>
      </c>
    </row>
    <row r="41" spans="2:6" x14ac:dyDescent="0.2">
      <c r="B41" s="353">
        <v>37</v>
      </c>
      <c r="C41" s="354" t="s">
        <v>135</v>
      </c>
      <c r="D41" s="354" t="s">
        <v>40</v>
      </c>
      <c r="E41" s="411" t="s">
        <v>1370</v>
      </c>
      <c r="F41" s="355" t="s">
        <v>46</v>
      </c>
    </row>
    <row r="42" spans="2:6" x14ac:dyDescent="0.2">
      <c r="B42" s="353">
        <v>38</v>
      </c>
      <c r="C42" s="354" t="s">
        <v>232</v>
      </c>
      <c r="D42" s="354" t="s">
        <v>35</v>
      </c>
      <c r="E42" s="354" t="s">
        <v>1338</v>
      </c>
      <c r="F42" s="355" t="s">
        <v>237</v>
      </c>
    </row>
    <row r="43" spans="2:6" x14ac:dyDescent="0.2">
      <c r="B43" s="353">
        <v>39</v>
      </c>
      <c r="C43" s="354" t="s">
        <v>232</v>
      </c>
      <c r="D43" s="354" t="s">
        <v>18</v>
      </c>
      <c r="E43" s="354" t="s">
        <v>1353</v>
      </c>
      <c r="F43" s="355" t="s">
        <v>237</v>
      </c>
    </row>
    <row r="44" spans="2:6" x14ac:dyDescent="0.2">
      <c r="B44" s="353">
        <v>40</v>
      </c>
      <c r="C44" s="354" t="s">
        <v>232</v>
      </c>
      <c r="D44" s="354" t="s">
        <v>239</v>
      </c>
      <c r="E44" s="354" t="s">
        <v>1344</v>
      </c>
      <c r="F44" s="355" t="s">
        <v>237</v>
      </c>
    </row>
    <row r="45" spans="2:6" x14ac:dyDescent="0.2">
      <c r="B45" s="353">
        <v>41</v>
      </c>
      <c r="C45" s="354" t="s">
        <v>232</v>
      </c>
      <c r="D45" s="354" t="s">
        <v>28</v>
      </c>
      <c r="E45" s="354" t="s">
        <v>1356</v>
      </c>
      <c r="F45" s="355" t="s">
        <v>237</v>
      </c>
    </row>
    <row r="46" spans="2:6" x14ac:dyDescent="0.2">
      <c r="B46" s="353">
        <v>42</v>
      </c>
      <c r="C46" s="354" t="s">
        <v>232</v>
      </c>
      <c r="D46" s="354" t="s">
        <v>245</v>
      </c>
      <c r="E46" s="354" t="s">
        <v>1340</v>
      </c>
      <c r="F46" s="355" t="s">
        <v>237</v>
      </c>
    </row>
    <row r="47" spans="2:6" x14ac:dyDescent="0.2">
      <c r="B47" s="353">
        <v>43</v>
      </c>
      <c r="C47" s="354" t="s">
        <v>232</v>
      </c>
      <c r="D47" s="354" t="s">
        <v>246</v>
      </c>
      <c r="E47" s="354" t="s">
        <v>1341</v>
      </c>
      <c r="F47" s="355" t="s">
        <v>139</v>
      </c>
    </row>
    <row r="48" spans="2:6" x14ac:dyDescent="0.2">
      <c r="B48" s="353">
        <v>44</v>
      </c>
      <c r="C48" s="354" t="s">
        <v>232</v>
      </c>
      <c r="D48" s="354" t="s">
        <v>284</v>
      </c>
      <c r="E48" s="354" t="s">
        <v>1371</v>
      </c>
      <c r="F48" s="355" t="s">
        <v>139</v>
      </c>
    </row>
    <row r="49" spans="2:6" x14ac:dyDescent="0.2">
      <c r="B49" s="353">
        <v>45</v>
      </c>
      <c r="C49" s="354" t="s">
        <v>232</v>
      </c>
      <c r="D49" s="354" t="s">
        <v>248</v>
      </c>
      <c r="E49" s="354" t="s">
        <v>1372</v>
      </c>
      <c r="F49" s="355" t="s">
        <v>139</v>
      </c>
    </row>
    <row r="50" spans="2:6" x14ac:dyDescent="0.2">
      <c r="B50" s="353">
        <v>46</v>
      </c>
      <c r="C50" s="354" t="s">
        <v>232</v>
      </c>
      <c r="D50" s="354" t="s">
        <v>247</v>
      </c>
      <c r="E50" s="354" t="s">
        <v>1373</v>
      </c>
      <c r="F50" s="355" t="s">
        <v>139</v>
      </c>
    </row>
    <row r="51" spans="2:6" x14ac:dyDescent="0.2">
      <c r="B51" s="353">
        <v>47</v>
      </c>
      <c r="C51" s="354" t="s">
        <v>232</v>
      </c>
      <c r="D51" s="354" t="s">
        <v>249</v>
      </c>
      <c r="E51" s="354" t="s">
        <v>1374</v>
      </c>
      <c r="F51" s="355" t="s">
        <v>237</v>
      </c>
    </row>
    <row r="52" spans="2:6" x14ac:dyDescent="0.2">
      <c r="B52" s="353">
        <v>48</v>
      </c>
      <c r="C52" s="354" t="s">
        <v>232</v>
      </c>
      <c r="D52" s="354" t="s">
        <v>250</v>
      </c>
      <c r="E52" s="354" t="s">
        <v>1375</v>
      </c>
      <c r="F52" s="355" t="s">
        <v>237</v>
      </c>
    </row>
    <row r="53" spans="2:6" x14ac:dyDescent="0.2">
      <c r="B53" s="353">
        <v>49</v>
      </c>
      <c r="C53" s="354" t="s">
        <v>232</v>
      </c>
      <c r="D53" s="354" t="s">
        <v>251</v>
      </c>
      <c r="E53" s="354" t="s">
        <v>1376</v>
      </c>
      <c r="F53" s="355" t="s">
        <v>139</v>
      </c>
    </row>
    <row r="54" spans="2:6" x14ac:dyDescent="0.2">
      <c r="B54" s="353">
        <v>50</v>
      </c>
      <c r="C54" s="354" t="s">
        <v>232</v>
      </c>
      <c r="D54" s="354" t="s">
        <v>31</v>
      </c>
      <c r="E54" s="354" t="s">
        <v>1363</v>
      </c>
      <c r="F54" s="355" t="s">
        <v>139</v>
      </c>
    </row>
    <row r="55" spans="2:6" x14ac:dyDescent="0.2">
      <c r="B55" s="353">
        <v>51</v>
      </c>
      <c r="C55" s="354" t="s">
        <v>232</v>
      </c>
      <c r="D55" s="354" t="s">
        <v>34</v>
      </c>
      <c r="E55" s="354" t="s">
        <v>1333</v>
      </c>
      <c r="F55" s="355" t="s">
        <v>237</v>
      </c>
    </row>
    <row r="56" spans="2:6" x14ac:dyDescent="0.2">
      <c r="B56" s="353">
        <v>52</v>
      </c>
      <c r="C56" s="354" t="s">
        <v>232</v>
      </c>
      <c r="D56" s="354" t="s">
        <v>252</v>
      </c>
      <c r="E56" s="354" t="s">
        <v>1377</v>
      </c>
      <c r="F56" s="355" t="s">
        <v>139</v>
      </c>
    </row>
    <row r="57" spans="2:6" x14ac:dyDescent="0.2">
      <c r="B57" s="353">
        <v>53</v>
      </c>
      <c r="C57" s="354" t="s">
        <v>232</v>
      </c>
      <c r="D57" s="354" t="s">
        <v>36</v>
      </c>
      <c r="E57" s="354" t="s">
        <v>1366</v>
      </c>
      <c r="F57" s="355" t="s">
        <v>237</v>
      </c>
    </row>
    <row r="58" spans="2:6" x14ac:dyDescent="0.2">
      <c r="B58" s="353">
        <v>54</v>
      </c>
      <c r="C58" s="354" t="s">
        <v>232</v>
      </c>
      <c r="D58" s="354" t="s">
        <v>16</v>
      </c>
      <c r="E58" s="354" t="s">
        <v>1331</v>
      </c>
      <c r="F58" s="355" t="s">
        <v>237</v>
      </c>
    </row>
    <row r="59" spans="2:6" x14ac:dyDescent="0.2">
      <c r="B59" s="353">
        <v>55</v>
      </c>
      <c r="C59" s="354" t="s">
        <v>232</v>
      </c>
      <c r="D59" s="354" t="s">
        <v>253</v>
      </c>
      <c r="E59" s="354" t="s">
        <v>1378</v>
      </c>
      <c r="F59" s="355" t="s">
        <v>237</v>
      </c>
    </row>
    <row r="60" spans="2:6" x14ac:dyDescent="0.2">
      <c r="B60" s="353">
        <v>56</v>
      </c>
      <c r="C60" s="354" t="s">
        <v>232</v>
      </c>
      <c r="D60" s="354" t="s">
        <v>37</v>
      </c>
      <c r="E60" s="354" t="s">
        <v>1367</v>
      </c>
      <c r="F60" s="355" t="s">
        <v>237</v>
      </c>
    </row>
    <row r="61" spans="2:6" x14ac:dyDescent="0.2">
      <c r="B61" s="353">
        <v>57</v>
      </c>
      <c r="C61" s="354" t="s">
        <v>232</v>
      </c>
      <c r="D61" s="354" t="s">
        <v>124</v>
      </c>
      <c r="E61" s="354" t="s">
        <v>1359</v>
      </c>
      <c r="F61" s="355" t="s">
        <v>139</v>
      </c>
    </row>
    <row r="62" spans="2:6" x14ac:dyDescent="0.2">
      <c r="B62" s="353">
        <v>58</v>
      </c>
      <c r="C62" s="354" t="s">
        <v>230</v>
      </c>
      <c r="D62" s="354" t="s">
        <v>241</v>
      </c>
      <c r="E62" s="354" t="s">
        <v>1379</v>
      </c>
      <c r="F62" s="355" t="s">
        <v>139</v>
      </c>
    </row>
    <row r="63" spans="2:6" x14ac:dyDescent="0.2">
      <c r="B63" s="353">
        <v>59</v>
      </c>
      <c r="C63" s="354" t="s">
        <v>230</v>
      </c>
      <c r="D63" s="354" t="s">
        <v>242</v>
      </c>
      <c r="E63" s="354" t="s">
        <v>1380</v>
      </c>
      <c r="F63" s="355" t="s">
        <v>237</v>
      </c>
    </row>
    <row r="64" spans="2:6" x14ac:dyDescent="0.2">
      <c r="B64" s="353">
        <v>60</v>
      </c>
      <c r="C64" s="354" t="s">
        <v>230</v>
      </c>
      <c r="D64" s="354" t="s">
        <v>238</v>
      </c>
      <c r="E64" s="354" t="s">
        <v>1370</v>
      </c>
      <c r="F64" s="355" t="s">
        <v>237</v>
      </c>
    </row>
    <row r="65" spans="2:6" x14ac:dyDescent="0.2">
      <c r="B65" s="353">
        <v>61</v>
      </c>
      <c r="C65" s="354" t="s">
        <v>230</v>
      </c>
      <c r="D65" s="354" t="s">
        <v>11</v>
      </c>
      <c r="E65" s="354" t="s">
        <v>1328</v>
      </c>
      <c r="F65" s="355" t="s">
        <v>237</v>
      </c>
    </row>
    <row r="66" spans="2:6" x14ac:dyDescent="0.2">
      <c r="B66" s="353">
        <v>62</v>
      </c>
      <c r="C66" s="354" t="s">
        <v>230</v>
      </c>
      <c r="D66" s="354" t="s">
        <v>10</v>
      </c>
      <c r="E66" s="354" t="s">
        <v>1348</v>
      </c>
      <c r="F66" s="355" t="s">
        <v>237</v>
      </c>
    </row>
    <row r="67" spans="2:6" x14ac:dyDescent="0.2">
      <c r="B67" s="353">
        <v>63</v>
      </c>
      <c r="C67" s="354" t="s">
        <v>230</v>
      </c>
      <c r="D67" s="354" t="s">
        <v>125</v>
      </c>
      <c r="E67" s="354" t="s">
        <v>1351</v>
      </c>
      <c r="F67" s="355" t="s">
        <v>139</v>
      </c>
    </row>
    <row r="68" spans="2:6" x14ac:dyDescent="0.2">
      <c r="B68" s="353">
        <v>64</v>
      </c>
      <c r="C68" s="354" t="s">
        <v>230</v>
      </c>
      <c r="D68" s="354" t="s">
        <v>12</v>
      </c>
      <c r="E68" s="354" t="s">
        <v>1349</v>
      </c>
      <c r="F68" s="355" t="s">
        <v>237</v>
      </c>
    </row>
    <row r="69" spans="2:6" x14ac:dyDescent="0.2">
      <c r="B69" s="353">
        <v>65</v>
      </c>
      <c r="C69" s="354" t="s">
        <v>230</v>
      </c>
      <c r="D69" s="354" t="s">
        <v>241</v>
      </c>
      <c r="E69" s="354" t="s">
        <v>1379</v>
      </c>
      <c r="F69" s="355" t="s">
        <v>139</v>
      </c>
    </row>
    <row r="70" spans="2:6" x14ac:dyDescent="0.2">
      <c r="B70" s="353">
        <v>66</v>
      </c>
      <c r="C70" s="354" t="s">
        <v>236</v>
      </c>
      <c r="D70" s="354" t="s">
        <v>263</v>
      </c>
      <c r="E70" s="354" t="s">
        <v>1381</v>
      </c>
      <c r="F70" s="355" t="s">
        <v>139</v>
      </c>
    </row>
    <row r="71" spans="2:6" x14ac:dyDescent="0.2">
      <c r="B71" s="353">
        <v>67</v>
      </c>
      <c r="C71" s="354" t="s">
        <v>236</v>
      </c>
      <c r="D71" s="354" t="s">
        <v>240</v>
      </c>
      <c r="E71" s="354" t="s">
        <v>1382</v>
      </c>
      <c r="F71" s="355" t="s">
        <v>237</v>
      </c>
    </row>
    <row r="72" spans="2:6" x14ac:dyDescent="0.2">
      <c r="B72" s="353">
        <v>68</v>
      </c>
      <c r="C72" s="354" t="s">
        <v>236</v>
      </c>
      <c r="D72" s="354" t="s">
        <v>265</v>
      </c>
      <c r="E72" s="354" t="s">
        <v>1383</v>
      </c>
      <c r="F72" s="355" t="s">
        <v>237</v>
      </c>
    </row>
    <row r="73" spans="2:6" x14ac:dyDescent="0.2">
      <c r="B73" s="353">
        <v>69</v>
      </c>
      <c r="C73" s="354" t="s">
        <v>236</v>
      </c>
      <c r="D73" s="354" t="s">
        <v>264</v>
      </c>
      <c r="E73" s="354" t="s">
        <v>1384</v>
      </c>
      <c r="F73" s="355" t="s">
        <v>237</v>
      </c>
    </row>
    <row r="74" spans="2:6" x14ac:dyDescent="0.2">
      <c r="B74" s="353">
        <v>70</v>
      </c>
      <c r="C74" s="354" t="s">
        <v>231</v>
      </c>
      <c r="D74" s="354" t="s">
        <v>13</v>
      </c>
      <c r="E74" s="354" t="s">
        <v>1329</v>
      </c>
      <c r="F74" s="355" t="s">
        <v>237</v>
      </c>
    </row>
    <row r="75" spans="2:6" x14ac:dyDescent="0.2">
      <c r="B75" s="353">
        <v>71</v>
      </c>
      <c r="C75" s="354" t="s">
        <v>231</v>
      </c>
      <c r="D75" s="354" t="s">
        <v>38</v>
      </c>
      <c r="E75" s="354" t="s">
        <v>1339</v>
      </c>
      <c r="F75" s="355" t="s">
        <v>237</v>
      </c>
    </row>
    <row r="76" spans="2:6" x14ac:dyDescent="0.2">
      <c r="B76" s="353">
        <v>72</v>
      </c>
      <c r="C76" s="354" t="s">
        <v>231</v>
      </c>
      <c r="D76" s="354" t="s">
        <v>243</v>
      </c>
      <c r="E76" s="354" t="s">
        <v>1385</v>
      </c>
      <c r="F76" s="355" t="s">
        <v>237</v>
      </c>
    </row>
    <row r="77" spans="2:6" x14ac:dyDescent="0.2">
      <c r="B77" s="353">
        <v>73</v>
      </c>
      <c r="C77" s="354" t="s">
        <v>231</v>
      </c>
      <c r="D77" s="354" t="s">
        <v>244</v>
      </c>
      <c r="E77" s="411" t="s">
        <v>1345</v>
      </c>
      <c r="F77" s="355" t="s">
        <v>237</v>
      </c>
    </row>
    <row r="78" spans="2:6" x14ac:dyDescent="0.2">
      <c r="B78" s="353">
        <v>74</v>
      </c>
      <c r="C78" s="354" t="s">
        <v>233</v>
      </c>
      <c r="D78" s="354" t="s">
        <v>254</v>
      </c>
      <c r="E78" s="411" t="s">
        <v>1346</v>
      </c>
      <c r="F78" s="355" t="s">
        <v>237</v>
      </c>
    </row>
    <row r="79" spans="2:6" x14ac:dyDescent="0.2">
      <c r="B79" s="353">
        <v>75</v>
      </c>
      <c r="C79" s="354" t="s">
        <v>233</v>
      </c>
      <c r="D79" s="354" t="s">
        <v>255</v>
      </c>
      <c r="E79" s="354" t="s">
        <v>1386</v>
      </c>
      <c r="F79" s="355" t="s">
        <v>139</v>
      </c>
    </row>
    <row r="80" spans="2:6" x14ac:dyDescent="0.2">
      <c r="B80" s="353">
        <v>76</v>
      </c>
      <c r="C80" s="354" t="s">
        <v>233</v>
      </c>
      <c r="D80" s="354" t="s">
        <v>256</v>
      </c>
      <c r="E80" s="354" t="s">
        <v>1342</v>
      </c>
      <c r="F80" s="355" t="s">
        <v>139</v>
      </c>
    </row>
    <row r="81" spans="2:6" x14ac:dyDescent="0.2">
      <c r="B81" s="353">
        <v>77</v>
      </c>
      <c r="C81" s="354" t="s">
        <v>234</v>
      </c>
      <c r="D81" s="354" t="s">
        <v>257</v>
      </c>
      <c r="E81" s="354" t="s">
        <v>1387</v>
      </c>
      <c r="F81" s="355" t="s">
        <v>237</v>
      </c>
    </row>
    <row r="82" spans="2:6" x14ac:dyDescent="0.2">
      <c r="B82" s="353">
        <v>78</v>
      </c>
      <c r="C82" s="354" t="s">
        <v>234</v>
      </c>
      <c r="D82" s="354" t="s">
        <v>22</v>
      </c>
      <c r="E82" s="354" t="s">
        <v>1335</v>
      </c>
      <c r="F82" s="355" t="s">
        <v>237</v>
      </c>
    </row>
    <row r="83" spans="2:6" x14ac:dyDescent="0.2">
      <c r="B83" s="353">
        <v>79</v>
      </c>
      <c r="C83" s="354" t="s">
        <v>234</v>
      </c>
      <c r="D83" s="354" t="s">
        <v>258</v>
      </c>
      <c r="E83" s="354" t="s">
        <v>1388</v>
      </c>
      <c r="F83" s="355" t="s">
        <v>139</v>
      </c>
    </row>
    <row r="84" spans="2:6" x14ac:dyDescent="0.2">
      <c r="B84" s="353">
        <v>80</v>
      </c>
      <c r="C84" s="354" t="s">
        <v>235</v>
      </c>
      <c r="D84" s="354" t="s">
        <v>262</v>
      </c>
      <c r="E84" s="354" t="s">
        <v>1343</v>
      </c>
      <c r="F84" s="355" t="s">
        <v>139</v>
      </c>
    </row>
    <row r="85" spans="2:6" x14ac:dyDescent="0.2">
      <c r="B85" s="353">
        <v>81</v>
      </c>
      <c r="C85" s="354" t="s">
        <v>235</v>
      </c>
      <c r="D85" s="354" t="s">
        <v>260</v>
      </c>
      <c r="E85" s="354" t="s">
        <v>1389</v>
      </c>
      <c r="F85" s="355" t="s">
        <v>237</v>
      </c>
    </row>
    <row r="86" spans="2:6" x14ac:dyDescent="0.2">
      <c r="B86" s="353">
        <v>82</v>
      </c>
      <c r="C86" s="354" t="s">
        <v>235</v>
      </c>
      <c r="D86" s="354" t="s">
        <v>19</v>
      </c>
      <c r="E86" s="354" t="s">
        <v>1354</v>
      </c>
      <c r="F86" s="355" t="s">
        <v>237</v>
      </c>
    </row>
    <row r="87" spans="2:6" x14ac:dyDescent="0.2">
      <c r="B87" s="353">
        <v>83</v>
      </c>
      <c r="C87" s="354" t="s">
        <v>235</v>
      </c>
      <c r="D87" s="354" t="s">
        <v>261</v>
      </c>
      <c r="E87" s="411" t="s">
        <v>1347</v>
      </c>
      <c r="F87" s="355" t="s">
        <v>237</v>
      </c>
    </row>
    <row r="88" spans="2:6" ht="13.5" thickBot="1" x14ac:dyDescent="0.25">
      <c r="B88" s="356">
        <v>84</v>
      </c>
      <c r="C88" s="357" t="s">
        <v>235</v>
      </c>
      <c r="D88" s="357" t="s">
        <v>259</v>
      </c>
      <c r="E88" s="357" t="s">
        <v>1390</v>
      </c>
      <c r="F88" s="358" t="s">
        <v>237</v>
      </c>
    </row>
    <row r="89" spans="2:6" ht="13.5" thickTop="1" x14ac:dyDescent="0.2"/>
  </sheetData>
  <autoFilter ref="B4:F88"/>
  <conditionalFormatting sqref="C5:D88 F5:F88">
    <cfRule type="cellIs" dxfId="11" priority="7" stopIfTrue="1" operator="equal">
      <formula>"E"</formula>
    </cfRule>
    <cfRule type="cellIs" dxfId="10" priority="8" stopIfTrue="1" operator="equal">
      <formula>"S"</formula>
    </cfRule>
    <cfRule type="cellIs" dxfId="9" priority="9" stopIfTrue="1" operator="equal">
      <formula>"M"</formula>
    </cfRule>
    <cfRule type="cellIs" dxfId="8" priority="10" stopIfTrue="1" operator="equal">
      <formula>"J"</formula>
    </cfRule>
    <cfRule type="cellIs" dxfId="7" priority="11" stopIfTrue="1" operator="equal">
      <formula>"O"</formula>
    </cfRule>
    <cfRule type="expression" dxfId="6" priority="12" stopIfTrue="1">
      <formula>LEN(TRIM(C5))=0</formula>
    </cfRule>
  </conditionalFormatting>
  <conditionalFormatting sqref="E5:E88">
    <cfRule type="cellIs" dxfId="5" priority="1" stopIfTrue="1" operator="equal">
      <formula>"E"</formula>
    </cfRule>
    <cfRule type="cellIs" dxfId="4" priority="2" stopIfTrue="1" operator="equal">
      <formula>"S"</formula>
    </cfRule>
    <cfRule type="cellIs" dxfId="3" priority="3" stopIfTrue="1" operator="equal">
      <formula>"M"</formula>
    </cfRule>
    <cfRule type="cellIs" dxfId="2" priority="4" stopIfTrue="1" operator="equal">
      <formula>"J"</formula>
    </cfRule>
    <cfRule type="cellIs" dxfId="1" priority="5" stopIfTrue="1" operator="equal">
      <formula>"O"</formula>
    </cfRule>
    <cfRule type="expression" dxfId="0" priority="6" stopIfTrue="1">
      <formula>LEN(TRIM(E5))=0</formula>
    </cfRule>
  </conditionalFormatting>
  <printOptions horizontalCentered="1"/>
  <pageMargins left="0.7" right="0.7" top="0.75" bottom="0.75" header="0.3" footer="0.3"/>
  <pageSetup fitToHeight="0" orientation="landscape" r:id="rId1"/>
  <headerFooter>
    <oddHeader>&amp;C- &amp;A -</oddHeader>
    <oddFooter>&amp;L&amp;F&amp;C&amp;D &amp;T&amp;Rpg.&amp;P /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TEST"/>
  <dimension ref="B1:BW377"/>
  <sheetViews>
    <sheetView zoomScale="90" zoomScaleNormal="90" workbookViewId="0">
      <selection activeCell="B19" sqref="B19"/>
    </sheetView>
  </sheetViews>
  <sheetFormatPr defaultRowHeight="12.75" customHeight="1" x14ac:dyDescent="0.2"/>
  <cols>
    <col min="1" max="1" width="9.140625" style="172"/>
    <col min="2" max="2" width="9.28515625" style="172" customWidth="1"/>
    <col min="3" max="3" width="19.42578125" style="172" customWidth="1"/>
    <col min="4" max="75" width="2.7109375" style="172" customWidth="1"/>
    <col min="76" max="16384" width="9.140625" style="172"/>
  </cols>
  <sheetData>
    <row r="1" spans="2:69" ht="12.75" customHeight="1" thickBot="1" x14ac:dyDescent="0.25"/>
    <row r="2" spans="2:69" ht="37.5" customHeight="1" thickTop="1" thickBot="1" x14ac:dyDescent="0.25">
      <c r="D2" s="450" t="s">
        <v>197</v>
      </c>
      <c r="E2" s="451"/>
      <c r="F2" s="451"/>
      <c r="G2" s="451"/>
      <c r="H2" s="452"/>
    </row>
    <row r="3" spans="2:69" ht="78" customHeight="1" thickTop="1" thickBot="1" x14ac:dyDescent="0.25">
      <c r="D3" s="187" t="s">
        <v>198</v>
      </c>
      <c r="E3" s="188" t="s">
        <v>199</v>
      </c>
      <c r="F3" s="188" t="s">
        <v>200</v>
      </c>
      <c r="G3" s="189" t="s">
        <v>201</v>
      </c>
      <c r="H3" s="190"/>
    </row>
    <row r="4" spans="2:69" ht="12.75" customHeight="1" thickTop="1" x14ac:dyDescent="0.2">
      <c r="B4" s="453" t="s">
        <v>202</v>
      </c>
      <c r="C4" s="191" t="s">
        <v>203</v>
      </c>
      <c r="D4" s="177"/>
      <c r="E4" s="178"/>
      <c r="F4" s="178"/>
      <c r="G4" s="179"/>
      <c r="H4" s="192"/>
    </row>
    <row r="5" spans="2:69" ht="12.75" customHeight="1" x14ac:dyDescent="0.2">
      <c r="B5" s="454"/>
      <c r="C5" s="193" t="s">
        <v>204</v>
      </c>
      <c r="D5" s="180"/>
      <c r="E5" s="181"/>
      <c r="F5" s="181"/>
      <c r="G5" s="182"/>
      <c r="H5" s="192"/>
    </row>
    <row r="6" spans="2:69" ht="12.75" customHeight="1" x14ac:dyDescent="0.2">
      <c r="B6" s="454"/>
      <c r="C6" s="193" t="s">
        <v>205</v>
      </c>
      <c r="D6" s="180"/>
      <c r="E6" s="181"/>
      <c r="F6" s="181"/>
      <c r="G6" s="182"/>
      <c r="H6" s="192"/>
    </row>
    <row r="7" spans="2:69" ht="12.75" customHeight="1" thickBot="1" x14ac:dyDescent="0.25">
      <c r="B7" s="454"/>
      <c r="C7" s="194" t="s">
        <v>206</v>
      </c>
      <c r="D7" s="183"/>
      <c r="E7" s="184"/>
      <c r="F7" s="184"/>
      <c r="G7" s="185"/>
      <c r="H7" s="192"/>
    </row>
    <row r="8" spans="2:69" ht="12.75" customHeight="1" thickTop="1" thickBot="1" x14ac:dyDescent="0.25">
      <c r="B8" s="455"/>
      <c r="C8" s="195"/>
      <c r="D8" s="192"/>
      <c r="E8" s="192"/>
      <c r="F8" s="192"/>
      <c r="G8" s="192"/>
      <c r="H8" s="192"/>
    </row>
    <row r="9" spans="2:69" ht="12.75" customHeight="1" thickTop="1" x14ac:dyDescent="0.2"/>
    <row r="11" spans="2:69" ht="12.75" customHeight="1" thickBot="1" x14ac:dyDescent="0.25"/>
    <row r="12" spans="2:69" ht="12.75" customHeight="1" thickTop="1" thickBot="1" x14ac:dyDescent="0.25">
      <c r="B12" s="196"/>
      <c r="F12" s="197"/>
      <c r="G12" s="198"/>
      <c r="H12" s="199"/>
      <c r="L12" s="200"/>
      <c r="P12" s="177"/>
      <c r="Q12" s="178"/>
      <c r="R12" s="179"/>
      <c r="W12" s="192"/>
      <c r="AB12" s="192"/>
      <c r="AI12" s="192"/>
      <c r="AN12" s="192"/>
      <c r="AR12" s="196"/>
      <c r="AS12" s="195"/>
      <c r="AW12" s="197"/>
      <c r="AX12" s="198"/>
      <c r="AY12" s="199"/>
      <c r="AZ12" s="195"/>
      <c r="BE12" s="192"/>
      <c r="BI12" s="200"/>
      <c r="BJ12" s="195"/>
      <c r="BN12" s="177"/>
      <c r="BO12" s="178"/>
      <c r="BP12" s="179"/>
      <c r="BQ12" s="195"/>
    </row>
    <row r="13" spans="2:69" ht="12.75" customHeight="1" thickTop="1" x14ac:dyDescent="0.2">
      <c r="L13" s="201"/>
      <c r="P13" s="180"/>
      <c r="Q13" s="181"/>
      <c r="R13" s="182"/>
      <c r="BE13" s="192"/>
      <c r="BI13" s="201"/>
      <c r="BJ13" s="195"/>
      <c r="BN13" s="180"/>
      <c r="BO13" s="181"/>
      <c r="BP13" s="182"/>
      <c r="BQ13" s="195"/>
    </row>
    <row r="14" spans="2:69" ht="12.75" customHeight="1" thickBot="1" x14ac:dyDescent="0.25">
      <c r="L14" s="202"/>
      <c r="P14" s="183"/>
      <c r="Q14" s="184"/>
      <c r="R14" s="185"/>
      <c r="BE14" s="192"/>
      <c r="BI14" s="202"/>
      <c r="BJ14" s="195"/>
      <c r="BN14" s="183"/>
      <c r="BO14" s="184"/>
      <c r="BP14" s="185"/>
      <c r="BQ14" s="195"/>
    </row>
    <row r="15" spans="2:69" ht="12.75" customHeight="1" thickTop="1" x14ac:dyDescent="0.2"/>
    <row r="17" spans="2:69" ht="12.75" customHeight="1" thickBot="1" x14ac:dyDescent="0.25"/>
    <row r="18" spans="2:69" ht="12.75" customHeight="1" thickTop="1" thickBot="1" x14ac:dyDescent="0.25">
      <c r="T18" s="196"/>
      <c r="X18" s="197"/>
      <c r="Y18" s="198"/>
      <c r="Z18" s="199"/>
      <c r="AH18" s="200"/>
      <c r="AL18" s="177"/>
      <c r="AM18" s="178"/>
      <c r="AN18" s="179"/>
      <c r="AS18" s="192"/>
      <c r="AX18" s="192"/>
      <c r="BE18" s="192"/>
      <c r="BJ18" s="192"/>
      <c r="BN18" s="196"/>
      <c r="BO18" s="192"/>
    </row>
    <row r="19" spans="2:69" ht="12.75" customHeight="1" thickTop="1" x14ac:dyDescent="0.2">
      <c r="B19" s="192"/>
      <c r="F19" s="192"/>
      <c r="J19" s="192"/>
      <c r="K19" s="192"/>
      <c r="L19" s="192"/>
      <c r="P19" s="192"/>
      <c r="T19" s="190"/>
      <c r="X19" s="190"/>
      <c r="Y19" s="190"/>
      <c r="Z19" s="190"/>
      <c r="AH19" s="201"/>
      <c r="AL19" s="180"/>
      <c r="AM19" s="181"/>
      <c r="AN19" s="182"/>
      <c r="AR19" s="192"/>
      <c r="AS19" s="192"/>
      <c r="AW19" s="192"/>
      <c r="AX19" s="192"/>
      <c r="BB19" s="192"/>
      <c r="BC19" s="192"/>
      <c r="BD19" s="192"/>
      <c r="BE19" s="192"/>
      <c r="BI19" s="192"/>
      <c r="BJ19" s="192"/>
      <c r="BN19" s="192"/>
      <c r="BO19" s="192"/>
    </row>
    <row r="20" spans="2:69" ht="12.75" customHeight="1" thickBot="1" x14ac:dyDescent="0.25">
      <c r="AH20" s="202"/>
      <c r="AL20" s="183"/>
      <c r="AM20" s="184"/>
      <c r="AN20" s="185"/>
    </row>
    <row r="21" spans="2:69" ht="12.75" customHeight="1" thickTop="1" x14ac:dyDescent="0.2">
      <c r="AD21" s="192"/>
      <c r="AH21" s="190"/>
      <c r="AL21" s="190"/>
      <c r="AM21" s="190"/>
      <c r="AN21" s="190"/>
    </row>
    <row r="24" spans="2:69" ht="12.75" customHeight="1" thickBot="1" x14ac:dyDescent="0.25"/>
    <row r="25" spans="2:69" ht="78" customHeight="1" thickTop="1" thickBot="1" x14ac:dyDescent="0.25">
      <c r="B25" s="197"/>
      <c r="C25" s="198"/>
      <c r="D25" s="199"/>
      <c r="E25" s="192"/>
      <c r="J25" s="192"/>
      <c r="N25" s="200"/>
      <c r="O25" s="192"/>
      <c r="S25" s="177"/>
      <c r="T25" s="178"/>
      <c r="U25" s="179"/>
      <c r="V25" s="192"/>
      <c r="Z25" s="203" t="s">
        <v>198</v>
      </c>
      <c r="AD25" s="204" t="s">
        <v>198</v>
      </c>
      <c r="AE25" s="205" t="s">
        <v>199</v>
      </c>
      <c r="AF25" s="206" t="s">
        <v>200</v>
      </c>
      <c r="AJ25" s="207" t="s">
        <v>198</v>
      </c>
      <c r="AN25" s="187" t="s">
        <v>198</v>
      </c>
      <c r="AO25" s="188" t="s">
        <v>199</v>
      </c>
      <c r="AP25" s="189" t="s">
        <v>200</v>
      </c>
      <c r="AT25" s="207" t="s">
        <v>198</v>
      </c>
      <c r="AX25" s="187" t="s">
        <v>198</v>
      </c>
      <c r="AY25" s="188" t="s">
        <v>199</v>
      </c>
      <c r="AZ25" s="189" t="s">
        <v>200</v>
      </c>
      <c r="BE25" s="192"/>
      <c r="BI25" s="203" t="s">
        <v>198</v>
      </c>
      <c r="BJ25" s="192"/>
      <c r="BN25" s="204" t="s">
        <v>198</v>
      </c>
      <c r="BO25" s="205" t="s">
        <v>199</v>
      </c>
      <c r="BP25" s="206" t="s">
        <v>200</v>
      </c>
      <c r="BQ25" s="192"/>
    </row>
    <row r="26" spans="2:69" ht="12.75" customHeight="1" thickTop="1" thickBot="1" x14ac:dyDescent="0.25">
      <c r="B26" s="192"/>
      <c r="C26" s="192"/>
      <c r="D26" s="192"/>
      <c r="E26" s="192"/>
      <c r="J26" s="192"/>
      <c r="N26" s="201"/>
      <c r="O26" s="192"/>
      <c r="S26" s="180"/>
      <c r="T26" s="181"/>
      <c r="U26" s="182"/>
      <c r="V26" s="192"/>
      <c r="AJ26" s="196"/>
      <c r="AN26" s="197"/>
      <c r="AO26" s="198"/>
      <c r="AP26" s="199"/>
      <c r="AT26" s="200"/>
      <c r="AX26" s="177"/>
      <c r="AY26" s="178"/>
      <c r="AZ26" s="179"/>
      <c r="BE26" s="192"/>
      <c r="BJ26" s="192"/>
      <c r="BQ26" s="192"/>
    </row>
    <row r="27" spans="2:69" ht="12.75" customHeight="1" thickTop="1" thickBot="1" x14ac:dyDescent="0.25">
      <c r="J27" s="192"/>
      <c r="N27" s="202"/>
      <c r="O27" s="192"/>
      <c r="S27" s="183"/>
      <c r="T27" s="184"/>
      <c r="U27" s="185"/>
      <c r="V27" s="192"/>
      <c r="AT27" s="201"/>
      <c r="AX27" s="180"/>
      <c r="AY27" s="181"/>
      <c r="AZ27" s="182"/>
    </row>
    <row r="28" spans="2:69" ht="12.75" customHeight="1" thickTop="1" thickBot="1" x14ac:dyDescent="0.25">
      <c r="I28" s="192"/>
      <c r="J28" s="192"/>
      <c r="N28" s="192"/>
      <c r="O28" s="192"/>
      <c r="S28" s="192"/>
      <c r="T28" s="192"/>
      <c r="U28" s="192"/>
      <c r="V28" s="192"/>
      <c r="AT28" s="202"/>
      <c r="AX28" s="183"/>
      <c r="AY28" s="184"/>
      <c r="AZ28" s="185"/>
    </row>
    <row r="29" spans="2:69" ht="12.75" customHeight="1" thickTop="1" x14ac:dyDescent="0.2"/>
    <row r="31" spans="2:69" ht="12.75" customHeight="1" thickBot="1" x14ac:dyDescent="0.25"/>
    <row r="32" spans="2:69" ht="78" customHeight="1" thickTop="1" thickBot="1" x14ac:dyDescent="0.25">
      <c r="C32" s="192"/>
      <c r="G32" s="207" t="s">
        <v>198</v>
      </c>
      <c r="H32" s="195"/>
      <c r="L32" s="187" t="s">
        <v>198</v>
      </c>
      <c r="M32" s="188" t="s">
        <v>199</v>
      </c>
      <c r="N32" s="189" t="s">
        <v>200</v>
      </c>
      <c r="O32" s="195"/>
      <c r="T32" s="192"/>
      <c r="X32" s="207" t="s">
        <v>198</v>
      </c>
      <c r="Y32" s="195"/>
      <c r="AC32" s="187" t="s">
        <v>198</v>
      </c>
      <c r="AD32" s="188" t="s">
        <v>199</v>
      </c>
      <c r="AE32" s="189" t="s">
        <v>200</v>
      </c>
      <c r="AF32" s="195"/>
      <c r="AN32" s="203" t="s">
        <v>198</v>
      </c>
      <c r="AR32" s="204" t="s">
        <v>198</v>
      </c>
      <c r="AS32" s="205" t="s">
        <v>199</v>
      </c>
      <c r="AT32" s="206" t="s">
        <v>200</v>
      </c>
      <c r="BB32" s="207" t="s">
        <v>198</v>
      </c>
      <c r="BF32" s="187" t="s">
        <v>198</v>
      </c>
      <c r="BG32" s="188" t="s">
        <v>199</v>
      </c>
      <c r="BH32" s="189" t="s">
        <v>200</v>
      </c>
      <c r="BP32" s="207" t="s">
        <v>198</v>
      </c>
    </row>
    <row r="33" spans="2:72" ht="12.75" customHeight="1" thickTop="1" thickBot="1" x14ac:dyDescent="0.25">
      <c r="C33" s="192"/>
      <c r="G33" s="196"/>
      <c r="H33" s="195"/>
      <c r="L33" s="197"/>
      <c r="M33" s="198"/>
      <c r="N33" s="199"/>
      <c r="O33" s="195"/>
      <c r="T33" s="192"/>
      <c r="X33" s="200"/>
      <c r="Y33" s="195"/>
      <c r="AC33" s="177"/>
      <c r="AD33" s="178"/>
      <c r="AE33" s="179"/>
      <c r="AF33" s="195"/>
      <c r="BB33" s="196"/>
      <c r="BF33" s="197"/>
      <c r="BG33" s="198"/>
      <c r="BH33" s="199"/>
      <c r="BP33" s="200"/>
    </row>
    <row r="34" spans="2:72" ht="12.75" customHeight="1" thickTop="1" x14ac:dyDescent="0.2">
      <c r="T34" s="192"/>
      <c r="X34" s="201"/>
      <c r="Y34" s="195"/>
      <c r="AC34" s="180"/>
      <c r="AD34" s="181"/>
      <c r="AE34" s="182"/>
      <c r="AF34" s="195"/>
      <c r="AJ34" s="192"/>
      <c r="AN34" s="192"/>
      <c r="AR34" s="192"/>
      <c r="AS34" s="192"/>
      <c r="AT34" s="192"/>
      <c r="AX34" s="192"/>
      <c r="BB34" s="190"/>
      <c r="BF34" s="190"/>
      <c r="BG34" s="190"/>
      <c r="BH34" s="190"/>
      <c r="BP34" s="201"/>
    </row>
    <row r="35" spans="2:72" ht="12.75" customHeight="1" thickBot="1" x14ac:dyDescent="0.25">
      <c r="T35" s="192"/>
      <c r="X35" s="202"/>
      <c r="Y35" s="195"/>
      <c r="AC35" s="183"/>
      <c r="AD35" s="184"/>
      <c r="AE35" s="185"/>
      <c r="AF35" s="195"/>
      <c r="BP35" s="202"/>
    </row>
    <row r="36" spans="2:72" ht="12.75" customHeight="1" thickTop="1" x14ac:dyDescent="0.2">
      <c r="BL36" s="192"/>
      <c r="BP36" s="190"/>
    </row>
    <row r="39" spans="2:72" ht="12.75" customHeight="1" thickBot="1" x14ac:dyDescent="0.25"/>
    <row r="40" spans="2:72" ht="78" customHeight="1" thickTop="1" thickBot="1" x14ac:dyDescent="0.25">
      <c r="B40" s="187" t="s">
        <v>198</v>
      </c>
      <c r="C40" s="188" t="s">
        <v>199</v>
      </c>
      <c r="D40" s="189" t="s">
        <v>200</v>
      </c>
      <c r="I40" s="192"/>
      <c r="M40" s="203" t="s">
        <v>198</v>
      </c>
      <c r="N40" s="192"/>
      <c r="R40" s="204" t="s">
        <v>198</v>
      </c>
      <c r="S40" s="205" t="s">
        <v>199</v>
      </c>
      <c r="T40" s="206" t="s">
        <v>200</v>
      </c>
      <c r="U40" s="192"/>
      <c r="Z40" s="192"/>
      <c r="AD40" s="207" t="s">
        <v>198</v>
      </c>
      <c r="AE40" s="192"/>
      <c r="AI40" s="187" t="s">
        <v>198</v>
      </c>
      <c r="AJ40" s="188" t="s">
        <v>199</v>
      </c>
      <c r="AK40" s="189" t="s">
        <v>200</v>
      </c>
      <c r="AL40" s="192"/>
      <c r="AQ40" s="192"/>
      <c r="AU40" s="207" t="s">
        <v>198</v>
      </c>
      <c r="AV40" s="192"/>
      <c r="AZ40" s="187" t="s">
        <v>198</v>
      </c>
      <c r="BA40" s="188" t="s">
        <v>199</v>
      </c>
      <c r="BB40" s="189" t="s">
        <v>200</v>
      </c>
      <c r="BC40" s="192"/>
      <c r="BG40" s="208" t="s">
        <v>203</v>
      </c>
      <c r="BL40" s="209" t="s">
        <v>203</v>
      </c>
      <c r="BM40" s="196"/>
      <c r="BQ40" s="209" t="s">
        <v>203</v>
      </c>
      <c r="BR40" s="197"/>
      <c r="BS40" s="198"/>
      <c r="BT40" s="199"/>
    </row>
    <row r="41" spans="2:72" ht="12.75" customHeight="1" thickTop="1" thickBot="1" x14ac:dyDescent="0.25">
      <c r="B41" s="177"/>
      <c r="C41" s="178"/>
      <c r="D41" s="179"/>
      <c r="I41" s="192"/>
      <c r="N41" s="192"/>
      <c r="U41" s="192"/>
      <c r="Z41" s="192"/>
      <c r="AD41" s="196"/>
      <c r="AE41" s="192"/>
      <c r="AI41" s="197"/>
      <c r="AJ41" s="198"/>
      <c r="AK41" s="199"/>
      <c r="AL41" s="192"/>
      <c r="AQ41" s="192"/>
      <c r="AU41" s="200"/>
      <c r="AV41" s="192"/>
      <c r="AZ41" s="177"/>
      <c r="BA41" s="178"/>
      <c r="BB41" s="179"/>
      <c r="BC41" s="192"/>
    </row>
    <row r="42" spans="2:72" ht="12.75" customHeight="1" thickTop="1" x14ac:dyDescent="0.2">
      <c r="B42" s="180"/>
      <c r="C42" s="181"/>
      <c r="D42" s="182"/>
      <c r="H42" s="192"/>
      <c r="I42" s="192"/>
      <c r="M42" s="192"/>
      <c r="N42" s="192"/>
      <c r="R42" s="192"/>
      <c r="S42" s="192"/>
      <c r="T42" s="192"/>
      <c r="U42" s="192"/>
      <c r="Y42" s="192"/>
      <c r="Z42" s="192"/>
      <c r="AD42" s="192"/>
      <c r="AE42" s="192"/>
      <c r="AI42" s="192"/>
      <c r="AJ42" s="192"/>
      <c r="AK42" s="192"/>
      <c r="AL42" s="192"/>
      <c r="AQ42" s="192"/>
      <c r="AU42" s="201"/>
      <c r="AV42" s="192"/>
      <c r="AZ42" s="180"/>
      <c r="BA42" s="181"/>
      <c r="BB42" s="182"/>
      <c r="BC42" s="192"/>
    </row>
    <row r="43" spans="2:72" ht="12.75" customHeight="1" thickBot="1" x14ac:dyDescent="0.25">
      <c r="B43" s="183"/>
      <c r="C43" s="184"/>
      <c r="D43" s="185"/>
      <c r="AQ43" s="192"/>
      <c r="AU43" s="202"/>
      <c r="AV43" s="192"/>
      <c r="AZ43" s="183"/>
      <c r="BA43" s="184"/>
      <c r="BB43" s="185"/>
      <c r="BC43" s="192"/>
    </row>
    <row r="44" spans="2:72" ht="12.75" customHeight="1" thickTop="1" x14ac:dyDescent="0.2">
      <c r="B44" s="190"/>
      <c r="C44" s="190"/>
      <c r="D44" s="190"/>
      <c r="AP44" s="192"/>
      <c r="AQ44" s="192"/>
      <c r="AU44" s="192"/>
      <c r="AV44" s="192"/>
      <c r="AZ44" s="192"/>
      <c r="BA44" s="192"/>
      <c r="BB44" s="192"/>
      <c r="BC44" s="192"/>
    </row>
    <row r="47" spans="2:72" ht="12.75" customHeight="1" thickBot="1" x14ac:dyDescent="0.25"/>
    <row r="48" spans="2:72" ht="12.75" customHeight="1" thickTop="1" thickBot="1" x14ac:dyDescent="0.25">
      <c r="B48" s="210" t="s">
        <v>203</v>
      </c>
      <c r="G48" s="191" t="s">
        <v>203</v>
      </c>
      <c r="H48" s="200"/>
      <c r="L48" s="191" t="s">
        <v>203</v>
      </c>
      <c r="M48" s="177"/>
      <c r="N48" s="178"/>
      <c r="O48" s="179"/>
      <c r="U48" s="192"/>
      <c r="AA48" s="192"/>
      <c r="AI48" s="192"/>
      <c r="AM48" s="208" t="s">
        <v>203</v>
      </c>
      <c r="AO48" s="192"/>
      <c r="AS48" s="209" t="s">
        <v>203</v>
      </c>
      <c r="AT48" s="196"/>
      <c r="AU48" s="195"/>
      <c r="AY48" s="209" t="s">
        <v>203</v>
      </c>
      <c r="AZ48" s="197"/>
      <c r="BA48" s="198"/>
      <c r="BB48" s="199"/>
      <c r="BC48" s="195"/>
      <c r="BG48" s="210" t="s">
        <v>203</v>
      </c>
      <c r="BI48" s="192"/>
      <c r="BM48" s="191" t="s">
        <v>203</v>
      </c>
      <c r="BN48" s="200"/>
      <c r="BO48" s="195"/>
    </row>
    <row r="49" spans="2:69" ht="12.75" customHeight="1" thickTop="1" x14ac:dyDescent="0.2">
      <c r="B49" s="211" t="s">
        <v>204</v>
      </c>
      <c r="G49" s="193" t="s">
        <v>204</v>
      </c>
      <c r="H49" s="201"/>
      <c r="L49" s="193" t="s">
        <v>204</v>
      </c>
      <c r="M49" s="180"/>
      <c r="N49" s="181"/>
      <c r="O49" s="182"/>
      <c r="BG49" s="211" t="s">
        <v>204</v>
      </c>
      <c r="BI49" s="192"/>
      <c r="BM49" s="193" t="s">
        <v>204</v>
      </c>
      <c r="BN49" s="201"/>
      <c r="BO49" s="195"/>
    </row>
    <row r="50" spans="2:69" ht="12.75" customHeight="1" thickBot="1" x14ac:dyDescent="0.25">
      <c r="B50" s="212" t="s">
        <v>205</v>
      </c>
      <c r="G50" s="194" t="s">
        <v>205</v>
      </c>
      <c r="H50" s="202"/>
      <c r="L50" s="194" t="s">
        <v>205</v>
      </c>
      <c r="M50" s="183"/>
      <c r="N50" s="184"/>
      <c r="O50" s="185"/>
      <c r="BG50" s="212" t="s">
        <v>205</v>
      </c>
      <c r="BI50" s="192"/>
      <c r="BM50" s="194" t="s">
        <v>205</v>
      </c>
      <c r="BN50" s="202"/>
      <c r="BO50" s="195"/>
    </row>
    <row r="51" spans="2:69" ht="12.75" customHeight="1" thickTop="1" x14ac:dyDescent="0.2"/>
    <row r="53" spans="2:69" ht="12.75" customHeight="1" thickBot="1" x14ac:dyDescent="0.25"/>
    <row r="54" spans="2:69" ht="12.75" customHeight="1" thickTop="1" thickBot="1" x14ac:dyDescent="0.25">
      <c r="B54" s="191" t="s">
        <v>203</v>
      </c>
      <c r="C54" s="177"/>
      <c r="D54" s="178"/>
      <c r="E54" s="179"/>
      <c r="F54" s="195"/>
      <c r="AA54" s="208" t="s">
        <v>203</v>
      </c>
      <c r="AF54" s="209" t="s">
        <v>203</v>
      </c>
      <c r="AG54" s="196"/>
      <c r="AK54" s="209" t="s">
        <v>203</v>
      </c>
      <c r="AL54" s="197"/>
      <c r="AM54" s="198"/>
      <c r="AN54" s="199"/>
      <c r="AR54" s="210" t="s">
        <v>203</v>
      </c>
      <c r="AW54" s="191" t="s">
        <v>203</v>
      </c>
      <c r="AX54" s="200"/>
      <c r="BB54" s="191" t="s">
        <v>203</v>
      </c>
      <c r="BC54" s="177"/>
      <c r="BD54" s="178"/>
      <c r="BE54" s="179"/>
      <c r="BK54" s="192"/>
      <c r="BQ54" s="192"/>
    </row>
    <row r="55" spans="2:69" ht="12.75" customHeight="1" thickTop="1" x14ac:dyDescent="0.2">
      <c r="B55" s="193" t="s">
        <v>204</v>
      </c>
      <c r="C55" s="180"/>
      <c r="D55" s="181"/>
      <c r="E55" s="182"/>
      <c r="F55" s="195"/>
      <c r="J55" s="192"/>
      <c r="K55" s="192"/>
      <c r="O55" s="192"/>
      <c r="P55" s="192"/>
      <c r="T55" s="192"/>
      <c r="U55" s="192"/>
      <c r="V55" s="192"/>
      <c r="W55" s="192"/>
      <c r="AA55" s="192"/>
      <c r="AB55" s="192"/>
      <c r="AF55" s="190"/>
      <c r="AG55" s="190"/>
      <c r="AK55" s="190"/>
      <c r="AL55" s="190"/>
      <c r="AM55" s="190"/>
      <c r="AN55" s="190"/>
      <c r="AR55" s="211" t="s">
        <v>204</v>
      </c>
      <c r="AW55" s="193" t="s">
        <v>204</v>
      </c>
      <c r="AX55" s="201"/>
      <c r="BB55" s="193" t="s">
        <v>204</v>
      </c>
      <c r="BC55" s="180"/>
      <c r="BD55" s="181"/>
      <c r="BE55" s="182"/>
      <c r="BI55" s="192"/>
      <c r="BJ55" s="192"/>
      <c r="BK55" s="192"/>
      <c r="BO55" s="192"/>
      <c r="BP55" s="192"/>
      <c r="BQ55" s="192"/>
    </row>
    <row r="56" spans="2:69" ht="12.75" customHeight="1" thickBot="1" x14ac:dyDescent="0.25">
      <c r="B56" s="194" t="s">
        <v>205</v>
      </c>
      <c r="C56" s="183"/>
      <c r="D56" s="184"/>
      <c r="E56" s="185"/>
      <c r="F56" s="195"/>
      <c r="AR56" s="212" t="s">
        <v>205</v>
      </c>
      <c r="AW56" s="194" t="s">
        <v>205</v>
      </c>
      <c r="AX56" s="202"/>
      <c r="BB56" s="194" t="s">
        <v>205</v>
      </c>
      <c r="BC56" s="183"/>
      <c r="BD56" s="184"/>
      <c r="BE56" s="185"/>
    </row>
    <row r="57" spans="2:69" ht="12.75" customHeight="1" thickTop="1" x14ac:dyDescent="0.2">
      <c r="AR57" s="192"/>
      <c r="AS57" s="192"/>
      <c r="AW57" s="190"/>
      <c r="AX57" s="190"/>
      <c r="BB57" s="190"/>
      <c r="BC57" s="190"/>
      <c r="BD57" s="190"/>
      <c r="BE57" s="190"/>
    </row>
    <row r="60" spans="2:69" ht="12.75" customHeight="1" thickBot="1" x14ac:dyDescent="0.25"/>
    <row r="61" spans="2:69" ht="78" customHeight="1" thickTop="1" thickBot="1" x14ac:dyDescent="0.25">
      <c r="F61" s="192"/>
      <c r="J61" s="208" t="s">
        <v>203</v>
      </c>
      <c r="L61" s="192"/>
      <c r="P61" s="209" t="s">
        <v>203</v>
      </c>
      <c r="Q61" s="196"/>
      <c r="R61" s="192"/>
      <c r="V61" s="209" t="s">
        <v>203</v>
      </c>
      <c r="W61" s="197"/>
      <c r="X61" s="198"/>
      <c r="Y61" s="199"/>
      <c r="Z61" s="192"/>
      <c r="AD61" s="210" t="s">
        <v>203</v>
      </c>
      <c r="AF61" s="192"/>
      <c r="AJ61" s="191" t="s">
        <v>203</v>
      </c>
      <c r="AK61" s="200"/>
      <c r="AL61" s="192"/>
      <c r="AP61" s="191" t="s">
        <v>203</v>
      </c>
      <c r="AQ61" s="177"/>
      <c r="AR61" s="178"/>
      <c r="AS61" s="179"/>
      <c r="AT61" s="192"/>
      <c r="AY61" s="203" t="s">
        <v>198</v>
      </c>
      <c r="BD61" s="204" t="s">
        <v>198</v>
      </c>
      <c r="BE61" s="205" t="s">
        <v>199</v>
      </c>
      <c r="BF61" s="206" t="s">
        <v>200</v>
      </c>
      <c r="BP61" s="207" t="s">
        <v>198</v>
      </c>
    </row>
    <row r="62" spans="2:69" ht="12.75" customHeight="1" thickTop="1" thickBot="1" x14ac:dyDescent="0.25">
      <c r="B62" s="192"/>
      <c r="C62" s="192"/>
      <c r="D62" s="192"/>
      <c r="E62" s="192"/>
      <c r="F62" s="192"/>
      <c r="J62" s="192"/>
      <c r="K62" s="192"/>
      <c r="L62" s="192"/>
      <c r="P62" s="192"/>
      <c r="Q62" s="192"/>
      <c r="R62" s="192"/>
      <c r="V62" s="192"/>
      <c r="W62" s="192"/>
      <c r="X62" s="192"/>
      <c r="Y62" s="192"/>
      <c r="Z62" s="192"/>
      <c r="AD62" s="211" t="s">
        <v>204</v>
      </c>
      <c r="AF62" s="192"/>
      <c r="AJ62" s="193" t="s">
        <v>204</v>
      </c>
      <c r="AK62" s="201"/>
      <c r="AL62" s="192"/>
      <c r="AP62" s="193" t="s">
        <v>204</v>
      </c>
      <c r="AQ62" s="180"/>
      <c r="AR62" s="181"/>
      <c r="AS62" s="182"/>
      <c r="AT62" s="192"/>
      <c r="BJ62" s="208" t="s">
        <v>203</v>
      </c>
      <c r="BO62" s="209" t="s">
        <v>203</v>
      </c>
      <c r="BP62" s="196"/>
    </row>
    <row r="63" spans="2:69" ht="12.75" customHeight="1" thickTop="1" thickBot="1" x14ac:dyDescent="0.25">
      <c r="AD63" s="212" t="s">
        <v>205</v>
      </c>
      <c r="AF63" s="192"/>
      <c r="AJ63" s="194" t="s">
        <v>205</v>
      </c>
      <c r="AK63" s="202"/>
      <c r="AL63" s="192"/>
      <c r="AP63" s="194" t="s">
        <v>205</v>
      </c>
      <c r="AQ63" s="183"/>
      <c r="AR63" s="184"/>
      <c r="AS63" s="185"/>
      <c r="AT63" s="192"/>
    </row>
    <row r="64" spans="2:69" ht="12.75" customHeight="1" thickTop="1" x14ac:dyDescent="0.2">
      <c r="AD64" s="192"/>
      <c r="AE64" s="192"/>
      <c r="AF64" s="192"/>
      <c r="AJ64" s="192"/>
      <c r="AK64" s="192"/>
      <c r="AL64" s="192"/>
      <c r="AP64" s="192"/>
      <c r="AQ64" s="192"/>
      <c r="AR64" s="192"/>
      <c r="AS64" s="192"/>
      <c r="AT64" s="192"/>
    </row>
    <row r="67" spans="2:69" ht="12.75" customHeight="1" thickBot="1" x14ac:dyDescent="0.25"/>
    <row r="68" spans="2:69" ht="78" customHeight="1" thickTop="1" thickBot="1" x14ac:dyDescent="0.25">
      <c r="C68" s="187" t="s">
        <v>198</v>
      </c>
      <c r="D68" s="188" t="s">
        <v>199</v>
      </c>
      <c r="E68" s="189" t="s">
        <v>200</v>
      </c>
      <c r="O68" s="207" t="s">
        <v>198</v>
      </c>
      <c r="T68" s="187" t="s">
        <v>198</v>
      </c>
      <c r="U68" s="188" t="s">
        <v>199</v>
      </c>
      <c r="V68" s="189" t="s">
        <v>200</v>
      </c>
      <c r="AB68" s="192"/>
      <c r="AG68" s="203" t="s">
        <v>198</v>
      </c>
      <c r="AH68" s="192"/>
      <c r="AM68" s="204" t="s">
        <v>198</v>
      </c>
      <c r="AN68" s="205" t="s">
        <v>199</v>
      </c>
      <c r="AO68" s="206" t="s">
        <v>200</v>
      </c>
      <c r="AP68" s="192"/>
      <c r="AV68" s="192"/>
      <c r="BA68" s="207" t="s">
        <v>198</v>
      </c>
      <c r="BB68" s="195"/>
      <c r="BG68" s="187" t="s">
        <v>198</v>
      </c>
      <c r="BH68" s="188" t="s">
        <v>199</v>
      </c>
      <c r="BI68" s="189" t="s">
        <v>200</v>
      </c>
      <c r="BJ68" s="195"/>
      <c r="BP68" s="192"/>
    </row>
    <row r="69" spans="2:69" ht="12.75" customHeight="1" thickTop="1" thickBot="1" x14ac:dyDescent="0.25">
      <c r="B69" s="209" t="s">
        <v>203</v>
      </c>
      <c r="C69" s="197"/>
      <c r="D69" s="198"/>
      <c r="E69" s="199"/>
      <c r="I69" s="210" t="s">
        <v>203</v>
      </c>
      <c r="N69" s="191" t="s">
        <v>203</v>
      </c>
      <c r="O69" s="200"/>
      <c r="S69" s="191" t="s">
        <v>203</v>
      </c>
      <c r="T69" s="177"/>
      <c r="U69" s="178"/>
      <c r="V69" s="179"/>
      <c r="AB69" s="192"/>
      <c r="AH69" s="192"/>
      <c r="AP69" s="192"/>
      <c r="AT69" s="208" t="s">
        <v>203</v>
      </c>
      <c r="AV69" s="192"/>
      <c r="AZ69" s="209" t="s">
        <v>203</v>
      </c>
      <c r="BA69" s="196"/>
      <c r="BB69" s="195"/>
      <c r="BF69" s="209" t="s">
        <v>203</v>
      </c>
      <c r="BG69" s="197"/>
      <c r="BH69" s="198"/>
      <c r="BI69" s="199"/>
      <c r="BJ69" s="195"/>
      <c r="BN69" s="210" t="s">
        <v>203</v>
      </c>
      <c r="BP69" s="192"/>
    </row>
    <row r="70" spans="2:69" ht="12.75" customHeight="1" thickTop="1" x14ac:dyDescent="0.2">
      <c r="I70" s="211" t="s">
        <v>204</v>
      </c>
      <c r="N70" s="193" t="s">
        <v>204</v>
      </c>
      <c r="O70" s="201"/>
      <c r="S70" s="193" t="s">
        <v>204</v>
      </c>
      <c r="T70" s="180"/>
      <c r="U70" s="181"/>
      <c r="V70" s="182"/>
      <c r="BN70" s="211" t="s">
        <v>204</v>
      </c>
      <c r="BP70" s="192"/>
    </row>
    <row r="71" spans="2:69" ht="12.75" customHeight="1" thickBot="1" x14ac:dyDescent="0.25">
      <c r="I71" s="212" t="s">
        <v>205</v>
      </c>
      <c r="N71" s="194" t="s">
        <v>205</v>
      </c>
      <c r="O71" s="202"/>
      <c r="S71" s="194" t="s">
        <v>205</v>
      </c>
      <c r="T71" s="183"/>
      <c r="U71" s="184"/>
      <c r="V71" s="185"/>
      <c r="BN71" s="212" t="s">
        <v>205</v>
      </c>
      <c r="BP71" s="192"/>
    </row>
    <row r="72" spans="2:69" ht="12.75" customHeight="1" thickTop="1" x14ac:dyDescent="0.2"/>
    <row r="74" spans="2:69" ht="12.75" customHeight="1" thickBot="1" x14ac:dyDescent="0.25"/>
    <row r="75" spans="2:69" ht="78" customHeight="1" thickTop="1" thickBot="1" x14ac:dyDescent="0.25">
      <c r="C75" s="207" t="s">
        <v>198</v>
      </c>
      <c r="D75" s="195"/>
      <c r="I75" s="187" t="s">
        <v>198</v>
      </c>
      <c r="J75" s="188" t="s">
        <v>199</v>
      </c>
      <c r="K75" s="189" t="s">
        <v>200</v>
      </c>
      <c r="L75" s="195"/>
      <c r="V75" s="203" t="s">
        <v>198</v>
      </c>
      <c r="AA75" s="204" t="s">
        <v>198</v>
      </c>
      <c r="AB75" s="205" t="s">
        <v>199</v>
      </c>
      <c r="AC75" s="206" t="s">
        <v>200</v>
      </c>
      <c r="AM75" s="207" t="s">
        <v>198</v>
      </c>
      <c r="AR75" s="187" t="s">
        <v>198</v>
      </c>
      <c r="AS75" s="188" t="s">
        <v>199</v>
      </c>
      <c r="AT75" s="189" t="s">
        <v>200</v>
      </c>
      <c r="BD75" s="207" t="s">
        <v>198</v>
      </c>
      <c r="BI75" s="187" t="s">
        <v>198</v>
      </c>
      <c r="BJ75" s="188" t="s">
        <v>199</v>
      </c>
      <c r="BK75" s="189" t="s">
        <v>200</v>
      </c>
      <c r="BQ75" s="192"/>
    </row>
    <row r="76" spans="2:69" ht="12.75" customHeight="1" thickTop="1" thickBot="1" x14ac:dyDescent="0.25">
      <c r="B76" s="191" t="s">
        <v>203</v>
      </c>
      <c r="C76" s="200"/>
      <c r="D76" s="195"/>
      <c r="H76" s="191" t="s">
        <v>203</v>
      </c>
      <c r="I76" s="177"/>
      <c r="J76" s="178"/>
      <c r="K76" s="179"/>
      <c r="L76" s="195"/>
      <c r="AG76" s="208" t="s">
        <v>203</v>
      </c>
      <c r="AL76" s="209" t="s">
        <v>203</v>
      </c>
      <c r="AM76" s="196"/>
      <c r="AQ76" s="209" t="s">
        <v>203</v>
      </c>
      <c r="AR76" s="197"/>
      <c r="AS76" s="198"/>
      <c r="AT76" s="199"/>
      <c r="AX76" s="210" t="s">
        <v>203</v>
      </c>
      <c r="BC76" s="191" t="s">
        <v>203</v>
      </c>
      <c r="BD76" s="200"/>
      <c r="BH76" s="191" t="s">
        <v>203</v>
      </c>
      <c r="BI76" s="177"/>
      <c r="BJ76" s="178"/>
      <c r="BK76" s="179"/>
      <c r="BQ76" s="192"/>
    </row>
    <row r="77" spans="2:69" ht="12.75" customHeight="1" thickTop="1" x14ac:dyDescent="0.2">
      <c r="B77" s="193" t="s">
        <v>204</v>
      </c>
      <c r="C77" s="201"/>
      <c r="D77" s="195"/>
      <c r="H77" s="193" t="s">
        <v>204</v>
      </c>
      <c r="I77" s="180"/>
      <c r="J77" s="181"/>
      <c r="K77" s="182"/>
      <c r="L77" s="195"/>
      <c r="P77" s="192"/>
      <c r="Q77" s="192"/>
      <c r="U77" s="192"/>
      <c r="V77" s="192"/>
      <c r="Z77" s="192"/>
      <c r="AA77" s="192"/>
      <c r="AB77" s="192"/>
      <c r="AC77" s="192"/>
      <c r="AG77" s="192"/>
      <c r="AH77" s="192"/>
      <c r="AL77" s="190"/>
      <c r="AM77" s="190"/>
      <c r="AQ77" s="190"/>
      <c r="AR77" s="190"/>
      <c r="AS77" s="190"/>
      <c r="AT77" s="190"/>
      <c r="AX77" s="211" t="s">
        <v>204</v>
      </c>
      <c r="BC77" s="193" t="s">
        <v>204</v>
      </c>
      <c r="BD77" s="201"/>
      <c r="BH77" s="193" t="s">
        <v>204</v>
      </c>
      <c r="BI77" s="180"/>
      <c r="BJ77" s="181"/>
      <c r="BK77" s="182"/>
      <c r="BO77" s="192"/>
      <c r="BP77" s="192"/>
      <c r="BQ77" s="192"/>
    </row>
    <row r="78" spans="2:69" ht="12.75" customHeight="1" thickBot="1" x14ac:dyDescent="0.25">
      <c r="B78" s="194" t="s">
        <v>205</v>
      </c>
      <c r="C78" s="202"/>
      <c r="D78" s="195"/>
      <c r="H78" s="194" t="s">
        <v>205</v>
      </c>
      <c r="I78" s="183"/>
      <c r="J78" s="184"/>
      <c r="K78" s="185"/>
      <c r="L78" s="195"/>
      <c r="AX78" s="212" t="s">
        <v>205</v>
      </c>
      <c r="BC78" s="194" t="s">
        <v>205</v>
      </c>
      <c r="BD78" s="202"/>
      <c r="BH78" s="194" t="s">
        <v>205</v>
      </c>
      <c r="BI78" s="183"/>
      <c r="BJ78" s="184"/>
      <c r="BK78" s="185"/>
    </row>
    <row r="79" spans="2:69" ht="12.75" customHeight="1" thickTop="1" x14ac:dyDescent="0.2">
      <c r="AX79" s="192"/>
      <c r="AY79" s="192"/>
      <c r="BC79" s="190"/>
      <c r="BD79" s="190"/>
      <c r="BH79" s="190"/>
      <c r="BI79" s="190"/>
      <c r="BJ79" s="190"/>
      <c r="BK79" s="190"/>
    </row>
    <row r="82" spans="2:72" ht="12.75" customHeight="1" thickBot="1" x14ac:dyDescent="0.25"/>
    <row r="83" spans="2:72" ht="37.5" customHeight="1" thickTop="1" thickBot="1" x14ac:dyDescent="0.25">
      <c r="C83" s="203" t="s">
        <v>198</v>
      </c>
      <c r="D83" s="192"/>
      <c r="I83" s="204" t="s">
        <v>198</v>
      </c>
      <c r="J83" s="205" t="s">
        <v>199</v>
      </c>
      <c r="K83" s="206" t="s">
        <v>200</v>
      </c>
      <c r="L83" s="192"/>
      <c r="R83" s="192"/>
      <c r="W83" s="207" t="s">
        <v>198</v>
      </c>
      <c r="X83" s="192"/>
      <c r="AC83" s="187" t="s">
        <v>198</v>
      </c>
      <c r="AD83" s="188" t="s">
        <v>199</v>
      </c>
      <c r="AE83" s="189" t="s">
        <v>200</v>
      </c>
      <c r="AF83" s="192"/>
      <c r="AL83" s="192"/>
      <c r="AQ83" s="207" t="s">
        <v>198</v>
      </c>
      <c r="AR83" s="192"/>
      <c r="AW83" s="187" t="s">
        <v>198</v>
      </c>
      <c r="AX83" s="188" t="s">
        <v>199</v>
      </c>
      <c r="AY83" s="189" t="s">
        <v>200</v>
      </c>
      <c r="AZ83" s="192"/>
      <c r="BD83" s="175" t="s">
        <v>207</v>
      </c>
      <c r="BH83" s="445" t="s">
        <v>207</v>
      </c>
      <c r="BI83" s="448"/>
      <c r="BJ83" s="444"/>
      <c r="BN83" s="174" t="s">
        <v>207</v>
      </c>
      <c r="BR83" s="442" t="s">
        <v>207</v>
      </c>
      <c r="BS83" s="443"/>
      <c r="BT83" s="446"/>
    </row>
    <row r="84" spans="2:72" ht="12.75" customHeight="1" thickTop="1" thickBot="1" x14ac:dyDescent="0.25">
      <c r="D84" s="192"/>
      <c r="L84" s="192"/>
      <c r="P84" s="208" t="s">
        <v>203</v>
      </c>
      <c r="R84" s="192"/>
      <c r="V84" s="209" t="s">
        <v>203</v>
      </c>
      <c r="W84" s="196"/>
      <c r="X84" s="192"/>
      <c r="AB84" s="209" t="s">
        <v>203</v>
      </c>
      <c r="AC84" s="197"/>
      <c r="AD84" s="198"/>
      <c r="AE84" s="199"/>
      <c r="AF84" s="192"/>
      <c r="AJ84" s="210" t="s">
        <v>203</v>
      </c>
      <c r="AL84" s="192"/>
      <c r="AP84" s="191" t="s">
        <v>203</v>
      </c>
      <c r="AQ84" s="200"/>
      <c r="AR84" s="192"/>
      <c r="AV84" s="191" t="s">
        <v>203</v>
      </c>
      <c r="AW84" s="177"/>
      <c r="AX84" s="178"/>
      <c r="AY84" s="179"/>
      <c r="AZ84" s="192"/>
      <c r="BN84" s="196"/>
      <c r="BR84" s="197"/>
      <c r="BS84" s="198"/>
      <c r="BT84" s="199"/>
    </row>
    <row r="85" spans="2:72" ht="12.75" customHeight="1" thickTop="1" x14ac:dyDescent="0.2">
      <c r="B85" s="192"/>
      <c r="C85" s="192"/>
      <c r="D85" s="192"/>
      <c r="H85" s="192"/>
      <c r="I85" s="192"/>
      <c r="J85" s="192"/>
      <c r="K85" s="192"/>
      <c r="L85" s="192"/>
      <c r="P85" s="192"/>
      <c r="Q85" s="192"/>
      <c r="R85" s="192"/>
      <c r="V85" s="192"/>
      <c r="W85" s="192"/>
      <c r="X85" s="192"/>
      <c r="AB85" s="192"/>
      <c r="AC85" s="192"/>
      <c r="AD85" s="192"/>
      <c r="AE85" s="192"/>
      <c r="AF85" s="192"/>
      <c r="AJ85" s="211" t="s">
        <v>204</v>
      </c>
      <c r="AL85" s="192"/>
      <c r="AP85" s="193" t="s">
        <v>204</v>
      </c>
      <c r="AQ85" s="201"/>
      <c r="AR85" s="192"/>
      <c r="AV85" s="193" t="s">
        <v>204</v>
      </c>
      <c r="AW85" s="180"/>
      <c r="AX85" s="181"/>
      <c r="AY85" s="182"/>
      <c r="AZ85" s="192"/>
    </row>
    <row r="86" spans="2:72" ht="12.75" customHeight="1" thickBot="1" x14ac:dyDescent="0.25">
      <c r="AJ86" s="212" t="s">
        <v>205</v>
      </c>
      <c r="AL86" s="192"/>
      <c r="AP86" s="194" t="s">
        <v>205</v>
      </c>
      <c r="AQ86" s="202"/>
      <c r="AR86" s="192"/>
      <c r="AV86" s="194" t="s">
        <v>205</v>
      </c>
      <c r="AW86" s="183"/>
      <c r="AX86" s="184"/>
      <c r="AY86" s="185"/>
      <c r="AZ86" s="192"/>
    </row>
    <row r="87" spans="2:72" ht="12.75" customHeight="1" thickTop="1" x14ac:dyDescent="0.2">
      <c r="AJ87" s="192"/>
      <c r="AK87" s="192"/>
      <c r="AL87" s="192"/>
      <c r="AP87" s="192"/>
      <c r="AQ87" s="192"/>
      <c r="AR87" s="192"/>
      <c r="AV87" s="192"/>
      <c r="AW87" s="192"/>
      <c r="AX87" s="192"/>
      <c r="AY87" s="192"/>
      <c r="AZ87" s="192"/>
    </row>
    <row r="90" spans="2:72" ht="12.75" customHeight="1" thickBot="1" x14ac:dyDescent="0.25"/>
    <row r="91" spans="2:72" ht="37.5" customHeight="1" thickTop="1" thickBot="1" x14ac:dyDescent="0.25">
      <c r="B91" s="174" t="s">
        <v>207</v>
      </c>
      <c r="F91" s="442" t="s">
        <v>207</v>
      </c>
      <c r="G91" s="443"/>
      <c r="H91" s="446"/>
      <c r="L91" s="445" t="s">
        <v>207</v>
      </c>
      <c r="M91" s="444"/>
      <c r="Q91" s="445" t="s">
        <v>207</v>
      </c>
      <c r="R91" s="444"/>
      <c r="V91" s="445" t="s">
        <v>207</v>
      </c>
      <c r="W91" s="448"/>
      <c r="X91" s="448"/>
      <c r="Y91" s="444"/>
      <c r="AC91" s="445" t="s">
        <v>207</v>
      </c>
      <c r="AD91" s="444"/>
      <c r="AH91" s="442" t="s">
        <v>207</v>
      </c>
      <c r="AI91" s="444"/>
      <c r="AM91" s="442" t="s">
        <v>207</v>
      </c>
      <c r="AN91" s="443"/>
      <c r="AO91" s="443"/>
      <c r="AP91" s="444"/>
      <c r="AT91" s="445" t="s">
        <v>207</v>
      </c>
      <c r="AU91" s="444"/>
      <c r="AY91" s="442" t="s">
        <v>207</v>
      </c>
      <c r="AZ91" s="444"/>
      <c r="BD91" s="442" t="s">
        <v>207</v>
      </c>
      <c r="BE91" s="443"/>
      <c r="BF91" s="443"/>
      <c r="BG91" s="444"/>
      <c r="BO91" s="175" t="s">
        <v>207</v>
      </c>
    </row>
    <row r="92" spans="2:72" ht="12.75" customHeight="1" thickTop="1" thickBot="1" x14ac:dyDescent="0.25">
      <c r="B92" s="200"/>
      <c r="F92" s="177"/>
      <c r="G92" s="178"/>
      <c r="H92" s="179"/>
      <c r="M92" s="190"/>
      <c r="R92" s="190"/>
      <c r="Y92" s="190"/>
      <c r="AD92" s="190"/>
      <c r="AH92" s="196"/>
      <c r="AI92" s="213"/>
      <c r="AM92" s="197"/>
      <c r="AN92" s="198"/>
      <c r="AO92" s="199"/>
      <c r="AP92" s="213"/>
      <c r="AU92" s="190"/>
      <c r="AY92" s="200"/>
      <c r="AZ92" s="213"/>
      <c r="BD92" s="177"/>
      <c r="BE92" s="178"/>
      <c r="BF92" s="179"/>
      <c r="BG92" s="213"/>
    </row>
    <row r="93" spans="2:72" ht="12.75" customHeight="1" thickTop="1" x14ac:dyDescent="0.2">
      <c r="B93" s="201"/>
      <c r="F93" s="180"/>
      <c r="G93" s="181"/>
      <c r="H93" s="182"/>
      <c r="AU93" s="192"/>
      <c r="AY93" s="201"/>
      <c r="AZ93" s="195"/>
      <c r="BD93" s="180"/>
      <c r="BE93" s="181"/>
      <c r="BF93" s="182"/>
      <c r="BG93" s="195"/>
      <c r="BK93" s="192"/>
      <c r="BO93" s="192"/>
    </row>
    <row r="94" spans="2:72" ht="12.75" customHeight="1" thickBot="1" x14ac:dyDescent="0.25">
      <c r="B94" s="202"/>
      <c r="F94" s="183"/>
      <c r="G94" s="184"/>
      <c r="H94" s="185"/>
      <c r="AU94" s="192"/>
      <c r="AY94" s="202"/>
      <c r="AZ94" s="195"/>
      <c r="BD94" s="183"/>
      <c r="BE94" s="184"/>
      <c r="BF94" s="185"/>
      <c r="BG94" s="195"/>
    </row>
    <row r="95" spans="2:72" ht="12.75" customHeight="1" thickTop="1" x14ac:dyDescent="0.2"/>
    <row r="97" spans="2:71" ht="12.75" customHeight="1" thickBot="1" x14ac:dyDescent="0.25"/>
    <row r="98" spans="2:71" ht="37.5" customHeight="1" thickTop="1" thickBot="1" x14ac:dyDescent="0.25">
      <c r="B98" s="445" t="s">
        <v>207</v>
      </c>
      <c r="C98" s="448"/>
      <c r="D98" s="444"/>
      <c r="L98" s="174" t="s">
        <v>207</v>
      </c>
      <c r="P98" s="442" t="s">
        <v>207</v>
      </c>
      <c r="Q98" s="443"/>
      <c r="R98" s="446"/>
      <c r="Z98" s="174" t="s">
        <v>207</v>
      </c>
      <c r="AD98" s="442" t="s">
        <v>207</v>
      </c>
      <c r="AE98" s="443"/>
      <c r="AF98" s="446"/>
      <c r="AJ98" s="445" t="s">
        <v>207</v>
      </c>
      <c r="AK98" s="444"/>
      <c r="AO98" s="445" t="s">
        <v>207</v>
      </c>
      <c r="AP98" s="444"/>
      <c r="AT98" s="445" t="s">
        <v>207</v>
      </c>
      <c r="AU98" s="448"/>
      <c r="AV98" s="448"/>
      <c r="AW98" s="444"/>
      <c r="BA98" s="445" t="s">
        <v>207</v>
      </c>
      <c r="BB98" s="444"/>
      <c r="BF98" s="442" t="s">
        <v>207</v>
      </c>
      <c r="BG98" s="444"/>
      <c r="BK98" s="442" t="s">
        <v>207</v>
      </c>
      <c r="BL98" s="443"/>
      <c r="BM98" s="443"/>
      <c r="BN98" s="444"/>
      <c r="BR98" s="445" t="s">
        <v>207</v>
      </c>
      <c r="BS98" s="444"/>
    </row>
    <row r="99" spans="2:71" ht="12.75" customHeight="1" thickTop="1" thickBot="1" x14ac:dyDescent="0.25">
      <c r="L99" s="196"/>
      <c r="P99" s="197"/>
      <c r="Q99" s="198"/>
      <c r="R99" s="199"/>
      <c r="Z99" s="200"/>
      <c r="AD99" s="177"/>
      <c r="AE99" s="178"/>
      <c r="AF99" s="179"/>
      <c r="AK99" s="190"/>
      <c r="AP99" s="190"/>
      <c r="AW99" s="190"/>
      <c r="BB99" s="190"/>
      <c r="BF99" s="196"/>
      <c r="BG99" s="190"/>
      <c r="BK99" s="197"/>
      <c r="BL99" s="198"/>
      <c r="BM99" s="199"/>
      <c r="BN99" s="190"/>
      <c r="BS99" s="190"/>
    </row>
    <row r="100" spans="2:71" ht="12.75" customHeight="1" thickTop="1" x14ac:dyDescent="0.2">
      <c r="B100" s="192"/>
      <c r="C100" s="192"/>
      <c r="D100" s="192"/>
      <c r="H100" s="192"/>
      <c r="L100" s="190"/>
      <c r="P100" s="190"/>
      <c r="Q100" s="190"/>
      <c r="R100" s="190"/>
      <c r="Z100" s="201"/>
      <c r="AD100" s="180"/>
      <c r="AE100" s="181"/>
      <c r="AF100" s="182"/>
      <c r="AJ100" s="192"/>
      <c r="AK100" s="192"/>
      <c r="AO100" s="192"/>
      <c r="AP100" s="192"/>
      <c r="AT100" s="192"/>
      <c r="AU100" s="192"/>
      <c r="AV100" s="192"/>
      <c r="AW100" s="192"/>
      <c r="BA100" s="192"/>
      <c r="BB100" s="192"/>
      <c r="BF100" s="192"/>
      <c r="BG100" s="192"/>
      <c r="BK100" s="192"/>
      <c r="BL100" s="192"/>
      <c r="BM100" s="192"/>
      <c r="BN100" s="192"/>
      <c r="BS100" s="192"/>
    </row>
    <row r="101" spans="2:71" ht="12.75" customHeight="1" thickBot="1" x14ac:dyDescent="0.25">
      <c r="Z101" s="202"/>
      <c r="AD101" s="183"/>
      <c r="AE101" s="184"/>
      <c r="AF101" s="185"/>
      <c r="BS101" s="192"/>
    </row>
    <row r="102" spans="2:71" ht="12.75" customHeight="1" thickTop="1" x14ac:dyDescent="0.2">
      <c r="V102" s="192"/>
      <c r="Z102" s="190"/>
      <c r="AD102" s="190"/>
      <c r="AE102" s="190"/>
      <c r="AF102" s="190"/>
      <c r="BR102" s="192"/>
      <c r="BS102" s="192"/>
    </row>
    <row r="105" spans="2:71" ht="12.75" customHeight="1" thickBot="1" x14ac:dyDescent="0.25"/>
    <row r="106" spans="2:71" ht="37.5" customHeight="1" thickTop="1" thickBot="1" x14ac:dyDescent="0.25">
      <c r="B106" s="442" t="s">
        <v>207</v>
      </c>
      <c r="C106" s="444"/>
      <c r="G106" s="442" t="s">
        <v>207</v>
      </c>
      <c r="H106" s="443"/>
      <c r="I106" s="443"/>
      <c r="J106" s="444"/>
      <c r="N106" s="174" t="s">
        <v>207</v>
      </c>
      <c r="R106" s="442" t="s">
        <v>207</v>
      </c>
      <c r="S106" s="443"/>
      <c r="T106" s="446"/>
      <c r="X106" s="174" t="s">
        <v>207</v>
      </c>
      <c r="AB106" s="442" t="s">
        <v>207</v>
      </c>
      <c r="AC106" s="443"/>
      <c r="AD106" s="446"/>
      <c r="AH106" s="174" t="s">
        <v>207</v>
      </c>
      <c r="AL106" s="442" t="s">
        <v>207</v>
      </c>
      <c r="AM106" s="443"/>
      <c r="AN106" s="446"/>
      <c r="AR106" s="445" t="s">
        <v>207</v>
      </c>
      <c r="AS106" s="444"/>
      <c r="AW106" s="442" t="s">
        <v>207</v>
      </c>
      <c r="AX106" s="444"/>
      <c r="BB106" s="442" t="s">
        <v>207</v>
      </c>
      <c r="BC106" s="443"/>
      <c r="BD106" s="443"/>
      <c r="BE106" s="444"/>
      <c r="BI106" s="445" t="s">
        <v>207</v>
      </c>
      <c r="BJ106" s="444"/>
      <c r="BN106" s="442" t="s">
        <v>207</v>
      </c>
      <c r="BO106" s="444"/>
    </row>
    <row r="107" spans="2:71" ht="78" customHeight="1" thickTop="1" thickBot="1" x14ac:dyDescent="0.25">
      <c r="B107" s="200"/>
      <c r="C107" s="190"/>
      <c r="G107" s="177"/>
      <c r="H107" s="178"/>
      <c r="I107" s="179"/>
      <c r="J107" s="190"/>
      <c r="N107" s="203" t="s">
        <v>198</v>
      </c>
      <c r="R107" s="204" t="s">
        <v>198</v>
      </c>
      <c r="S107" s="205" t="s">
        <v>199</v>
      </c>
      <c r="T107" s="206" t="s">
        <v>200</v>
      </c>
      <c r="X107" s="207" t="s">
        <v>198</v>
      </c>
      <c r="AB107" s="187" t="s">
        <v>198</v>
      </c>
      <c r="AC107" s="188" t="s">
        <v>199</v>
      </c>
      <c r="AD107" s="189" t="s">
        <v>200</v>
      </c>
      <c r="AH107" s="207" t="s">
        <v>198</v>
      </c>
      <c r="AL107" s="187" t="s">
        <v>198</v>
      </c>
      <c r="AM107" s="188" t="s">
        <v>199</v>
      </c>
      <c r="AN107" s="189" t="s">
        <v>200</v>
      </c>
      <c r="AS107" s="190"/>
      <c r="AW107" s="203" t="s">
        <v>198</v>
      </c>
      <c r="AX107" s="190"/>
      <c r="BB107" s="204" t="s">
        <v>198</v>
      </c>
      <c r="BC107" s="205" t="s">
        <v>199</v>
      </c>
      <c r="BD107" s="206" t="s">
        <v>200</v>
      </c>
      <c r="BE107" s="190"/>
      <c r="BJ107" s="190"/>
      <c r="BN107" s="207" t="s">
        <v>198</v>
      </c>
      <c r="BO107" s="213"/>
    </row>
    <row r="108" spans="2:71" ht="12.75" customHeight="1" thickTop="1" thickBot="1" x14ac:dyDescent="0.25">
      <c r="B108" s="201"/>
      <c r="C108" s="192"/>
      <c r="G108" s="180"/>
      <c r="H108" s="181"/>
      <c r="I108" s="182"/>
      <c r="J108" s="192"/>
      <c r="X108" s="196"/>
      <c r="AB108" s="197"/>
      <c r="AC108" s="198"/>
      <c r="AD108" s="199"/>
      <c r="AH108" s="200"/>
      <c r="AL108" s="177"/>
      <c r="AM108" s="178"/>
      <c r="AN108" s="179"/>
      <c r="AS108" s="192"/>
      <c r="AX108" s="192"/>
      <c r="BE108" s="192"/>
      <c r="BJ108" s="192"/>
      <c r="BN108" s="196"/>
      <c r="BO108" s="195"/>
    </row>
    <row r="109" spans="2:71" ht="12.75" customHeight="1" thickTop="1" thickBot="1" x14ac:dyDescent="0.25">
      <c r="B109" s="202"/>
      <c r="C109" s="192"/>
      <c r="G109" s="183"/>
      <c r="H109" s="184"/>
      <c r="I109" s="185"/>
      <c r="J109" s="192"/>
      <c r="AH109" s="201"/>
      <c r="AL109" s="180"/>
      <c r="AM109" s="181"/>
      <c r="AN109" s="182"/>
    </row>
    <row r="110" spans="2:71" ht="12.75" customHeight="1" thickTop="1" thickBot="1" x14ac:dyDescent="0.25">
      <c r="B110" s="192"/>
      <c r="C110" s="192"/>
      <c r="G110" s="192"/>
      <c r="H110" s="192"/>
      <c r="I110" s="192"/>
      <c r="J110" s="192"/>
      <c r="AH110" s="202"/>
      <c r="AL110" s="183"/>
      <c r="AM110" s="184"/>
      <c r="AN110" s="185"/>
    </row>
    <row r="111" spans="2:71" ht="12.75" customHeight="1" thickTop="1" x14ac:dyDescent="0.2"/>
    <row r="113" spans="2:73" ht="12.75" customHeight="1" thickBot="1" x14ac:dyDescent="0.25"/>
    <row r="114" spans="2:73" ht="37.5" customHeight="1" thickTop="1" thickBot="1" x14ac:dyDescent="0.25">
      <c r="B114" s="442" t="s">
        <v>207</v>
      </c>
      <c r="C114" s="443"/>
      <c r="D114" s="443"/>
      <c r="E114" s="444"/>
      <c r="I114" s="445" t="s">
        <v>207</v>
      </c>
      <c r="J114" s="444"/>
      <c r="N114" s="442" t="s">
        <v>207</v>
      </c>
      <c r="O114" s="444"/>
      <c r="S114" s="442" t="s">
        <v>207</v>
      </c>
      <c r="T114" s="443"/>
      <c r="U114" s="443"/>
      <c r="V114" s="444"/>
      <c r="AD114" s="174" t="s">
        <v>207</v>
      </c>
      <c r="AH114" s="442" t="s">
        <v>207</v>
      </c>
      <c r="AI114" s="443"/>
      <c r="AJ114" s="446"/>
      <c r="AR114" s="174" t="s">
        <v>207</v>
      </c>
      <c r="AV114" s="442" t="s">
        <v>207</v>
      </c>
      <c r="AW114" s="443"/>
      <c r="AX114" s="446"/>
      <c r="BF114" s="174" t="s">
        <v>207</v>
      </c>
      <c r="BJ114" s="442" t="s">
        <v>207</v>
      </c>
      <c r="BK114" s="443"/>
      <c r="BL114" s="446"/>
      <c r="BP114" s="445" t="s">
        <v>207</v>
      </c>
      <c r="BQ114" s="444"/>
    </row>
    <row r="115" spans="2:73" ht="78" customHeight="1" thickTop="1" thickBot="1" x14ac:dyDescent="0.25">
      <c r="B115" s="187" t="s">
        <v>198</v>
      </c>
      <c r="C115" s="188" t="s">
        <v>199</v>
      </c>
      <c r="D115" s="189" t="s">
        <v>200</v>
      </c>
      <c r="E115" s="213"/>
      <c r="J115" s="190"/>
      <c r="N115" s="207" t="s">
        <v>198</v>
      </c>
      <c r="O115" s="213"/>
      <c r="S115" s="187" t="s">
        <v>198</v>
      </c>
      <c r="T115" s="188" t="s">
        <v>199</v>
      </c>
      <c r="U115" s="189" t="s">
        <v>200</v>
      </c>
      <c r="V115" s="213"/>
      <c r="AD115" s="203" t="s">
        <v>198</v>
      </c>
      <c r="AH115" s="204" t="s">
        <v>198</v>
      </c>
      <c r="AI115" s="205" t="s">
        <v>199</v>
      </c>
      <c r="AJ115" s="206" t="s">
        <v>200</v>
      </c>
      <c r="AR115" s="207" t="s">
        <v>198</v>
      </c>
      <c r="AV115" s="187" t="s">
        <v>198</v>
      </c>
      <c r="AW115" s="188" t="s">
        <v>199</v>
      </c>
      <c r="AX115" s="189" t="s">
        <v>200</v>
      </c>
      <c r="BF115" s="207" t="s">
        <v>198</v>
      </c>
      <c r="BJ115" s="187" t="s">
        <v>198</v>
      </c>
      <c r="BK115" s="188" t="s">
        <v>199</v>
      </c>
      <c r="BL115" s="189" t="s">
        <v>200</v>
      </c>
      <c r="BQ115" s="190"/>
    </row>
    <row r="116" spans="2:73" ht="12.75" customHeight="1" thickTop="1" thickBot="1" x14ac:dyDescent="0.25">
      <c r="B116" s="197"/>
      <c r="C116" s="198"/>
      <c r="D116" s="199"/>
      <c r="E116" s="195"/>
      <c r="J116" s="192"/>
      <c r="N116" s="200"/>
      <c r="O116" s="195"/>
      <c r="S116" s="177"/>
      <c r="T116" s="178"/>
      <c r="U116" s="179"/>
      <c r="V116" s="195"/>
      <c r="AR116" s="196"/>
      <c r="AV116" s="197"/>
      <c r="AW116" s="198"/>
      <c r="AX116" s="199"/>
      <c r="BF116" s="200"/>
      <c r="BJ116" s="177"/>
      <c r="BK116" s="178"/>
      <c r="BL116" s="179"/>
      <c r="BQ116" s="192"/>
    </row>
    <row r="117" spans="2:73" ht="12.75" customHeight="1" thickTop="1" x14ac:dyDescent="0.2">
      <c r="J117" s="192"/>
      <c r="N117" s="201"/>
      <c r="O117" s="195"/>
      <c r="S117" s="180"/>
      <c r="T117" s="181"/>
      <c r="U117" s="182"/>
      <c r="V117" s="195"/>
      <c r="Z117" s="192"/>
      <c r="AD117" s="192"/>
      <c r="AH117" s="192"/>
      <c r="AI117" s="192"/>
      <c r="AJ117" s="192"/>
      <c r="AN117" s="192"/>
      <c r="AR117" s="190"/>
      <c r="AV117" s="190"/>
      <c r="AW117" s="190"/>
      <c r="AX117" s="190"/>
      <c r="BF117" s="201"/>
      <c r="BJ117" s="180"/>
      <c r="BK117" s="181"/>
      <c r="BL117" s="182"/>
      <c r="BP117" s="192"/>
      <c r="BQ117" s="192"/>
    </row>
    <row r="118" spans="2:73" ht="12.75" customHeight="1" thickBot="1" x14ac:dyDescent="0.25">
      <c r="J118" s="192"/>
      <c r="N118" s="202"/>
      <c r="O118" s="195"/>
      <c r="S118" s="183"/>
      <c r="T118" s="184"/>
      <c r="U118" s="185"/>
      <c r="V118" s="195"/>
      <c r="BF118" s="202"/>
      <c r="BJ118" s="183"/>
      <c r="BK118" s="184"/>
      <c r="BL118" s="185"/>
    </row>
    <row r="119" spans="2:73" ht="12.75" customHeight="1" thickTop="1" x14ac:dyDescent="0.2">
      <c r="BB119" s="192"/>
      <c r="BF119" s="190"/>
      <c r="BJ119" s="190"/>
      <c r="BK119" s="190"/>
      <c r="BL119" s="190"/>
    </row>
    <row r="122" spans="2:73" ht="12.75" customHeight="1" thickBot="1" x14ac:dyDescent="0.25"/>
    <row r="123" spans="2:73" ht="37.5" customHeight="1" thickTop="1" thickBot="1" x14ac:dyDescent="0.25">
      <c r="B123" s="442" t="s">
        <v>207</v>
      </c>
      <c r="C123" s="444"/>
      <c r="G123" s="442" t="s">
        <v>207</v>
      </c>
      <c r="H123" s="443"/>
      <c r="I123" s="443"/>
      <c r="J123" s="444"/>
      <c r="N123" s="445" t="s">
        <v>207</v>
      </c>
      <c r="O123" s="444"/>
      <c r="S123" s="442" t="s">
        <v>207</v>
      </c>
      <c r="T123" s="444"/>
      <c r="X123" s="442" t="s">
        <v>207</v>
      </c>
      <c r="Y123" s="443"/>
      <c r="Z123" s="443"/>
      <c r="AA123" s="444"/>
      <c r="AE123" s="445" t="s">
        <v>207</v>
      </c>
      <c r="AF123" s="444"/>
      <c r="AJ123" s="442" t="s">
        <v>207</v>
      </c>
      <c r="AK123" s="444"/>
      <c r="AO123" s="442" t="s">
        <v>207</v>
      </c>
      <c r="AP123" s="443"/>
      <c r="AQ123" s="443"/>
      <c r="AR123" s="444"/>
      <c r="AW123" s="175" t="s">
        <v>207</v>
      </c>
      <c r="BB123" s="445" t="s">
        <v>207</v>
      </c>
      <c r="BC123" s="448"/>
      <c r="BD123" s="444"/>
      <c r="BN123" s="174" t="s">
        <v>207</v>
      </c>
      <c r="BS123" s="442" t="s">
        <v>207</v>
      </c>
      <c r="BT123" s="443"/>
      <c r="BU123" s="446"/>
    </row>
    <row r="124" spans="2:73" ht="78" customHeight="1" thickTop="1" thickBot="1" x14ac:dyDescent="0.25">
      <c r="B124" s="203" t="s">
        <v>198</v>
      </c>
      <c r="C124" s="190"/>
      <c r="G124" s="204" t="s">
        <v>198</v>
      </c>
      <c r="H124" s="205" t="s">
        <v>199</v>
      </c>
      <c r="I124" s="206" t="s">
        <v>200</v>
      </c>
      <c r="J124" s="190"/>
      <c r="O124" s="190"/>
      <c r="S124" s="207" t="s">
        <v>198</v>
      </c>
      <c r="T124" s="190"/>
      <c r="X124" s="187" t="s">
        <v>198</v>
      </c>
      <c r="Y124" s="188" t="s">
        <v>199</v>
      </c>
      <c r="Z124" s="189" t="s">
        <v>200</v>
      </c>
      <c r="AA124" s="190"/>
      <c r="AF124" s="190"/>
      <c r="AJ124" s="207" t="s">
        <v>198</v>
      </c>
      <c r="AK124" s="190"/>
      <c r="AO124" s="187" t="s">
        <v>198</v>
      </c>
      <c r="AP124" s="188" t="s">
        <v>199</v>
      </c>
      <c r="AQ124" s="189" t="s">
        <v>200</v>
      </c>
      <c r="AR124" s="190"/>
      <c r="BH124" s="208" t="s">
        <v>203</v>
      </c>
      <c r="BM124" s="209" t="s">
        <v>203</v>
      </c>
      <c r="BN124" s="196"/>
      <c r="BR124" s="209" t="s">
        <v>203</v>
      </c>
      <c r="BS124" s="197"/>
      <c r="BT124" s="198"/>
      <c r="BU124" s="199"/>
    </row>
    <row r="125" spans="2:73" ht="12.75" customHeight="1" thickTop="1" thickBot="1" x14ac:dyDescent="0.25">
      <c r="C125" s="192"/>
      <c r="J125" s="192"/>
      <c r="O125" s="192"/>
      <c r="S125" s="196"/>
      <c r="T125" s="192"/>
      <c r="X125" s="197"/>
      <c r="Y125" s="198"/>
      <c r="Z125" s="199"/>
      <c r="AA125" s="192"/>
      <c r="AF125" s="192"/>
      <c r="AJ125" s="200"/>
      <c r="AK125" s="192"/>
      <c r="AO125" s="177"/>
      <c r="AP125" s="178"/>
      <c r="AQ125" s="179"/>
      <c r="AR125" s="192"/>
    </row>
    <row r="126" spans="2:73" ht="12.75" customHeight="1" thickTop="1" x14ac:dyDescent="0.2">
      <c r="B126" s="192"/>
      <c r="C126" s="192"/>
      <c r="G126" s="192"/>
      <c r="H126" s="192"/>
      <c r="I126" s="192"/>
      <c r="J126" s="192"/>
      <c r="N126" s="192"/>
      <c r="O126" s="192"/>
      <c r="S126" s="192"/>
      <c r="T126" s="192"/>
      <c r="X126" s="192"/>
      <c r="Y126" s="192"/>
      <c r="Z126" s="192"/>
      <c r="AA126" s="192"/>
      <c r="AF126" s="192"/>
      <c r="AJ126" s="201"/>
      <c r="AK126" s="192"/>
      <c r="AO126" s="180"/>
      <c r="AP126" s="181"/>
      <c r="AQ126" s="182"/>
      <c r="AR126" s="192"/>
    </row>
    <row r="127" spans="2:73" ht="12.75" customHeight="1" thickBot="1" x14ac:dyDescent="0.25">
      <c r="AF127" s="192"/>
      <c r="AJ127" s="202"/>
      <c r="AK127" s="192"/>
      <c r="AO127" s="183"/>
      <c r="AP127" s="184"/>
      <c r="AQ127" s="185"/>
      <c r="AR127" s="192"/>
    </row>
    <row r="128" spans="2:73" ht="12.75" customHeight="1" thickTop="1" x14ac:dyDescent="0.2">
      <c r="AE128" s="192"/>
      <c r="AF128" s="192"/>
      <c r="AJ128" s="192"/>
      <c r="AK128" s="192"/>
      <c r="AO128" s="192"/>
      <c r="AP128" s="192"/>
      <c r="AQ128" s="192"/>
      <c r="AR128" s="192"/>
    </row>
    <row r="131" spans="2:69" ht="12.75" customHeight="1" thickBot="1" x14ac:dyDescent="0.25"/>
    <row r="132" spans="2:69" ht="37.5" customHeight="1" thickTop="1" thickBot="1" x14ac:dyDescent="0.25">
      <c r="H132" s="174" t="s">
        <v>207</v>
      </c>
      <c r="M132" s="442" t="s">
        <v>207</v>
      </c>
      <c r="N132" s="443"/>
      <c r="O132" s="446"/>
      <c r="T132" s="445" t="s">
        <v>207</v>
      </c>
      <c r="U132" s="444"/>
      <c r="Z132" s="445" t="s">
        <v>207</v>
      </c>
      <c r="AA132" s="444"/>
      <c r="AF132" s="445" t="s">
        <v>207</v>
      </c>
      <c r="AG132" s="448"/>
      <c r="AH132" s="448"/>
      <c r="AI132" s="444"/>
      <c r="AN132" s="445" t="s">
        <v>207</v>
      </c>
      <c r="AO132" s="444"/>
      <c r="AT132" s="442" t="s">
        <v>207</v>
      </c>
      <c r="AU132" s="444"/>
      <c r="AZ132" s="442" t="s">
        <v>207</v>
      </c>
      <c r="BA132" s="443"/>
      <c r="BB132" s="443"/>
      <c r="BC132" s="444"/>
      <c r="BH132" s="445" t="s">
        <v>207</v>
      </c>
      <c r="BI132" s="444"/>
      <c r="BN132" s="442" t="s">
        <v>207</v>
      </c>
      <c r="BO132" s="444"/>
    </row>
    <row r="133" spans="2:69" ht="12.75" customHeight="1" thickTop="1" thickBot="1" x14ac:dyDescent="0.25">
      <c r="B133" s="210" t="s">
        <v>203</v>
      </c>
      <c r="G133" s="191" t="s">
        <v>203</v>
      </c>
      <c r="H133" s="200"/>
      <c r="L133" s="191" t="s">
        <v>203</v>
      </c>
      <c r="M133" s="177"/>
      <c r="N133" s="178"/>
      <c r="O133" s="179"/>
      <c r="U133" s="190"/>
      <c r="AA133" s="190"/>
      <c r="AI133" s="190"/>
      <c r="AM133" s="208" t="s">
        <v>203</v>
      </c>
      <c r="AO133" s="190"/>
      <c r="AS133" s="209" t="s">
        <v>203</v>
      </c>
      <c r="AT133" s="196"/>
      <c r="AU133" s="213"/>
      <c r="AY133" s="209" t="s">
        <v>203</v>
      </c>
      <c r="AZ133" s="197"/>
      <c r="BA133" s="198"/>
      <c r="BB133" s="199"/>
      <c r="BC133" s="213"/>
      <c r="BG133" s="210" t="s">
        <v>203</v>
      </c>
      <c r="BI133" s="190"/>
      <c r="BM133" s="191" t="s">
        <v>203</v>
      </c>
      <c r="BN133" s="200"/>
      <c r="BO133" s="213"/>
    </row>
    <row r="134" spans="2:69" ht="12.75" customHeight="1" thickTop="1" x14ac:dyDescent="0.2">
      <c r="B134" s="211" t="s">
        <v>204</v>
      </c>
      <c r="G134" s="193" t="s">
        <v>204</v>
      </c>
      <c r="H134" s="201"/>
      <c r="L134" s="193" t="s">
        <v>204</v>
      </c>
      <c r="M134" s="180"/>
      <c r="N134" s="181"/>
      <c r="O134" s="182"/>
      <c r="BG134" s="211" t="s">
        <v>204</v>
      </c>
      <c r="BI134" s="192"/>
      <c r="BM134" s="193" t="s">
        <v>204</v>
      </c>
      <c r="BN134" s="201"/>
      <c r="BO134" s="195"/>
    </row>
    <row r="135" spans="2:69" ht="12.75" customHeight="1" thickBot="1" x14ac:dyDescent="0.25">
      <c r="B135" s="212" t="s">
        <v>205</v>
      </c>
      <c r="G135" s="194" t="s">
        <v>205</v>
      </c>
      <c r="H135" s="202"/>
      <c r="L135" s="194" t="s">
        <v>205</v>
      </c>
      <c r="M135" s="183"/>
      <c r="N135" s="184"/>
      <c r="O135" s="185"/>
      <c r="BG135" s="212" t="s">
        <v>205</v>
      </c>
      <c r="BI135" s="192"/>
      <c r="BM135" s="194" t="s">
        <v>205</v>
      </c>
      <c r="BN135" s="202"/>
      <c r="BO135" s="195"/>
    </row>
    <row r="136" spans="2:69" ht="12.75" customHeight="1" thickTop="1" x14ac:dyDescent="0.2"/>
    <row r="138" spans="2:69" ht="12.75" customHeight="1" thickBot="1" x14ac:dyDescent="0.25"/>
    <row r="139" spans="2:69" ht="37.5" customHeight="1" thickTop="1" thickBot="1" x14ac:dyDescent="0.25">
      <c r="C139" s="442" t="s">
        <v>207</v>
      </c>
      <c r="D139" s="443"/>
      <c r="E139" s="443"/>
      <c r="F139" s="444"/>
      <c r="P139" s="175" t="s">
        <v>207</v>
      </c>
      <c r="U139" s="445" t="s">
        <v>207</v>
      </c>
      <c r="V139" s="448"/>
      <c r="W139" s="444"/>
      <c r="AG139" s="174" t="s">
        <v>207</v>
      </c>
      <c r="AL139" s="442" t="s">
        <v>207</v>
      </c>
      <c r="AM139" s="443"/>
      <c r="AN139" s="446"/>
      <c r="AX139" s="174" t="s">
        <v>207</v>
      </c>
      <c r="BC139" s="442" t="s">
        <v>207</v>
      </c>
      <c r="BD139" s="443"/>
      <c r="BE139" s="446"/>
      <c r="BJ139" s="445" t="s">
        <v>207</v>
      </c>
      <c r="BK139" s="444"/>
      <c r="BP139" s="445" t="s">
        <v>207</v>
      </c>
      <c r="BQ139" s="444"/>
    </row>
    <row r="140" spans="2:69" ht="12.75" customHeight="1" thickTop="1" thickBot="1" x14ac:dyDescent="0.25">
      <c r="B140" s="191" t="s">
        <v>203</v>
      </c>
      <c r="C140" s="177"/>
      <c r="D140" s="178"/>
      <c r="E140" s="179"/>
      <c r="F140" s="213"/>
      <c r="AA140" s="208" t="s">
        <v>203</v>
      </c>
      <c r="AF140" s="209" t="s">
        <v>203</v>
      </c>
      <c r="AG140" s="196"/>
      <c r="AK140" s="209" t="s">
        <v>203</v>
      </c>
      <c r="AL140" s="197"/>
      <c r="AM140" s="198"/>
      <c r="AN140" s="199"/>
      <c r="AR140" s="210" t="s">
        <v>203</v>
      </c>
      <c r="AW140" s="191" t="s">
        <v>203</v>
      </c>
      <c r="AX140" s="200"/>
      <c r="BB140" s="191" t="s">
        <v>203</v>
      </c>
      <c r="BC140" s="177"/>
      <c r="BD140" s="178"/>
      <c r="BE140" s="179"/>
      <c r="BK140" s="190"/>
      <c r="BQ140" s="190"/>
    </row>
    <row r="141" spans="2:69" ht="12.75" customHeight="1" thickTop="1" x14ac:dyDescent="0.2">
      <c r="B141" s="193" t="s">
        <v>204</v>
      </c>
      <c r="C141" s="180"/>
      <c r="D141" s="181"/>
      <c r="E141" s="182"/>
      <c r="F141" s="195"/>
      <c r="J141" s="192"/>
      <c r="K141" s="192"/>
      <c r="O141" s="192"/>
      <c r="P141" s="192"/>
      <c r="T141" s="192"/>
      <c r="U141" s="192"/>
      <c r="V141" s="192"/>
      <c r="W141" s="192"/>
      <c r="AA141" s="192"/>
      <c r="AB141" s="192"/>
      <c r="AF141" s="190"/>
      <c r="AG141" s="190"/>
      <c r="AK141" s="190"/>
      <c r="AL141" s="190"/>
      <c r="AM141" s="190"/>
      <c r="AN141" s="190"/>
      <c r="AR141" s="211" t="s">
        <v>204</v>
      </c>
      <c r="AW141" s="193" t="s">
        <v>204</v>
      </c>
      <c r="AX141" s="201"/>
      <c r="BB141" s="193" t="s">
        <v>204</v>
      </c>
      <c r="BC141" s="180"/>
      <c r="BD141" s="181"/>
      <c r="BE141" s="182"/>
      <c r="BI141" s="192"/>
      <c r="BJ141" s="192"/>
      <c r="BK141" s="192"/>
      <c r="BO141" s="192"/>
      <c r="BP141" s="192"/>
      <c r="BQ141" s="192"/>
    </row>
    <row r="142" spans="2:69" ht="12.75" customHeight="1" thickBot="1" x14ac:dyDescent="0.25">
      <c r="B142" s="194" t="s">
        <v>205</v>
      </c>
      <c r="C142" s="183"/>
      <c r="D142" s="184"/>
      <c r="E142" s="185"/>
      <c r="F142" s="195"/>
      <c r="AR142" s="212" t="s">
        <v>205</v>
      </c>
      <c r="AW142" s="194" t="s">
        <v>205</v>
      </c>
      <c r="AX142" s="202"/>
      <c r="BB142" s="194" t="s">
        <v>205</v>
      </c>
      <c r="BC142" s="183"/>
      <c r="BD142" s="184"/>
      <c r="BE142" s="185"/>
    </row>
    <row r="143" spans="2:69" ht="12.75" customHeight="1" thickTop="1" x14ac:dyDescent="0.2">
      <c r="AR143" s="192"/>
      <c r="AS143" s="192"/>
      <c r="AW143" s="190"/>
      <c r="AX143" s="190"/>
      <c r="BB143" s="190"/>
      <c r="BC143" s="190"/>
      <c r="BD143" s="190"/>
      <c r="BE143" s="190"/>
    </row>
    <row r="146" spans="2:68" ht="12.75" customHeight="1" thickBot="1" x14ac:dyDescent="0.25"/>
    <row r="147" spans="2:68" ht="37.5" customHeight="1" thickTop="1" thickBot="1" x14ac:dyDescent="0.25">
      <c r="C147" s="445" t="s">
        <v>207</v>
      </c>
      <c r="D147" s="448"/>
      <c r="E147" s="448"/>
      <c r="F147" s="444"/>
      <c r="K147" s="445" t="s">
        <v>207</v>
      </c>
      <c r="L147" s="444"/>
      <c r="Q147" s="442" t="s">
        <v>207</v>
      </c>
      <c r="R147" s="444"/>
      <c r="W147" s="442" t="s">
        <v>207</v>
      </c>
      <c r="X147" s="443"/>
      <c r="Y147" s="443"/>
      <c r="Z147" s="444"/>
      <c r="AE147" s="445" t="s">
        <v>207</v>
      </c>
      <c r="AF147" s="444"/>
      <c r="AK147" s="442" t="s">
        <v>207</v>
      </c>
      <c r="AL147" s="444"/>
      <c r="AQ147" s="442" t="s">
        <v>207</v>
      </c>
      <c r="AR147" s="443"/>
      <c r="AS147" s="443"/>
      <c r="AT147" s="444"/>
      <c r="AY147" s="174" t="s">
        <v>207</v>
      </c>
      <c r="BD147" s="442" t="s">
        <v>207</v>
      </c>
      <c r="BE147" s="443"/>
      <c r="BF147" s="446"/>
      <c r="BP147" s="174" t="s">
        <v>207</v>
      </c>
    </row>
    <row r="148" spans="2:68" ht="78" customHeight="1" thickTop="1" thickBot="1" x14ac:dyDescent="0.25">
      <c r="F148" s="190"/>
      <c r="J148" s="208" t="s">
        <v>203</v>
      </c>
      <c r="L148" s="190"/>
      <c r="P148" s="209" t="s">
        <v>203</v>
      </c>
      <c r="Q148" s="196"/>
      <c r="R148" s="190"/>
      <c r="V148" s="209" t="s">
        <v>203</v>
      </c>
      <c r="W148" s="197"/>
      <c r="X148" s="198"/>
      <c r="Y148" s="199"/>
      <c r="Z148" s="190"/>
      <c r="AD148" s="210" t="s">
        <v>203</v>
      </c>
      <c r="AF148" s="190"/>
      <c r="AJ148" s="191" t="s">
        <v>203</v>
      </c>
      <c r="AK148" s="200"/>
      <c r="AL148" s="190"/>
      <c r="AP148" s="191" t="s">
        <v>203</v>
      </c>
      <c r="AQ148" s="177"/>
      <c r="AR148" s="178"/>
      <c r="AS148" s="179"/>
      <c r="AT148" s="190"/>
      <c r="AY148" s="203" t="s">
        <v>198</v>
      </c>
      <c r="BD148" s="204" t="s">
        <v>198</v>
      </c>
      <c r="BE148" s="205" t="s">
        <v>199</v>
      </c>
      <c r="BF148" s="206" t="s">
        <v>200</v>
      </c>
      <c r="BP148" s="207" t="s">
        <v>198</v>
      </c>
    </row>
    <row r="149" spans="2:68" ht="12.75" customHeight="1" thickTop="1" thickBot="1" x14ac:dyDescent="0.25">
      <c r="B149" s="192"/>
      <c r="C149" s="192"/>
      <c r="D149" s="192"/>
      <c r="E149" s="192"/>
      <c r="F149" s="192"/>
      <c r="J149" s="192"/>
      <c r="K149" s="192"/>
      <c r="L149" s="192"/>
      <c r="P149" s="192"/>
      <c r="Q149" s="192"/>
      <c r="R149" s="192"/>
      <c r="V149" s="192"/>
      <c r="W149" s="192"/>
      <c r="X149" s="192"/>
      <c r="Y149" s="192"/>
      <c r="Z149" s="192"/>
      <c r="AD149" s="211" t="s">
        <v>204</v>
      </c>
      <c r="AF149" s="192"/>
      <c r="AJ149" s="193" t="s">
        <v>204</v>
      </c>
      <c r="AK149" s="201"/>
      <c r="AL149" s="192"/>
      <c r="AP149" s="193" t="s">
        <v>204</v>
      </c>
      <c r="AQ149" s="180"/>
      <c r="AR149" s="181"/>
      <c r="AS149" s="182"/>
      <c r="AT149" s="192"/>
      <c r="BJ149" s="208" t="s">
        <v>203</v>
      </c>
      <c r="BO149" s="209" t="s">
        <v>203</v>
      </c>
      <c r="BP149" s="196"/>
    </row>
    <row r="150" spans="2:68" ht="12.75" customHeight="1" thickTop="1" thickBot="1" x14ac:dyDescent="0.25">
      <c r="AD150" s="212" t="s">
        <v>205</v>
      </c>
      <c r="AF150" s="192"/>
      <c r="AJ150" s="194" t="s">
        <v>205</v>
      </c>
      <c r="AK150" s="202"/>
      <c r="AL150" s="192"/>
      <c r="AP150" s="194" t="s">
        <v>205</v>
      </c>
      <c r="AQ150" s="183"/>
      <c r="AR150" s="184"/>
      <c r="AS150" s="185"/>
      <c r="AT150" s="192"/>
    </row>
    <row r="151" spans="2:68" ht="12.75" customHeight="1" thickTop="1" x14ac:dyDescent="0.2">
      <c r="AD151" s="192"/>
      <c r="AE151" s="192"/>
      <c r="AF151" s="192"/>
      <c r="AJ151" s="192"/>
      <c r="AK151" s="192"/>
      <c r="AL151" s="192"/>
      <c r="AP151" s="192"/>
      <c r="AQ151" s="192"/>
      <c r="AR151" s="192"/>
      <c r="AS151" s="192"/>
      <c r="AT151" s="192"/>
    </row>
    <row r="154" spans="2:68" ht="12.75" customHeight="1" thickBot="1" x14ac:dyDescent="0.25"/>
    <row r="155" spans="2:68" ht="37.5" customHeight="1" thickTop="1" thickBot="1" x14ac:dyDescent="0.25">
      <c r="C155" s="442" t="s">
        <v>207</v>
      </c>
      <c r="D155" s="443"/>
      <c r="E155" s="446"/>
      <c r="O155" s="174" t="s">
        <v>207</v>
      </c>
      <c r="T155" s="442" t="s">
        <v>207</v>
      </c>
      <c r="U155" s="443"/>
      <c r="V155" s="446"/>
      <c r="AA155" s="445" t="s">
        <v>207</v>
      </c>
      <c r="AB155" s="444"/>
      <c r="AG155" s="442" t="s">
        <v>207</v>
      </c>
      <c r="AH155" s="444"/>
      <c r="AM155" s="442" t="s">
        <v>207</v>
      </c>
      <c r="AN155" s="443"/>
      <c r="AO155" s="443"/>
      <c r="AP155" s="444"/>
      <c r="AU155" s="445" t="s">
        <v>207</v>
      </c>
      <c r="AV155" s="444"/>
      <c r="BA155" s="442" t="s">
        <v>207</v>
      </c>
      <c r="BB155" s="444"/>
      <c r="BG155" s="442" t="s">
        <v>207</v>
      </c>
      <c r="BH155" s="443"/>
      <c r="BI155" s="443"/>
      <c r="BJ155" s="444"/>
      <c r="BO155" s="445" t="s">
        <v>207</v>
      </c>
      <c r="BP155" s="444"/>
    </row>
    <row r="156" spans="2:68" ht="78" customHeight="1" thickTop="1" thickBot="1" x14ac:dyDescent="0.25">
      <c r="C156" s="187" t="s">
        <v>198</v>
      </c>
      <c r="D156" s="188" t="s">
        <v>199</v>
      </c>
      <c r="E156" s="189" t="s">
        <v>200</v>
      </c>
      <c r="O156" s="207" t="s">
        <v>198</v>
      </c>
      <c r="T156" s="187" t="s">
        <v>198</v>
      </c>
      <c r="U156" s="188" t="s">
        <v>199</v>
      </c>
      <c r="V156" s="189" t="s">
        <v>200</v>
      </c>
      <c r="AB156" s="190"/>
      <c r="AG156" s="203" t="s">
        <v>198</v>
      </c>
      <c r="AH156" s="190"/>
      <c r="AM156" s="204" t="s">
        <v>198</v>
      </c>
      <c r="AN156" s="205" t="s">
        <v>199</v>
      </c>
      <c r="AO156" s="206" t="s">
        <v>200</v>
      </c>
      <c r="AP156" s="190"/>
      <c r="AV156" s="190"/>
      <c r="BA156" s="207" t="s">
        <v>198</v>
      </c>
      <c r="BB156" s="213"/>
      <c r="BG156" s="187" t="s">
        <v>198</v>
      </c>
      <c r="BH156" s="188" t="s">
        <v>199</v>
      </c>
      <c r="BI156" s="189" t="s">
        <v>200</v>
      </c>
      <c r="BJ156" s="213"/>
      <c r="BP156" s="190"/>
    </row>
    <row r="157" spans="2:68" ht="12.75" customHeight="1" thickTop="1" thickBot="1" x14ac:dyDescent="0.25">
      <c r="B157" s="209" t="s">
        <v>203</v>
      </c>
      <c r="C157" s="197"/>
      <c r="D157" s="198"/>
      <c r="E157" s="199"/>
      <c r="I157" s="210" t="s">
        <v>203</v>
      </c>
      <c r="N157" s="191" t="s">
        <v>203</v>
      </c>
      <c r="O157" s="200"/>
      <c r="S157" s="191" t="s">
        <v>203</v>
      </c>
      <c r="T157" s="177"/>
      <c r="U157" s="178"/>
      <c r="V157" s="179"/>
      <c r="AB157" s="192"/>
      <c r="AH157" s="192"/>
      <c r="AP157" s="192"/>
      <c r="AT157" s="208" t="s">
        <v>203</v>
      </c>
      <c r="AV157" s="192"/>
      <c r="AZ157" s="209" t="s">
        <v>203</v>
      </c>
      <c r="BA157" s="196"/>
      <c r="BB157" s="195"/>
      <c r="BF157" s="209" t="s">
        <v>203</v>
      </c>
      <c r="BG157" s="197"/>
      <c r="BH157" s="198"/>
      <c r="BI157" s="199"/>
      <c r="BJ157" s="195"/>
      <c r="BN157" s="210" t="s">
        <v>203</v>
      </c>
      <c r="BP157" s="192"/>
    </row>
    <row r="158" spans="2:68" ht="12.75" customHeight="1" thickTop="1" x14ac:dyDescent="0.2">
      <c r="I158" s="211" t="s">
        <v>204</v>
      </c>
      <c r="N158" s="193" t="s">
        <v>204</v>
      </c>
      <c r="O158" s="201"/>
      <c r="S158" s="193" t="s">
        <v>204</v>
      </c>
      <c r="T158" s="180"/>
      <c r="U158" s="181"/>
      <c r="V158" s="182"/>
      <c r="BN158" s="211" t="s">
        <v>204</v>
      </c>
      <c r="BP158" s="192"/>
    </row>
    <row r="159" spans="2:68" ht="12.75" customHeight="1" thickBot="1" x14ac:dyDescent="0.25">
      <c r="I159" s="212" t="s">
        <v>205</v>
      </c>
      <c r="N159" s="194" t="s">
        <v>205</v>
      </c>
      <c r="O159" s="202"/>
      <c r="S159" s="194" t="s">
        <v>205</v>
      </c>
      <c r="T159" s="183"/>
      <c r="U159" s="184"/>
      <c r="V159" s="185"/>
      <c r="BN159" s="212" t="s">
        <v>205</v>
      </c>
      <c r="BP159" s="192"/>
    </row>
    <row r="160" spans="2:68" ht="12.75" customHeight="1" thickTop="1" x14ac:dyDescent="0.2"/>
    <row r="162" spans="2:69" ht="12.75" customHeight="1" thickBot="1" x14ac:dyDescent="0.25"/>
    <row r="163" spans="2:69" ht="37.5" customHeight="1" thickTop="1" thickBot="1" x14ac:dyDescent="0.25">
      <c r="C163" s="442" t="s">
        <v>207</v>
      </c>
      <c r="D163" s="444"/>
      <c r="I163" s="442" t="s">
        <v>207</v>
      </c>
      <c r="J163" s="443"/>
      <c r="K163" s="443"/>
      <c r="L163" s="444"/>
      <c r="V163" s="174" t="s">
        <v>207</v>
      </c>
      <c r="AA163" s="442" t="s">
        <v>207</v>
      </c>
      <c r="AB163" s="443"/>
      <c r="AC163" s="446"/>
      <c r="AM163" s="174" t="s">
        <v>207</v>
      </c>
      <c r="AR163" s="442" t="s">
        <v>207</v>
      </c>
      <c r="AS163" s="443"/>
      <c r="AT163" s="446"/>
      <c r="BD163" s="174" t="s">
        <v>207</v>
      </c>
      <c r="BI163" s="442" t="s">
        <v>207</v>
      </c>
      <c r="BJ163" s="443"/>
      <c r="BK163" s="446"/>
      <c r="BP163" s="445" t="s">
        <v>207</v>
      </c>
      <c r="BQ163" s="444"/>
    </row>
    <row r="164" spans="2:69" ht="78" customHeight="1" thickTop="1" thickBot="1" x14ac:dyDescent="0.25">
      <c r="C164" s="207" t="s">
        <v>198</v>
      </c>
      <c r="D164" s="213"/>
      <c r="I164" s="187" t="s">
        <v>198</v>
      </c>
      <c r="J164" s="188" t="s">
        <v>199</v>
      </c>
      <c r="K164" s="189" t="s">
        <v>200</v>
      </c>
      <c r="L164" s="213"/>
      <c r="V164" s="203" t="s">
        <v>198</v>
      </c>
      <c r="AA164" s="204" t="s">
        <v>198</v>
      </c>
      <c r="AB164" s="205" t="s">
        <v>199</v>
      </c>
      <c r="AC164" s="206" t="s">
        <v>200</v>
      </c>
      <c r="AM164" s="207" t="s">
        <v>198</v>
      </c>
      <c r="AR164" s="187" t="s">
        <v>198</v>
      </c>
      <c r="AS164" s="188" t="s">
        <v>199</v>
      </c>
      <c r="AT164" s="189" t="s">
        <v>200</v>
      </c>
      <c r="BD164" s="207" t="s">
        <v>198</v>
      </c>
      <c r="BI164" s="187" t="s">
        <v>198</v>
      </c>
      <c r="BJ164" s="188" t="s">
        <v>199</v>
      </c>
      <c r="BK164" s="189" t="s">
        <v>200</v>
      </c>
      <c r="BQ164" s="190"/>
    </row>
    <row r="165" spans="2:69" ht="12.75" customHeight="1" thickTop="1" thickBot="1" x14ac:dyDescent="0.25">
      <c r="B165" s="191" t="s">
        <v>203</v>
      </c>
      <c r="C165" s="200"/>
      <c r="D165" s="195"/>
      <c r="H165" s="191" t="s">
        <v>203</v>
      </c>
      <c r="I165" s="177"/>
      <c r="J165" s="178"/>
      <c r="K165" s="179"/>
      <c r="L165" s="195"/>
      <c r="AG165" s="208" t="s">
        <v>203</v>
      </c>
      <c r="AL165" s="209" t="s">
        <v>203</v>
      </c>
      <c r="AM165" s="196"/>
      <c r="AQ165" s="209" t="s">
        <v>203</v>
      </c>
      <c r="AR165" s="197"/>
      <c r="AS165" s="198"/>
      <c r="AT165" s="199"/>
      <c r="AX165" s="210" t="s">
        <v>203</v>
      </c>
      <c r="BC165" s="191" t="s">
        <v>203</v>
      </c>
      <c r="BD165" s="200"/>
      <c r="BH165" s="191" t="s">
        <v>203</v>
      </c>
      <c r="BI165" s="177"/>
      <c r="BJ165" s="178"/>
      <c r="BK165" s="179"/>
      <c r="BQ165" s="192"/>
    </row>
    <row r="166" spans="2:69" ht="12.75" customHeight="1" thickTop="1" x14ac:dyDescent="0.2">
      <c r="B166" s="193" t="s">
        <v>204</v>
      </c>
      <c r="C166" s="201"/>
      <c r="D166" s="195"/>
      <c r="H166" s="193" t="s">
        <v>204</v>
      </c>
      <c r="I166" s="180"/>
      <c r="J166" s="181"/>
      <c r="K166" s="182"/>
      <c r="L166" s="195"/>
      <c r="P166" s="192"/>
      <c r="Q166" s="192"/>
      <c r="U166" s="192"/>
      <c r="V166" s="192"/>
      <c r="Z166" s="192"/>
      <c r="AA166" s="192"/>
      <c r="AB166" s="192"/>
      <c r="AC166" s="192"/>
      <c r="AG166" s="192"/>
      <c r="AH166" s="192"/>
      <c r="AL166" s="190"/>
      <c r="AM166" s="190"/>
      <c r="AQ166" s="190"/>
      <c r="AR166" s="190"/>
      <c r="AS166" s="190"/>
      <c r="AT166" s="190"/>
      <c r="AX166" s="211" t="s">
        <v>204</v>
      </c>
      <c r="BC166" s="193" t="s">
        <v>204</v>
      </c>
      <c r="BD166" s="201"/>
      <c r="BH166" s="193" t="s">
        <v>204</v>
      </c>
      <c r="BI166" s="180"/>
      <c r="BJ166" s="181"/>
      <c r="BK166" s="182"/>
      <c r="BO166" s="192"/>
      <c r="BP166" s="192"/>
      <c r="BQ166" s="192"/>
    </row>
    <row r="167" spans="2:69" ht="12.75" customHeight="1" thickBot="1" x14ac:dyDescent="0.25">
      <c r="B167" s="194" t="s">
        <v>205</v>
      </c>
      <c r="C167" s="202"/>
      <c r="D167" s="195"/>
      <c r="H167" s="194" t="s">
        <v>205</v>
      </c>
      <c r="I167" s="183"/>
      <c r="J167" s="184"/>
      <c r="K167" s="185"/>
      <c r="L167" s="195"/>
      <c r="AX167" s="212" t="s">
        <v>205</v>
      </c>
      <c r="BC167" s="194" t="s">
        <v>205</v>
      </c>
      <c r="BD167" s="202"/>
      <c r="BH167" s="194" t="s">
        <v>205</v>
      </c>
      <c r="BI167" s="183"/>
      <c r="BJ167" s="184"/>
      <c r="BK167" s="185"/>
    </row>
    <row r="168" spans="2:69" ht="12.75" customHeight="1" thickTop="1" x14ac:dyDescent="0.2">
      <c r="AX168" s="192"/>
      <c r="AY168" s="192"/>
      <c r="BC168" s="190"/>
      <c r="BD168" s="190"/>
      <c r="BH168" s="190"/>
      <c r="BI168" s="190"/>
      <c r="BJ168" s="190"/>
      <c r="BK168" s="190"/>
    </row>
    <row r="171" spans="2:69" ht="12.75" customHeight="1" thickBot="1" x14ac:dyDescent="0.25"/>
    <row r="172" spans="2:69" ht="37.5" customHeight="1" thickTop="1" thickBot="1" x14ac:dyDescent="0.25">
      <c r="C172" s="442" t="s">
        <v>207</v>
      </c>
      <c r="D172" s="444"/>
      <c r="I172" s="442" t="s">
        <v>207</v>
      </c>
      <c r="J172" s="443"/>
      <c r="K172" s="443"/>
      <c r="L172" s="444"/>
      <c r="Q172" s="445" t="s">
        <v>207</v>
      </c>
      <c r="R172" s="444"/>
      <c r="W172" s="442" t="s">
        <v>207</v>
      </c>
      <c r="X172" s="444"/>
      <c r="AC172" s="442" t="s">
        <v>207</v>
      </c>
      <c r="AD172" s="443"/>
      <c r="AE172" s="443"/>
      <c r="AF172" s="444"/>
      <c r="AK172" s="445" t="s">
        <v>207</v>
      </c>
      <c r="AL172" s="444"/>
      <c r="AQ172" s="442" t="s">
        <v>207</v>
      </c>
      <c r="AR172" s="444"/>
      <c r="AW172" s="442" t="s">
        <v>207</v>
      </c>
      <c r="AX172" s="443"/>
      <c r="AY172" s="443"/>
      <c r="AZ172" s="444"/>
      <c r="BD172" s="214" t="s">
        <v>208</v>
      </c>
      <c r="BI172" s="215" t="s">
        <v>208</v>
      </c>
      <c r="BJ172" s="196"/>
      <c r="BN172" s="215" t="s">
        <v>208</v>
      </c>
      <c r="BO172" s="197"/>
      <c r="BP172" s="198"/>
      <c r="BQ172" s="199"/>
    </row>
    <row r="173" spans="2:69" ht="78" customHeight="1" thickTop="1" thickBot="1" x14ac:dyDescent="0.25">
      <c r="C173" s="203" t="s">
        <v>198</v>
      </c>
      <c r="D173" s="190"/>
      <c r="I173" s="204" t="s">
        <v>198</v>
      </c>
      <c r="J173" s="205" t="s">
        <v>199</v>
      </c>
      <c r="K173" s="206" t="s">
        <v>200</v>
      </c>
      <c r="L173" s="190"/>
      <c r="R173" s="190"/>
      <c r="W173" s="207" t="s">
        <v>198</v>
      </c>
      <c r="X173" s="190"/>
      <c r="AC173" s="187" t="s">
        <v>198</v>
      </c>
      <c r="AD173" s="188" t="s">
        <v>199</v>
      </c>
      <c r="AE173" s="189" t="s">
        <v>200</v>
      </c>
      <c r="AF173" s="190"/>
      <c r="AL173" s="190"/>
      <c r="AQ173" s="207" t="s">
        <v>198</v>
      </c>
      <c r="AR173" s="190"/>
      <c r="AW173" s="187" t="s">
        <v>198</v>
      </c>
      <c r="AX173" s="188" t="s">
        <v>199</v>
      </c>
      <c r="AY173" s="189" t="s">
        <v>200</v>
      </c>
      <c r="AZ173" s="190"/>
    </row>
    <row r="174" spans="2:69" ht="12.75" customHeight="1" thickTop="1" thickBot="1" x14ac:dyDescent="0.25">
      <c r="D174" s="192"/>
      <c r="L174" s="192"/>
      <c r="P174" s="208" t="s">
        <v>203</v>
      </c>
      <c r="R174" s="192"/>
      <c r="V174" s="209" t="s">
        <v>203</v>
      </c>
      <c r="W174" s="196"/>
      <c r="X174" s="192"/>
      <c r="AB174" s="209" t="s">
        <v>203</v>
      </c>
      <c r="AC174" s="197"/>
      <c r="AD174" s="198"/>
      <c r="AE174" s="199"/>
      <c r="AF174" s="192"/>
      <c r="AJ174" s="210" t="s">
        <v>203</v>
      </c>
      <c r="AL174" s="192"/>
      <c r="AP174" s="191" t="s">
        <v>203</v>
      </c>
      <c r="AQ174" s="200"/>
      <c r="AR174" s="192"/>
      <c r="AV174" s="191" t="s">
        <v>203</v>
      </c>
      <c r="AW174" s="177"/>
      <c r="AX174" s="178"/>
      <c r="AY174" s="179"/>
      <c r="AZ174" s="192"/>
    </row>
    <row r="175" spans="2:69" ht="12.75" customHeight="1" thickTop="1" x14ac:dyDescent="0.2">
      <c r="B175" s="192"/>
      <c r="C175" s="192"/>
      <c r="D175" s="192"/>
      <c r="H175" s="192"/>
      <c r="I175" s="192"/>
      <c r="J175" s="192"/>
      <c r="K175" s="192"/>
      <c r="L175" s="192"/>
      <c r="P175" s="192"/>
      <c r="Q175" s="192"/>
      <c r="R175" s="192"/>
      <c r="V175" s="192"/>
      <c r="W175" s="192"/>
      <c r="X175" s="192"/>
      <c r="AB175" s="192"/>
      <c r="AC175" s="192"/>
      <c r="AD175" s="192"/>
      <c r="AE175" s="192"/>
      <c r="AF175" s="192"/>
      <c r="AJ175" s="211" t="s">
        <v>204</v>
      </c>
      <c r="AL175" s="192"/>
      <c r="AP175" s="193" t="s">
        <v>204</v>
      </c>
      <c r="AQ175" s="201"/>
      <c r="AR175" s="192"/>
      <c r="AV175" s="193" t="s">
        <v>204</v>
      </c>
      <c r="AW175" s="180"/>
      <c r="AX175" s="181"/>
      <c r="AY175" s="182"/>
      <c r="AZ175" s="192"/>
    </row>
    <row r="176" spans="2:69" ht="12.75" customHeight="1" thickBot="1" x14ac:dyDescent="0.25">
      <c r="AJ176" s="212" t="s">
        <v>205</v>
      </c>
      <c r="AL176" s="192"/>
      <c r="AP176" s="194" t="s">
        <v>205</v>
      </c>
      <c r="AQ176" s="202"/>
      <c r="AR176" s="192"/>
      <c r="AV176" s="194" t="s">
        <v>205</v>
      </c>
      <c r="AW176" s="183"/>
      <c r="AX176" s="184"/>
      <c r="AY176" s="185"/>
      <c r="AZ176" s="192"/>
    </row>
    <row r="177" spans="2:69" ht="12.75" customHeight="1" thickTop="1" x14ac:dyDescent="0.2">
      <c r="AJ177" s="192"/>
      <c r="AK177" s="192"/>
      <c r="AL177" s="192"/>
      <c r="AP177" s="192"/>
      <c r="AQ177" s="192"/>
      <c r="AR177" s="192"/>
      <c r="AV177" s="192"/>
      <c r="AW177" s="192"/>
      <c r="AX177" s="192"/>
      <c r="AY177" s="192"/>
      <c r="AZ177" s="192"/>
    </row>
    <row r="180" spans="2:69" ht="12.75" customHeight="1" thickBot="1" x14ac:dyDescent="0.25"/>
    <row r="181" spans="2:69" ht="12.75" customHeight="1" thickTop="1" thickBot="1" x14ac:dyDescent="0.25">
      <c r="B181" s="441" t="s">
        <v>208</v>
      </c>
      <c r="G181" s="438" t="s">
        <v>208</v>
      </c>
      <c r="H181" s="200"/>
      <c r="L181" s="438" t="s">
        <v>208</v>
      </c>
      <c r="M181" s="177"/>
      <c r="N181" s="178"/>
      <c r="O181" s="179"/>
      <c r="U181" s="192"/>
      <c r="AA181" s="192"/>
      <c r="AI181" s="192"/>
      <c r="AM181" s="214" t="s">
        <v>208</v>
      </c>
      <c r="AO181" s="192"/>
      <c r="AS181" s="215" t="s">
        <v>208</v>
      </c>
      <c r="AT181" s="196"/>
      <c r="AU181" s="195"/>
      <c r="AY181" s="215" t="s">
        <v>208</v>
      </c>
      <c r="AZ181" s="197"/>
      <c r="BA181" s="198"/>
      <c r="BB181" s="199"/>
      <c r="BC181" s="195"/>
      <c r="BG181" s="441" t="s">
        <v>208</v>
      </c>
      <c r="BI181" s="192"/>
      <c r="BM181" s="438" t="s">
        <v>208</v>
      </c>
      <c r="BN181" s="200"/>
      <c r="BO181" s="195"/>
    </row>
    <row r="182" spans="2:69" ht="12.75" customHeight="1" thickTop="1" x14ac:dyDescent="0.2">
      <c r="B182" s="449"/>
      <c r="G182" s="440"/>
      <c r="H182" s="201"/>
      <c r="L182" s="440"/>
      <c r="M182" s="180"/>
      <c r="N182" s="181"/>
      <c r="O182" s="182"/>
      <c r="BG182" s="449"/>
      <c r="BI182" s="192"/>
      <c r="BM182" s="440"/>
      <c r="BN182" s="201"/>
      <c r="BO182" s="195"/>
    </row>
    <row r="183" spans="2:69" ht="12.75" customHeight="1" thickBot="1" x14ac:dyDescent="0.25">
      <c r="B183" s="439"/>
      <c r="G183" s="447"/>
      <c r="H183" s="202"/>
      <c r="L183" s="447"/>
      <c r="M183" s="183"/>
      <c r="N183" s="184"/>
      <c r="O183" s="185"/>
      <c r="BG183" s="439"/>
      <c r="BI183" s="192"/>
      <c r="BM183" s="447"/>
      <c r="BN183" s="202"/>
      <c r="BO183" s="195"/>
    </row>
    <row r="184" spans="2:69" ht="12.75" customHeight="1" thickTop="1" x14ac:dyDescent="0.2"/>
    <row r="186" spans="2:69" ht="12.75" customHeight="1" thickBot="1" x14ac:dyDescent="0.25"/>
    <row r="187" spans="2:69" ht="12.75" customHeight="1" thickTop="1" thickBot="1" x14ac:dyDescent="0.25">
      <c r="B187" s="438" t="s">
        <v>208</v>
      </c>
      <c r="C187" s="177"/>
      <c r="D187" s="178"/>
      <c r="E187" s="179"/>
      <c r="F187" s="195"/>
      <c r="J187" s="441" t="s">
        <v>208</v>
      </c>
      <c r="O187" s="441" t="s">
        <v>208</v>
      </c>
      <c r="T187" s="441" t="s">
        <v>208</v>
      </c>
      <c r="AA187" s="441" t="s">
        <v>208</v>
      </c>
      <c r="AF187" s="438" t="s">
        <v>208</v>
      </c>
      <c r="AG187" s="196"/>
      <c r="AK187" s="438" t="s">
        <v>208</v>
      </c>
      <c r="AL187" s="197"/>
      <c r="AM187" s="198"/>
      <c r="AN187" s="199"/>
      <c r="AR187" s="441" t="s">
        <v>208</v>
      </c>
      <c r="AW187" s="438" t="s">
        <v>208</v>
      </c>
      <c r="AX187" s="200"/>
      <c r="BB187" s="438" t="s">
        <v>208</v>
      </c>
      <c r="BC187" s="177"/>
      <c r="BD187" s="178"/>
      <c r="BE187" s="179"/>
      <c r="BI187" s="441" t="s">
        <v>208</v>
      </c>
      <c r="BK187" s="192"/>
      <c r="BO187" s="441" t="s">
        <v>208</v>
      </c>
      <c r="BQ187" s="192"/>
    </row>
    <row r="188" spans="2:69" ht="12.75" customHeight="1" thickTop="1" thickBot="1" x14ac:dyDescent="0.25">
      <c r="B188" s="440"/>
      <c r="C188" s="180"/>
      <c r="D188" s="181"/>
      <c r="E188" s="182"/>
      <c r="F188" s="195"/>
      <c r="J188" s="439"/>
      <c r="K188" s="195"/>
      <c r="O188" s="439"/>
      <c r="P188" s="195"/>
      <c r="T188" s="439"/>
      <c r="U188" s="195"/>
      <c r="V188" s="192"/>
      <c r="W188" s="192"/>
      <c r="AA188" s="439"/>
      <c r="AB188" s="195"/>
      <c r="AF188" s="439"/>
      <c r="AG188" s="213"/>
      <c r="AK188" s="439"/>
      <c r="AL188" s="213"/>
      <c r="AM188" s="190"/>
      <c r="AN188" s="190"/>
      <c r="AR188" s="449"/>
      <c r="AW188" s="440"/>
      <c r="AX188" s="201"/>
      <c r="BB188" s="440"/>
      <c r="BC188" s="180"/>
      <c r="BD188" s="181"/>
      <c r="BE188" s="182"/>
      <c r="BI188" s="439"/>
      <c r="BJ188" s="195"/>
      <c r="BK188" s="192"/>
      <c r="BO188" s="439"/>
      <c r="BP188" s="195"/>
      <c r="BQ188" s="192"/>
    </row>
    <row r="189" spans="2:69" ht="12.75" customHeight="1" thickTop="1" thickBot="1" x14ac:dyDescent="0.25">
      <c r="B189" s="447"/>
      <c r="C189" s="183"/>
      <c r="D189" s="184"/>
      <c r="E189" s="185"/>
      <c r="F189" s="195"/>
      <c r="AR189" s="449"/>
      <c r="AW189" s="440"/>
      <c r="AX189" s="202"/>
      <c r="BB189" s="440"/>
      <c r="BC189" s="183"/>
      <c r="BD189" s="184"/>
      <c r="BE189" s="185"/>
    </row>
    <row r="190" spans="2:69" ht="12.75" customHeight="1" thickTop="1" thickBot="1" x14ac:dyDescent="0.25">
      <c r="AR190" s="439"/>
      <c r="AS190" s="195"/>
      <c r="AW190" s="439"/>
      <c r="AX190" s="213"/>
      <c r="BB190" s="439"/>
      <c r="BC190" s="213"/>
      <c r="BD190" s="190"/>
      <c r="BE190" s="190"/>
    </row>
    <row r="191" spans="2:69" ht="12.75" customHeight="1" thickTop="1" x14ac:dyDescent="0.2"/>
    <row r="193" spans="2:69" ht="12.75" customHeight="1" thickBot="1" x14ac:dyDescent="0.25"/>
    <row r="194" spans="2:69" ht="78" customHeight="1" thickTop="1" thickBot="1" x14ac:dyDescent="0.25">
      <c r="B194" s="441" t="s">
        <v>208</v>
      </c>
      <c r="F194" s="192"/>
      <c r="J194" s="441" t="s">
        <v>208</v>
      </c>
      <c r="L194" s="192"/>
      <c r="P194" s="438" t="s">
        <v>208</v>
      </c>
      <c r="Q194" s="196"/>
      <c r="R194" s="192"/>
      <c r="V194" s="438" t="s">
        <v>208</v>
      </c>
      <c r="W194" s="197"/>
      <c r="X194" s="198"/>
      <c r="Y194" s="199"/>
      <c r="Z194" s="192"/>
      <c r="AD194" s="441" t="s">
        <v>208</v>
      </c>
      <c r="AF194" s="192"/>
      <c r="AJ194" s="438" t="s">
        <v>208</v>
      </c>
      <c r="AK194" s="200"/>
      <c r="AL194" s="192"/>
      <c r="AP194" s="438" t="s">
        <v>208</v>
      </c>
      <c r="AQ194" s="177"/>
      <c r="AR194" s="178"/>
      <c r="AS194" s="179"/>
      <c r="AT194" s="192"/>
      <c r="AY194" s="203" t="s">
        <v>198</v>
      </c>
      <c r="BD194" s="204" t="s">
        <v>198</v>
      </c>
      <c r="BE194" s="205" t="s">
        <v>199</v>
      </c>
      <c r="BF194" s="206" t="s">
        <v>200</v>
      </c>
      <c r="BP194" s="207" t="s">
        <v>198</v>
      </c>
    </row>
    <row r="195" spans="2:69" ht="78" customHeight="1" thickTop="1" thickBot="1" x14ac:dyDescent="0.25">
      <c r="B195" s="439"/>
      <c r="C195" s="195"/>
      <c r="D195" s="192"/>
      <c r="E195" s="192"/>
      <c r="F195" s="192"/>
      <c r="J195" s="439"/>
      <c r="K195" s="195"/>
      <c r="L195" s="192"/>
      <c r="P195" s="439"/>
      <c r="Q195" s="195"/>
      <c r="R195" s="192"/>
      <c r="V195" s="439"/>
      <c r="W195" s="195"/>
      <c r="X195" s="192"/>
      <c r="Y195" s="192"/>
      <c r="Z195" s="192"/>
      <c r="AD195" s="449"/>
      <c r="AF195" s="192"/>
      <c r="AJ195" s="440"/>
      <c r="AK195" s="201"/>
      <c r="AL195" s="192"/>
      <c r="AP195" s="440"/>
      <c r="AQ195" s="180"/>
      <c r="AR195" s="181"/>
      <c r="AS195" s="182"/>
      <c r="AT195" s="192"/>
      <c r="BJ195" s="214" t="s">
        <v>208</v>
      </c>
      <c r="BO195" s="215" t="s">
        <v>208</v>
      </c>
      <c r="BP195" s="196"/>
    </row>
    <row r="196" spans="2:69" ht="78" customHeight="1" thickTop="1" thickBot="1" x14ac:dyDescent="0.25">
      <c r="AD196" s="449"/>
      <c r="AF196" s="192"/>
      <c r="AJ196" s="440"/>
      <c r="AK196" s="202"/>
      <c r="AL196" s="192"/>
      <c r="AP196" s="440"/>
      <c r="AQ196" s="183"/>
      <c r="AR196" s="184"/>
      <c r="AS196" s="185"/>
      <c r="AT196" s="192"/>
    </row>
    <row r="197" spans="2:69" ht="78" customHeight="1" thickTop="1" thickBot="1" x14ac:dyDescent="0.25">
      <c r="AD197" s="439"/>
      <c r="AE197" s="195"/>
      <c r="AF197" s="192"/>
      <c r="AJ197" s="439"/>
      <c r="AK197" s="195"/>
      <c r="AL197" s="192"/>
      <c r="AP197" s="439"/>
      <c r="AQ197" s="195"/>
      <c r="AR197" s="192"/>
      <c r="AS197" s="192"/>
      <c r="AT197" s="192"/>
    </row>
    <row r="198" spans="2:69" ht="12.75" customHeight="1" thickTop="1" x14ac:dyDescent="0.2"/>
    <row r="200" spans="2:69" ht="12.75" customHeight="1" thickBot="1" x14ac:dyDescent="0.25"/>
    <row r="201" spans="2:69" ht="78" customHeight="1" thickTop="1" thickBot="1" x14ac:dyDescent="0.25">
      <c r="C201" s="187" t="s">
        <v>198</v>
      </c>
      <c r="D201" s="188" t="s">
        <v>199</v>
      </c>
      <c r="E201" s="189" t="s">
        <v>200</v>
      </c>
      <c r="O201" s="207" t="s">
        <v>198</v>
      </c>
      <c r="T201" s="187" t="s">
        <v>198</v>
      </c>
      <c r="U201" s="188" t="s">
        <v>199</v>
      </c>
      <c r="V201" s="189" t="s">
        <v>200</v>
      </c>
      <c r="AB201" s="192"/>
      <c r="AG201" s="203" t="s">
        <v>198</v>
      </c>
      <c r="AH201" s="192"/>
      <c r="AM201" s="204" t="s">
        <v>198</v>
      </c>
      <c r="AN201" s="205" t="s">
        <v>199</v>
      </c>
      <c r="AO201" s="206" t="s">
        <v>200</v>
      </c>
      <c r="AP201" s="192"/>
      <c r="AV201" s="192"/>
      <c r="BA201" s="207" t="s">
        <v>198</v>
      </c>
      <c r="BB201" s="195"/>
      <c r="BG201" s="187" t="s">
        <v>198</v>
      </c>
      <c r="BH201" s="188" t="s">
        <v>199</v>
      </c>
      <c r="BI201" s="189" t="s">
        <v>200</v>
      </c>
      <c r="BJ201" s="195"/>
      <c r="BP201" s="192"/>
    </row>
    <row r="202" spans="2:69" ht="12.75" customHeight="1" thickTop="1" thickBot="1" x14ac:dyDescent="0.25">
      <c r="B202" s="215" t="s">
        <v>208</v>
      </c>
      <c r="C202" s="197"/>
      <c r="D202" s="198"/>
      <c r="E202" s="199"/>
      <c r="I202" s="441" t="s">
        <v>208</v>
      </c>
      <c r="N202" s="438" t="s">
        <v>208</v>
      </c>
      <c r="O202" s="200"/>
      <c r="S202" s="438" t="s">
        <v>208</v>
      </c>
      <c r="T202" s="177"/>
      <c r="U202" s="178"/>
      <c r="V202" s="179"/>
      <c r="AB202" s="192"/>
      <c r="AH202" s="192"/>
      <c r="AP202" s="192"/>
      <c r="AT202" s="214" t="s">
        <v>208</v>
      </c>
      <c r="AV202" s="192"/>
      <c r="AZ202" s="215" t="s">
        <v>208</v>
      </c>
      <c r="BA202" s="196"/>
      <c r="BB202" s="195"/>
      <c r="BF202" s="215" t="s">
        <v>208</v>
      </c>
      <c r="BG202" s="197"/>
      <c r="BH202" s="198"/>
      <c r="BI202" s="199"/>
      <c r="BJ202" s="195"/>
      <c r="BN202" s="441" t="s">
        <v>208</v>
      </c>
      <c r="BP202" s="192"/>
    </row>
    <row r="203" spans="2:69" ht="12.75" customHeight="1" thickTop="1" x14ac:dyDescent="0.2">
      <c r="I203" s="449"/>
      <c r="N203" s="440"/>
      <c r="O203" s="201"/>
      <c r="S203" s="440"/>
      <c r="T203" s="180"/>
      <c r="U203" s="181"/>
      <c r="V203" s="182"/>
      <c r="BN203" s="449"/>
      <c r="BP203" s="192"/>
    </row>
    <row r="204" spans="2:69" ht="12.75" customHeight="1" thickBot="1" x14ac:dyDescent="0.25">
      <c r="I204" s="439"/>
      <c r="N204" s="447"/>
      <c r="O204" s="202"/>
      <c r="S204" s="447"/>
      <c r="T204" s="183"/>
      <c r="U204" s="184"/>
      <c r="V204" s="185"/>
      <c r="BN204" s="439"/>
      <c r="BP204" s="192"/>
    </row>
    <row r="205" spans="2:69" ht="12.75" customHeight="1" thickTop="1" x14ac:dyDescent="0.2"/>
    <row r="207" spans="2:69" ht="12.75" customHeight="1" thickBot="1" x14ac:dyDescent="0.25"/>
    <row r="208" spans="2:69" ht="78" customHeight="1" thickTop="1" thickBot="1" x14ac:dyDescent="0.25">
      <c r="C208" s="207" t="s">
        <v>198</v>
      </c>
      <c r="D208" s="195"/>
      <c r="I208" s="187" t="s">
        <v>198</v>
      </c>
      <c r="J208" s="188" t="s">
        <v>199</v>
      </c>
      <c r="K208" s="189" t="s">
        <v>200</v>
      </c>
      <c r="L208" s="195"/>
      <c r="V208" s="203" t="s">
        <v>198</v>
      </c>
      <c r="AA208" s="204" t="s">
        <v>198</v>
      </c>
      <c r="AB208" s="205" t="s">
        <v>199</v>
      </c>
      <c r="AC208" s="206" t="s">
        <v>200</v>
      </c>
      <c r="AM208" s="207" t="s">
        <v>198</v>
      </c>
      <c r="AR208" s="187" t="s">
        <v>198</v>
      </c>
      <c r="AS208" s="188" t="s">
        <v>199</v>
      </c>
      <c r="AT208" s="189" t="s">
        <v>200</v>
      </c>
      <c r="BD208" s="207" t="s">
        <v>198</v>
      </c>
      <c r="BI208" s="187" t="s">
        <v>198</v>
      </c>
      <c r="BJ208" s="188" t="s">
        <v>199</v>
      </c>
      <c r="BK208" s="189" t="s">
        <v>200</v>
      </c>
      <c r="BQ208" s="192"/>
    </row>
    <row r="209" spans="2:72" ht="12.75" customHeight="1" thickTop="1" thickBot="1" x14ac:dyDescent="0.25">
      <c r="B209" s="438" t="s">
        <v>208</v>
      </c>
      <c r="C209" s="200"/>
      <c r="D209" s="195"/>
      <c r="H209" s="438" t="s">
        <v>208</v>
      </c>
      <c r="I209" s="177"/>
      <c r="J209" s="178"/>
      <c r="K209" s="179"/>
      <c r="L209" s="195"/>
      <c r="P209" s="441" t="s">
        <v>208</v>
      </c>
      <c r="U209" s="441" t="s">
        <v>208</v>
      </c>
      <c r="Z209" s="441" t="s">
        <v>208</v>
      </c>
      <c r="AG209" s="441" t="s">
        <v>208</v>
      </c>
      <c r="AL209" s="438" t="s">
        <v>208</v>
      </c>
      <c r="AM209" s="196"/>
      <c r="AQ209" s="438" t="s">
        <v>208</v>
      </c>
      <c r="AR209" s="197"/>
      <c r="AS209" s="198"/>
      <c r="AT209" s="199"/>
      <c r="AX209" s="441" t="s">
        <v>208</v>
      </c>
      <c r="BC209" s="438" t="s">
        <v>208</v>
      </c>
      <c r="BD209" s="200"/>
      <c r="BH209" s="438" t="s">
        <v>208</v>
      </c>
      <c r="BI209" s="177"/>
      <c r="BJ209" s="178"/>
      <c r="BK209" s="179"/>
      <c r="BO209" s="441" t="s">
        <v>208</v>
      </c>
      <c r="BQ209" s="192"/>
    </row>
    <row r="210" spans="2:72" ht="12.75" customHeight="1" thickTop="1" thickBot="1" x14ac:dyDescent="0.25">
      <c r="B210" s="440"/>
      <c r="C210" s="201"/>
      <c r="D210" s="195"/>
      <c r="H210" s="440"/>
      <c r="I210" s="180"/>
      <c r="J210" s="181"/>
      <c r="K210" s="182"/>
      <c r="L210" s="195"/>
      <c r="P210" s="439"/>
      <c r="Q210" s="195"/>
      <c r="U210" s="439"/>
      <c r="V210" s="195"/>
      <c r="Z210" s="439"/>
      <c r="AA210" s="195"/>
      <c r="AB210" s="192"/>
      <c r="AC210" s="192"/>
      <c r="AG210" s="439"/>
      <c r="AH210" s="195"/>
      <c r="AL210" s="439"/>
      <c r="AM210" s="213"/>
      <c r="AQ210" s="439"/>
      <c r="AR210" s="213"/>
      <c r="AS210" s="190"/>
      <c r="AT210" s="190"/>
      <c r="AX210" s="449"/>
      <c r="BC210" s="440"/>
      <c r="BD210" s="201"/>
      <c r="BH210" s="440"/>
      <c r="BI210" s="180"/>
      <c r="BJ210" s="181"/>
      <c r="BK210" s="182"/>
      <c r="BO210" s="439"/>
      <c r="BP210" s="195"/>
      <c r="BQ210" s="192"/>
    </row>
    <row r="211" spans="2:72" ht="12.75" customHeight="1" thickTop="1" thickBot="1" x14ac:dyDescent="0.25">
      <c r="B211" s="447"/>
      <c r="C211" s="202"/>
      <c r="D211" s="195"/>
      <c r="H211" s="447"/>
      <c r="I211" s="183"/>
      <c r="J211" s="184"/>
      <c r="K211" s="185"/>
      <c r="L211" s="195"/>
      <c r="AX211" s="449"/>
      <c r="BC211" s="440"/>
      <c r="BD211" s="202"/>
      <c r="BH211" s="440"/>
      <c r="BI211" s="183"/>
      <c r="BJ211" s="184"/>
      <c r="BK211" s="185"/>
    </row>
    <row r="212" spans="2:72" ht="12.75" customHeight="1" thickTop="1" thickBot="1" x14ac:dyDescent="0.25">
      <c r="AX212" s="439"/>
      <c r="AY212" s="195"/>
      <c r="BC212" s="439"/>
      <c r="BD212" s="213"/>
      <c r="BH212" s="439"/>
      <c r="BI212" s="213"/>
      <c r="BJ212" s="190"/>
      <c r="BK212" s="190"/>
    </row>
    <row r="213" spans="2:72" ht="12.75" customHeight="1" thickTop="1" x14ac:dyDescent="0.2"/>
    <row r="215" spans="2:72" ht="12.75" customHeight="1" thickBot="1" x14ac:dyDescent="0.25"/>
    <row r="216" spans="2:72" ht="78" customHeight="1" thickTop="1" thickBot="1" x14ac:dyDescent="0.25">
      <c r="C216" s="203" t="s">
        <v>198</v>
      </c>
      <c r="D216" s="192"/>
      <c r="I216" s="204" t="s">
        <v>198</v>
      </c>
      <c r="J216" s="205" t="s">
        <v>199</v>
      </c>
      <c r="K216" s="206" t="s">
        <v>200</v>
      </c>
      <c r="L216" s="192"/>
      <c r="R216" s="192"/>
      <c r="W216" s="207" t="s">
        <v>198</v>
      </c>
      <c r="X216" s="192"/>
      <c r="AC216" s="187" t="s">
        <v>198</v>
      </c>
      <c r="AD216" s="188" t="s">
        <v>199</v>
      </c>
      <c r="AE216" s="189" t="s">
        <v>200</v>
      </c>
      <c r="AF216" s="192"/>
      <c r="AL216" s="192"/>
      <c r="AQ216" s="207" t="s">
        <v>198</v>
      </c>
      <c r="AR216" s="192"/>
      <c r="AW216" s="187" t="s">
        <v>198</v>
      </c>
      <c r="AX216" s="188" t="s">
        <v>199</v>
      </c>
      <c r="AY216" s="189" t="s">
        <v>200</v>
      </c>
      <c r="AZ216" s="192"/>
      <c r="BD216" s="215" t="s">
        <v>208</v>
      </c>
      <c r="BE216" s="208" t="s">
        <v>203</v>
      </c>
      <c r="BJ216" s="215" t="s">
        <v>208</v>
      </c>
      <c r="BK216" s="209" t="s">
        <v>203</v>
      </c>
      <c r="BL216" s="196"/>
      <c r="BP216" s="215" t="s">
        <v>208</v>
      </c>
      <c r="BQ216" s="209" t="s">
        <v>203</v>
      </c>
      <c r="BR216" s="197"/>
      <c r="BS216" s="198"/>
      <c r="BT216" s="199"/>
    </row>
    <row r="217" spans="2:72" ht="12.75" customHeight="1" thickTop="1" thickBot="1" x14ac:dyDescent="0.25">
      <c r="B217" s="441" t="s">
        <v>208</v>
      </c>
      <c r="D217" s="192"/>
      <c r="H217" s="441" t="s">
        <v>208</v>
      </c>
      <c r="L217" s="192"/>
      <c r="P217" s="441" t="s">
        <v>208</v>
      </c>
      <c r="R217" s="192"/>
      <c r="V217" s="438" t="s">
        <v>208</v>
      </c>
      <c r="W217" s="196"/>
      <c r="X217" s="192"/>
      <c r="AB217" s="438" t="s">
        <v>208</v>
      </c>
      <c r="AC217" s="197"/>
      <c r="AD217" s="198"/>
      <c r="AE217" s="199"/>
      <c r="AF217" s="192"/>
      <c r="AJ217" s="441" t="s">
        <v>208</v>
      </c>
      <c r="AL217" s="192"/>
      <c r="AP217" s="438" t="s">
        <v>208</v>
      </c>
      <c r="AQ217" s="200"/>
      <c r="AR217" s="192"/>
      <c r="AV217" s="438" t="s">
        <v>208</v>
      </c>
      <c r="AW217" s="177"/>
      <c r="AX217" s="178"/>
      <c r="AY217" s="179"/>
      <c r="AZ217" s="192"/>
    </row>
    <row r="218" spans="2:72" ht="12.75" customHeight="1" thickTop="1" thickBot="1" x14ac:dyDescent="0.25">
      <c r="B218" s="439"/>
      <c r="C218" s="195"/>
      <c r="D218" s="192"/>
      <c r="H218" s="439"/>
      <c r="I218" s="195"/>
      <c r="J218" s="192"/>
      <c r="K218" s="192"/>
      <c r="L218" s="192"/>
      <c r="P218" s="439"/>
      <c r="Q218" s="195"/>
      <c r="R218" s="192"/>
      <c r="V218" s="439"/>
      <c r="W218" s="195"/>
      <c r="X218" s="192"/>
      <c r="AB218" s="439"/>
      <c r="AC218" s="195"/>
      <c r="AD218" s="192"/>
      <c r="AE218" s="192"/>
      <c r="AF218" s="192"/>
      <c r="AJ218" s="449"/>
      <c r="AL218" s="192"/>
      <c r="AP218" s="440"/>
      <c r="AQ218" s="201"/>
      <c r="AR218" s="192"/>
      <c r="AV218" s="440"/>
      <c r="AW218" s="180"/>
      <c r="AX218" s="181"/>
      <c r="AY218" s="182"/>
      <c r="AZ218" s="192"/>
    </row>
    <row r="219" spans="2:72" ht="12.75" customHeight="1" thickTop="1" thickBot="1" x14ac:dyDescent="0.25">
      <c r="AJ219" s="449"/>
      <c r="AL219" s="192"/>
      <c r="AP219" s="440"/>
      <c r="AQ219" s="202"/>
      <c r="AR219" s="192"/>
      <c r="AV219" s="440"/>
      <c r="AW219" s="183"/>
      <c r="AX219" s="184"/>
      <c r="AY219" s="185"/>
      <c r="AZ219" s="192"/>
    </row>
    <row r="220" spans="2:72" ht="12.75" customHeight="1" thickTop="1" thickBot="1" x14ac:dyDescent="0.25">
      <c r="AJ220" s="439"/>
      <c r="AK220" s="195"/>
      <c r="AL220" s="192"/>
      <c r="AP220" s="439"/>
      <c r="AQ220" s="195"/>
      <c r="AR220" s="192"/>
      <c r="AV220" s="439"/>
      <c r="AW220" s="195"/>
      <c r="AX220" s="192"/>
      <c r="AY220" s="192"/>
      <c r="AZ220" s="192"/>
    </row>
    <row r="221" spans="2:72" ht="12.75" customHeight="1" thickTop="1" x14ac:dyDescent="0.2"/>
    <row r="223" spans="2:72" ht="12.75" customHeight="1" thickBot="1" x14ac:dyDescent="0.25"/>
    <row r="224" spans="2:72" ht="12.75" customHeight="1" thickTop="1" thickBot="1" x14ac:dyDescent="0.25">
      <c r="B224" s="438" t="s">
        <v>208</v>
      </c>
      <c r="C224" s="210" t="s">
        <v>203</v>
      </c>
      <c r="H224" s="438" t="s">
        <v>208</v>
      </c>
      <c r="I224" s="191" t="s">
        <v>203</v>
      </c>
      <c r="J224" s="200"/>
      <c r="N224" s="438" t="s">
        <v>208</v>
      </c>
      <c r="O224" s="191" t="s">
        <v>203</v>
      </c>
      <c r="P224" s="177"/>
      <c r="Q224" s="178"/>
      <c r="R224" s="179"/>
      <c r="Y224" s="192"/>
      <c r="AF224" s="192"/>
      <c r="AO224" s="192"/>
      <c r="AS224" s="215" t="s">
        <v>208</v>
      </c>
      <c r="AT224" s="208" t="s">
        <v>203</v>
      </c>
      <c r="AV224" s="192"/>
      <c r="AZ224" s="215" t="s">
        <v>208</v>
      </c>
      <c r="BA224" s="209" t="s">
        <v>203</v>
      </c>
      <c r="BB224" s="196"/>
      <c r="BC224" s="195"/>
      <c r="BG224" s="215" t="s">
        <v>208</v>
      </c>
      <c r="BH224" s="209" t="s">
        <v>203</v>
      </c>
      <c r="BI224" s="197"/>
      <c r="BJ224" s="198"/>
      <c r="BK224" s="199"/>
      <c r="BL224" s="195"/>
      <c r="BP224" s="438" t="s">
        <v>208</v>
      </c>
      <c r="BQ224" s="210" t="s">
        <v>203</v>
      </c>
      <c r="BS224" s="192"/>
    </row>
    <row r="225" spans="2:74" ht="12.75" customHeight="1" thickTop="1" x14ac:dyDescent="0.2">
      <c r="B225" s="440"/>
      <c r="C225" s="211" t="s">
        <v>204</v>
      </c>
      <c r="H225" s="440"/>
      <c r="I225" s="193" t="s">
        <v>204</v>
      </c>
      <c r="J225" s="201"/>
      <c r="N225" s="440"/>
      <c r="O225" s="193" t="s">
        <v>204</v>
      </c>
      <c r="P225" s="180"/>
      <c r="Q225" s="181"/>
      <c r="R225" s="182"/>
      <c r="BP225" s="440"/>
      <c r="BQ225" s="211" t="s">
        <v>204</v>
      </c>
      <c r="BS225" s="192"/>
    </row>
    <row r="226" spans="2:74" ht="12.75" customHeight="1" thickBot="1" x14ac:dyDescent="0.25">
      <c r="B226" s="447"/>
      <c r="C226" s="212" t="s">
        <v>205</v>
      </c>
      <c r="H226" s="447"/>
      <c r="I226" s="194" t="s">
        <v>205</v>
      </c>
      <c r="J226" s="202"/>
      <c r="N226" s="447"/>
      <c r="O226" s="194" t="s">
        <v>205</v>
      </c>
      <c r="P226" s="183"/>
      <c r="Q226" s="184"/>
      <c r="R226" s="185"/>
      <c r="BP226" s="447"/>
      <c r="BQ226" s="212" t="s">
        <v>205</v>
      </c>
      <c r="BS226" s="192"/>
    </row>
    <row r="227" spans="2:74" ht="12.75" customHeight="1" thickTop="1" x14ac:dyDescent="0.2"/>
    <row r="229" spans="2:74" ht="12.75" customHeight="1" thickBot="1" x14ac:dyDescent="0.25"/>
    <row r="230" spans="2:74" ht="12.75" customHeight="1" thickTop="1" thickBot="1" x14ac:dyDescent="0.25">
      <c r="B230" s="438" t="s">
        <v>208</v>
      </c>
      <c r="C230" s="191" t="s">
        <v>203</v>
      </c>
      <c r="D230" s="200"/>
      <c r="E230" s="195"/>
      <c r="I230" s="438" t="s">
        <v>208</v>
      </c>
      <c r="J230" s="191" t="s">
        <v>203</v>
      </c>
      <c r="K230" s="177"/>
      <c r="L230" s="178"/>
      <c r="M230" s="179"/>
      <c r="N230" s="195"/>
      <c r="R230" s="441" t="s">
        <v>208</v>
      </c>
      <c r="X230" s="441" t="s">
        <v>208</v>
      </c>
      <c r="AD230" s="441" t="s">
        <v>208</v>
      </c>
      <c r="AL230" s="438" t="s">
        <v>208</v>
      </c>
      <c r="AM230" s="208" t="s">
        <v>203</v>
      </c>
      <c r="AR230" s="438" t="s">
        <v>208</v>
      </c>
      <c r="AS230" s="209" t="s">
        <v>203</v>
      </c>
      <c r="AT230" s="196"/>
      <c r="AX230" s="438" t="s">
        <v>208</v>
      </c>
      <c r="AY230" s="209" t="s">
        <v>203</v>
      </c>
      <c r="AZ230" s="197"/>
      <c r="BA230" s="198"/>
      <c r="BB230" s="199"/>
      <c r="BF230" s="438" t="s">
        <v>208</v>
      </c>
      <c r="BG230" s="210" t="s">
        <v>203</v>
      </c>
      <c r="BL230" s="438" t="s">
        <v>208</v>
      </c>
      <c r="BM230" s="191" t="s">
        <v>203</v>
      </c>
      <c r="BN230" s="200"/>
      <c r="BR230" s="438" t="s">
        <v>208</v>
      </c>
      <c r="BS230" s="191" t="s">
        <v>203</v>
      </c>
      <c r="BT230" s="177"/>
      <c r="BU230" s="178"/>
      <c r="BV230" s="179"/>
    </row>
    <row r="231" spans="2:74" ht="12.75" customHeight="1" thickTop="1" thickBot="1" x14ac:dyDescent="0.25">
      <c r="B231" s="440"/>
      <c r="C231" s="193" t="s">
        <v>204</v>
      </c>
      <c r="D231" s="201"/>
      <c r="E231" s="195"/>
      <c r="I231" s="440"/>
      <c r="J231" s="193" t="s">
        <v>204</v>
      </c>
      <c r="K231" s="180"/>
      <c r="L231" s="181"/>
      <c r="M231" s="182"/>
      <c r="N231" s="195"/>
      <c r="R231" s="439"/>
      <c r="S231" s="195"/>
      <c r="T231" s="192"/>
      <c r="X231" s="439"/>
      <c r="Y231" s="195"/>
      <c r="Z231" s="192"/>
      <c r="AD231" s="439"/>
      <c r="AE231" s="195"/>
      <c r="AF231" s="192"/>
      <c r="AG231" s="192"/>
      <c r="AH231" s="192"/>
      <c r="AL231" s="439"/>
      <c r="AM231" s="195"/>
      <c r="AN231" s="192"/>
      <c r="AR231" s="439"/>
      <c r="AS231" s="213"/>
      <c r="AT231" s="190"/>
      <c r="AX231" s="439"/>
      <c r="AY231" s="213"/>
      <c r="AZ231" s="190"/>
      <c r="BA231" s="190"/>
      <c r="BB231" s="190"/>
      <c r="BF231" s="440"/>
      <c r="BG231" s="211" t="s">
        <v>204</v>
      </c>
      <c r="BL231" s="440"/>
      <c r="BM231" s="193" t="s">
        <v>204</v>
      </c>
      <c r="BN231" s="201"/>
      <c r="BR231" s="440"/>
      <c r="BS231" s="193" t="s">
        <v>204</v>
      </c>
      <c r="BT231" s="180"/>
      <c r="BU231" s="181"/>
      <c r="BV231" s="182"/>
    </row>
    <row r="232" spans="2:74" ht="12.75" customHeight="1" thickTop="1" thickBot="1" x14ac:dyDescent="0.25">
      <c r="B232" s="447"/>
      <c r="C232" s="194" t="s">
        <v>205</v>
      </c>
      <c r="D232" s="202"/>
      <c r="E232" s="195"/>
      <c r="I232" s="447"/>
      <c r="J232" s="194" t="s">
        <v>205</v>
      </c>
      <c r="K232" s="183"/>
      <c r="L232" s="184"/>
      <c r="M232" s="185"/>
      <c r="N232" s="195"/>
      <c r="BF232" s="440"/>
      <c r="BG232" s="212" t="s">
        <v>205</v>
      </c>
      <c r="BL232" s="440"/>
      <c r="BM232" s="194" t="s">
        <v>205</v>
      </c>
      <c r="BN232" s="202"/>
      <c r="BR232" s="440"/>
      <c r="BS232" s="194" t="s">
        <v>205</v>
      </c>
      <c r="BT232" s="183"/>
      <c r="BU232" s="184"/>
      <c r="BV232" s="185"/>
    </row>
    <row r="233" spans="2:74" ht="12.75" customHeight="1" thickTop="1" thickBot="1" x14ac:dyDescent="0.25">
      <c r="BF233" s="439"/>
      <c r="BG233" s="195"/>
      <c r="BH233" s="192"/>
      <c r="BL233" s="439"/>
      <c r="BM233" s="213"/>
      <c r="BN233" s="190"/>
      <c r="BR233" s="439"/>
      <c r="BS233" s="213"/>
      <c r="BT233" s="190"/>
      <c r="BU233" s="190"/>
      <c r="BV233" s="190"/>
    </row>
    <row r="234" spans="2:74" ht="12.75" customHeight="1" thickTop="1" x14ac:dyDescent="0.2"/>
    <row r="236" spans="2:74" ht="12.75" customHeight="1" thickBot="1" x14ac:dyDescent="0.25"/>
    <row r="237" spans="2:74" ht="12.75" customHeight="1" thickTop="1" thickBot="1" x14ac:dyDescent="0.25">
      <c r="B237" s="441" t="s">
        <v>208</v>
      </c>
      <c r="E237" s="192"/>
      <c r="I237" s="441" t="s">
        <v>208</v>
      </c>
      <c r="L237" s="192"/>
      <c r="P237" s="441" t="s">
        <v>208</v>
      </c>
      <c r="U237" s="192"/>
      <c r="Y237" s="438" t="s">
        <v>208</v>
      </c>
      <c r="Z237" s="208" t="s">
        <v>203</v>
      </c>
      <c r="AB237" s="192"/>
      <c r="AF237" s="438" t="s">
        <v>208</v>
      </c>
      <c r="AG237" s="209" t="s">
        <v>203</v>
      </c>
      <c r="AH237" s="196"/>
      <c r="AI237" s="192"/>
      <c r="AM237" s="438" t="s">
        <v>208</v>
      </c>
      <c r="AN237" s="209" t="s">
        <v>203</v>
      </c>
      <c r="AO237" s="197"/>
      <c r="AP237" s="198"/>
      <c r="AQ237" s="199"/>
      <c r="AR237" s="192"/>
      <c r="AV237" s="438" t="s">
        <v>208</v>
      </c>
      <c r="AW237" s="210" t="s">
        <v>203</v>
      </c>
      <c r="AY237" s="192"/>
      <c r="BC237" s="438" t="s">
        <v>208</v>
      </c>
      <c r="BD237" s="191" t="s">
        <v>203</v>
      </c>
      <c r="BE237" s="200"/>
      <c r="BF237" s="192"/>
      <c r="BJ237" s="438" t="s">
        <v>208</v>
      </c>
      <c r="BK237" s="191" t="s">
        <v>203</v>
      </c>
      <c r="BL237" s="177"/>
      <c r="BM237" s="178"/>
      <c r="BN237" s="179"/>
      <c r="BO237" s="192"/>
    </row>
    <row r="238" spans="2:74" ht="12.75" customHeight="1" thickTop="1" thickBot="1" x14ac:dyDescent="0.25">
      <c r="B238" s="439"/>
      <c r="C238" s="195"/>
      <c r="D238" s="192"/>
      <c r="E238" s="192"/>
      <c r="I238" s="439"/>
      <c r="J238" s="195"/>
      <c r="K238" s="192"/>
      <c r="L238" s="192"/>
      <c r="P238" s="439"/>
      <c r="Q238" s="195"/>
      <c r="R238" s="192"/>
      <c r="S238" s="192"/>
      <c r="T238" s="192"/>
      <c r="U238" s="192"/>
      <c r="Y238" s="439"/>
      <c r="Z238" s="195"/>
      <c r="AA238" s="192"/>
      <c r="AB238" s="192"/>
      <c r="AF238" s="439"/>
      <c r="AG238" s="195"/>
      <c r="AH238" s="192"/>
      <c r="AI238" s="192"/>
      <c r="AM238" s="439"/>
      <c r="AN238" s="195"/>
      <c r="AO238" s="192"/>
      <c r="AP238" s="192"/>
      <c r="AQ238" s="192"/>
      <c r="AR238" s="192"/>
      <c r="AV238" s="440"/>
      <c r="AW238" s="211" t="s">
        <v>204</v>
      </c>
      <c r="AY238" s="192"/>
      <c r="BC238" s="440"/>
      <c r="BD238" s="193" t="s">
        <v>204</v>
      </c>
      <c r="BE238" s="201"/>
      <c r="BF238" s="192"/>
      <c r="BJ238" s="440"/>
      <c r="BK238" s="193" t="s">
        <v>204</v>
      </c>
      <c r="BL238" s="180"/>
      <c r="BM238" s="181"/>
      <c r="BN238" s="182"/>
      <c r="BO238" s="192"/>
    </row>
    <row r="239" spans="2:74" ht="12.75" customHeight="1" thickTop="1" thickBot="1" x14ac:dyDescent="0.25">
      <c r="AV239" s="440"/>
      <c r="AW239" s="212" t="s">
        <v>205</v>
      </c>
      <c r="AY239" s="192"/>
      <c r="BC239" s="440"/>
      <c r="BD239" s="194" t="s">
        <v>205</v>
      </c>
      <c r="BE239" s="202"/>
      <c r="BF239" s="192"/>
      <c r="BJ239" s="440"/>
      <c r="BK239" s="194" t="s">
        <v>205</v>
      </c>
      <c r="BL239" s="183"/>
      <c r="BM239" s="184"/>
      <c r="BN239" s="185"/>
      <c r="BO239" s="192"/>
    </row>
    <row r="240" spans="2:74" ht="12.75" customHeight="1" thickTop="1" thickBot="1" x14ac:dyDescent="0.25">
      <c r="AV240" s="439"/>
      <c r="AW240" s="195"/>
      <c r="AX240" s="192"/>
      <c r="AY240" s="192"/>
      <c r="BC240" s="439"/>
      <c r="BD240" s="195"/>
      <c r="BE240" s="192"/>
      <c r="BF240" s="192"/>
      <c r="BJ240" s="439"/>
      <c r="BK240" s="195"/>
      <c r="BL240" s="192"/>
      <c r="BM240" s="192"/>
      <c r="BN240" s="192"/>
      <c r="BO240" s="192"/>
    </row>
    <row r="241" spans="2:75" ht="12.75" customHeight="1" thickTop="1" x14ac:dyDescent="0.2"/>
    <row r="243" spans="2:75" ht="12.75" customHeight="1" thickBot="1" x14ac:dyDescent="0.25"/>
    <row r="244" spans="2:75" ht="78" customHeight="1" thickTop="1" thickBot="1" x14ac:dyDescent="0.25">
      <c r="D244" s="203" t="s">
        <v>198</v>
      </c>
      <c r="J244" s="204" t="s">
        <v>198</v>
      </c>
      <c r="K244" s="205" t="s">
        <v>199</v>
      </c>
      <c r="L244" s="206" t="s">
        <v>200</v>
      </c>
      <c r="X244" s="207" t="s">
        <v>198</v>
      </c>
      <c r="AD244" s="187" t="s">
        <v>198</v>
      </c>
      <c r="AE244" s="188" t="s">
        <v>199</v>
      </c>
      <c r="AF244" s="189" t="s">
        <v>200</v>
      </c>
      <c r="AR244" s="207" t="s">
        <v>198</v>
      </c>
      <c r="AX244" s="187" t="s">
        <v>198</v>
      </c>
      <c r="AY244" s="188" t="s">
        <v>199</v>
      </c>
      <c r="AZ244" s="189" t="s">
        <v>200</v>
      </c>
      <c r="BG244" s="192"/>
      <c r="BM244" s="203" t="s">
        <v>198</v>
      </c>
      <c r="BN244" s="192"/>
      <c r="BT244" s="204" t="s">
        <v>198</v>
      </c>
      <c r="BU244" s="205" t="s">
        <v>199</v>
      </c>
      <c r="BV244" s="206" t="s">
        <v>200</v>
      </c>
      <c r="BW244" s="192"/>
    </row>
    <row r="245" spans="2:75" ht="12.75" customHeight="1" thickTop="1" thickBot="1" x14ac:dyDescent="0.25">
      <c r="P245" s="215" t="s">
        <v>208</v>
      </c>
      <c r="Q245" s="208" t="s">
        <v>203</v>
      </c>
      <c r="V245" s="215" t="s">
        <v>208</v>
      </c>
      <c r="W245" s="209" t="s">
        <v>203</v>
      </c>
      <c r="X245" s="196"/>
      <c r="AB245" s="215" t="s">
        <v>208</v>
      </c>
      <c r="AC245" s="209" t="s">
        <v>203</v>
      </c>
      <c r="AD245" s="197"/>
      <c r="AE245" s="198"/>
      <c r="AF245" s="199"/>
      <c r="AJ245" s="438" t="s">
        <v>208</v>
      </c>
      <c r="AK245" s="210" t="s">
        <v>203</v>
      </c>
      <c r="AP245" s="438" t="s">
        <v>208</v>
      </c>
      <c r="AQ245" s="191" t="s">
        <v>203</v>
      </c>
      <c r="AR245" s="200"/>
      <c r="AV245" s="438" t="s">
        <v>208</v>
      </c>
      <c r="AW245" s="191" t="s">
        <v>203</v>
      </c>
      <c r="AX245" s="177"/>
      <c r="AY245" s="178"/>
      <c r="AZ245" s="179"/>
      <c r="BG245" s="192"/>
      <c r="BN245" s="192"/>
      <c r="BW245" s="192"/>
    </row>
    <row r="246" spans="2:75" ht="12.75" customHeight="1" thickTop="1" x14ac:dyDescent="0.2">
      <c r="AJ246" s="440"/>
      <c r="AK246" s="211" t="s">
        <v>204</v>
      </c>
      <c r="AP246" s="440"/>
      <c r="AQ246" s="193" t="s">
        <v>204</v>
      </c>
      <c r="AR246" s="201"/>
      <c r="AV246" s="440"/>
      <c r="AW246" s="193" t="s">
        <v>204</v>
      </c>
      <c r="AX246" s="180"/>
      <c r="AY246" s="181"/>
      <c r="AZ246" s="182"/>
    </row>
    <row r="247" spans="2:75" ht="12.75" customHeight="1" thickBot="1" x14ac:dyDescent="0.25">
      <c r="AJ247" s="447"/>
      <c r="AK247" s="212" t="s">
        <v>205</v>
      </c>
      <c r="AP247" s="447"/>
      <c r="AQ247" s="194" t="s">
        <v>205</v>
      </c>
      <c r="AR247" s="202"/>
      <c r="AV247" s="447"/>
      <c r="AW247" s="194" t="s">
        <v>205</v>
      </c>
      <c r="AX247" s="183"/>
      <c r="AY247" s="184"/>
      <c r="AZ247" s="185"/>
    </row>
    <row r="248" spans="2:75" ht="12.75" customHeight="1" thickTop="1" x14ac:dyDescent="0.2"/>
    <row r="250" spans="2:75" ht="12.75" customHeight="1" thickBot="1" x14ac:dyDescent="0.25"/>
    <row r="251" spans="2:75" ht="78" customHeight="1" thickTop="1" thickBot="1" x14ac:dyDescent="0.25">
      <c r="E251" s="192"/>
      <c r="K251" s="207" t="s">
        <v>198</v>
      </c>
      <c r="L251" s="195"/>
      <c r="R251" s="187" t="s">
        <v>198</v>
      </c>
      <c r="S251" s="188" t="s">
        <v>199</v>
      </c>
      <c r="T251" s="189" t="s">
        <v>200</v>
      </c>
      <c r="U251" s="195"/>
      <c r="AB251" s="192"/>
      <c r="AH251" s="207" t="s">
        <v>198</v>
      </c>
      <c r="AI251" s="195"/>
      <c r="AO251" s="187" t="s">
        <v>198</v>
      </c>
      <c r="AP251" s="188" t="s">
        <v>199</v>
      </c>
      <c r="AQ251" s="189" t="s">
        <v>200</v>
      </c>
      <c r="AR251" s="195"/>
      <c r="BD251" s="203" t="s">
        <v>198</v>
      </c>
      <c r="BJ251" s="204" t="s">
        <v>198</v>
      </c>
      <c r="BK251" s="205" t="s">
        <v>199</v>
      </c>
      <c r="BL251" s="206" t="s">
        <v>200</v>
      </c>
    </row>
    <row r="252" spans="2:75" ht="12.75" customHeight="1" thickTop="1" thickBot="1" x14ac:dyDescent="0.25">
      <c r="B252" s="215" t="s">
        <v>208</v>
      </c>
      <c r="C252" s="208" t="s">
        <v>203</v>
      </c>
      <c r="E252" s="192"/>
      <c r="I252" s="215" t="s">
        <v>208</v>
      </c>
      <c r="J252" s="209" t="s">
        <v>203</v>
      </c>
      <c r="K252" s="196"/>
      <c r="L252" s="195"/>
      <c r="P252" s="215" t="s">
        <v>208</v>
      </c>
      <c r="Q252" s="209" t="s">
        <v>203</v>
      </c>
      <c r="R252" s="197"/>
      <c r="S252" s="198"/>
      <c r="T252" s="199"/>
      <c r="U252" s="195"/>
      <c r="Y252" s="438" t="s">
        <v>208</v>
      </c>
      <c r="Z252" s="210" t="s">
        <v>203</v>
      </c>
      <c r="AB252" s="192"/>
      <c r="AF252" s="438" t="s">
        <v>208</v>
      </c>
      <c r="AG252" s="191" t="s">
        <v>203</v>
      </c>
      <c r="AH252" s="200"/>
      <c r="AI252" s="195"/>
      <c r="AM252" s="438" t="s">
        <v>208</v>
      </c>
      <c r="AN252" s="191" t="s">
        <v>203</v>
      </c>
      <c r="AO252" s="177"/>
      <c r="AP252" s="178"/>
      <c r="AQ252" s="179"/>
      <c r="AR252" s="195"/>
      <c r="AV252" s="441" t="s">
        <v>208</v>
      </c>
      <c r="BB252" s="441" t="s">
        <v>208</v>
      </c>
      <c r="BH252" s="441" t="s">
        <v>208</v>
      </c>
      <c r="BP252" s="438" t="s">
        <v>208</v>
      </c>
      <c r="BQ252" s="208" t="s">
        <v>203</v>
      </c>
    </row>
    <row r="253" spans="2:75" ht="12.75" customHeight="1" thickTop="1" thickBot="1" x14ac:dyDescent="0.25">
      <c r="Y253" s="440"/>
      <c r="Z253" s="211" t="s">
        <v>204</v>
      </c>
      <c r="AB253" s="192"/>
      <c r="AF253" s="440"/>
      <c r="AG253" s="193" t="s">
        <v>204</v>
      </c>
      <c r="AH253" s="201"/>
      <c r="AI253" s="195"/>
      <c r="AM253" s="440"/>
      <c r="AN253" s="193" t="s">
        <v>204</v>
      </c>
      <c r="AO253" s="180"/>
      <c r="AP253" s="181"/>
      <c r="AQ253" s="182"/>
      <c r="AR253" s="195"/>
      <c r="AV253" s="439"/>
      <c r="AW253" s="195"/>
      <c r="AX253" s="192"/>
      <c r="BB253" s="439"/>
      <c r="BC253" s="195"/>
      <c r="BD253" s="192"/>
      <c r="BH253" s="439"/>
      <c r="BI253" s="195"/>
      <c r="BJ253" s="192"/>
      <c r="BK253" s="192"/>
      <c r="BL253" s="192"/>
      <c r="BP253" s="439"/>
      <c r="BQ253" s="195"/>
      <c r="BR253" s="192"/>
    </row>
    <row r="254" spans="2:75" ht="12.75" customHeight="1" thickTop="1" thickBot="1" x14ac:dyDescent="0.25">
      <c r="Y254" s="447"/>
      <c r="Z254" s="212" t="s">
        <v>205</v>
      </c>
      <c r="AB254" s="192"/>
      <c r="AF254" s="447"/>
      <c r="AG254" s="194" t="s">
        <v>205</v>
      </c>
      <c r="AH254" s="202"/>
      <c r="AI254" s="195"/>
      <c r="AM254" s="447"/>
      <c r="AN254" s="194" t="s">
        <v>205</v>
      </c>
      <c r="AO254" s="183"/>
      <c r="AP254" s="184"/>
      <c r="AQ254" s="185"/>
      <c r="AR254" s="195"/>
    </row>
    <row r="255" spans="2:75" ht="12.75" customHeight="1" thickTop="1" x14ac:dyDescent="0.2"/>
    <row r="257" spans="2:69" ht="12.75" customHeight="1" thickBot="1" x14ac:dyDescent="0.25"/>
    <row r="258" spans="2:69" ht="78" customHeight="1" thickTop="1" thickBot="1" x14ac:dyDescent="0.25">
      <c r="D258" s="207" t="s">
        <v>198</v>
      </c>
      <c r="J258" s="187" t="s">
        <v>198</v>
      </c>
      <c r="K258" s="188" t="s">
        <v>199</v>
      </c>
      <c r="L258" s="189" t="s">
        <v>200</v>
      </c>
      <c r="X258" s="207" t="s">
        <v>198</v>
      </c>
      <c r="AD258" s="187" t="s">
        <v>198</v>
      </c>
      <c r="AE258" s="188" t="s">
        <v>199</v>
      </c>
      <c r="AF258" s="189" t="s">
        <v>200</v>
      </c>
      <c r="AM258" s="192"/>
      <c r="AS258" s="203" t="s">
        <v>198</v>
      </c>
      <c r="AT258" s="192"/>
      <c r="AZ258" s="204" t="s">
        <v>198</v>
      </c>
      <c r="BA258" s="205" t="s">
        <v>199</v>
      </c>
      <c r="BB258" s="206" t="s">
        <v>200</v>
      </c>
      <c r="BC258" s="192"/>
      <c r="BJ258" s="192"/>
      <c r="BP258" s="207" t="s">
        <v>198</v>
      </c>
      <c r="BQ258" s="192"/>
    </row>
    <row r="259" spans="2:69" ht="12.75" customHeight="1" thickTop="1" thickBot="1" x14ac:dyDescent="0.25">
      <c r="B259" s="438" t="s">
        <v>208</v>
      </c>
      <c r="C259" s="209" t="s">
        <v>203</v>
      </c>
      <c r="D259" s="196"/>
      <c r="H259" s="438" t="s">
        <v>208</v>
      </c>
      <c r="I259" s="209" t="s">
        <v>203</v>
      </c>
      <c r="J259" s="197"/>
      <c r="K259" s="198"/>
      <c r="L259" s="199"/>
      <c r="P259" s="438" t="s">
        <v>208</v>
      </c>
      <c r="Q259" s="210" t="s">
        <v>203</v>
      </c>
      <c r="V259" s="438" t="s">
        <v>208</v>
      </c>
      <c r="W259" s="191" t="s">
        <v>203</v>
      </c>
      <c r="X259" s="200"/>
      <c r="AB259" s="438" t="s">
        <v>208</v>
      </c>
      <c r="AC259" s="191" t="s">
        <v>203</v>
      </c>
      <c r="AD259" s="177"/>
      <c r="AE259" s="178"/>
      <c r="AF259" s="179"/>
      <c r="AJ259" s="441" t="s">
        <v>208</v>
      </c>
      <c r="AM259" s="192"/>
      <c r="AQ259" s="441" t="s">
        <v>208</v>
      </c>
      <c r="AT259" s="192"/>
      <c r="AX259" s="441" t="s">
        <v>208</v>
      </c>
      <c r="BC259" s="192"/>
      <c r="BG259" s="438" t="s">
        <v>208</v>
      </c>
      <c r="BH259" s="208" t="s">
        <v>203</v>
      </c>
      <c r="BJ259" s="192"/>
      <c r="BN259" s="438" t="s">
        <v>208</v>
      </c>
      <c r="BO259" s="209" t="s">
        <v>203</v>
      </c>
      <c r="BP259" s="196"/>
      <c r="BQ259" s="192"/>
    </row>
    <row r="260" spans="2:69" ht="12.75" customHeight="1" thickTop="1" thickBot="1" x14ac:dyDescent="0.25">
      <c r="B260" s="439"/>
      <c r="C260" s="213"/>
      <c r="D260" s="190"/>
      <c r="H260" s="439"/>
      <c r="I260" s="213"/>
      <c r="J260" s="190"/>
      <c r="K260" s="190"/>
      <c r="L260" s="190"/>
      <c r="P260" s="440"/>
      <c r="Q260" s="211" t="s">
        <v>204</v>
      </c>
      <c r="V260" s="440"/>
      <c r="W260" s="193" t="s">
        <v>204</v>
      </c>
      <c r="X260" s="201"/>
      <c r="AB260" s="440"/>
      <c r="AC260" s="193" t="s">
        <v>204</v>
      </c>
      <c r="AD260" s="180"/>
      <c r="AE260" s="181"/>
      <c r="AF260" s="182"/>
      <c r="AJ260" s="439"/>
      <c r="AK260" s="195"/>
      <c r="AL260" s="192"/>
      <c r="AM260" s="192"/>
      <c r="AQ260" s="439"/>
      <c r="AR260" s="195"/>
      <c r="AS260" s="192"/>
      <c r="AT260" s="192"/>
      <c r="AX260" s="439"/>
      <c r="AY260" s="195"/>
      <c r="AZ260" s="192"/>
      <c r="BA260" s="192"/>
      <c r="BB260" s="192"/>
      <c r="BC260" s="192"/>
      <c r="BG260" s="439"/>
      <c r="BH260" s="195"/>
      <c r="BI260" s="192"/>
      <c r="BJ260" s="192"/>
      <c r="BN260" s="439"/>
      <c r="BO260" s="195"/>
      <c r="BP260" s="192"/>
      <c r="BQ260" s="192"/>
    </row>
    <row r="261" spans="2:69" ht="12.75" customHeight="1" thickTop="1" thickBot="1" x14ac:dyDescent="0.25">
      <c r="P261" s="440"/>
      <c r="Q261" s="212" t="s">
        <v>205</v>
      </c>
      <c r="V261" s="440"/>
      <c r="W261" s="194" t="s">
        <v>205</v>
      </c>
      <c r="X261" s="202"/>
      <c r="AB261" s="440"/>
      <c r="AC261" s="194" t="s">
        <v>205</v>
      </c>
      <c r="AD261" s="183"/>
      <c r="AE261" s="184"/>
      <c r="AF261" s="185"/>
    </row>
    <row r="262" spans="2:69" ht="12.75" customHeight="1" thickTop="1" thickBot="1" x14ac:dyDescent="0.25">
      <c r="P262" s="439"/>
      <c r="Q262" s="195"/>
      <c r="R262" s="192"/>
      <c r="V262" s="439"/>
      <c r="W262" s="213"/>
      <c r="X262" s="190"/>
      <c r="AB262" s="439"/>
      <c r="AC262" s="213"/>
      <c r="AD262" s="190"/>
      <c r="AE262" s="190"/>
      <c r="AF262" s="190"/>
    </row>
    <row r="263" spans="2:69" ht="12.75" customHeight="1" thickTop="1" x14ac:dyDescent="0.2"/>
    <row r="265" spans="2:69" ht="12.75" customHeight="1" thickBot="1" x14ac:dyDescent="0.25"/>
    <row r="266" spans="2:69" ht="37.5" customHeight="1" thickTop="1" thickBot="1" x14ac:dyDescent="0.25">
      <c r="D266" s="187" t="s">
        <v>198</v>
      </c>
      <c r="E266" s="188" t="s">
        <v>199</v>
      </c>
      <c r="F266" s="189" t="s">
        <v>200</v>
      </c>
      <c r="G266" s="192"/>
      <c r="N266" s="192"/>
      <c r="T266" s="207" t="s">
        <v>198</v>
      </c>
      <c r="U266" s="192"/>
      <c r="AA266" s="187" t="s">
        <v>198</v>
      </c>
      <c r="AB266" s="188" t="s">
        <v>199</v>
      </c>
      <c r="AC266" s="189" t="s">
        <v>200</v>
      </c>
      <c r="AD266" s="192"/>
      <c r="AI266" s="175" t="s">
        <v>207</v>
      </c>
      <c r="AN266" s="445" t="s">
        <v>207</v>
      </c>
      <c r="AO266" s="448"/>
      <c r="AP266" s="444"/>
      <c r="AZ266" s="174" t="s">
        <v>207</v>
      </c>
      <c r="BE266" s="442" t="s">
        <v>207</v>
      </c>
      <c r="BF266" s="443"/>
      <c r="BG266" s="446"/>
      <c r="BQ266" s="174" t="s">
        <v>207</v>
      </c>
    </row>
    <row r="267" spans="2:69" ht="12.75" customHeight="1" thickTop="1" thickBot="1" x14ac:dyDescent="0.25">
      <c r="B267" s="438" t="s">
        <v>208</v>
      </c>
      <c r="C267" s="209" t="s">
        <v>203</v>
      </c>
      <c r="D267" s="197"/>
      <c r="E267" s="198"/>
      <c r="F267" s="199"/>
      <c r="G267" s="192"/>
      <c r="K267" s="438" t="s">
        <v>208</v>
      </c>
      <c r="L267" s="210" t="s">
        <v>203</v>
      </c>
      <c r="N267" s="192"/>
      <c r="R267" s="438" t="s">
        <v>208</v>
      </c>
      <c r="S267" s="191" t="s">
        <v>203</v>
      </c>
      <c r="T267" s="200"/>
      <c r="U267" s="192"/>
      <c r="Y267" s="438" t="s">
        <v>208</v>
      </c>
      <c r="Z267" s="191" t="s">
        <v>203</v>
      </c>
      <c r="AA267" s="177"/>
      <c r="AB267" s="178"/>
      <c r="AC267" s="179"/>
      <c r="AD267" s="192"/>
      <c r="AT267" s="214" t="s">
        <v>208</v>
      </c>
      <c r="AY267" s="215" t="s">
        <v>208</v>
      </c>
      <c r="AZ267" s="196"/>
      <c r="BD267" s="215" t="s">
        <v>208</v>
      </c>
      <c r="BE267" s="197"/>
      <c r="BF267" s="198"/>
      <c r="BG267" s="199"/>
      <c r="BK267" s="441" t="s">
        <v>208</v>
      </c>
      <c r="BP267" s="438" t="s">
        <v>208</v>
      </c>
      <c r="BQ267" s="200"/>
    </row>
    <row r="268" spans="2:69" ht="12.75" customHeight="1" thickTop="1" thickBot="1" x14ac:dyDescent="0.25">
      <c r="B268" s="439"/>
      <c r="C268" s="195"/>
      <c r="D268" s="192"/>
      <c r="E268" s="192"/>
      <c r="F268" s="192"/>
      <c r="G268" s="192"/>
      <c r="K268" s="440"/>
      <c r="L268" s="211" t="s">
        <v>204</v>
      </c>
      <c r="N268" s="192"/>
      <c r="R268" s="440"/>
      <c r="S268" s="193" t="s">
        <v>204</v>
      </c>
      <c r="T268" s="201"/>
      <c r="U268" s="192"/>
      <c r="Y268" s="440"/>
      <c r="Z268" s="193" t="s">
        <v>204</v>
      </c>
      <c r="AA268" s="180"/>
      <c r="AB268" s="181"/>
      <c r="AC268" s="182"/>
      <c r="AD268" s="192"/>
      <c r="BK268" s="449"/>
      <c r="BP268" s="440"/>
      <c r="BQ268" s="201"/>
    </row>
    <row r="269" spans="2:69" ht="12.75" customHeight="1" thickTop="1" thickBot="1" x14ac:dyDescent="0.25">
      <c r="K269" s="440"/>
      <c r="L269" s="212" t="s">
        <v>205</v>
      </c>
      <c r="N269" s="192"/>
      <c r="R269" s="440"/>
      <c r="S269" s="194" t="s">
        <v>205</v>
      </c>
      <c r="T269" s="202"/>
      <c r="U269" s="192"/>
      <c r="Y269" s="440"/>
      <c r="Z269" s="194" t="s">
        <v>205</v>
      </c>
      <c r="AA269" s="183"/>
      <c r="AB269" s="184"/>
      <c r="AC269" s="185"/>
      <c r="AD269" s="192"/>
      <c r="BK269" s="439"/>
      <c r="BP269" s="447"/>
      <c r="BQ269" s="202"/>
    </row>
    <row r="270" spans="2:69" ht="12.75" customHeight="1" thickTop="1" thickBot="1" x14ac:dyDescent="0.25">
      <c r="K270" s="439"/>
      <c r="L270" s="195"/>
      <c r="M270" s="192"/>
      <c r="N270" s="192"/>
      <c r="R270" s="439"/>
      <c r="S270" s="195"/>
      <c r="T270" s="192"/>
      <c r="U270" s="192"/>
      <c r="Y270" s="439"/>
      <c r="Z270" s="195"/>
      <c r="AA270" s="192"/>
      <c r="AB270" s="192"/>
      <c r="AC270" s="192"/>
      <c r="AD270" s="192"/>
    </row>
    <row r="271" spans="2:69" ht="12.75" customHeight="1" thickTop="1" x14ac:dyDescent="0.2"/>
    <row r="273" spans="2:70" ht="12.75" customHeight="1" thickBot="1" x14ac:dyDescent="0.25"/>
    <row r="274" spans="2:70" ht="37.5" customHeight="1" thickTop="1" thickBot="1" x14ac:dyDescent="0.25">
      <c r="C274" s="442" t="s">
        <v>207</v>
      </c>
      <c r="D274" s="443"/>
      <c r="E274" s="446"/>
      <c r="J274" s="445" t="s">
        <v>207</v>
      </c>
      <c r="K274" s="444"/>
      <c r="P274" s="445" t="s">
        <v>207</v>
      </c>
      <c r="Q274" s="444"/>
      <c r="V274" s="445" t="s">
        <v>207</v>
      </c>
      <c r="W274" s="448"/>
      <c r="X274" s="448"/>
      <c r="Y274" s="444"/>
      <c r="AD274" s="445" t="s">
        <v>207</v>
      </c>
      <c r="AE274" s="444"/>
      <c r="AJ274" s="442" t="s">
        <v>207</v>
      </c>
      <c r="AK274" s="444"/>
      <c r="AP274" s="442" t="s">
        <v>207</v>
      </c>
      <c r="AQ274" s="443"/>
      <c r="AR274" s="443"/>
      <c r="AS274" s="444"/>
      <c r="AX274" s="445" t="s">
        <v>207</v>
      </c>
      <c r="AY274" s="444"/>
      <c r="BD274" s="442" t="s">
        <v>207</v>
      </c>
      <c r="BE274" s="444"/>
      <c r="BJ274" s="442" t="s">
        <v>207</v>
      </c>
      <c r="BK274" s="443"/>
      <c r="BL274" s="443"/>
      <c r="BM274" s="444"/>
    </row>
    <row r="275" spans="2:70" ht="12.75" customHeight="1" thickTop="1" thickBot="1" x14ac:dyDescent="0.25">
      <c r="B275" s="438" t="s">
        <v>208</v>
      </c>
      <c r="C275" s="177"/>
      <c r="D275" s="178"/>
      <c r="E275" s="179"/>
      <c r="K275" s="190"/>
      <c r="Q275" s="190"/>
      <c r="Y275" s="190"/>
      <c r="AC275" s="214" t="s">
        <v>208</v>
      </c>
      <c r="AE275" s="190"/>
      <c r="AI275" s="215" t="s">
        <v>208</v>
      </c>
      <c r="AJ275" s="196"/>
      <c r="AK275" s="213"/>
      <c r="AO275" s="215" t="s">
        <v>208</v>
      </c>
      <c r="AP275" s="197"/>
      <c r="AQ275" s="198"/>
      <c r="AR275" s="199"/>
      <c r="AS275" s="213"/>
      <c r="AW275" s="441" t="s">
        <v>208</v>
      </c>
      <c r="AY275" s="190"/>
      <c r="BC275" s="438" t="s">
        <v>208</v>
      </c>
      <c r="BD275" s="200"/>
      <c r="BE275" s="213"/>
      <c r="BI275" s="438" t="s">
        <v>208</v>
      </c>
      <c r="BJ275" s="177"/>
      <c r="BK275" s="178"/>
      <c r="BL275" s="179"/>
      <c r="BM275" s="213"/>
      <c r="BQ275" s="441" t="s">
        <v>208</v>
      </c>
    </row>
    <row r="276" spans="2:70" ht="12.75" customHeight="1" thickTop="1" thickBot="1" x14ac:dyDescent="0.25">
      <c r="B276" s="440"/>
      <c r="C276" s="180"/>
      <c r="D276" s="181"/>
      <c r="E276" s="182"/>
      <c r="AW276" s="449"/>
      <c r="AY276" s="192"/>
      <c r="BC276" s="440"/>
      <c r="BD276" s="201"/>
      <c r="BE276" s="195"/>
      <c r="BI276" s="440"/>
      <c r="BJ276" s="180"/>
      <c r="BK276" s="181"/>
      <c r="BL276" s="182"/>
      <c r="BM276" s="195"/>
      <c r="BQ276" s="439"/>
      <c r="BR276" s="195"/>
    </row>
    <row r="277" spans="2:70" ht="12.75" customHeight="1" thickTop="1" thickBot="1" x14ac:dyDescent="0.25">
      <c r="B277" s="447"/>
      <c r="C277" s="183"/>
      <c r="D277" s="184"/>
      <c r="E277" s="185"/>
      <c r="AW277" s="439"/>
      <c r="AY277" s="192"/>
      <c r="BC277" s="447"/>
      <c r="BD277" s="202"/>
      <c r="BE277" s="195"/>
      <c r="BI277" s="447"/>
      <c r="BJ277" s="183"/>
      <c r="BK277" s="184"/>
      <c r="BL277" s="185"/>
      <c r="BM277" s="195"/>
    </row>
    <row r="278" spans="2:70" ht="12.75" customHeight="1" thickTop="1" x14ac:dyDescent="0.2"/>
    <row r="280" spans="2:70" ht="12.75" customHeight="1" thickBot="1" x14ac:dyDescent="0.25"/>
    <row r="281" spans="2:70" ht="37.5" customHeight="1" thickTop="1" thickBot="1" x14ac:dyDescent="0.25">
      <c r="C281" s="175" t="s">
        <v>207</v>
      </c>
      <c r="H281" s="445" t="s">
        <v>207</v>
      </c>
      <c r="I281" s="448"/>
      <c r="J281" s="444"/>
      <c r="T281" s="174" t="s">
        <v>207</v>
      </c>
      <c r="Y281" s="442" t="s">
        <v>207</v>
      </c>
      <c r="Z281" s="443"/>
      <c r="AA281" s="446"/>
      <c r="AK281" s="174" t="s">
        <v>207</v>
      </c>
      <c r="AP281" s="442" t="s">
        <v>207</v>
      </c>
      <c r="AQ281" s="443"/>
      <c r="AR281" s="446"/>
      <c r="AW281" s="445" t="s">
        <v>207</v>
      </c>
      <c r="AX281" s="444"/>
      <c r="BC281" s="445" t="s">
        <v>207</v>
      </c>
      <c r="BD281" s="444"/>
      <c r="BI281" s="445" t="s">
        <v>207</v>
      </c>
      <c r="BJ281" s="448"/>
      <c r="BK281" s="448"/>
      <c r="BL281" s="444"/>
      <c r="BQ281" s="445" t="s">
        <v>207</v>
      </c>
      <c r="BR281" s="444"/>
    </row>
    <row r="282" spans="2:70" ht="12.75" customHeight="1" thickTop="1" thickBot="1" x14ac:dyDescent="0.25">
      <c r="B282" s="441" t="s">
        <v>208</v>
      </c>
      <c r="G282" s="441" t="s">
        <v>208</v>
      </c>
      <c r="N282" s="441" t="s">
        <v>208</v>
      </c>
      <c r="S282" s="438" t="s">
        <v>208</v>
      </c>
      <c r="T282" s="196"/>
      <c r="X282" s="438" t="s">
        <v>208</v>
      </c>
      <c r="Y282" s="197"/>
      <c r="Z282" s="198"/>
      <c r="AA282" s="199"/>
      <c r="AE282" s="441" t="s">
        <v>208</v>
      </c>
      <c r="AJ282" s="438" t="s">
        <v>208</v>
      </c>
      <c r="AK282" s="200"/>
      <c r="AO282" s="438" t="s">
        <v>208</v>
      </c>
      <c r="AP282" s="177"/>
      <c r="AQ282" s="178"/>
      <c r="AR282" s="179"/>
      <c r="AV282" s="441" t="s">
        <v>208</v>
      </c>
      <c r="AX282" s="190"/>
      <c r="BB282" s="441" t="s">
        <v>208</v>
      </c>
      <c r="BD282" s="190"/>
      <c r="BH282" s="441" t="s">
        <v>208</v>
      </c>
      <c r="BL282" s="190"/>
      <c r="BP282" s="441" t="s">
        <v>208</v>
      </c>
      <c r="BR282" s="190"/>
    </row>
    <row r="283" spans="2:70" ht="12.75" customHeight="1" thickTop="1" thickBot="1" x14ac:dyDescent="0.25">
      <c r="B283" s="439"/>
      <c r="C283" s="195"/>
      <c r="G283" s="439"/>
      <c r="H283" s="195"/>
      <c r="I283" s="192"/>
      <c r="J283" s="192"/>
      <c r="N283" s="439"/>
      <c r="O283" s="195"/>
      <c r="S283" s="439"/>
      <c r="T283" s="213"/>
      <c r="X283" s="439"/>
      <c r="Y283" s="213"/>
      <c r="Z283" s="190"/>
      <c r="AA283" s="190"/>
      <c r="AE283" s="449"/>
      <c r="AJ283" s="440"/>
      <c r="AK283" s="201"/>
      <c r="AO283" s="440"/>
      <c r="AP283" s="180"/>
      <c r="AQ283" s="181"/>
      <c r="AR283" s="182"/>
      <c r="AV283" s="439"/>
      <c r="AW283" s="195"/>
      <c r="AX283" s="192"/>
      <c r="BB283" s="439"/>
      <c r="BC283" s="195"/>
      <c r="BD283" s="192"/>
      <c r="BH283" s="439"/>
      <c r="BI283" s="195"/>
      <c r="BJ283" s="192"/>
      <c r="BK283" s="192"/>
      <c r="BL283" s="192"/>
      <c r="BP283" s="439"/>
      <c r="BQ283" s="195"/>
      <c r="BR283" s="192"/>
    </row>
    <row r="284" spans="2:70" ht="12.75" customHeight="1" thickTop="1" thickBot="1" x14ac:dyDescent="0.25">
      <c r="AE284" s="449"/>
      <c r="AJ284" s="440"/>
      <c r="AK284" s="202"/>
      <c r="AO284" s="440"/>
      <c r="AP284" s="183"/>
      <c r="AQ284" s="184"/>
      <c r="AR284" s="185"/>
    </row>
    <row r="285" spans="2:70" ht="12.75" customHeight="1" thickTop="1" thickBot="1" x14ac:dyDescent="0.25">
      <c r="AE285" s="439"/>
      <c r="AF285" s="195"/>
      <c r="AJ285" s="439"/>
      <c r="AK285" s="213"/>
      <c r="AO285" s="439"/>
      <c r="AP285" s="213"/>
      <c r="AQ285" s="190"/>
      <c r="AR285" s="190"/>
    </row>
    <row r="286" spans="2:70" ht="12.75" customHeight="1" thickTop="1" x14ac:dyDescent="0.2"/>
    <row r="288" spans="2:70" ht="12.75" customHeight="1" thickBot="1" x14ac:dyDescent="0.25"/>
    <row r="289" spans="2:71" ht="37.5" customHeight="1" thickTop="1" thickBot="1" x14ac:dyDescent="0.25">
      <c r="C289" s="442" t="s">
        <v>207</v>
      </c>
      <c r="D289" s="444"/>
      <c r="I289" s="442" t="s">
        <v>207</v>
      </c>
      <c r="J289" s="443"/>
      <c r="K289" s="443"/>
      <c r="L289" s="444"/>
      <c r="Q289" s="445" t="s">
        <v>207</v>
      </c>
      <c r="R289" s="444"/>
      <c r="W289" s="442" t="s">
        <v>207</v>
      </c>
      <c r="X289" s="444"/>
      <c r="AC289" s="442" t="s">
        <v>207</v>
      </c>
      <c r="AD289" s="443"/>
      <c r="AE289" s="443"/>
      <c r="AF289" s="444"/>
      <c r="AK289" s="174" t="s">
        <v>207</v>
      </c>
      <c r="AP289" s="442" t="s">
        <v>207</v>
      </c>
      <c r="AQ289" s="443"/>
      <c r="AR289" s="446"/>
      <c r="BB289" s="174" t="s">
        <v>207</v>
      </c>
      <c r="BG289" s="442" t="s">
        <v>207</v>
      </c>
      <c r="BH289" s="443"/>
      <c r="BI289" s="446"/>
      <c r="BS289" s="174" t="s">
        <v>207</v>
      </c>
    </row>
    <row r="290" spans="2:71" ht="78" customHeight="1" thickTop="1" thickBot="1" x14ac:dyDescent="0.25">
      <c r="B290" s="438" t="s">
        <v>208</v>
      </c>
      <c r="C290" s="196"/>
      <c r="D290" s="190"/>
      <c r="H290" s="438" t="s">
        <v>208</v>
      </c>
      <c r="I290" s="197"/>
      <c r="J290" s="198"/>
      <c r="K290" s="199"/>
      <c r="L290" s="190"/>
      <c r="P290" s="441" t="s">
        <v>208</v>
      </c>
      <c r="R290" s="190"/>
      <c r="V290" s="438" t="s">
        <v>208</v>
      </c>
      <c r="W290" s="200"/>
      <c r="X290" s="190"/>
      <c r="AB290" s="438" t="s">
        <v>208</v>
      </c>
      <c r="AC290" s="177"/>
      <c r="AD290" s="178"/>
      <c r="AE290" s="179"/>
      <c r="AF290" s="190"/>
      <c r="AK290" s="203" t="s">
        <v>198</v>
      </c>
      <c r="AP290" s="204" t="s">
        <v>198</v>
      </c>
      <c r="AQ290" s="205" t="s">
        <v>199</v>
      </c>
      <c r="AR290" s="206" t="s">
        <v>200</v>
      </c>
      <c r="BB290" s="207" t="s">
        <v>198</v>
      </c>
      <c r="BG290" s="187" t="s">
        <v>198</v>
      </c>
      <c r="BH290" s="188" t="s">
        <v>199</v>
      </c>
      <c r="BI290" s="189" t="s">
        <v>200</v>
      </c>
      <c r="BS290" s="207" t="s">
        <v>198</v>
      </c>
    </row>
    <row r="291" spans="2:71" ht="78" customHeight="1" thickTop="1" thickBot="1" x14ac:dyDescent="0.25">
      <c r="B291" s="439"/>
      <c r="C291" s="195"/>
      <c r="D291" s="192"/>
      <c r="H291" s="439"/>
      <c r="I291" s="195"/>
      <c r="J291" s="192"/>
      <c r="K291" s="192"/>
      <c r="L291" s="192"/>
      <c r="P291" s="449"/>
      <c r="R291" s="192"/>
      <c r="V291" s="440"/>
      <c r="W291" s="201"/>
      <c r="X291" s="192"/>
      <c r="AB291" s="440"/>
      <c r="AC291" s="180"/>
      <c r="AD291" s="181"/>
      <c r="AE291" s="182"/>
      <c r="AF291" s="192"/>
      <c r="AV291" s="214" t="s">
        <v>208</v>
      </c>
      <c r="BA291" s="215" t="s">
        <v>208</v>
      </c>
      <c r="BB291" s="196"/>
      <c r="BF291" s="215" t="s">
        <v>208</v>
      </c>
      <c r="BG291" s="197"/>
      <c r="BH291" s="198"/>
      <c r="BI291" s="199"/>
      <c r="BM291" s="441" t="s">
        <v>208</v>
      </c>
      <c r="BR291" s="438" t="s">
        <v>208</v>
      </c>
      <c r="BS291" s="200"/>
    </row>
    <row r="292" spans="2:71" ht="78" customHeight="1" thickTop="1" thickBot="1" x14ac:dyDescent="0.25">
      <c r="P292" s="449"/>
      <c r="R292" s="192"/>
      <c r="V292" s="440"/>
      <c r="W292" s="202"/>
      <c r="X292" s="192"/>
      <c r="AB292" s="440"/>
      <c r="AC292" s="183"/>
      <c r="AD292" s="184"/>
      <c r="AE292" s="185"/>
      <c r="AF292" s="192"/>
      <c r="BM292" s="449"/>
      <c r="BR292" s="440"/>
      <c r="BS292" s="201"/>
    </row>
    <row r="293" spans="2:71" ht="78" customHeight="1" thickTop="1" thickBot="1" x14ac:dyDescent="0.25">
      <c r="P293" s="439"/>
      <c r="Q293" s="195"/>
      <c r="R293" s="192"/>
      <c r="V293" s="439"/>
      <c r="W293" s="195"/>
      <c r="X293" s="192"/>
      <c r="AB293" s="439"/>
      <c r="AC293" s="195"/>
      <c r="AD293" s="192"/>
      <c r="AE293" s="192"/>
      <c r="AF293" s="192"/>
      <c r="BM293" s="439"/>
      <c r="BR293" s="447"/>
      <c r="BS293" s="202"/>
    </row>
    <row r="294" spans="2:71" ht="12.75" customHeight="1" thickTop="1" x14ac:dyDescent="0.2"/>
    <row r="296" spans="2:71" ht="12.75" customHeight="1" thickBot="1" x14ac:dyDescent="0.25"/>
    <row r="297" spans="2:71" ht="37.5" customHeight="1" thickTop="1" thickBot="1" x14ac:dyDescent="0.25">
      <c r="C297" s="442" t="s">
        <v>207</v>
      </c>
      <c r="D297" s="443"/>
      <c r="E297" s="446"/>
      <c r="J297" s="445" t="s">
        <v>207</v>
      </c>
      <c r="K297" s="444"/>
      <c r="P297" s="442" t="s">
        <v>207</v>
      </c>
      <c r="Q297" s="444"/>
      <c r="V297" s="442" t="s">
        <v>207</v>
      </c>
      <c r="W297" s="443"/>
      <c r="X297" s="443"/>
      <c r="Y297" s="444"/>
      <c r="AD297" s="445" t="s">
        <v>207</v>
      </c>
      <c r="AE297" s="444"/>
      <c r="AJ297" s="442" t="s">
        <v>207</v>
      </c>
      <c r="AK297" s="444"/>
      <c r="AP297" s="442" t="s">
        <v>207</v>
      </c>
      <c r="AQ297" s="443"/>
      <c r="AR297" s="443"/>
      <c r="AS297" s="444"/>
      <c r="AX297" s="445" t="s">
        <v>207</v>
      </c>
      <c r="AY297" s="444"/>
      <c r="BD297" s="442" t="s">
        <v>207</v>
      </c>
      <c r="BE297" s="444"/>
      <c r="BJ297" s="442" t="s">
        <v>207</v>
      </c>
      <c r="BK297" s="443"/>
      <c r="BL297" s="443"/>
      <c r="BM297" s="444"/>
    </row>
    <row r="298" spans="2:71" ht="78" customHeight="1" thickTop="1" thickBot="1" x14ac:dyDescent="0.25">
      <c r="C298" s="187" t="s">
        <v>198</v>
      </c>
      <c r="D298" s="188" t="s">
        <v>199</v>
      </c>
      <c r="E298" s="189" t="s">
        <v>200</v>
      </c>
      <c r="K298" s="190"/>
      <c r="P298" s="203" t="s">
        <v>198</v>
      </c>
      <c r="Q298" s="190"/>
      <c r="V298" s="204" t="s">
        <v>198</v>
      </c>
      <c r="W298" s="205" t="s">
        <v>199</v>
      </c>
      <c r="X298" s="206" t="s">
        <v>200</v>
      </c>
      <c r="Y298" s="190"/>
      <c r="AE298" s="190"/>
      <c r="AJ298" s="207" t="s">
        <v>198</v>
      </c>
      <c r="AK298" s="213"/>
      <c r="AP298" s="187" t="s">
        <v>198</v>
      </c>
      <c r="AQ298" s="188" t="s">
        <v>199</v>
      </c>
      <c r="AR298" s="189" t="s">
        <v>200</v>
      </c>
      <c r="AS298" s="213"/>
      <c r="AY298" s="190"/>
      <c r="BD298" s="207" t="s">
        <v>198</v>
      </c>
      <c r="BE298" s="213"/>
      <c r="BJ298" s="187" t="s">
        <v>198</v>
      </c>
      <c r="BK298" s="188" t="s">
        <v>199</v>
      </c>
      <c r="BL298" s="189" t="s">
        <v>200</v>
      </c>
      <c r="BM298" s="213"/>
    </row>
    <row r="299" spans="2:71" ht="12.75" customHeight="1" thickTop="1" thickBot="1" x14ac:dyDescent="0.25">
      <c r="B299" s="438" t="s">
        <v>208</v>
      </c>
      <c r="C299" s="177"/>
      <c r="D299" s="178"/>
      <c r="E299" s="179"/>
      <c r="K299" s="192"/>
      <c r="Q299" s="192"/>
      <c r="Y299" s="192"/>
      <c r="AC299" s="214" t="s">
        <v>208</v>
      </c>
      <c r="AE299" s="192"/>
      <c r="AI299" s="215" t="s">
        <v>208</v>
      </c>
      <c r="AJ299" s="196"/>
      <c r="AK299" s="195"/>
      <c r="AO299" s="215" t="s">
        <v>208</v>
      </c>
      <c r="AP299" s="197"/>
      <c r="AQ299" s="198"/>
      <c r="AR299" s="199"/>
      <c r="AS299" s="195"/>
      <c r="AW299" s="441" t="s">
        <v>208</v>
      </c>
      <c r="AY299" s="192"/>
      <c r="BC299" s="438" t="s">
        <v>208</v>
      </c>
      <c r="BD299" s="200"/>
      <c r="BE299" s="195"/>
      <c r="BI299" s="438" t="s">
        <v>208</v>
      </c>
      <c r="BJ299" s="177"/>
      <c r="BK299" s="178"/>
      <c r="BL299" s="179"/>
      <c r="BM299" s="195"/>
      <c r="BQ299" s="441" t="s">
        <v>208</v>
      </c>
    </row>
    <row r="300" spans="2:71" ht="12.75" customHeight="1" thickTop="1" thickBot="1" x14ac:dyDescent="0.25">
      <c r="B300" s="440"/>
      <c r="C300" s="180"/>
      <c r="D300" s="181"/>
      <c r="E300" s="182"/>
      <c r="AW300" s="449"/>
      <c r="AY300" s="192"/>
      <c r="BC300" s="440"/>
      <c r="BD300" s="201"/>
      <c r="BE300" s="195"/>
      <c r="BI300" s="440"/>
      <c r="BJ300" s="180"/>
      <c r="BK300" s="181"/>
      <c r="BL300" s="182"/>
      <c r="BM300" s="195"/>
      <c r="BQ300" s="439"/>
      <c r="BR300" s="195"/>
    </row>
    <row r="301" spans="2:71" ht="12.75" customHeight="1" thickTop="1" thickBot="1" x14ac:dyDescent="0.25">
      <c r="B301" s="447"/>
      <c r="C301" s="183"/>
      <c r="D301" s="184"/>
      <c r="E301" s="185"/>
      <c r="AW301" s="439"/>
      <c r="AY301" s="192"/>
      <c r="BC301" s="447"/>
      <c r="BD301" s="202"/>
      <c r="BE301" s="195"/>
      <c r="BI301" s="447"/>
      <c r="BJ301" s="183"/>
      <c r="BK301" s="184"/>
      <c r="BL301" s="185"/>
      <c r="BM301" s="195"/>
    </row>
    <row r="302" spans="2:71" ht="12.75" customHeight="1" thickTop="1" x14ac:dyDescent="0.2"/>
    <row r="304" spans="2:71" ht="12.75" customHeight="1" thickBot="1" x14ac:dyDescent="0.25"/>
    <row r="305" spans="2:71" ht="37.5" customHeight="1" thickTop="1" thickBot="1" x14ac:dyDescent="0.25">
      <c r="C305" s="174" t="s">
        <v>207</v>
      </c>
      <c r="H305" s="442" t="s">
        <v>207</v>
      </c>
      <c r="I305" s="443"/>
      <c r="J305" s="446"/>
      <c r="T305" s="174" t="s">
        <v>207</v>
      </c>
      <c r="Y305" s="442" t="s">
        <v>207</v>
      </c>
      <c r="Z305" s="443"/>
      <c r="AA305" s="446"/>
      <c r="AK305" s="174" t="s">
        <v>207</v>
      </c>
      <c r="AP305" s="442" t="s">
        <v>207</v>
      </c>
      <c r="AQ305" s="443"/>
      <c r="AR305" s="446"/>
      <c r="AW305" s="445" t="s">
        <v>207</v>
      </c>
      <c r="AX305" s="444"/>
      <c r="BC305" s="442" t="s">
        <v>207</v>
      </c>
      <c r="BD305" s="444"/>
      <c r="BI305" s="442" t="s">
        <v>207</v>
      </c>
      <c r="BJ305" s="443"/>
      <c r="BK305" s="443"/>
      <c r="BL305" s="444"/>
      <c r="BQ305" s="445" t="s">
        <v>207</v>
      </c>
      <c r="BR305" s="444"/>
    </row>
    <row r="306" spans="2:71" ht="78" customHeight="1" thickTop="1" thickBot="1" x14ac:dyDescent="0.25">
      <c r="C306" s="203" t="s">
        <v>198</v>
      </c>
      <c r="H306" s="204" t="s">
        <v>198</v>
      </c>
      <c r="I306" s="205" t="s">
        <v>199</v>
      </c>
      <c r="J306" s="206" t="s">
        <v>200</v>
      </c>
      <c r="T306" s="207" t="s">
        <v>198</v>
      </c>
      <c r="Y306" s="187" t="s">
        <v>198</v>
      </c>
      <c r="Z306" s="188" t="s">
        <v>199</v>
      </c>
      <c r="AA306" s="189" t="s">
        <v>200</v>
      </c>
      <c r="AK306" s="207" t="s">
        <v>198</v>
      </c>
      <c r="AP306" s="187" t="s">
        <v>198</v>
      </c>
      <c r="AQ306" s="188" t="s">
        <v>199</v>
      </c>
      <c r="AR306" s="189" t="s">
        <v>200</v>
      </c>
      <c r="AX306" s="190"/>
      <c r="BC306" s="203" t="s">
        <v>198</v>
      </c>
      <c r="BD306" s="190"/>
      <c r="BI306" s="204" t="s">
        <v>198</v>
      </c>
      <c r="BJ306" s="205" t="s">
        <v>199</v>
      </c>
      <c r="BK306" s="206" t="s">
        <v>200</v>
      </c>
      <c r="BL306" s="190"/>
      <c r="BR306" s="190"/>
    </row>
    <row r="307" spans="2:71" ht="12.75" customHeight="1" thickTop="1" thickBot="1" x14ac:dyDescent="0.25">
      <c r="B307" s="441" t="s">
        <v>208</v>
      </c>
      <c r="G307" s="441" t="s">
        <v>208</v>
      </c>
      <c r="N307" s="441" t="s">
        <v>208</v>
      </c>
      <c r="S307" s="438" t="s">
        <v>208</v>
      </c>
      <c r="T307" s="196"/>
      <c r="X307" s="438" t="s">
        <v>208</v>
      </c>
      <c r="Y307" s="197"/>
      <c r="Z307" s="198"/>
      <c r="AA307" s="199"/>
      <c r="AE307" s="441" t="s">
        <v>208</v>
      </c>
      <c r="AJ307" s="438" t="s">
        <v>208</v>
      </c>
      <c r="AK307" s="200"/>
      <c r="AO307" s="438" t="s">
        <v>208</v>
      </c>
      <c r="AP307" s="177"/>
      <c r="AQ307" s="178"/>
      <c r="AR307" s="179"/>
      <c r="AV307" s="441" t="s">
        <v>208</v>
      </c>
      <c r="AX307" s="192"/>
      <c r="BB307" s="441" t="s">
        <v>208</v>
      </c>
      <c r="BD307" s="192"/>
      <c r="BH307" s="441" t="s">
        <v>208</v>
      </c>
      <c r="BL307" s="192"/>
      <c r="BP307" s="441" t="s">
        <v>208</v>
      </c>
      <c r="BR307" s="192"/>
    </row>
    <row r="308" spans="2:71" ht="12.75" customHeight="1" thickTop="1" thickBot="1" x14ac:dyDescent="0.25">
      <c r="B308" s="439"/>
      <c r="C308" s="195"/>
      <c r="G308" s="439"/>
      <c r="H308" s="195"/>
      <c r="I308" s="192"/>
      <c r="J308" s="192"/>
      <c r="N308" s="439"/>
      <c r="O308" s="195"/>
      <c r="S308" s="439"/>
      <c r="T308" s="213"/>
      <c r="X308" s="439"/>
      <c r="Y308" s="213"/>
      <c r="Z308" s="190"/>
      <c r="AA308" s="190"/>
      <c r="AE308" s="449"/>
      <c r="AJ308" s="440"/>
      <c r="AK308" s="201"/>
      <c r="AO308" s="440"/>
      <c r="AP308" s="180"/>
      <c r="AQ308" s="181"/>
      <c r="AR308" s="182"/>
      <c r="AV308" s="439"/>
      <c r="AW308" s="195"/>
      <c r="AX308" s="192"/>
      <c r="BB308" s="439"/>
      <c r="BC308" s="195"/>
      <c r="BD308" s="192"/>
      <c r="BH308" s="439"/>
      <c r="BI308" s="195"/>
      <c r="BJ308" s="192"/>
      <c r="BK308" s="192"/>
      <c r="BL308" s="192"/>
      <c r="BP308" s="439"/>
      <c r="BQ308" s="195"/>
      <c r="BR308" s="192"/>
    </row>
    <row r="309" spans="2:71" ht="12.75" customHeight="1" thickTop="1" thickBot="1" x14ac:dyDescent="0.25">
      <c r="AE309" s="449"/>
      <c r="AJ309" s="440"/>
      <c r="AK309" s="202"/>
      <c r="AO309" s="440"/>
      <c r="AP309" s="183"/>
      <c r="AQ309" s="184"/>
      <c r="AR309" s="185"/>
    </row>
    <row r="310" spans="2:71" ht="12.75" customHeight="1" thickTop="1" thickBot="1" x14ac:dyDescent="0.25">
      <c r="AE310" s="439"/>
      <c r="AF310" s="195"/>
      <c r="AJ310" s="439"/>
      <c r="AK310" s="213"/>
      <c r="AO310" s="439"/>
      <c r="AP310" s="213"/>
      <c r="AQ310" s="190"/>
      <c r="AR310" s="190"/>
    </row>
    <row r="311" spans="2:71" ht="12.75" customHeight="1" thickTop="1" x14ac:dyDescent="0.2"/>
    <row r="313" spans="2:71" ht="12.75" customHeight="1" thickBot="1" x14ac:dyDescent="0.25"/>
    <row r="314" spans="2:71" ht="37.5" customHeight="1" thickTop="1" thickBot="1" x14ac:dyDescent="0.25">
      <c r="C314" s="442" t="s">
        <v>207</v>
      </c>
      <c r="D314" s="444"/>
      <c r="I314" s="442" t="s">
        <v>207</v>
      </c>
      <c r="J314" s="443"/>
      <c r="K314" s="443"/>
      <c r="L314" s="444"/>
      <c r="Q314" s="445" t="s">
        <v>207</v>
      </c>
      <c r="R314" s="444"/>
      <c r="W314" s="442" t="s">
        <v>207</v>
      </c>
      <c r="X314" s="444"/>
      <c r="AC314" s="442" t="s">
        <v>207</v>
      </c>
      <c r="AD314" s="443"/>
      <c r="AE314" s="443"/>
      <c r="AF314" s="444"/>
      <c r="AL314" s="175" t="s">
        <v>207</v>
      </c>
      <c r="AR314" s="445" t="s">
        <v>207</v>
      </c>
      <c r="AS314" s="448"/>
      <c r="AT314" s="444"/>
      <c r="BF314" s="174" t="s">
        <v>207</v>
      </c>
      <c r="BL314" s="442" t="s">
        <v>207</v>
      </c>
      <c r="BM314" s="443"/>
      <c r="BN314" s="446"/>
    </row>
    <row r="315" spans="2:71" ht="78" customHeight="1" thickTop="1" thickBot="1" x14ac:dyDescent="0.25">
      <c r="C315" s="207" t="s">
        <v>198</v>
      </c>
      <c r="D315" s="190"/>
      <c r="I315" s="187" t="s">
        <v>198</v>
      </c>
      <c r="J315" s="188" t="s">
        <v>199</v>
      </c>
      <c r="K315" s="189" t="s">
        <v>200</v>
      </c>
      <c r="L315" s="190"/>
      <c r="R315" s="190"/>
      <c r="W315" s="207" t="s">
        <v>198</v>
      </c>
      <c r="X315" s="190"/>
      <c r="AC315" s="187" t="s">
        <v>198</v>
      </c>
      <c r="AD315" s="188" t="s">
        <v>199</v>
      </c>
      <c r="AE315" s="189" t="s">
        <v>200</v>
      </c>
      <c r="AF315" s="190"/>
      <c r="AX315" s="215" t="s">
        <v>208</v>
      </c>
      <c r="AY315" s="208" t="s">
        <v>203</v>
      </c>
      <c r="BD315" s="215" t="s">
        <v>208</v>
      </c>
      <c r="BE315" s="209" t="s">
        <v>203</v>
      </c>
      <c r="BF315" s="196"/>
      <c r="BJ315" s="215" t="s">
        <v>208</v>
      </c>
      <c r="BK315" s="209" t="s">
        <v>203</v>
      </c>
      <c r="BL315" s="197"/>
      <c r="BM315" s="198"/>
      <c r="BN315" s="199"/>
      <c r="BR315" s="438" t="s">
        <v>208</v>
      </c>
      <c r="BS315" s="210" t="s">
        <v>203</v>
      </c>
    </row>
    <row r="316" spans="2:71" ht="12.75" customHeight="1" thickTop="1" thickBot="1" x14ac:dyDescent="0.25">
      <c r="B316" s="438" t="s">
        <v>208</v>
      </c>
      <c r="C316" s="196"/>
      <c r="D316" s="192"/>
      <c r="H316" s="438" t="s">
        <v>208</v>
      </c>
      <c r="I316" s="197"/>
      <c r="J316" s="198"/>
      <c r="K316" s="199"/>
      <c r="L316" s="192"/>
      <c r="P316" s="441" t="s">
        <v>208</v>
      </c>
      <c r="R316" s="192"/>
      <c r="V316" s="438" t="s">
        <v>208</v>
      </c>
      <c r="W316" s="200"/>
      <c r="X316" s="192"/>
      <c r="AB316" s="438" t="s">
        <v>208</v>
      </c>
      <c r="AC316" s="177"/>
      <c r="AD316" s="178"/>
      <c r="AE316" s="179"/>
      <c r="AF316" s="192"/>
      <c r="BR316" s="440"/>
      <c r="BS316" s="211" t="s">
        <v>204</v>
      </c>
    </row>
    <row r="317" spans="2:71" ht="12.75" customHeight="1" thickTop="1" thickBot="1" x14ac:dyDescent="0.25">
      <c r="B317" s="439"/>
      <c r="C317" s="195"/>
      <c r="D317" s="192"/>
      <c r="H317" s="439"/>
      <c r="I317" s="195"/>
      <c r="J317" s="192"/>
      <c r="K317" s="192"/>
      <c r="L317" s="192"/>
      <c r="P317" s="449"/>
      <c r="R317" s="192"/>
      <c r="V317" s="440"/>
      <c r="W317" s="201"/>
      <c r="X317" s="192"/>
      <c r="AB317" s="440"/>
      <c r="AC317" s="180"/>
      <c r="AD317" s="181"/>
      <c r="AE317" s="182"/>
      <c r="AF317" s="192"/>
      <c r="BR317" s="447"/>
      <c r="BS317" s="212" t="s">
        <v>205</v>
      </c>
    </row>
    <row r="318" spans="2:71" ht="12.75" customHeight="1" thickTop="1" thickBot="1" x14ac:dyDescent="0.25">
      <c r="P318" s="449"/>
      <c r="R318" s="192"/>
      <c r="V318" s="440"/>
      <c r="W318" s="202"/>
      <c r="X318" s="192"/>
      <c r="AB318" s="440"/>
      <c r="AC318" s="183"/>
      <c r="AD318" s="184"/>
      <c r="AE318" s="185"/>
      <c r="AF318" s="192"/>
    </row>
    <row r="319" spans="2:71" ht="12.75" customHeight="1" thickTop="1" thickBot="1" x14ac:dyDescent="0.25">
      <c r="P319" s="439"/>
      <c r="Q319" s="195"/>
      <c r="R319" s="192"/>
      <c r="V319" s="439"/>
      <c r="W319" s="195"/>
      <c r="X319" s="192"/>
      <c r="AB319" s="439"/>
      <c r="AC319" s="195"/>
      <c r="AD319" s="192"/>
      <c r="AE319" s="192"/>
      <c r="AF319" s="192"/>
    </row>
    <row r="320" spans="2:71" ht="12.75" customHeight="1" thickTop="1" x14ac:dyDescent="0.2"/>
    <row r="322" spans="2:72" ht="12.75" customHeight="1" thickBot="1" x14ac:dyDescent="0.25"/>
    <row r="323" spans="2:72" ht="37.5" customHeight="1" thickTop="1" thickBot="1" x14ac:dyDescent="0.25">
      <c r="D323" s="174" t="s">
        <v>207</v>
      </c>
      <c r="J323" s="442" t="s">
        <v>207</v>
      </c>
      <c r="K323" s="443"/>
      <c r="L323" s="446"/>
      <c r="R323" s="445" t="s">
        <v>207</v>
      </c>
      <c r="S323" s="444"/>
      <c r="Y323" s="445" t="s">
        <v>207</v>
      </c>
      <c r="Z323" s="444"/>
      <c r="AF323" s="445" t="s">
        <v>207</v>
      </c>
      <c r="AG323" s="448"/>
      <c r="AH323" s="448"/>
      <c r="AI323" s="444"/>
      <c r="AO323" s="445" t="s">
        <v>207</v>
      </c>
      <c r="AP323" s="444"/>
      <c r="AV323" s="442" t="s">
        <v>207</v>
      </c>
      <c r="AW323" s="444"/>
      <c r="BC323" s="442" t="s">
        <v>207</v>
      </c>
      <c r="BD323" s="443"/>
      <c r="BE323" s="443"/>
      <c r="BF323" s="444"/>
      <c r="BL323" s="445" t="s">
        <v>207</v>
      </c>
      <c r="BM323" s="444"/>
      <c r="BS323" s="442" t="s">
        <v>207</v>
      </c>
      <c r="BT323" s="444"/>
    </row>
    <row r="324" spans="2:72" ht="12.75" customHeight="1" thickTop="1" thickBot="1" x14ac:dyDescent="0.25">
      <c r="B324" s="438" t="s">
        <v>208</v>
      </c>
      <c r="C324" s="191" t="s">
        <v>203</v>
      </c>
      <c r="D324" s="200"/>
      <c r="H324" s="438" t="s">
        <v>208</v>
      </c>
      <c r="I324" s="191" t="s">
        <v>203</v>
      </c>
      <c r="J324" s="177"/>
      <c r="K324" s="178"/>
      <c r="L324" s="179"/>
      <c r="S324" s="190"/>
      <c r="Z324" s="190"/>
      <c r="AI324" s="190"/>
      <c r="AM324" s="215" t="s">
        <v>208</v>
      </c>
      <c r="AN324" s="208" t="s">
        <v>203</v>
      </c>
      <c r="AP324" s="190"/>
      <c r="AT324" s="215" t="s">
        <v>208</v>
      </c>
      <c r="AU324" s="209" t="s">
        <v>203</v>
      </c>
      <c r="AV324" s="196"/>
      <c r="AW324" s="213"/>
      <c r="BA324" s="215" t="s">
        <v>208</v>
      </c>
      <c r="BB324" s="209" t="s">
        <v>203</v>
      </c>
      <c r="BC324" s="197"/>
      <c r="BD324" s="198"/>
      <c r="BE324" s="199"/>
      <c r="BF324" s="213"/>
      <c r="BJ324" s="438" t="s">
        <v>208</v>
      </c>
      <c r="BK324" s="210" t="s">
        <v>203</v>
      </c>
      <c r="BM324" s="190"/>
      <c r="BQ324" s="438" t="s">
        <v>208</v>
      </c>
      <c r="BR324" s="191" t="s">
        <v>203</v>
      </c>
      <c r="BS324" s="200"/>
      <c r="BT324" s="213"/>
    </row>
    <row r="325" spans="2:72" ht="12.75" customHeight="1" thickTop="1" x14ac:dyDescent="0.2">
      <c r="B325" s="440"/>
      <c r="C325" s="193" t="s">
        <v>204</v>
      </c>
      <c r="D325" s="201"/>
      <c r="H325" s="440"/>
      <c r="I325" s="193" t="s">
        <v>204</v>
      </c>
      <c r="J325" s="180"/>
      <c r="K325" s="181"/>
      <c r="L325" s="182"/>
      <c r="BJ325" s="440"/>
      <c r="BK325" s="211" t="s">
        <v>204</v>
      </c>
      <c r="BM325" s="192"/>
      <c r="BQ325" s="440"/>
      <c r="BR325" s="193" t="s">
        <v>204</v>
      </c>
      <c r="BS325" s="201"/>
      <c r="BT325" s="195"/>
    </row>
    <row r="326" spans="2:72" ht="12.75" customHeight="1" thickBot="1" x14ac:dyDescent="0.25">
      <c r="B326" s="447"/>
      <c r="C326" s="194" t="s">
        <v>205</v>
      </c>
      <c r="D326" s="202"/>
      <c r="H326" s="447"/>
      <c r="I326" s="194" t="s">
        <v>205</v>
      </c>
      <c r="J326" s="183"/>
      <c r="K326" s="184"/>
      <c r="L326" s="185"/>
      <c r="BJ326" s="447"/>
      <c r="BK326" s="212" t="s">
        <v>205</v>
      </c>
      <c r="BM326" s="192"/>
      <c r="BQ326" s="447"/>
      <c r="BR326" s="194" t="s">
        <v>205</v>
      </c>
      <c r="BS326" s="202"/>
      <c r="BT326" s="195"/>
    </row>
    <row r="327" spans="2:72" ht="12.75" customHeight="1" thickTop="1" x14ac:dyDescent="0.2"/>
    <row r="329" spans="2:72" ht="12.75" customHeight="1" thickBot="1" x14ac:dyDescent="0.25"/>
    <row r="330" spans="2:72" ht="37.5" customHeight="1" thickTop="1" thickBot="1" x14ac:dyDescent="0.25">
      <c r="D330" s="442" t="s">
        <v>207</v>
      </c>
      <c r="E330" s="443"/>
      <c r="F330" s="443"/>
      <c r="G330" s="444"/>
      <c r="S330" s="175" t="s">
        <v>207</v>
      </c>
      <c r="Y330" s="445" t="s">
        <v>207</v>
      </c>
      <c r="Z330" s="448"/>
      <c r="AA330" s="444"/>
      <c r="AM330" s="174" t="s">
        <v>207</v>
      </c>
      <c r="AS330" s="442" t="s">
        <v>207</v>
      </c>
      <c r="AT330" s="443"/>
      <c r="AU330" s="446"/>
      <c r="BG330" s="174" t="s">
        <v>207</v>
      </c>
      <c r="BM330" s="442" t="s">
        <v>207</v>
      </c>
      <c r="BN330" s="443"/>
      <c r="BO330" s="446"/>
    </row>
    <row r="331" spans="2:72" ht="12.75" customHeight="1" thickTop="1" thickBot="1" x14ac:dyDescent="0.25">
      <c r="B331" s="438" t="s">
        <v>208</v>
      </c>
      <c r="C331" s="191" t="s">
        <v>203</v>
      </c>
      <c r="D331" s="177"/>
      <c r="E331" s="178"/>
      <c r="F331" s="179"/>
      <c r="G331" s="213"/>
      <c r="K331" s="441" t="s">
        <v>208</v>
      </c>
      <c r="Q331" s="441" t="s">
        <v>208</v>
      </c>
      <c r="W331" s="441" t="s">
        <v>208</v>
      </c>
      <c r="AE331" s="438" t="s">
        <v>208</v>
      </c>
      <c r="AF331" s="208" t="s">
        <v>203</v>
      </c>
      <c r="AK331" s="438" t="s">
        <v>208</v>
      </c>
      <c r="AL331" s="209" t="s">
        <v>203</v>
      </c>
      <c r="AM331" s="196"/>
      <c r="AQ331" s="438" t="s">
        <v>208</v>
      </c>
      <c r="AR331" s="209" t="s">
        <v>203</v>
      </c>
      <c r="AS331" s="197"/>
      <c r="AT331" s="198"/>
      <c r="AU331" s="199"/>
      <c r="AY331" s="438" t="s">
        <v>208</v>
      </c>
      <c r="AZ331" s="210" t="s">
        <v>203</v>
      </c>
      <c r="BE331" s="438" t="s">
        <v>208</v>
      </c>
      <c r="BF331" s="191" t="s">
        <v>203</v>
      </c>
      <c r="BG331" s="200"/>
      <c r="BK331" s="438" t="s">
        <v>208</v>
      </c>
      <c r="BL331" s="191" t="s">
        <v>203</v>
      </c>
      <c r="BM331" s="177"/>
      <c r="BN331" s="178"/>
      <c r="BO331" s="179"/>
    </row>
    <row r="332" spans="2:72" ht="12.75" customHeight="1" thickTop="1" thickBot="1" x14ac:dyDescent="0.25">
      <c r="B332" s="440"/>
      <c r="C332" s="193" t="s">
        <v>204</v>
      </c>
      <c r="D332" s="180"/>
      <c r="E332" s="181"/>
      <c r="F332" s="182"/>
      <c r="G332" s="195"/>
      <c r="K332" s="439"/>
      <c r="L332" s="195"/>
      <c r="M332" s="192"/>
      <c r="Q332" s="439"/>
      <c r="R332" s="195"/>
      <c r="S332" s="192"/>
      <c r="W332" s="439"/>
      <c r="X332" s="195"/>
      <c r="Y332" s="192"/>
      <c r="Z332" s="192"/>
      <c r="AA332" s="192"/>
      <c r="AE332" s="439"/>
      <c r="AF332" s="195"/>
      <c r="AG332" s="192"/>
      <c r="AK332" s="439"/>
      <c r="AL332" s="213"/>
      <c r="AM332" s="190"/>
      <c r="AQ332" s="439"/>
      <c r="AR332" s="213"/>
      <c r="AS332" s="190"/>
      <c r="AT332" s="190"/>
      <c r="AU332" s="190"/>
      <c r="AY332" s="440"/>
      <c r="AZ332" s="211" t="s">
        <v>204</v>
      </c>
      <c r="BE332" s="440"/>
      <c r="BF332" s="193" t="s">
        <v>204</v>
      </c>
      <c r="BG332" s="201"/>
      <c r="BK332" s="440"/>
      <c r="BL332" s="193" t="s">
        <v>204</v>
      </c>
      <c r="BM332" s="180"/>
      <c r="BN332" s="181"/>
      <c r="BO332" s="182"/>
    </row>
    <row r="333" spans="2:72" ht="12.75" customHeight="1" thickTop="1" thickBot="1" x14ac:dyDescent="0.25">
      <c r="B333" s="447"/>
      <c r="C333" s="194" t="s">
        <v>205</v>
      </c>
      <c r="D333" s="183"/>
      <c r="E333" s="184"/>
      <c r="F333" s="185"/>
      <c r="G333" s="195"/>
      <c r="AY333" s="440"/>
      <c r="AZ333" s="212" t="s">
        <v>205</v>
      </c>
      <c r="BE333" s="440"/>
      <c r="BF333" s="194" t="s">
        <v>205</v>
      </c>
      <c r="BG333" s="202"/>
      <c r="BK333" s="440"/>
      <c r="BL333" s="194" t="s">
        <v>205</v>
      </c>
      <c r="BM333" s="183"/>
      <c r="BN333" s="184"/>
      <c r="BO333" s="185"/>
    </row>
    <row r="334" spans="2:72" ht="12.75" customHeight="1" thickTop="1" thickBot="1" x14ac:dyDescent="0.25">
      <c r="AY334" s="439"/>
      <c r="AZ334" s="195"/>
      <c r="BA334" s="192"/>
      <c r="BE334" s="439"/>
      <c r="BF334" s="213"/>
      <c r="BG334" s="190"/>
      <c r="BK334" s="439"/>
      <c r="BL334" s="213"/>
      <c r="BM334" s="190"/>
      <c r="BN334" s="190"/>
      <c r="BO334" s="190"/>
    </row>
    <row r="335" spans="2:72" ht="12.75" customHeight="1" thickTop="1" x14ac:dyDescent="0.2"/>
    <row r="337" spans="2:75" ht="12.75" customHeight="1" thickBot="1" x14ac:dyDescent="0.25"/>
    <row r="338" spans="2:75" ht="37.5" customHeight="1" thickTop="1" thickBot="1" x14ac:dyDescent="0.25">
      <c r="D338" s="445" t="s">
        <v>207</v>
      </c>
      <c r="E338" s="444"/>
      <c r="K338" s="445" t="s">
        <v>207</v>
      </c>
      <c r="L338" s="444"/>
      <c r="R338" s="445" t="s">
        <v>207</v>
      </c>
      <c r="S338" s="448"/>
      <c r="T338" s="448"/>
      <c r="U338" s="444"/>
      <c r="AA338" s="445" t="s">
        <v>207</v>
      </c>
      <c r="AB338" s="444"/>
      <c r="AH338" s="442" t="s">
        <v>207</v>
      </c>
      <c r="AI338" s="444"/>
      <c r="AO338" s="442" t="s">
        <v>207</v>
      </c>
      <c r="AP338" s="443"/>
      <c r="AQ338" s="443"/>
      <c r="AR338" s="444"/>
      <c r="AX338" s="445" t="s">
        <v>207</v>
      </c>
      <c r="AY338" s="444"/>
      <c r="BE338" s="442" t="s">
        <v>207</v>
      </c>
      <c r="BF338" s="444"/>
      <c r="BL338" s="442" t="s">
        <v>207</v>
      </c>
      <c r="BM338" s="443"/>
      <c r="BN338" s="443"/>
      <c r="BO338" s="444"/>
    </row>
    <row r="339" spans="2:75" ht="12.75" customHeight="1" thickTop="1" thickBot="1" x14ac:dyDescent="0.25">
      <c r="B339" s="441" t="s">
        <v>208</v>
      </c>
      <c r="E339" s="190"/>
      <c r="I339" s="441" t="s">
        <v>208</v>
      </c>
      <c r="L339" s="190"/>
      <c r="P339" s="441" t="s">
        <v>208</v>
      </c>
      <c r="U339" s="190"/>
      <c r="Y339" s="438" t="s">
        <v>208</v>
      </c>
      <c r="Z339" s="208" t="s">
        <v>203</v>
      </c>
      <c r="AB339" s="190"/>
      <c r="AF339" s="438" t="s">
        <v>208</v>
      </c>
      <c r="AG339" s="209" t="s">
        <v>203</v>
      </c>
      <c r="AH339" s="196"/>
      <c r="AI339" s="190"/>
      <c r="AM339" s="438" t="s">
        <v>208</v>
      </c>
      <c r="AN339" s="209" t="s">
        <v>203</v>
      </c>
      <c r="AO339" s="197"/>
      <c r="AP339" s="198"/>
      <c r="AQ339" s="199"/>
      <c r="AR339" s="190"/>
      <c r="AV339" s="438" t="s">
        <v>208</v>
      </c>
      <c r="AW339" s="210" t="s">
        <v>203</v>
      </c>
      <c r="AY339" s="190"/>
      <c r="BC339" s="438" t="s">
        <v>208</v>
      </c>
      <c r="BD339" s="191" t="s">
        <v>203</v>
      </c>
      <c r="BE339" s="200"/>
      <c r="BF339" s="190"/>
      <c r="BJ339" s="438" t="s">
        <v>208</v>
      </c>
      <c r="BK339" s="191" t="s">
        <v>203</v>
      </c>
      <c r="BL339" s="177"/>
      <c r="BM339" s="178"/>
      <c r="BN339" s="179"/>
      <c r="BO339" s="190"/>
    </row>
    <row r="340" spans="2:75" ht="12.75" customHeight="1" thickTop="1" thickBot="1" x14ac:dyDescent="0.25">
      <c r="B340" s="439"/>
      <c r="C340" s="195"/>
      <c r="D340" s="192"/>
      <c r="E340" s="192"/>
      <c r="I340" s="439"/>
      <c r="J340" s="195"/>
      <c r="K340" s="192"/>
      <c r="L340" s="192"/>
      <c r="P340" s="439"/>
      <c r="Q340" s="195"/>
      <c r="R340" s="192"/>
      <c r="S340" s="192"/>
      <c r="T340" s="192"/>
      <c r="U340" s="192"/>
      <c r="Y340" s="439"/>
      <c r="Z340" s="195"/>
      <c r="AA340" s="192"/>
      <c r="AB340" s="192"/>
      <c r="AF340" s="439"/>
      <c r="AG340" s="195"/>
      <c r="AH340" s="192"/>
      <c r="AI340" s="192"/>
      <c r="AM340" s="439"/>
      <c r="AN340" s="195"/>
      <c r="AO340" s="192"/>
      <c r="AP340" s="192"/>
      <c r="AQ340" s="192"/>
      <c r="AR340" s="192"/>
      <c r="AV340" s="440"/>
      <c r="AW340" s="211" t="s">
        <v>204</v>
      </c>
      <c r="AY340" s="192"/>
      <c r="BC340" s="440"/>
      <c r="BD340" s="193" t="s">
        <v>204</v>
      </c>
      <c r="BE340" s="201"/>
      <c r="BF340" s="192"/>
      <c r="BJ340" s="440"/>
      <c r="BK340" s="193" t="s">
        <v>204</v>
      </c>
      <c r="BL340" s="180"/>
      <c r="BM340" s="181"/>
      <c r="BN340" s="182"/>
      <c r="BO340" s="192"/>
    </row>
    <row r="341" spans="2:75" ht="12.75" customHeight="1" thickTop="1" thickBot="1" x14ac:dyDescent="0.25">
      <c r="AV341" s="440"/>
      <c r="AW341" s="212" t="s">
        <v>205</v>
      </c>
      <c r="AY341" s="192"/>
      <c r="BC341" s="440"/>
      <c r="BD341" s="194" t="s">
        <v>205</v>
      </c>
      <c r="BE341" s="202"/>
      <c r="BF341" s="192"/>
      <c r="BJ341" s="440"/>
      <c r="BK341" s="194" t="s">
        <v>205</v>
      </c>
      <c r="BL341" s="183"/>
      <c r="BM341" s="184"/>
      <c r="BN341" s="185"/>
      <c r="BO341" s="192"/>
    </row>
    <row r="342" spans="2:75" ht="12.75" customHeight="1" thickTop="1" thickBot="1" x14ac:dyDescent="0.25">
      <c r="AV342" s="439"/>
      <c r="AW342" s="195"/>
      <c r="AX342" s="192"/>
      <c r="AY342" s="192"/>
      <c r="BC342" s="439"/>
      <c r="BD342" s="195"/>
      <c r="BE342" s="192"/>
      <c r="BF342" s="192"/>
      <c r="BJ342" s="439"/>
      <c r="BK342" s="195"/>
      <c r="BL342" s="192"/>
      <c r="BM342" s="192"/>
      <c r="BN342" s="192"/>
      <c r="BO342" s="192"/>
    </row>
    <row r="343" spans="2:75" ht="12.75" customHeight="1" thickTop="1" x14ac:dyDescent="0.2"/>
    <row r="345" spans="2:75" ht="12.75" customHeight="1" thickBot="1" x14ac:dyDescent="0.25"/>
    <row r="346" spans="2:75" ht="37.5" customHeight="1" thickTop="1" thickBot="1" x14ac:dyDescent="0.25">
      <c r="D346" s="174" t="s">
        <v>207</v>
      </c>
      <c r="J346" s="442" t="s">
        <v>207</v>
      </c>
      <c r="K346" s="443"/>
      <c r="L346" s="446"/>
      <c r="X346" s="174" t="s">
        <v>207</v>
      </c>
      <c r="AD346" s="442" t="s">
        <v>207</v>
      </c>
      <c r="AE346" s="443"/>
      <c r="AF346" s="446"/>
      <c r="AR346" s="174" t="s">
        <v>207</v>
      </c>
      <c r="AX346" s="442" t="s">
        <v>207</v>
      </c>
      <c r="AY346" s="443"/>
      <c r="AZ346" s="446"/>
      <c r="BF346" s="445" t="s">
        <v>207</v>
      </c>
      <c r="BG346" s="444"/>
      <c r="BM346" s="442" t="s">
        <v>207</v>
      </c>
      <c r="BN346" s="444"/>
      <c r="BT346" s="442" t="s">
        <v>207</v>
      </c>
      <c r="BU346" s="443"/>
      <c r="BV346" s="443"/>
      <c r="BW346" s="444"/>
    </row>
    <row r="347" spans="2:75" ht="78" customHeight="1" thickTop="1" thickBot="1" x14ac:dyDescent="0.25">
      <c r="D347" s="203" t="s">
        <v>198</v>
      </c>
      <c r="J347" s="204" t="s">
        <v>198</v>
      </c>
      <c r="K347" s="205" t="s">
        <v>199</v>
      </c>
      <c r="L347" s="206" t="s">
        <v>200</v>
      </c>
      <c r="X347" s="207" t="s">
        <v>198</v>
      </c>
      <c r="AD347" s="187" t="s">
        <v>198</v>
      </c>
      <c r="AE347" s="188" t="s">
        <v>199</v>
      </c>
      <c r="AF347" s="189" t="s">
        <v>200</v>
      </c>
      <c r="AR347" s="207" t="s">
        <v>198</v>
      </c>
      <c r="AX347" s="187" t="s">
        <v>198</v>
      </c>
      <c r="AY347" s="188" t="s">
        <v>199</v>
      </c>
      <c r="AZ347" s="189" t="s">
        <v>200</v>
      </c>
      <c r="BG347" s="190"/>
      <c r="BM347" s="203" t="s">
        <v>198</v>
      </c>
      <c r="BN347" s="190"/>
      <c r="BT347" s="204" t="s">
        <v>198</v>
      </c>
      <c r="BU347" s="205" t="s">
        <v>199</v>
      </c>
      <c r="BV347" s="206" t="s">
        <v>200</v>
      </c>
      <c r="BW347" s="190"/>
    </row>
    <row r="348" spans="2:75" ht="12.75" customHeight="1" thickTop="1" thickBot="1" x14ac:dyDescent="0.25">
      <c r="P348" s="215" t="s">
        <v>208</v>
      </c>
      <c r="Q348" s="208" t="s">
        <v>203</v>
      </c>
      <c r="V348" s="215" t="s">
        <v>208</v>
      </c>
      <c r="W348" s="209" t="s">
        <v>203</v>
      </c>
      <c r="X348" s="196"/>
      <c r="AB348" s="215" t="s">
        <v>208</v>
      </c>
      <c r="AC348" s="209" t="s">
        <v>203</v>
      </c>
      <c r="AD348" s="197"/>
      <c r="AE348" s="198"/>
      <c r="AF348" s="199"/>
      <c r="AJ348" s="438" t="s">
        <v>208</v>
      </c>
      <c r="AK348" s="210" t="s">
        <v>203</v>
      </c>
      <c r="AP348" s="438" t="s">
        <v>208</v>
      </c>
      <c r="AQ348" s="191" t="s">
        <v>203</v>
      </c>
      <c r="AR348" s="200"/>
      <c r="AV348" s="438" t="s">
        <v>208</v>
      </c>
      <c r="AW348" s="191" t="s">
        <v>203</v>
      </c>
      <c r="AX348" s="177"/>
      <c r="AY348" s="178"/>
      <c r="AZ348" s="179"/>
      <c r="BG348" s="192"/>
      <c r="BN348" s="192"/>
      <c r="BW348" s="192"/>
    </row>
    <row r="349" spans="2:75" ht="12.75" customHeight="1" thickTop="1" x14ac:dyDescent="0.2">
      <c r="AJ349" s="440"/>
      <c r="AK349" s="211" t="s">
        <v>204</v>
      </c>
      <c r="AP349" s="440"/>
      <c r="AQ349" s="193" t="s">
        <v>204</v>
      </c>
      <c r="AR349" s="201"/>
      <c r="AV349" s="440"/>
      <c r="AW349" s="193" t="s">
        <v>204</v>
      </c>
      <c r="AX349" s="180"/>
      <c r="AY349" s="181"/>
      <c r="AZ349" s="182"/>
    </row>
    <row r="350" spans="2:75" ht="12.75" customHeight="1" thickBot="1" x14ac:dyDescent="0.25">
      <c r="AJ350" s="447"/>
      <c r="AK350" s="212" t="s">
        <v>205</v>
      </c>
      <c r="AP350" s="447"/>
      <c r="AQ350" s="194" t="s">
        <v>205</v>
      </c>
      <c r="AR350" s="202"/>
      <c r="AV350" s="447"/>
      <c r="AW350" s="194" t="s">
        <v>205</v>
      </c>
      <c r="AX350" s="183"/>
      <c r="AY350" s="184"/>
      <c r="AZ350" s="185"/>
    </row>
    <row r="351" spans="2:75" ht="12.75" customHeight="1" thickTop="1" x14ac:dyDescent="0.2"/>
    <row r="353" spans="2:70" ht="12.75" customHeight="1" thickBot="1" x14ac:dyDescent="0.25"/>
    <row r="354" spans="2:70" ht="37.5" customHeight="1" thickTop="1" thickBot="1" x14ac:dyDescent="0.25">
      <c r="D354" s="445" t="s">
        <v>207</v>
      </c>
      <c r="E354" s="444"/>
      <c r="K354" s="442" t="s">
        <v>207</v>
      </c>
      <c r="L354" s="444"/>
      <c r="R354" s="442" t="s">
        <v>207</v>
      </c>
      <c r="S354" s="443"/>
      <c r="T354" s="443"/>
      <c r="U354" s="444"/>
      <c r="AA354" s="445" t="s">
        <v>207</v>
      </c>
      <c r="AB354" s="444"/>
      <c r="AH354" s="442" t="s">
        <v>207</v>
      </c>
      <c r="AI354" s="444"/>
      <c r="AO354" s="442" t="s">
        <v>207</v>
      </c>
      <c r="AP354" s="443"/>
      <c r="AQ354" s="443"/>
      <c r="AR354" s="444"/>
      <c r="BD354" s="174" t="s">
        <v>207</v>
      </c>
      <c r="BJ354" s="442" t="s">
        <v>207</v>
      </c>
      <c r="BK354" s="443"/>
      <c r="BL354" s="446"/>
    </row>
    <row r="355" spans="2:70" ht="78" customHeight="1" thickTop="1" thickBot="1" x14ac:dyDescent="0.25">
      <c r="E355" s="190"/>
      <c r="K355" s="207" t="s">
        <v>198</v>
      </c>
      <c r="L355" s="213"/>
      <c r="R355" s="187" t="s">
        <v>198</v>
      </c>
      <c r="S355" s="188" t="s">
        <v>199</v>
      </c>
      <c r="T355" s="189" t="s">
        <v>200</v>
      </c>
      <c r="U355" s="213"/>
      <c r="AB355" s="190"/>
      <c r="AH355" s="207" t="s">
        <v>198</v>
      </c>
      <c r="AI355" s="213"/>
      <c r="AO355" s="187" t="s">
        <v>198</v>
      </c>
      <c r="AP355" s="188" t="s">
        <v>199</v>
      </c>
      <c r="AQ355" s="189" t="s">
        <v>200</v>
      </c>
      <c r="AR355" s="213"/>
      <c r="BD355" s="203" t="s">
        <v>198</v>
      </c>
      <c r="BJ355" s="204" t="s">
        <v>198</v>
      </c>
      <c r="BK355" s="205" t="s">
        <v>199</v>
      </c>
      <c r="BL355" s="206" t="s">
        <v>200</v>
      </c>
    </row>
    <row r="356" spans="2:70" ht="12.75" customHeight="1" thickTop="1" thickBot="1" x14ac:dyDescent="0.25">
      <c r="B356" s="215" t="s">
        <v>208</v>
      </c>
      <c r="C356" s="208" t="s">
        <v>203</v>
      </c>
      <c r="E356" s="192"/>
      <c r="I356" s="215" t="s">
        <v>208</v>
      </c>
      <c r="J356" s="209" t="s">
        <v>203</v>
      </c>
      <c r="K356" s="196"/>
      <c r="L356" s="195"/>
      <c r="P356" s="215" t="s">
        <v>208</v>
      </c>
      <c r="Q356" s="209" t="s">
        <v>203</v>
      </c>
      <c r="R356" s="197"/>
      <c r="S356" s="198"/>
      <c r="T356" s="199"/>
      <c r="U356" s="195"/>
      <c r="Y356" s="438" t="s">
        <v>208</v>
      </c>
      <c r="Z356" s="210" t="s">
        <v>203</v>
      </c>
      <c r="AB356" s="192"/>
      <c r="AF356" s="438" t="s">
        <v>208</v>
      </c>
      <c r="AG356" s="191" t="s">
        <v>203</v>
      </c>
      <c r="AH356" s="200"/>
      <c r="AI356" s="195"/>
      <c r="AM356" s="438" t="s">
        <v>208</v>
      </c>
      <c r="AN356" s="191" t="s">
        <v>203</v>
      </c>
      <c r="AO356" s="177"/>
      <c r="AP356" s="178"/>
      <c r="AQ356" s="179"/>
      <c r="AR356" s="195"/>
      <c r="AV356" s="441" t="s">
        <v>208</v>
      </c>
      <c r="BB356" s="441" t="s">
        <v>208</v>
      </c>
      <c r="BH356" s="441" t="s">
        <v>208</v>
      </c>
      <c r="BP356" s="438" t="s">
        <v>208</v>
      </c>
      <c r="BQ356" s="208" t="s">
        <v>203</v>
      </c>
    </row>
    <row r="357" spans="2:70" ht="12.75" customHeight="1" thickTop="1" thickBot="1" x14ac:dyDescent="0.25">
      <c r="Y357" s="440"/>
      <c r="Z357" s="211" t="s">
        <v>204</v>
      </c>
      <c r="AB357" s="192"/>
      <c r="AF357" s="440"/>
      <c r="AG357" s="193" t="s">
        <v>204</v>
      </c>
      <c r="AH357" s="201"/>
      <c r="AI357" s="195"/>
      <c r="AM357" s="440"/>
      <c r="AN357" s="193" t="s">
        <v>204</v>
      </c>
      <c r="AO357" s="180"/>
      <c r="AP357" s="181"/>
      <c r="AQ357" s="182"/>
      <c r="AR357" s="195"/>
      <c r="AV357" s="439"/>
      <c r="AW357" s="195"/>
      <c r="AX357" s="192"/>
      <c r="BB357" s="439"/>
      <c r="BC357" s="195"/>
      <c r="BD357" s="192"/>
      <c r="BH357" s="439"/>
      <c r="BI357" s="195"/>
      <c r="BJ357" s="192"/>
      <c r="BK357" s="192"/>
      <c r="BL357" s="192"/>
      <c r="BP357" s="439"/>
      <c r="BQ357" s="195"/>
      <c r="BR357" s="192"/>
    </row>
    <row r="358" spans="2:70" ht="12.75" customHeight="1" thickTop="1" thickBot="1" x14ac:dyDescent="0.25">
      <c r="Y358" s="447"/>
      <c r="Z358" s="212" t="s">
        <v>205</v>
      </c>
      <c r="AB358" s="192"/>
      <c r="AF358" s="447"/>
      <c r="AG358" s="194" t="s">
        <v>205</v>
      </c>
      <c r="AH358" s="202"/>
      <c r="AI358" s="195"/>
      <c r="AM358" s="447"/>
      <c r="AN358" s="194" t="s">
        <v>205</v>
      </c>
      <c r="AO358" s="183"/>
      <c r="AP358" s="184"/>
      <c r="AQ358" s="185"/>
      <c r="AR358" s="195"/>
    </row>
    <row r="359" spans="2:70" ht="12.75" customHeight="1" thickTop="1" x14ac:dyDescent="0.2"/>
    <row r="361" spans="2:70" ht="12.75" customHeight="1" thickBot="1" x14ac:dyDescent="0.25"/>
    <row r="362" spans="2:70" ht="37.5" customHeight="1" thickTop="1" thickBot="1" x14ac:dyDescent="0.25">
      <c r="D362" s="174" t="s">
        <v>207</v>
      </c>
      <c r="J362" s="442" t="s">
        <v>207</v>
      </c>
      <c r="K362" s="443"/>
      <c r="L362" s="446"/>
      <c r="X362" s="174" t="s">
        <v>207</v>
      </c>
      <c r="AD362" s="442" t="s">
        <v>207</v>
      </c>
      <c r="AE362" s="443"/>
      <c r="AF362" s="446"/>
      <c r="AL362" s="445" t="s">
        <v>207</v>
      </c>
      <c r="AM362" s="444"/>
      <c r="AS362" s="442" t="s">
        <v>207</v>
      </c>
      <c r="AT362" s="444"/>
      <c r="AZ362" s="442" t="s">
        <v>207</v>
      </c>
      <c r="BA362" s="443"/>
      <c r="BB362" s="443"/>
      <c r="BC362" s="444"/>
      <c r="BI362" s="445" t="s">
        <v>207</v>
      </c>
      <c r="BJ362" s="444"/>
      <c r="BP362" s="442" t="s">
        <v>207</v>
      </c>
      <c r="BQ362" s="444"/>
    </row>
    <row r="363" spans="2:70" ht="78" customHeight="1" thickTop="1" thickBot="1" x14ac:dyDescent="0.25">
      <c r="D363" s="207" t="s">
        <v>198</v>
      </c>
      <c r="J363" s="187" t="s">
        <v>198</v>
      </c>
      <c r="K363" s="188" t="s">
        <v>199</v>
      </c>
      <c r="L363" s="189" t="s">
        <v>200</v>
      </c>
      <c r="X363" s="207" t="s">
        <v>198</v>
      </c>
      <c r="AD363" s="187" t="s">
        <v>198</v>
      </c>
      <c r="AE363" s="188" t="s">
        <v>199</v>
      </c>
      <c r="AF363" s="189" t="s">
        <v>200</v>
      </c>
      <c r="AM363" s="190"/>
      <c r="AS363" s="203" t="s">
        <v>198</v>
      </c>
      <c r="AT363" s="190"/>
      <c r="AZ363" s="204" t="s">
        <v>198</v>
      </c>
      <c r="BA363" s="205" t="s">
        <v>199</v>
      </c>
      <c r="BB363" s="206" t="s">
        <v>200</v>
      </c>
      <c r="BC363" s="190"/>
      <c r="BJ363" s="190"/>
      <c r="BP363" s="207" t="s">
        <v>198</v>
      </c>
      <c r="BQ363" s="190"/>
    </row>
    <row r="364" spans="2:70" ht="12.75" customHeight="1" thickTop="1" thickBot="1" x14ac:dyDescent="0.25">
      <c r="B364" s="438" t="s">
        <v>208</v>
      </c>
      <c r="C364" s="209" t="s">
        <v>203</v>
      </c>
      <c r="D364" s="196"/>
      <c r="H364" s="438" t="s">
        <v>208</v>
      </c>
      <c r="I364" s="209" t="s">
        <v>203</v>
      </c>
      <c r="J364" s="197"/>
      <c r="K364" s="198"/>
      <c r="L364" s="199"/>
      <c r="P364" s="438" t="s">
        <v>208</v>
      </c>
      <c r="Q364" s="210" t="s">
        <v>203</v>
      </c>
      <c r="V364" s="438" t="s">
        <v>208</v>
      </c>
      <c r="W364" s="191" t="s">
        <v>203</v>
      </c>
      <c r="X364" s="200"/>
      <c r="AB364" s="438" t="s">
        <v>208</v>
      </c>
      <c r="AC364" s="191" t="s">
        <v>203</v>
      </c>
      <c r="AD364" s="177"/>
      <c r="AE364" s="178"/>
      <c r="AF364" s="179"/>
      <c r="AJ364" s="441" t="s">
        <v>208</v>
      </c>
      <c r="AM364" s="192"/>
      <c r="AQ364" s="441" t="s">
        <v>208</v>
      </c>
      <c r="AT364" s="192"/>
      <c r="AX364" s="441" t="s">
        <v>208</v>
      </c>
      <c r="BC364" s="192"/>
      <c r="BG364" s="438" t="s">
        <v>208</v>
      </c>
      <c r="BH364" s="208" t="s">
        <v>203</v>
      </c>
      <c r="BJ364" s="192"/>
      <c r="BN364" s="438" t="s">
        <v>208</v>
      </c>
      <c r="BO364" s="209" t="s">
        <v>203</v>
      </c>
      <c r="BP364" s="196"/>
      <c r="BQ364" s="192"/>
    </row>
    <row r="365" spans="2:70" ht="12.75" customHeight="1" thickTop="1" thickBot="1" x14ac:dyDescent="0.25">
      <c r="B365" s="439"/>
      <c r="C365" s="213"/>
      <c r="D365" s="190"/>
      <c r="H365" s="439"/>
      <c r="I365" s="213"/>
      <c r="J365" s="190"/>
      <c r="K365" s="190"/>
      <c r="L365" s="190"/>
      <c r="P365" s="440"/>
      <c r="Q365" s="211" t="s">
        <v>204</v>
      </c>
      <c r="V365" s="440"/>
      <c r="W365" s="193" t="s">
        <v>204</v>
      </c>
      <c r="X365" s="201"/>
      <c r="AB365" s="440"/>
      <c r="AC365" s="193" t="s">
        <v>204</v>
      </c>
      <c r="AD365" s="180"/>
      <c r="AE365" s="181"/>
      <c r="AF365" s="182"/>
      <c r="AJ365" s="439"/>
      <c r="AK365" s="195"/>
      <c r="AL365" s="192"/>
      <c r="AM365" s="192"/>
      <c r="AQ365" s="439"/>
      <c r="AR365" s="195"/>
      <c r="AS365" s="192"/>
      <c r="AT365" s="192"/>
      <c r="AX365" s="439"/>
      <c r="AY365" s="195"/>
      <c r="AZ365" s="192"/>
      <c r="BA365" s="192"/>
      <c r="BB365" s="192"/>
      <c r="BC365" s="192"/>
      <c r="BG365" s="439"/>
      <c r="BH365" s="195"/>
      <c r="BI365" s="192"/>
      <c r="BJ365" s="192"/>
      <c r="BN365" s="439"/>
      <c r="BO365" s="195"/>
      <c r="BP365" s="192"/>
      <c r="BQ365" s="192"/>
    </row>
    <row r="366" spans="2:70" ht="12.75" customHeight="1" thickTop="1" thickBot="1" x14ac:dyDescent="0.25">
      <c r="P366" s="440"/>
      <c r="Q366" s="212" t="s">
        <v>205</v>
      </c>
      <c r="V366" s="440"/>
      <c r="W366" s="194" t="s">
        <v>205</v>
      </c>
      <c r="X366" s="202"/>
      <c r="AB366" s="440"/>
      <c r="AC366" s="194" t="s">
        <v>205</v>
      </c>
      <c r="AD366" s="183"/>
      <c r="AE366" s="184"/>
      <c r="AF366" s="185"/>
    </row>
    <row r="367" spans="2:70" ht="12.75" customHeight="1" thickTop="1" thickBot="1" x14ac:dyDescent="0.25">
      <c r="P367" s="439"/>
      <c r="Q367" s="195"/>
      <c r="R367" s="192"/>
      <c r="V367" s="439"/>
      <c r="W367" s="213"/>
      <c r="X367" s="190"/>
      <c r="AB367" s="439"/>
      <c r="AC367" s="213"/>
      <c r="AD367" s="190"/>
      <c r="AE367" s="190"/>
      <c r="AF367" s="190"/>
    </row>
    <row r="368" spans="2:70" ht="12.75" customHeight="1" thickTop="1" x14ac:dyDescent="0.2"/>
    <row r="370" spans="2:30" ht="12.75" customHeight="1" thickBot="1" x14ac:dyDescent="0.25"/>
    <row r="371" spans="2:30" ht="37.5" customHeight="1" thickTop="1" thickBot="1" x14ac:dyDescent="0.25">
      <c r="D371" s="442" t="s">
        <v>207</v>
      </c>
      <c r="E371" s="443"/>
      <c r="F371" s="443"/>
      <c r="G371" s="444"/>
      <c r="M371" s="445" t="s">
        <v>207</v>
      </c>
      <c r="N371" s="444"/>
      <c r="T371" s="442" t="s">
        <v>207</v>
      </c>
      <c r="U371" s="444"/>
      <c r="AA371" s="442" t="s">
        <v>207</v>
      </c>
      <c r="AB371" s="443"/>
      <c r="AC371" s="443"/>
      <c r="AD371" s="444"/>
    </row>
    <row r="372" spans="2:30" ht="78" customHeight="1" thickTop="1" thickBot="1" x14ac:dyDescent="0.25">
      <c r="D372" s="187" t="s">
        <v>198</v>
      </c>
      <c r="E372" s="188" t="s">
        <v>199</v>
      </c>
      <c r="F372" s="189" t="s">
        <v>200</v>
      </c>
      <c r="G372" s="190"/>
      <c r="N372" s="190"/>
      <c r="T372" s="207" t="s">
        <v>198</v>
      </c>
      <c r="U372" s="190"/>
      <c r="AA372" s="187" t="s">
        <v>198</v>
      </c>
      <c r="AB372" s="188" t="s">
        <v>199</v>
      </c>
      <c r="AC372" s="189" t="s">
        <v>200</v>
      </c>
      <c r="AD372" s="190"/>
    </row>
    <row r="373" spans="2:30" ht="12.75" customHeight="1" thickTop="1" thickBot="1" x14ac:dyDescent="0.25">
      <c r="B373" s="438" t="s">
        <v>208</v>
      </c>
      <c r="C373" s="209" t="s">
        <v>203</v>
      </c>
      <c r="D373" s="197"/>
      <c r="E373" s="198"/>
      <c r="F373" s="199"/>
      <c r="G373" s="192"/>
      <c r="K373" s="438" t="s">
        <v>208</v>
      </c>
      <c r="L373" s="210" t="s">
        <v>203</v>
      </c>
      <c r="N373" s="192"/>
      <c r="R373" s="438" t="s">
        <v>208</v>
      </c>
      <c r="S373" s="191" t="s">
        <v>203</v>
      </c>
      <c r="T373" s="200"/>
      <c r="U373" s="192"/>
      <c r="Y373" s="438" t="s">
        <v>208</v>
      </c>
      <c r="Z373" s="191" t="s">
        <v>203</v>
      </c>
      <c r="AA373" s="177"/>
      <c r="AB373" s="178"/>
      <c r="AC373" s="179"/>
      <c r="AD373" s="192"/>
    </row>
    <row r="374" spans="2:30" ht="12.75" customHeight="1" thickTop="1" thickBot="1" x14ac:dyDescent="0.25">
      <c r="B374" s="439"/>
      <c r="C374" s="195"/>
      <c r="D374" s="192"/>
      <c r="E374" s="192"/>
      <c r="F374" s="192"/>
      <c r="G374" s="192"/>
      <c r="K374" s="440"/>
      <c r="L374" s="211" t="s">
        <v>204</v>
      </c>
      <c r="N374" s="192"/>
      <c r="R374" s="440"/>
      <c r="S374" s="193" t="s">
        <v>204</v>
      </c>
      <c r="T374" s="201"/>
      <c r="U374" s="192"/>
      <c r="Y374" s="440"/>
      <c r="Z374" s="193" t="s">
        <v>204</v>
      </c>
      <c r="AA374" s="180"/>
      <c r="AB374" s="181"/>
      <c r="AC374" s="182"/>
      <c r="AD374" s="192"/>
    </row>
    <row r="375" spans="2:30" ht="12.75" customHeight="1" thickTop="1" thickBot="1" x14ac:dyDescent="0.25">
      <c r="K375" s="440"/>
      <c r="L375" s="212" t="s">
        <v>205</v>
      </c>
      <c r="N375" s="192"/>
      <c r="R375" s="440"/>
      <c r="S375" s="194" t="s">
        <v>205</v>
      </c>
      <c r="T375" s="202"/>
      <c r="U375" s="192"/>
      <c r="Y375" s="440"/>
      <c r="Z375" s="194" t="s">
        <v>205</v>
      </c>
      <c r="AA375" s="183"/>
      <c r="AB375" s="184"/>
      <c r="AC375" s="185"/>
      <c r="AD375" s="192"/>
    </row>
    <row r="376" spans="2:30" ht="12.75" customHeight="1" thickTop="1" thickBot="1" x14ac:dyDescent="0.25">
      <c r="K376" s="439"/>
      <c r="L376" s="195"/>
      <c r="M376" s="192"/>
      <c r="N376" s="192"/>
      <c r="R376" s="439"/>
      <c r="S376" s="195"/>
      <c r="T376" s="192"/>
      <c r="U376" s="192"/>
      <c r="Y376" s="439"/>
      <c r="Z376" s="195"/>
      <c r="AA376" s="192"/>
      <c r="AB376" s="192"/>
      <c r="AC376" s="192"/>
      <c r="AD376" s="192"/>
    </row>
    <row r="377" spans="2:30" ht="12.75" customHeight="1" thickTop="1" x14ac:dyDescent="0.2"/>
  </sheetData>
  <mergeCells count="386">
    <mergeCell ref="D2:H2"/>
    <mergeCell ref="B4:B8"/>
    <mergeCell ref="BH83:BJ83"/>
    <mergeCell ref="BR83:BT83"/>
    <mergeCell ref="F91:H91"/>
    <mergeCell ref="L91:M91"/>
    <mergeCell ref="Q91:R91"/>
    <mergeCell ref="V91:Y91"/>
    <mergeCell ref="AC91:AD91"/>
    <mergeCell ref="AH91:AI91"/>
    <mergeCell ref="AM91:AP91"/>
    <mergeCell ref="AT91:AU91"/>
    <mergeCell ref="AY91:AZ91"/>
    <mergeCell ref="BD91:BG91"/>
    <mergeCell ref="BR98:BS98"/>
    <mergeCell ref="B106:C106"/>
    <mergeCell ref="G106:J106"/>
    <mergeCell ref="R106:T106"/>
    <mergeCell ref="AB106:AD106"/>
    <mergeCell ref="AL106:AN106"/>
    <mergeCell ref="AR106:AS106"/>
    <mergeCell ref="AW106:AX106"/>
    <mergeCell ref="BB106:BE106"/>
    <mergeCell ref="BI106:BJ106"/>
    <mergeCell ref="BN106:BO106"/>
    <mergeCell ref="B98:D98"/>
    <mergeCell ref="P98:R98"/>
    <mergeCell ref="AD98:AF98"/>
    <mergeCell ref="AJ98:AK98"/>
    <mergeCell ref="AO98:AP98"/>
    <mergeCell ref="AT98:AW98"/>
    <mergeCell ref="BA98:BB98"/>
    <mergeCell ref="BF98:BG98"/>
    <mergeCell ref="BK98:BN98"/>
    <mergeCell ref="B114:E114"/>
    <mergeCell ref="I114:J114"/>
    <mergeCell ref="N114:O114"/>
    <mergeCell ref="S114:V114"/>
    <mergeCell ref="AH114:AJ114"/>
    <mergeCell ref="AV114:AX114"/>
    <mergeCell ref="BJ114:BL114"/>
    <mergeCell ref="BP114:BQ114"/>
    <mergeCell ref="B123:C123"/>
    <mergeCell ref="G123:J123"/>
    <mergeCell ref="N123:O123"/>
    <mergeCell ref="S123:T123"/>
    <mergeCell ref="X123:AA123"/>
    <mergeCell ref="AE123:AF123"/>
    <mergeCell ref="AJ123:AK123"/>
    <mergeCell ref="AO123:AR123"/>
    <mergeCell ref="BN132:BO132"/>
    <mergeCell ref="C139:F139"/>
    <mergeCell ref="U139:W139"/>
    <mergeCell ref="AL139:AN139"/>
    <mergeCell ref="BC139:BE139"/>
    <mergeCell ref="BJ139:BK139"/>
    <mergeCell ref="BB123:BD123"/>
    <mergeCell ref="BS123:BU123"/>
    <mergeCell ref="M132:O132"/>
    <mergeCell ref="T132:U132"/>
    <mergeCell ref="Z132:AA132"/>
    <mergeCell ref="AF132:AI132"/>
    <mergeCell ref="AN132:AO132"/>
    <mergeCell ref="AT132:AU132"/>
    <mergeCell ref="AZ132:BC132"/>
    <mergeCell ref="BH132:BI132"/>
    <mergeCell ref="BP139:BQ139"/>
    <mergeCell ref="C147:F147"/>
    <mergeCell ref="K147:L147"/>
    <mergeCell ref="Q147:R147"/>
    <mergeCell ref="W147:Z147"/>
    <mergeCell ref="AE147:AF147"/>
    <mergeCell ref="AK147:AL147"/>
    <mergeCell ref="AQ147:AT147"/>
    <mergeCell ref="BD147:BF147"/>
    <mergeCell ref="BA155:BB155"/>
    <mergeCell ref="BG155:BJ155"/>
    <mergeCell ref="BO155:BP155"/>
    <mergeCell ref="C163:D163"/>
    <mergeCell ref="I163:L163"/>
    <mergeCell ref="AA163:AC163"/>
    <mergeCell ref="AR163:AT163"/>
    <mergeCell ref="BI163:BK163"/>
    <mergeCell ref="BP163:BQ163"/>
    <mergeCell ref="C155:E155"/>
    <mergeCell ref="T155:V155"/>
    <mergeCell ref="AA155:AB155"/>
    <mergeCell ref="AG155:AH155"/>
    <mergeCell ref="AM155:AP155"/>
    <mergeCell ref="AU155:AV155"/>
    <mergeCell ref="AQ172:AR172"/>
    <mergeCell ref="AW172:AZ172"/>
    <mergeCell ref="B181:B183"/>
    <mergeCell ref="G181:G183"/>
    <mergeCell ref="L181:L183"/>
    <mergeCell ref="BG181:BG183"/>
    <mergeCell ref="C172:D172"/>
    <mergeCell ref="I172:L172"/>
    <mergeCell ref="Q172:R172"/>
    <mergeCell ref="W172:X172"/>
    <mergeCell ref="AC172:AF172"/>
    <mergeCell ref="AK172:AL172"/>
    <mergeCell ref="BH209:BH212"/>
    <mergeCell ref="BO209:BO210"/>
    <mergeCell ref="I202:I204"/>
    <mergeCell ref="N202:N204"/>
    <mergeCell ref="BM181:BM183"/>
    <mergeCell ref="B187:B189"/>
    <mergeCell ref="J187:J188"/>
    <mergeCell ref="O187:O188"/>
    <mergeCell ref="T187:T188"/>
    <mergeCell ref="AA187:AA188"/>
    <mergeCell ref="AF187:AF188"/>
    <mergeCell ref="AK187:AK188"/>
    <mergeCell ref="AR187:AR190"/>
    <mergeCell ref="AW187:AW190"/>
    <mergeCell ref="BB187:BB190"/>
    <mergeCell ref="BI187:BI188"/>
    <mergeCell ref="BO187:BO188"/>
    <mergeCell ref="B194:B195"/>
    <mergeCell ref="J194:J195"/>
    <mergeCell ref="P194:P195"/>
    <mergeCell ref="V194:V195"/>
    <mergeCell ref="AD194:AD197"/>
    <mergeCell ref="AJ194:AJ197"/>
    <mergeCell ref="AP194:AP197"/>
    <mergeCell ref="S202:S204"/>
    <mergeCell ref="BN202:BN204"/>
    <mergeCell ref="AP217:AP220"/>
    <mergeCell ref="AV217:AV220"/>
    <mergeCell ref="B224:B226"/>
    <mergeCell ref="H224:H226"/>
    <mergeCell ref="N224:N226"/>
    <mergeCell ref="BP224:BP226"/>
    <mergeCell ref="B217:B218"/>
    <mergeCell ref="H217:H218"/>
    <mergeCell ref="P217:P218"/>
    <mergeCell ref="V217:V218"/>
    <mergeCell ref="AB217:AB218"/>
    <mergeCell ref="AJ217:AJ220"/>
    <mergeCell ref="B209:B211"/>
    <mergeCell ref="H209:H211"/>
    <mergeCell ref="P209:P210"/>
    <mergeCell ref="U209:U210"/>
    <mergeCell ref="Z209:Z210"/>
    <mergeCell ref="AG209:AG210"/>
    <mergeCell ref="AL209:AL210"/>
    <mergeCell ref="AQ209:AQ210"/>
    <mergeCell ref="AX209:AX212"/>
    <mergeCell ref="BC209:BC212"/>
    <mergeCell ref="BR230:BR233"/>
    <mergeCell ref="B237:B238"/>
    <mergeCell ref="I237:I238"/>
    <mergeCell ref="P237:P238"/>
    <mergeCell ref="Y237:Y238"/>
    <mergeCell ref="AF237:AF238"/>
    <mergeCell ref="B230:B232"/>
    <mergeCell ref="I230:I232"/>
    <mergeCell ref="R230:R231"/>
    <mergeCell ref="X230:X231"/>
    <mergeCell ref="AD230:AD231"/>
    <mergeCell ref="AL230:AL231"/>
    <mergeCell ref="AM237:AM238"/>
    <mergeCell ref="AV237:AV240"/>
    <mergeCell ref="BC237:BC240"/>
    <mergeCell ref="BJ237:BJ240"/>
    <mergeCell ref="AJ245:AJ247"/>
    <mergeCell ref="AP245:AP247"/>
    <mergeCell ref="AV245:AV247"/>
    <mergeCell ref="AR230:AR231"/>
    <mergeCell ref="AX230:AX231"/>
    <mergeCell ref="BF230:BF233"/>
    <mergeCell ref="BN259:BN260"/>
    <mergeCell ref="AN266:AP266"/>
    <mergeCell ref="BE266:BG266"/>
    <mergeCell ref="BL230:BL233"/>
    <mergeCell ref="BP252:BP253"/>
    <mergeCell ref="B259:B260"/>
    <mergeCell ref="H259:H260"/>
    <mergeCell ref="P259:P262"/>
    <mergeCell ref="V259:V262"/>
    <mergeCell ref="AB259:AB262"/>
    <mergeCell ref="AJ259:AJ260"/>
    <mergeCell ref="AQ259:AQ260"/>
    <mergeCell ref="AX259:AX260"/>
    <mergeCell ref="BG259:BG260"/>
    <mergeCell ref="Y252:Y254"/>
    <mergeCell ref="AF252:AF254"/>
    <mergeCell ref="AM252:AM254"/>
    <mergeCell ref="AV252:AV253"/>
    <mergeCell ref="BB252:BB253"/>
    <mergeCell ref="BH252:BH253"/>
    <mergeCell ref="BJ274:BM274"/>
    <mergeCell ref="B275:B277"/>
    <mergeCell ref="AW275:AW277"/>
    <mergeCell ref="BC275:BC277"/>
    <mergeCell ref="BI275:BI277"/>
    <mergeCell ref="BQ275:BQ276"/>
    <mergeCell ref="BP267:BP269"/>
    <mergeCell ref="C274:E274"/>
    <mergeCell ref="J274:K274"/>
    <mergeCell ref="P274:Q274"/>
    <mergeCell ref="V274:Y274"/>
    <mergeCell ref="AD274:AE274"/>
    <mergeCell ref="AJ274:AK274"/>
    <mergeCell ref="AP274:AS274"/>
    <mergeCell ref="AX274:AY274"/>
    <mergeCell ref="BD274:BE274"/>
    <mergeCell ref="B267:B268"/>
    <mergeCell ref="K267:K270"/>
    <mergeCell ref="R267:R270"/>
    <mergeCell ref="Y267:Y270"/>
    <mergeCell ref="BK267:BK269"/>
    <mergeCell ref="BQ281:BR281"/>
    <mergeCell ref="B282:B283"/>
    <mergeCell ref="G282:G283"/>
    <mergeCell ref="N282:N283"/>
    <mergeCell ref="S282:S283"/>
    <mergeCell ref="X282:X283"/>
    <mergeCell ref="AE282:AE285"/>
    <mergeCell ref="AJ282:AJ285"/>
    <mergeCell ref="AO282:AO285"/>
    <mergeCell ref="AV282:AV283"/>
    <mergeCell ref="H281:J281"/>
    <mergeCell ref="Y281:AA281"/>
    <mergeCell ref="AP281:AR281"/>
    <mergeCell ref="AW281:AX281"/>
    <mergeCell ref="BC281:BD281"/>
    <mergeCell ref="BI281:BL281"/>
    <mergeCell ref="BB282:BB283"/>
    <mergeCell ref="BH282:BH283"/>
    <mergeCell ref="BP282:BP283"/>
    <mergeCell ref="C289:D289"/>
    <mergeCell ref="I289:L289"/>
    <mergeCell ref="Q289:R289"/>
    <mergeCell ref="W289:X289"/>
    <mergeCell ref="AC289:AF289"/>
    <mergeCell ref="AP289:AR289"/>
    <mergeCell ref="BG289:BI289"/>
    <mergeCell ref="BJ297:BM297"/>
    <mergeCell ref="B299:B301"/>
    <mergeCell ref="AW299:AW301"/>
    <mergeCell ref="BC299:BC301"/>
    <mergeCell ref="BI299:BI301"/>
    <mergeCell ref="B290:B291"/>
    <mergeCell ref="BQ299:BQ300"/>
    <mergeCell ref="BR291:BR293"/>
    <mergeCell ref="C297:E297"/>
    <mergeCell ref="J297:K297"/>
    <mergeCell ref="P297:Q297"/>
    <mergeCell ref="V297:Y297"/>
    <mergeCell ref="AD297:AE297"/>
    <mergeCell ref="AJ297:AK297"/>
    <mergeCell ref="AP297:AS297"/>
    <mergeCell ref="AX297:AY297"/>
    <mergeCell ref="BD297:BE297"/>
    <mergeCell ref="H290:H291"/>
    <mergeCell ref="P290:P293"/>
    <mergeCell ref="V290:V293"/>
    <mergeCell ref="AB290:AB293"/>
    <mergeCell ref="BM291:BM293"/>
    <mergeCell ref="BQ305:BR305"/>
    <mergeCell ref="B307:B308"/>
    <mergeCell ref="G307:G308"/>
    <mergeCell ref="N307:N308"/>
    <mergeCell ref="S307:S308"/>
    <mergeCell ref="X307:X308"/>
    <mergeCell ref="AE307:AE310"/>
    <mergeCell ref="AJ307:AJ310"/>
    <mergeCell ref="AO307:AO310"/>
    <mergeCell ref="AV307:AV308"/>
    <mergeCell ref="H305:J305"/>
    <mergeCell ref="Y305:AA305"/>
    <mergeCell ref="AP305:AR305"/>
    <mergeCell ref="AW305:AX305"/>
    <mergeCell ref="BC305:BD305"/>
    <mergeCell ref="BI305:BL305"/>
    <mergeCell ref="BR315:BR317"/>
    <mergeCell ref="B316:B317"/>
    <mergeCell ref="H316:H317"/>
    <mergeCell ref="P316:P319"/>
    <mergeCell ref="V316:V319"/>
    <mergeCell ref="AB316:AB319"/>
    <mergeCell ref="BB307:BB308"/>
    <mergeCell ref="BH307:BH308"/>
    <mergeCell ref="BP307:BP308"/>
    <mergeCell ref="C314:D314"/>
    <mergeCell ref="I314:L314"/>
    <mergeCell ref="Q314:R314"/>
    <mergeCell ref="W314:X314"/>
    <mergeCell ref="AC314:AF314"/>
    <mergeCell ref="AR314:AT314"/>
    <mergeCell ref="BL314:BN314"/>
    <mergeCell ref="BL323:BM323"/>
    <mergeCell ref="BE331:BE334"/>
    <mergeCell ref="BK331:BK334"/>
    <mergeCell ref="BS323:BT323"/>
    <mergeCell ref="B324:B326"/>
    <mergeCell ref="H324:H326"/>
    <mergeCell ref="BJ324:BJ326"/>
    <mergeCell ref="BQ324:BQ326"/>
    <mergeCell ref="J323:L323"/>
    <mergeCell ref="R323:S323"/>
    <mergeCell ref="Y323:Z323"/>
    <mergeCell ref="AF323:AI323"/>
    <mergeCell ref="AO323:AP323"/>
    <mergeCell ref="AV323:AW323"/>
    <mergeCell ref="D330:G330"/>
    <mergeCell ref="Y330:AA330"/>
    <mergeCell ref="AS330:AU330"/>
    <mergeCell ref="BM330:BO330"/>
    <mergeCell ref="B331:B333"/>
    <mergeCell ref="K331:K332"/>
    <mergeCell ref="Q331:Q332"/>
    <mergeCell ref="W331:W332"/>
    <mergeCell ref="AE331:AE332"/>
    <mergeCell ref="B339:B340"/>
    <mergeCell ref="I339:I340"/>
    <mergeCell ref="P339:P340"/>
    <mergeCell ref="Y339:Y340"/>
    <mergeCell ref="AF339:AF340"/>
    <mergeCell ref="AM339:AM340"/>
    <mergeCell ref="AV339:AV342"/>
    <mergeCell ref="AQ331:AQ332"/>
    <mergeCell ref="BC323:BF323"/>
    <mergeCell ref="AY331:AY334"/>
    <mergeCell ref="D338:E338"/>
    <mergeCell ref="K338:L338"/>
    <mergeCell ref="R338:U338"/>
    <mergeCell ref="AA338:AB338"/>
    <mergeCell ref="AH338:AI338"/>
    <mergeCell ref="AO338:AR338"/>
    <mergeCell ref="BC339:BC342"/>
    <mergeCell ref="BJ339:BJ342"/>
    <mergeCell ref="AK331:AK332"/>
    <mergeCell ref="J346:L346"/>
    <mergeCell ref="AD346:AF346"/>
    <mergeCell ref="AX346:AZ346"/>
    <mergeCell ref="BF346:BG346"/>
    <mergeCell ref="AX338:AY338"/>
    <mergeCell ref="BE338:BF338"/>
    <mergeCell ref="BL338:BO338"/>
    <mergeCell ref="BM346:BN346"/>
    <mergeCell ref="BT346:BW346"/>
    <mergeCell ref="AJ348:AJ350"/>
    <mergeCell ref="AP348:AP350"/>
    <mergeCell ref="AV348:AV350"/>
    <mergeCell ref="D354:E354"/>
    <mergeCell ref="K354:L354"/>
    <mergeCell ref="R354:U354"/>
    <mergeCell ref="AA354:AB354"/>
    <mergeCell ref="AH354:AI354"/>
    <mergeCell ref="BP356:BP357"/>
    <mergeCell ref="J362:L362"/>
    <mergeCell ref="AD362:AF362"/>
    <mergeCell ref="AL362:AM362"/>
    <mergeCell ref="AS362:AT362"/>
    <mergeCell ref="AZ362:BC362"/>
    <mergeCell ref="BI362:BJ362"/>
    <mergeCell ref="BP362:BQ362"/>
    <mergeCell ref="AO354:AR354"/>
    <mergeCell ref="BJ354:BL354"/>
    <mergeCell ref="Y356:Y358"/>
    <mergeCell ref="AF356:AF358"/>
    <mergeCell ref="AM356:AM358"/>
    <mergeCell ref="AV356:AV357"/>
    <mergeCell ref="BB356:BB357"/>
    <mergeCell ref="BH356:BH357"/>
    <mergeCell ref="B373:B374"/>
    <mergeCell ref="K373:K376"/>
    <mergeCell ref="R373:R376"/>
    <mergeCell ref="Y373:Y376"/>
    <mergeCell ref="AQ364:AQ365"/>
    <mergeCell ref="AX364:AX365"/>
    <mergeCell ref="BG364:BG365"/>
    <mergeCell ref="BN364:BN365"/>
    <mergeCell ref="D371:G371"/>
    <mergeCell ref="M371:N371"/>
    <mergeCell ref="T371:U371"/>
    <mergeCell ref="AA371:AD371"/>
    <mergeCell ref="B364:B365"/>
    <mergeCell ref="H364:H365"/>
    <mergeCell ref="P364:P367"/>
    <mergeCell ref="V364:V367"/>
    <mergeCell ref="AB364:AB367"/>
    <mergeCell ref="AJ364:AJ365"/>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SOURCES"/>
  <dimension ref="A1:G12"/>
  <sheetViews>
    <sheetView showGridLines="0" topLeftCell="A12" zoomScale="230" zoomScaleNormal="230" workbookViewId="0">
      <selection activeCell="H27" sqref="H27"/>
    </sheetView>
  </sheetViews>
  <sheetFormatPr defaultRowHeight="12.75" x14ac:dyDescent="0.2"/>
  <cols>
    <col min="1" max="1" width="9.140625" style="172"/>
    <col min="2" max="7" width="11.140625" style="172" customWidth="1"/>
    <col min="8" max="8" width="12.42578125" style="172" customWidth="1"/>
    <col min="9" max="16384" width="9.140625" style="172"/>
  </cols>
  <sheetData>
    <row r="1" spans="1:7" x14ac:dyDescent="0.2">
      <c r="B1" s="216" t="s">
        <v>209</v>
      </c>
      <c r="C1" s="217" t="s">
        <v>210</v>
      </c>
      <c r="D1" s="218" t="s">
        <v>211</v>
      </c>
      <c r="E1" s="219" t="s">
        <v>212</v>
      </c>
      <c r="F1" s="220" t="s">
        <v>213</v>
      </c>
    </row>
    <row r="3" spans="1:7" x14ac:dyDescent="0.2">
      <c r="B3" s="221" t="s">
        <v>149</v>
      </c>
      <c r="C3" s="222" t="s">
        <v>147</v>
      </c>
      <c r="D3" s="223" t="s">
        <v>148</v>
      </c>
      <c r="E3" s="224" t="s">
        <v>150</v>
      </c>
      <c r="F3" s="225" t="s">
        <v>47</v>
      </c>
    </row>
    <row r="5" spans="1:7" x14ac:dyDescent="0.2">
      <c r="B5" s="216" t="s">
        <v>214</v>
      </c>
      <c r="C5" s="217" t="s">
        <v>210</v>
      </c>
      <c r="D5" s="218" t="s">
        <v>215</v>
      </c>
      <c r="E5" s="219" t="s">
        <v>212</v>
      </c>
      <c r="F5" s="220" t="s">
        <v>213</v>
      </c>
    </row>
    <row r="6" spans="1:7" x14ac:dyDescent="0.2">
      <c r="B6" s="226"/>
      <c r="C6" s="226"/>
      <c r="D6" s="226"/>
      <c r="E6" s="226"/>
      <c r="F6" s="226"/>
    </row>
    <row r="7" spans="1:7" ht="13.5" thickBot="1" x14ac:dyDescent="0.25">
      <c r="B7" s="216" t="s">
        <v>209</v>
      </c>
      <c r="C7" s="217" t="s">
        <v>210</v>
      </c>
      <c r="D7" s="218" t="s">
        <v>211</v>
      </c>
      <c r="E7" s="219" t="s">
        <v>212</v>
      </c>
      <c r="F7" s="220" t="s">
        <v>213</v>
      </c>
      <c r="G7" s="227" t="s">
        <v>302</v>
      </c>
    </row>
    <row r="8" spans="1:7" ht="0.75" hidden="1" customHeight="1" x14ac:dyDescent="0.2">
      <c r="A8" s="228"/>
      <c r="B8" s="229"/>
      <c r="C8" s="229"/>
      <c r="D8" s="229"/>
      <c r="E8" s="229"/>
      <c r="F8" s="229"/>
      <c r="G8" s="229"/>
    </row>
    <row r="9" spans="1:7" ht="13.5" thickTop="1" x14ac:dyDescent="0.2">
      <c r="B9" s="286"/>
      <c r="C9" s="286"/>
      <c r="D9" s="286"/>
      <c r="E9" s="286"/>
      <c r="F9" s="286"/>
      <c r="G9" s="285"/>
    </row>
    <row r="10" spans="1:7" x14ac:dyDescent="0.2">
      <c r="E10" s="230"/>
    </row>
    <row r="12" spans="1:7" x14ac:dyDescent="0.2">
      <c r="B12" s="284"/>
      <c r="C12" s="284"/>
      <c r="D12" s="284"/>
      <c r="E12" s="284"/>
      <c r="F12" s="284"/>
      <c r="G12" s="284"/>
    </row>
  </sheetData>
  <pageMargins left="0.7" right="0.7" top="0.75" bottom="0.75" header="0.3" footer="0.3"/>
  <pageSetup orientation="portrait" r:id="rId1"/>
  <drawing r:id="rId2"/>
  <legacyDrawing r:id="rId3"/>
  <controls>
    <mc:AlternateContent xmlns:mc="http://schemas.openxmlformats.org/markup-compatibility/2006">
      <mc:Choice Requires="x14">
        <control shapeId="5121" r:id="rId4" name="opt1">
          <controlPr defaultSize="0" autoLine="0" r:id="rId5">
            <anchor moveWithCells="1">
              <from>
                <xdr:col>6</xdr:col>
                <xdr:colOff>304800</xdr:colOff>
                <xdr:row>8</xdr:row>
                <xdr:rowOff>0</xdr:rowOff>
              </from>
              <to>
                <xdr:col>6</xdr:col>
                <xdr:colOff>495300</xdr:colOff>
                <xdr:row>9</xdr:row>
                <xdr:rowOff>0</xdr:rowOff>
              </to>
            </anchor>
          </controlPr>
        </control>
      </mc:Choice>
      <mc:Fallback>
        <control shapeId="5121" r:id="rId4" name="opt1"/>
      </mc:Fallback>
    </mc:AlternateContent>
    <mc:AlternateContent xmlns:mc="http://schemas.openxmlformats.org/markup-compatibility/2006">
      <mc:Choice Requires="x14">
        <control shapeId="5122" r:id="rId6" name="OptionButton1">
          <controlPr defaultSize="0" autoLine="0" r:id="rId7">
            <anchor moveWithCells="1">
              <from>
                <xdr:col>5</xdr:col>
                <xdr:colOff>314325</xdr:colOff>
                <xdr:row>8</xdr:row>
                <xdr:rowOff>0</xdr:rowOff>
              </from>
              <to>
                <xdr:col>5</xdr:col>
                <xdr:colOff>504825</xdr:colOff>
                <xdr:row>8</xdr:row>
                <xdr:rowOff>161925</xdr:rowOff>
              </to>
            </anchor>
          </controlPr>
        </control>
      </mc:Choice>
      <mc:Fallback>
        <control shapeId="5122" r:id="rId6" name="OptionButton1"/>
      </mc:Fallback>
    </mc:AlternateContent>
    <mc:AlternateContent xmlns:mc="http://schemas.openxmlformats.org/markup-compatibility/2006">
      <mc:Choice Requires="x14">
        <control shapeId="5123" r:id="rId8" name="OptionButton2">
          <controlPr defaultSize="0" autoLine="0" r:id="rId7">
            <anchor moveWithCells="1">
              <from>
                <xdr:col>4</xdr:col>
                <xdr:colOff>314325</xdr:colOff>
                <xdr:row>8</xdr:row>
                <xdr:rowOff>0</xdr:rowOff>
              </from>
              <to>
                <xdr:col>4</xdr:col>
                <xdr:colOff>504825</xdr:colOff>
                <xdr:row>8</xdr:row>
                <xdr:rowOff>161925</xdr:rowOff>
              </to>
            </anchor>
          </controlPr>
        </control>
      </mc:Choice>
      <mc:Fallback>
        <control shapeId="5123" r:id="rId8" name="OptionButton2"/>
      </mc:Fallback>
    </mc:AlternateContent>
    <mc:AlternateContent xmlns:mc="http://schemas.openxmlformats.org/markup-compatibility/2006">
      <mc:Choice Requires="x14">
        <control shapeId="5124" r:id="rId9" name="OptionButton3">
          <controlPr defaultSize="0" autoLine="0" r:id="rId7">
            <anchor moveWithCells="1">
              <from>
                <xdr:col>3</xdr:col>
                <xdr:colOff>304800</xdr:colOff>
                <xdr:row>8</xdr:row>
                <xdr:rowOff>0</xdr:rowOff>
              </from>
              <to>
                <xdr:col>3</xdr:col>
                <xdr:colOff>495300</xdr:colOff>
                <xdr:row>8</xdr:row>
                <xdr:rowOff>161925</xdr:rowOff>
              </to>
            </anchor>
          </controlPr>
        </control>
      </mc:Choice>
      <mc:Fallback>
        <control shapeId="5124" r:id="rId9" name="OptionButton3"/>
      </mc:Fallback>
    </mc:AlternateContent>
    <mc:AlternateContent xmlns:mc="http://schemas.openxmlformats.org/markup-compatibility/2006">
      <mc:Choice Requires="x14">
        <control shapeId="5125" r:id="rId10" name="OptionButton4">
          <controlPr defaultSize="0" autoLine="0" r:id="rId7">
            <anchor moveWithCells="1">
              <from>
                <xdr:col>2</xdr:col>
                <xdr:colOff>304800</xdr:colOff>
                <xdr:row>8</xdr:row>
                <xdr:rowOff>0</xdr:rowOff>
              </from>
              <to>
                <xdr:col>2</xdr:col>
                <xdr:colOff>495300</xdr:colOff>
                <xdr:row>8</xdr:row>
                <xdr:rowOff>161925</xdr:rowOff>
              </to>
            </anchor>
          </controlPr>
        </control>
      </mc:Choice>
      <mc:Fallback>
        <control shapeId="5125" r:id="rId10" name="OptionButton4"/>
      </mc:Fallback>
    </mc:AlternateContent>
    <mc:AlternateContent xmlns:mc="http://schemas.openxmlformats.org/markup-compatibility/2006">
      <mc:Choice Requires="x14">
        <control shapeId="5126" r:id="rId11" name="OptionButton5">
          <controlPr defaultSize="0" autoLine="0" r:id="rId7">
            <anchor moveWithCells="1">
              <from>
                <xdr:col>1</xdr:col>
                <xdr:colOff>304800</xdr:colOff>
                <xdr:row>8</xdr:row>
                <xdr:rowOff>0</xdr:rowOff>
              </from>
              <to>
                <xdr:col>1</xdr:col>
                <xdr:colOff>495300</xdr:colOff>
                <xdr:row>8</xdr:row>
                <xdr:rowOff>161925</xdr:rowOff>
              </to>
            </anchor>
          </controlPr>
        </control>
      </mc:Choice>
      <mc:Fallback>
        <control shapeId="5126" r:id="rId11" name="OptionButton5"/>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48</vt:i4>
      </vt:variant>
    </vt:vector>
  </HeadingPairs>
  <TitlesOfParts>
    <vt:vector size="72" baseType="lpstr">
      <vt:lpstr>QUERIES</vt:lpstr>
      <vt:lpstr>Identities</vt:lpstr>
      <vt:lpstr>Member Lookup</vt:lpstr>
      <vt:lpstr>Kennismatrix</vt:lpstr>
      <vt:lpstr>Behoeftes</vt:lpstr>
      <vt:lpstr>Aanvullende opmerkingen</vt:lpstr>
      <vt:lpstr>Matrix 171007_1827</vt:lpstr>
      <vt:lpstr>Needs 171007_1827</vt:lpstr>
      <vt:lpstr>Matrix 171007_1818</vt:lpstr>
      <vt:lpstr>Needs 171007_1818</vt:lpstr>
      <vt:lpstr>Matrix 171007_1815</vt:lpstr>
      <vt:lpstr>Needs 171007_1815</vt:lpstr>
      <vt:lpstr>Matrix 171007_1812</vt:lpstr>
      <vt:lpstr>Needs 171007_1812</vt:lpstr>
      <vt:lpstr>Matrix 171007_1810</vt:lpstr>
      <vt:lpstr>Needs 171007_1810</vt:lpstr>
      <vt:lpstr>Matrix 171007_1806</vt:lpstr>
      <vt:lpstr>Needs 171007_1806</vt:lpstr>
      <vt:lpstr>Categories</vt:lpstr>
      <vt:lpstr>Skills</vt:lpstr>
      <vt:lpstr>Departments</vt:lpstr>
      <vt:lpstr>Members</vt:lpstr>
      <vt:lpstr>TEST</vt:lpstr>
      <vt:lpstr>RESOURCES</vt:lpstr>
      <vt:lpstr>Identities!Database</vt:lpstr>
      <vt:lpstr>'Matrix 171007_1806'!Database</vt:lpstr>
      <vt:lpstr>'Matrix 171007_1810'!Database</vt:lpstr>
      <vt:lpstr>'Matrix 171007_1812'!Database</vt:lpstr>
      <vt:lpstr>'Matrix 171007_1815'!Database</vt:lpstr>
      <vt:lpstr>'Matrix 171007_1818'!Database</vt:lpstr>
      <vt:lpstr>'Matrix 171007_1827'!Database</vt:lpstr>
      <vt:lpstr>'Member Lookup'!Database</vt:lpstr>
      <vt:lpstr>Members!Database</vt:lpstr>
      <vt:lpstr>'Needs 171007_1806'!Database</vt:lpstr>
      <vt:lpstr>'Needs 171007_1810'!Database</vt:lpstr>
      <vt:lpstr>'Needs 171007_1812'!Database</vt:lpstr>
      <vt:lpstr>'Needs 171007_1815'!Database</vt:lpstr>
      <vt:lpstr>'Needs 171007_1818'!Database</vt:lpstr>
      <vt:lpstr>'Needs 171007_1827'!Database</vt:lpstr>
      <vt:lpstr>Skills!Database</vt:lpstr>
      <vt:lpstr>Identities!Header</vt:lpstr>
      <vt:lpstr>'Member Lookup'!Header</vt:lpstr>
      <vt:lpstr>Members!Header</vt:lpstr>
      <vt:lpstr>QUERIES!Header</vt:lpstr>
      <vt:lpstr>Skills!Header</vt:lpstr>
      <vt:lpstr>Identities</vt:lpstr>
      <vt:lpstr>Matrix_171007_1806</vt:lpstr>
      <vt:lpstr>Matrix_171007_1810</vt:lpstr>
      <vt:lpstr>Matrix_171007_1812</vt:lpstr>
      <vt:lpstr>Matrix_171007_1815</vt:lpstr>
      <vt:lpstr>Matrix_171007_1818</vt:lpstr>
      <vt:lpstr>Matrix_171007_1827</vt:lpstr>
      <vt:lpstr>Member_Lookup</vt:lpstr>
      <vt:lpstr>Members</vt:lpstr>
      <vt:lpstr>Needs_171007_1806</vt:lpstr>
      <vt:lpstr>Needs_171007_1810</vt:lpstr>
      <vt:lpstr>Needs_171007_1812</vt:lpstr>
      <vt:lpstr>Needs_171007_1815</vt:lpstr>
      <vt:lpstr>Needs_171007_1818</vt:lpstr>
      <vt:lpstr>Needs_171007_1827</vt:lpstr>
      <vt:lpstr>Identities!Print_Area</vt:lpstr>
      <vt:lpstr>'Member Lookup'!Print_Area</vt:lpstr>
      <vt:lpstr>Members!Print_Area</vt:lpstr>
      <vt:lpstr>QUERIES!Print_Area</vt:lpstr>
      <vt:lpstr>Skills!Print_Area</vt:lpstr>
      <vt:lpstr>Identities!Print_Titles</vt:lpstr>
      <vt:lpstr>'Member Lookup'!Print_Titles</vt:lpstr>
      <vt:lpstr>Members!Print_Titles</vt:lpstr>
      <vt:lpstr>QUERIES!Print_Titles</vt:lpstr>
      <vt:lpstr>Skills!Print_Titles</vt:lpstr>
      <vt:lpstr>QUERIES!Saved_Queries</vt:lpstr>
      <vt:lpstr>Saved_Queries</vt:lpstr>
    </vt:vector>
  </TitlesOfParts>
  <Company>Rabobank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Rombeek, R (Robert)</dc:creator>
  <cp:lastModifiedBy>rt.Dellonetools</cp:lastModifiedBy>
  <cp:lastPrinted>2016-12-18T18:15:29Z</cp:lastPrinted>
  <dcterms:created xsi:type="dcterms:W3CDTF">2016-12-04T15:23:17Z</dcterms:created>
  <dcterms:modified xsi:type="dcterms:W3CDTF">2017-10-07T17:49:13Z</dcterms:modified>
</cp:coreProperties>
</file>