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4"/>
  </bookViews>
  <sheets>
    <sheet name="Dividends" sheetId="1" r:id="rId1"/>
    <sheet name="Timeline" sheetId="2" r:id="rId2"/>
    <sheet name="Equity" sheetId="3" r:id="rId3"/>
    <sheet name="PE vs PB" sheetId="4" r:id="rId4"/>
    <sheet name="Weigh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I4" i="5" s="1"/>
  <c r="H3" i="5"/>
  <c r="I3" i="5" s="1"/>
  <c r="H2" i="5"/>
  <c r="I2" i="5" s="1"/>
  <c r="E3" i="5"/>
  <c r="E5" i="5" s="1"/>
  <c r="E4" i="5"/>
  <c r="E2" i="5"/>
  <c r="I5" i="5" l="1"/>
  <c r="K2" i="5" s="1"/>
  <c r="F2" i="5"/>
  <c r="G4" i="5"/>
  <c r="F4" i="5"/>
  <c r="G3" i="5"/>
  <c r="F3" i="5"/>
  <c r="G2" i="5"/>
  <c r="F10" i="2"/>
  <c r="F11" i="2" s="1"/>
  <c r="F12" i="2" s="1"/>
  <c r="K4" i="2"/>
  <c r="K3" i="2"/>
  <c r="D2" i="2"/>
  <c r="E2" i="2" s="1"/>
  <c r="F2" i="2" s="1"/>
  <c r="G2" i="2" s="1"/>
  <c r="H2" i="2" s="1"/>
  <c r="I2" i="2" s="1"/>
  <c r="C2" i="2"/>
  <c r="F9" i="2"/>
  <c r="B16" i="2"/>
  <c r="B15" i="2"/>
  <c r="H10" i="1"/>
  <c r="B14" i="2"/>
  <c r="I4" i="2"/>
  <c r="C4" i="2"/>
  <c r="D4" i="2"/>
  <c r="E4" i="2"/>
  <c r="F4" i="2"/>
  <c r="G4" i="2"/>
  <c r="H4" i="2"/>
  <c r="B4" i="2"/>
  <c r="H6" i="1"/>
  <c r="H3" i="1"/>
  <c r="B12" i="1"/>
  <c r="B10" i="1"/>
  <c r="B14" i="4"/>
  <c r="B13" i="4"/>
  <c r="B12" i="4"/>
  <c r="B7" i="4"/>
  <c r="B9" i="4" s="1"/>
  <c r="F2" i="4"/>
  <c r="E11" i="3"/>
  <c r="E9" i="3"/>
  <c r="E6" i="3"/>
  <c r="E4" i="3"/>
  <c r="B7" i="3"/>
  <c r="B5" i="3"/>
  <c r="B3" i="3"/>
  <c r="B2" i="2"/>
  <c r="E12" i="1"/>
  <c r="B5" i="1"/>
  <c r="E6" i="1"/>
  <c r="E4" i="1"/>
  <c r="E5" i="1"/>
  <c r="B4" i="1"/>
  <c r="K3" i="5" l="1"/>
  <c r="K4" i="5"/>
  <c r="J3" i="5"/>
  <c r="J4" i="5"/>
  <c r="J2" i="5"/>
  <c r="G5" i="5"/>
  <c r="I3" i="2"/>
  <c r="B5" i="2"/>
  <c r="D3" i="2"/>
  <c r="G3" i="2"/>
  <c r="G6" i="2" s="1"/>
  <c r="F3" i="2"/>
  <c r="E3" i="2"/>
  <c r="H3" i="2"/>
  <c r="H5" i="2"/>
  <c r="E5" i="2"/>
  <c r="F5" i="2"/>
  <c r="D5" i="2"/>
  <c r="D6" i="2" s="1"/>
  <c r="C3" i="2"/>
  <c r="B3" i="2"/>
  <c r="G5" i="2"/>
  <c r="C5" i="2"/>
  <c r="I5" i="2"/>
  <c r="B8" i="4"/>
  <c r="K5" i="5" l="1"/>
  <c r="B6" i="2"/>
  <c r="E6" i="2"/>
  <c r="I6" i="2"/>
  <c r="H6" i="2"/>
  <c r="F6" i="2"/>
  <c r="C6" i="2"/>
</calcChain>
</file>

<file path=xl/sharedStrings.xml><?xml version="1.0" encoding="utf-8"?>
<sst xmlns="http://schemas.openxmlformats.org/spreadsheetml/2006/main" count="94" uniqueCount="66">
  <si>
    <t xml:space="preserve">Stock Price = </t>
  </si>
  <si>
    <t xml:space="preserve">Expected Price = </t>
  </si>
  <si>
    <t xml:space="preserve">Equity Cost of Captial = </t>
  </si>
  <si>
    <t xml:space="preserve">Dividend = </t>
  </si>
  <si>
    <t xml:space="preserve">Current Price = </t>
  </si>
  <si>
    <t xml:space="preserve">Dividen Yield = </t>
  </si>
  <si>
    <t xml:space="preserve">Capital Gain Rate = </t>
  </si>
  <si>
    <t xml:space="preserve">Dividend Growth Rate = </t>
  </si>
  <si>
    <t>Years</t>
  </si>
  <si>
    <t xml:space="preserve">Dividend Increase = </t>
  </si>
  <si>
    <t xml:space="preserve">Equity Cost of Capital = </t>
  </si>
  <si>
    <t xml:space="preserve">Total Payout = </t>
  </si>
  <si>
    <t xml:space="preserve">Repurcahse Amount = </t>
  </si>
  <si>
    <t xml:space="preserve">g = </t>
  </si>
  <si>
    <t xml:space="preserve">rE = </t>
  </si>
  <si>
    <t xml:space="preserve">Equity Value  = </t>
  </si>
  <si>
    <t xml:space="preserve">Number of Shares = </t>
  </si>
  <si>
    <t xml:space="preserve">Expected FCF 2015 = </t>
  </si>
  <si>
    <t xml:space="preserve">Enterprise Value 2014 = </t>
  </si>
  <si>
    <t xml:space="preserve">Expected FCF 2014 = </t>
  </si>
  <si>
    <t xml:space="preserve">Enterprise Value 2013 = </t>
  </si>
  <si>
    <t xml:space="preserve">Excess Cash 2013 = </t>
  </si>
  <si>
    <t xml:space="preserve">Debt in 2013 = </t>
  </si>
  <si>
    <t>P/E</t>
  </si>
  <si>
    <t>Price/Book</t>
  </si>
  <si>
    <t>Enterprise Value/Sales</t>
  </si>
  <si>
    <t>enterprise Value/EBITDA</t>
  </si>
  <si>
    <t>Average</t>
  </si>
  <si>
    <t>Maximum</t>
  </si>
  <si>
    <t>Minimum</t>
  </si>
  <si>
    <t xml:space="preserve">Share Price = </t>
  </si>
  <si>
    <t xml:space="preserve">Min = </t>
  </si>
  <si>
    <t xml:space="preserve">Max = </t>
  </si>
  <si>
    <t xml:space="preserve">EPS = </t>
  </si>
  <si>
    <t xml:space="preserve">Book Equity = </t>
  </si>
  <si>
    <t xml:space="preserve">Year 0 Dividend = </t>
  </si>
  <si>
    <t xml:space="preserve">Year 1 Dividend = </t>
  </si>
  <si>
    <t xml:space="preserve">Actual Dividend Groth Rate = </t>
  </si>
  <si>
    <t>Dividen N</t>
  </si>
  <si>
    <t>1st ()</t>
  </si>
  <si>
    <t>2nd ()</t>
  </si>
  <si>
    <t>3rd ()</t>
  </si>
  <si>
    <t xml:space="preserve">Dividend Year 0 = </t>
  </si>
  <si>
    <t xml:space="preserve">Dividend Year 1 = </t>
  </si>
  <si>
    <t xml:space="preserve">PV first 5 years = </t>
  </si>
  <si>
    <t xml:space="preserve">Increase Year 1 = </t>
  </si>
  <si>
    <t xml:space="preserve">After 5 years Growth Rate = </t>
  </si>
  <si>
    <t xml:space="preserve">PV First 5 years = </t>
  </si>
  <si>
    <t xml:space="preserve">FV Other Years = </t>
  </si>
  <si>
    <t xml:space="preserve">post years = </t>
  </si>
  <si>
    <t xml:space="preserve">PV = </t>
  </si>
  <si>
    <t xml:space="preserve">FV after x years = </t>
  </si>
  <si>
    <t xml:space="preserve">PV after x years = </t>
  </si>
  <si>
    <t>Apple</t>
  </si>
  <si>
    <t>Cisco</t>
  </si>
  <si>
    <t>Colgate</t>
  </si>
  <si>
    <t>%</t>
  </si>
  <si>
    <t>Price</t>
  </si>
  <si>
    <t>Shares</t>
  </si>
  <si>
    <t>Value</t>
  </si>
  <si>
    <t>a.</t>
  </si>
  <si>
    <t>b.</t>
  </si>
  <si>
    <t>New Price</t>
  </si>
  <si>
    <t>New Value</t>
  </si>
  <si>
    <t>c.</t>
  </si>
  <si>
    <t>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</si>
</sst>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D363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 applyBorder="1" applyAlignment="1">
      <alignment horizontal="right"/>
    </xf>
    <xf numFmtId="10" fontId="0" fillId="0" borderId="0" xfId="0" applyNumberFormat="1"/>
    <xf numFmtId="0" fontId="0" fillId="0" borderId="1" xfId="0" applyFont="1" applyBorder="1" applyAlignment="1">
      <alignment horizontal="right"/>
    </xf>
    <xf numFmtId="4" fontId="0" fillId="0" borderId="1" xfId="0" applyNumberFormat="1" applyBorder="1"/>
    <xf numFmtId="164" fontId="0" fillId="0" borderId="1" xfId="0" applyNumberFormat="1" applyBorder="1"/>
    <xf numFmtId="9" fontId="0" fillId="0" borderId="0" xfId="0" applyNumberFormat="1"/>
    <xf numFmtId="10" fontId="0" fillId="0" borderId="1" xfId="0" applyNumberFormat="1" applyBorder="1"/>
    <xf numFmtId="4" fontId="1" fillId="0" borderId="0" xfId="0" applyNumberFormat="1" applyFont="1"/>
    <xf numFmtId="2" fontId="0" fillId="0" borderId="0" xfId="0" applyNumberFormat="1"/>
    <xf numFmtId="164" fontId="0" fillId="0" borderId="0" xfId="0" applyNumberFormat="1" applyBorder="1"/>
    <xf numFmtId="4" fontId="0" fillId="0" borderId="1" xfId="0" applyNumberFormat="1" applyFont="1" applyBorder="1"/>
    <xf numFmtId="0" fontId="0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10" fontId="0" fillId="0" borderId="0" xfId="0" applyNumberFormat="1" applyBorder="1"/>
    <xf numFmtId="0" fontId="0" fillId="0" borderId="1" xfId="0" applyFont="1" applyFill="1" applyBorder="1" applyAlignment="1">
      <alignment horizontal="right"/>
    </xf>
    <xf numFmtId="2" fontId="0" fillId="0" borderId="1" xfId="0" applyNumberFormat="1" applyBorder="1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4" fontId="1" fillId="0" borderId="1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RowHeight="15" x14ac:dyDescent="0.25"/>
  <cols>
    <col min="1" max="1" width="22" bestFit="1" customWidth="1"/>
    <col min="4" max="4" width="22" bestFit="1" customWidth="1"/>
    <col min="5" max="5" width="10.140625" bestFit="1" customWidth="1"/>
    <col min="7" max="7" width="27.28515625" bestFit="1" customWidth="1"/>
    <col min="8" max="8" width="10.85546875" bestFit="1" customWidth="1"/>
  </cols>
  <sheetData>
    <row r="1" spans="1:8" x14ac:dyDescent="0.25">
      <c r="A1" s="1" t="s">
        <v>3</v>
      </c>
      <c r="B1">
        <v>1.26</v>
      </c>
      <c r="D1" s="1" t="s">
        <v>3</v>
      </c>
      <c r="E1">
        <v>2</v>
      </c>
      <c r="G1" s="1" t="s">
        <v>35</v>
      </c>
      <c r="H1">
        <v>1.36</v>
      </c>
    </row>
    <row r="2" spans="1:8" x14ac:dyDescent="0.25">
      <c r="A2" s="1" t="s">
        <v>4</v>
      </c>
      <c r="B2">
        <v>43.6</v>
      </c>
      <c r="D2" s="1" t="s">
        <v>4</v>
      </c>
      <c r="E2">
        <v>13</v>
      </c>
      <c r="G2" s="2" t="s">
        <v>7</v>
      </c>
      <c r="H2" s="20">
        <v>6.5000000000000002E-2</v>
      </c>
    </row>
    <row r="3" spans="1:8" x14ac:dyDescent="0.25">
      <c r="A3" s="2" t="s">
        <v>2</v>
      </c>
      <c r="B3" s="6">
        <v>8.2000000000000003E-2</v>
      </c>
      <c r="D3" s="2" t="s">
        <v>1</v>
      </c>
      <c r="E3" s="8">
        <v>16</v>
      </c>
      <c r="G3" s="1" t="s">
        <v>36</v>
      </c>
      <c r="H3" s="22">
        <f>H1*H2+H1</f>
        <v>1.4484000000000001</v>
      </c>
    </row>
    <row r="4" spans="1:8" x14ac:dyDescent="0.25">
      <c r="A4" s="4" t="s">
        <v>1</v>
      </c>
      <c r="B4" s="5">
        <f>B2*(1+B3)-B1</f>
        <v>45.915200000000006</v>
      </c>
      <c r="D4" s="4" t="s">
        <v>6</v>
      </c>
      <c r="E4" s="9">
        <f>(E3-E2)/E2</f>
        <v>0.23076923076923078</v>
      </c>
      <c r="G4" s="10" t="s">
        <v>2</v>
      </c>
      <c r="H4" s="23">
        <v>8.3000000000000004E-2</v>
      </c>
    </row>
    <row r="5" spans="1:8" x14ac:dyDescent="0.25">
      <c r="A5" s="4" t="s">
        <v>5</v>
      </c>
      <c r="B5" s="7">
        <f>B1/B2</f>
        <v>2.8899082568807338E-2</v>
      </c>
      <c r="D5" s="12" t="s">
        <v>5</v>
      </c>
      <c r="E5" s="13">
        <f>E1/E2</f>
        <v>0.15384615384615385</v>
      </c>
      <c r="G5" s="16" t="s">
        <v>4</v>
      </c>
      <c r="H5" s="24">
        <v>42</v>
      </c>
    </row>
    <row r="6" spans="1:8" x14ac:dyDescent="0.25">
      <c r="D6" s="14" t="s">
        <v>2</v>
      </c>
      <c r="E6" s="13">
        <f>E4+E5</f>
        <v>0.38461538461538464</v>
      </c>
      <c r="G6" s="26" t="s">
        <v>37</v>
      </c>
      <c r="H6" s="9">
        <f>H4-(H3/H5)</f>
        <v>4.8514285714285718E-2</v>
      </c>
    </row>
    <row r="8" spans="1:8" x14ac:dyDescent="0.25">
      <c r="A8" s="1" t="s">
        <v>35</v>
      </c>
      <c r="B8">
        <v>1.36</v>
      </c>
      <c r="D8" s="1" t="s">
        <v>3</v>
      </c>
      <c r="E8">
        <v>4.67</v>
      </c>
      <c r="G8" s="25" t="s">
        <v>42</v>
      </c>
      <c r="H8">
        <v>1.5</v>
      </c>
    </row>
    <row r="9" spans="1:8" x14ac:dyDescent="0.25">
      <c r="A9" s="2" t="s">
        <v>7</v>
      </c>
      <c r="B9" s="20">
        <v>6.5000000000000002E-2</v>
      </c>
      <c r="D9" s="1" t="s">
        <v>7</v>
      </c>
      <c r="E9" s="15">
        <v>2.8000000000000001E-2</v>
      </c>
      <c r="G9" s="30" t="s">
        <v>43</v>
      </c>
      <c r="H9" s="3">
        <v>1.62</v>
      </c>
    </row>
    <row r="10" spans="1:8" x14ac:dyDescent="0.25">
      <c r="A10" s="1" t="s">
        <v>36</v>
      </c>
      <c r="B10" s="22">
        <f>B8*B9+B8</f>
        <v>1.4484000000000001</v>
      </c>
      <c r="D10" s="1"/>
      <c r="E10" s="15"/>
      <c r="G10" s="10" t="s">
        <v>7</v>
      </c>
      <c r="H10" s="29">
        <f>1-H8/H9</f>
        <v>7.4074074074074181E-2</v>
      </c>
    </row>
    <row r="11" spans="1:8" x14ac:dyDescent="0.25">
      <c r="A11" s="2" t="s">
        <v>2</v>
      </c>
      <c r="B11" s="18">
        <v>8.3000000000000004E-2</v>
      </c>
      <c r="D11" s="16" t="s">
        <v>4</v>
      </c>
      <c r="E11" s="17">
        <v>51.46</v>
      </c>
    </row>
    <row r="12" spans="1:8" x14ac:dyDescent="0.25">
      <c r="A12" s="4" t="s">
        <v>4</v>
      </c>
      <c r="B12" s="21">
        <f>B10/(B11-B9)</f>
        <v>80.466666666666669</v>
      </c>
      <c r="D12" s="11" t="s">
        <v>2</v>
      </c>
      <c r="E12" s="9">
        <f>(E8/E11) + E9</f>
        <v>0.11875009716284492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2" sqref="F12"/>
    </sheetView>
  </sheetViews>
  <sheetFormatPr defaultRowHeight="15" x14ac:dyDescent="0.25"/>
  <cols>
    <col min="1" max="1" width="25.7109375" style="1" bestFit="1" customWidth="1"/>
    <col min="5" max="5" width="16.7109375" bestFit="1" customWidth="1"/>
    <col min="6" max="6" width="12" bestFit="1" customWidth="1"/>
    <col min="10" max="10" width="16.28515625" bestFit="1" customWidth="1"/>
  </cols>
  <sheetData>
    <row r="1" spans="1:11" x14ac:dyDescent="0.25">
      <c r="A1" s="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1" x14ac:dyDescent="0.25">
      <c r="A2" s="2" t="s">
        <v>38</v>
      </c>
      <c r="B2" s="31">
        <f>($B$12+$B$11*B1)</f>
        <v>1.5</v>
      </c>
      <c r="C2" s="31">
        <f>B2+$B$11</f>
        <v>1.62</v>
      </c>
      <c r="D2" s="31">
        <f t="shared" ref="D2:I2" si="0">C2+$B$11</f>
        <v>1.7400000000000002</v>
      </c>
      <c r="E2" s="31">
        <f t="shared" si="0"/>
        <v>1.8600000000000003</v>
      </c>
      <c r="F2" s="31">
        <f t="shared" si="0"/>
        <v>1.9800000000000004</v>
      </c>
      <c r="G2" s="31">
        <f t="shared" si="0"/>
        <v>2.1000000000000005</v>
      </c>
      <c r="H2" s="31">
        <f t="shared" si="0"/>
        <v>2.2200000000000006</v>
      </c>
      <c r="I2" s="31">
        <f t="shared" si="0"/>
        <v>2.3400000000000007</v>
      </c>
    </row>
    <row r="3" spans="1:11" x14ac:dyDescent="0.25">
      <c r="A3" s="4" t="s">
        <v>39</v>
      </c>
      <c r="B3" s="5">
        <f>B2/POWER(1+$B$9, B1)</f>
        <v>1.5</v>
      </c>
      <c r="C3" s="5">
        <f t="shared" ref="C3:I3" si="1">C2/POWER(1+$B$9, C1)</f>
        <v>1.4930875576036868</v>
      </c>
      <c r="D3" s="5">
        <f t="shared" si="1"/>
        <v>1.4780521990273738</v>
      </c>
      <c r="E3" s="5">
        <f t="shared" si="1"/>
        <v>1.4562090630811566</v>
      </c>
      <c r="F3" s="5">
        <f t="shared" si="1"/>
        <v>1.4287170828505478</v>
      </c>
      <c r="G3" s="5">
        <f t="shared" si="1"/>
        <v>1.3965953889057166</v>
      </c>
      <c r="H3" s="5">
        <f t="shared" si="1"/>
        <v>1.360738101106294</v>
      </c>
      <c r="I3" s="5">
        <f t="shared" si="1"/>
        <v>1.3219276608082067</v>
      </c>
      <c r="J3" s="4" t="s">
        <v>47</v>
      </c>
      <c r="K3" s="5">
        <f>SUM(B3:G3)</f>
        <v>8.7526612914684812</v>
      </c>
    </row>
    <row r="4" spans="1:11" x14ac:dyDescent="0.25">
      <c r="A4" s="4" t="s">
        <v>40</v>
      </c>
      <c r="B4" s="5">
        <f>1/POWER(1+$B$10, 5)</f>
        <v>0.74725817286605689</v>
      </c>
      <c r="C4" s="5">
        <f t="shared" ref="C4:I4" si="2">1/POWER(1+$B$10, 5)</f>
        <v>0.74725817286605689</v>
      </c>
      <c r="D4" s="5">
        <f t="shared" si="2"/>
        <v>0.74725817286605689</v>
      </c>
      <c r="E4" s="5">
        <f t="shared" si="2"/>
        <v>0.74725817286605689</v>
      </c>
      <c r="F4" s="5">
        <f t="shared" si="2"/>
        <v>0.74725817286605689</v>
      </c>
      <c r="G4" s="5">
        <f t="shared" si="2"/>
        <v>0.74725817286605689</v>
      </c>
      <c r="H4" s="5">
        <f t="shared" si="2"/>
        <v>0.74725817286605689</v>
      </c>
      <c r="I4" s="5">
        <f t="shared" si="2"/>
        <v>0.74725817286605689</v>
      </c>
      <c r="J4" s="4" t="s">
        <v>48</v>
      </c>
      <c r="K4" s="5">
        <f>(B12*POWER(1+B16,5))/(1+B9-B10)</f>
        <v>2.1502362099512204</v>
      </c>
    </row>
    <row r="5" spans="1:11" x14ac:dyDescent="0.25">
      <c r="A5" s="27" t="s">
        <v>41</v>
      </c>
      <c r="B5" s="28">
        <f>$H$2/($B$9-$B$10)</f>
        <v>88.8</v>
      </c>
      <c r="C5" s="28">
        <f t="shared" ref="C5:I5" si="3">$H$2/($B$9-$B$10)</f>
        <v>88.8</v>
      </c>
      <c r="D5" s="28">
        <f t="shared" si="3"/>
        <v>88.8</v>
      </c>
      <c r="E5" s="28">
        <f t="shared" si="3"/>
        <v>88.8</v>
      </c>
      <c r="F5" s="28">
        <f t="shared" si="3"/>
        <v>88.8</v>
      </c>
      <c r="G5" s="28">
        <f t="shared" si="3"/>
        <v>88.8</v>
      </c>
      <c r="H5" s="3">
        <f t="shared" si="3"/>
        <v>88.8</v>
      </c>
      <c r="I5" s="3">
        <f t="shared" si="3"/>
        <v>88.8</v>
      </c>
    </row>
    <row r="6" spans="1:11" x14ac:dyDescent="0.25">
      <c r="B6" s="1">
        <f>B3+B4*B5</f>
        <v>67.856525750505853</v>
      </c>
      <c r="C6" s="1">
        <f t="shared" ref="C6:I6" si="4">C3+C4*C5</f>
        <v>67.849613308109539</v>
      </c>
      <c r="D6" s="1">
        <f t="shared" si="4"/>
        <v>67.834577949533227</v>
      </c>
      <c r="E6" s="1">
        <f t="shared" si="4"/>
        <v>67.812734813587014</v>
      </c>
      <c r="F6" s="1">
        <f t="shared" si="4"/>
        <v>67.785242833356406</v>
      </c>
      <c r="G6" s="1">
        <f t="shared" si="4"/>
        <v>67.753121139411576</v>
      </c>
      <c r="H6" s="1">
        <f t="shared" si="4"/>
        <v>67.717263851612145</v>
      </c>
      <c r="I6" s="1">
        <f t="shared" si="4"/>
        <v>67.678453411314052</v>
      </c>
    </row>
    <row r="9" spans="1:11" x14ac:dyDescent="0.25">
      <c r="A9" s="1" t="s">
        <v>10</v>
      </c>
      <c r="B9" s="15">
        <v>8.5000000000000006E-2</v>
      </c>
      <c r="E9" t="s">
        <v>44</v>
      </c>
      <c r="F9">
        <f>B12*(1+B16)/(B9-B16)*(1-POWER((1+B16)/(1+B9),5))</f>
        <v>7.3969482576469412</v>
      </c>
    </row>
    <row r="10" spans="1:11" x14ac:dyDescent="0.25">
      <c r="A10" s="1" t="s">
        <v>46</v>
      </c>
      <c r="B10" s="19">
        <v>0.06</v>
      </c>
      <c r="E10" t="s">
        <v>51</v>
      </c>
      <c r="F10">
        <f>((B12*POWER(1+B16, F14))/(1+B9-B16))*((1+B10)/(B9-B10))</f>
        <v>193.91289771014712</v>
      </c>
    </row>
    <row r="11" spans="1:11" x14ac:dyDescent="0.25">
      <c r="A11" s="1" t="s">
        <v>9</v>
      </c>
      <c r="B11">
        <v>0.12</v>
      </c>
      <c r="E11" t="s">
        <v>52</v>
      </c>
      <c r="F11">
        <f>F10/POWER(1+B9, F14)</f>
        <v>59.1703319409241</v>
      </c>
    </row>
    <row r="12" spans="1:11" x14ac:dyDescent="0.25">
      <c r="A12" s="25" t="s">
        <v>42</v>
      </c>
      <c r="B12">
        <v>1.5</v>
      </c>
      <c r="E12" s="1" t="s">
        <v>50</v>
      </c>
      <c r="F12">
        <f>F9+F11</f>
        <v>66.567280198571041</v>
      </c>
    </row>
    <row r="13" spans="1:11" ht="15.75" x14ac:dyDescent="0.25">
      <c r="F13" s="32"/>
    </row>
    <row r="14" spans="1:11" x14ac:dyDescent="0.25">
      <c r="A14" s="25" t="s">
        <v>42</v>
      </c>
      <c r="B14">
        <f>B12</f>
        <v>1.5</v>
      </c>
      <c r="E14" s="1" t="s">
        <v>49</v>
      </c>
      <c r="F14">
        <v>14.55</v>
      </c>
    </row>
    <row r="15" spans="1:11" x14ac:dyDescent="0.25">
      <c r="A15" s="30" t="s">
        <v>45</v>
      </c>
      <c r="B15" s="3">
        <f>B11</f>
        <v>0.12</v>
      </c>
    </row>
    <row r="16" spans="1:11" x14ac:dyDescent="0.25">
      <c r="A16" s="10" t="s">
        <v>7</v>
      </c>
      <c r="B16" s="23">
        <f>B15/B14</f>
        <v>0.08</v>
      </c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21" style="1" bestFit="1" customWidth="1"/>
    <col min="4" max="4" width="22.42578125" style="1" bestFit="1" customWidth="1"/>
  </cols>
  <sheetData>
    <row r="1" spans="1:5" x14ac:dyDescent="0.25">
      <c r="A1" s="1" t="s">
        <v>12</v>
      </c>
      <c r="B1">
        <v>2.84</v>
      </c>
      <c r="D1" s="1" t="s">
        <v>17</v>
      </c>
      <c r="E1">
        <v>55</v>
      </c>
    </row>
    <row r="2" spans="1:5" x14ac:dyDescent="0.25">
      <c r="A2" s="2" t="s">
        <v>13</v>
      </c>
      <c r="B2" s="20">
        <v>6.6000000000000003E-2</v>
      </c>
      <c r="D2" s="1" t="s">
        <v>14</v>
      </c>
      <c r="E2" s="15">
        <v>9.4E-2</v>
      </c>
    </row>
    <row r="3" spans="1:5" x14ac:dyDescent="0.25">
      <c r="A3" s="4" t="s">
        <v>11</v>
      </c>
      <c r="B3" s="5">
        <f>B1*(1+B2)</f>
        <v>3.0274399999999999</v>
      </c>
      <c r="D3" s="2" t="s">
        <v>13</v>
      </c>
      <c r="E3" s="6">
        <v>0.04</v>
      </c>
    </row>
    <row r="4" spans="1:5" x14ac:dyDescent="0.25">
      <c r="A4" s="2" t="s">
        <v>14</v>
      </c>
      <c r="B4" s="20">
        <v>8.1000000000000003E-2</v>
      </c>
      <c r="D4" s="4" t="s">
        <v>18</v>
      </c>
      <c r="E4" s="21">
        <f>E1/(E2-E3)</f>
        <v>1018.5185185185185</v>
      </c>
    </row>
    <row r="5" spans="1:5" x14ac:dyDescent="0.25">
      <c r="A5" s="4" t="s">
        <v>15</v>
      </c>
      <c r="B5" s="5">
        <f>B3/(B4-B2)</f>
        <v>201.82933333333332</v>
      </c>
      <c r="D5" s="2" t="s">
        <v>19</v>
      </c>
      <c r="E5" s="3">
        <v>50</v>
      </c>
    </row>
    <row r="6" spans="1:5" x14ac:dyDescent="0.25">
      <c r="A6" s="2" t="s">
        <v>16</v>
      </c>
      <c r="B6" s="3">
        <v>0.436</v>
      </c>
      <c r="D6" s="4" t="s">
        <v>20</v>
      </c>
      <c r="E6" s="5">
        <f>(E4+E5)/(1+E2)</f>
        <v>976.70796939535501</v>
      </c>
    </row>
    <row r="7" spans="1:5" x14ac:dyDescent="0.25">
      <c r="A7" s="4" t="s">
        <v>0</v>
      </c>
      <c r="B7" s="5">
        <f>B5/B6</f>
        <v>462.91131498470946</v>
      </c>
      <c r="D7" s="1" t="s">
        <v>21</v>
      </c>
      <c r="E7">
        <v>106</v>
      </c>
    </row>
    <row r="8" spans="1:5" x14ac:dyDescent="0.25">
      <c r="D8" s="2" t="s">
        <v>22</v>
      </c>
      <c r="E8" s="3">
        <v>33</v>
      </c>
    </row>
    <row r="9" spans="1:5" x14ac:dyDescent="0.25">
      <c r="D9" s="4" t="s">
        <v>15</v>
      </c>
      <c r="E9" s="5">
        <f>E6+E7-E8</f>
        <v>1049.7079693953551</v>
      </c>
    </row>
    <row r="10" spans="1:5" x14ac:dyDescent="0.25">
      <c r="D10" s="2" t="s">
        <v>16</v>
      </c>
      <c r="E10" s="3">
        <v>50</v>
      </c>
    </row>
    <row r="11" spans="1:5" x14ac:dyDescent="0.25">
      <c r="D11" s="4" t="s">
        <v>0</v>
      </c>
      <c r="E11" s="5">
        <f>E9/E10</f>
        <v>20.994159387907104</v>
      </c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4" sqref="B14"/>
    </sheetView>
  </sheetViews>
  <sheetFormatPr defaultRowHeight="15" x14ac:dyDescent="0.25"/>
  <cols>
    <col min="1" max="1" width="13.42578125" style="1" bestFit="1" customWidth="1"/>
    <col min="3" max="3" width="10.7109375" bestFit="1" customWidth="1"/>
    <col min="4" max="4" width="21.5703125" bestFit="1" customWidth="1"/>
    <col min="5" max="5" width="23.42578125" bestFit="1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26</v>
      </c>
    </row>
    <row r="2" spans="1:6" x14ac:dyDescent="0.25">
      <c r="A2" s="1" t="s">
        <v>27</v>
      </c>
      <c r="B2">
        <v>15.01</v>
      </c>
      <c r="C2">
        <v>2.84</v>
      </c>
      <c r="D2">
        <v>1.06</v>
      </c>
      <c r="E2">
        <v>8.49</v>
      </c>
      <c r="F2">
        <f>SUM(B2:E2)</f>
        <v>27.4</v>
      </c>
    </row>
    <row r="3" spans="1:6" x14ac:dyDescent="0.25">
      <c r="A3" s="1" t="s">
        <v>28</v>
      </c>
      <c r="B3" s="19">
        <v>0.51</v>
      </c>
      <c r="C3" s="19">
        <v>1.86</v>
      </c>
      <c r="D3" s="19">
        <v>1.06</v>
      </c>
      <c r="E3" s="19">
        <v>0.27</v>
      </c>
    </row>
    <row r="4" spans="1:6" x14ac:dyDescent="0.25">
      <c r="A4" s="1" t="s">
        <v>29</v>
      </c>
      <c r="B4" s="19">
        <v>-0.42</v>
      </c>
      <c r="C4" s="19">
        <v>-0.61</v>
      </c>
      <c r="D4" s="19">
        <v>-0.56000000000000005</v>
      </c>
      <c r="E4" s="19">
        <v>-0.22</v>
      </c>
    </row>
    <row r="6" spans="1:6" x14ac:dyDescent="0.25">
      <c r="A6" s="2" t="s">
        <v>33</v>
      </c>
      <c r="B6" s="3">
        <v>1.88</v>
      </c>
    </row>
    <row r="7" spans="1:6" x14ac:dyDescent="0.25">
      <c r="A7" s="4" t="s">
        <v>30</v>
      </c>
      <c r="B7" s="5">
        <f>B6*B2</f>
        <v>28.218799999999998</v>
      </c>
    </row>
    <row r="8" spans="1:6" x14ac:dyDescent="0.25">
      <c r="A8" s="4" t="s">
        <v>32</v>
      </c>
      <c r="B8" s="5">
        <f>B7+(B7*B3)</f>
        <v>42.610388</v>
      </c>
    </row>
    <row r="9" spans="1:6" x14ac:dyDescent="0.25">
      <c r="A9" s="4" t="s">
        <v>31</v>
      </c>
      <c r="B9" s="5">
        <f>B7+(B7*B4)</f>
        <v>16.366903999999998</v>
      </c>
    </row>
    <row r="11" spans="1:6" x14ac:dyDescent="0.25">
      <c r="A11" s="2" t="s">
        <v>34</v>
      </c>
      <c r="B11" s="3">
        <v>12.48</v>
      </c>
    </row>
    <row r="12" spans="1:6" x14ac:dyDescent="0.25">
      <c r="A12" s="4" t="s">
        <v>30</v>
      </c>
      <c r="B12" s="5">
        <f>B11*C2</f>
        <v>35.443199999999997</v>
      </c>
    </row>
    <row r="13" spans="1:6" x14ac:dyDescent="0.25">
      <c r="A13" s="4" t="s">
        <v>32</v>
      </c>
      <c r="B13" s="5">
        <f>B12+(B12*C3)</f>
        <v>101.36755199999999</v>
      </c>
    </row>
    <row r="14" spans="1:6" x14ac:dyDescent="0.25">
      <c r="A14" s="4" t="s">
        <v>31</v>
      </c>
      <c r="B14" s="5">
        <f>B12+(B12*C4)</f>
        <v>13.822848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M10" sqref="M10"/>
    </sheetView>
  </sheetViews>
  <sheetFormatPr defaultRowHeight="15" x14ac:dyDescent="0.25"/>
  <cols>
    <col min="5" max="5" width="11.7109375" bestFit="1" customWidth="1"/>
    <col min="7" max="7" width="10.140625" bestFit="1" customWidth="1"/>
    <col min="8" max="8" width="10" bestFit="1" customWidth="1"/>
    <col min="9" max="9" width="11.7109375" bestFit="1" customWidth="1"/>
    <col min="10" max="11" width="10.140625" bestFit="1" customWidth="1"/>
  </cols>
  <sheetData>
    <row r="1" spans="1:11" x14ac:dyDescent="0.25">
      <c r="B1" s="34" t="s">
        <v>58</v>
      </c>
      <c r="C1" s="34" t="s">
        <v>57</v>
      </c>
      <c r="D1" s="34" t="s">
        <v>56</v>
      </c>
      <c r="E1" s="34" t="s">
        <v>59</v>
      </c>
      <c r="F1" s="34" t="s">
        <v>60</v>
      </c>
      <c r="G1" s="34" t="s">
        <v>61</v>
      </c>
      <c r="H1" s="34" t="s">
        <v>62</v>
      </c>
      <c r="I1" s="34" t="s">
        <v>63</v>
      </c>
      <c r="J1" s="34" t="s">
        <v>64</v>
      </c>
      <c r="K1" s="34" t="s">
        <v>65</v>
      </c>
    </row>
    <row r="2" spans="1:11" x14ac:dyDescent="0.25">
      <c r="A2" t="s">
        <v>53</v>
      </c>
      <c r="B2" s="33">
        <v>600</v>
      </c>
      <c r="C2">
        <v>483</v>
      </c>
      <c r="D2">
        <v>12</v>
      </c>
      <c r="E2" s="21">
        <f>B2*C2</f>
        <v>289800</v>
      </c>
      <c r="F2" s="9">
        <f>E2/$E$5</f>
        <v>0.31679055531263667</v>
      </c>
      <c r="G2" s="36">
        <f>E2*D2/$E$5</f>
        <v>3.8014866637516396</v>
      </c>
      <c r="H2">
        <f>C2+28</f>
        <v>511</v>
      </c>
      <c r="I2" s="21">
        <f>H2*B2</f>
        <v>306600</v>
      </c>
      <c r="J2" s="9">
        <f>I2/$I$5</f>
        <v>0.3363317244405441</v>
      </c>
      <c r="K2" s="36">
        <f>I2*D2/$I$5</f>
        <v>4.035980693286529</v>
      </c>
    </row>
    <row r="3" spans="1:11" x14ac:dyDescent="0.25">
      <c r="A3" t="s">
        <v>54</v>
      </c>
      <c r="B3" s="33">
        <v>10000</v>
      </c>
      <c r="C3">
        <v>15</v>
      </c>
      <c r="D3">
        <v>10</v>
      </c>
      <c r="E3" s="21">
        <f t="shared" ref="E3:E4" si="0">B3*C3</f>
        <v>150000</v>
      </c>
      <c r="F3" s="9">
        <f t="shared" ref="F3:F4" si="1">E3/$E$5</f>
        <v>0.1639702667249672</v>
      </c>
      <c r="G3" s="36">
        <f>E3*D3/$E$5</f>
        <v>1.639702667249672</v>
      </c>
      <c r="H3">
        <f>C3+4</f>
        <v>19</v>
      </c>
      <c r="I3" s="21">
        <f t="shared" ref="I3:I4" si="2">H3*B3</f>
        <v>190000</v>
      </c>
      <c r="J3" s="9">
        <f t="shared" ref="J3:J4" si="3">I3/$I$5</f>
        <v>0.20842474769635805</v>
      </c>
      <c r="K3" s="36">
        <f t="shared" ref="K3:K4" si="4">I3*D3/$I$5</f>
        <v>2.0842474769635806</v>
      </c>
    </row>
    <row r="4" spans="1:11" x14ac:dyDescent="0.25">
      <c r="A4" t="s">
        <v>55</v>
      </c>
      <c r="B4" s="33">
        <v>5000</v>
      </c>
      <c r="C4">
        <v>95</v>
      </c>
      <c r="D4">
        <v>8</v>
      </c>
      <c r="E4" s="35">
        <f t="shared" si="0"/>
        <v>475000</v>
      </c>
      <c r="F4" s="9">
        <f t="shared" si="1"/>
        <v>0.51923917796239616</v>
      </c>
      <c r="G4" s="37">
        <f>E4*D4/$E$5</f>
        <v>4.1539134236991693</v>
      </c>
      <c r="H4">
        <f>C4-12</f>
        <v>83</v>
      </c>
      <c r="I4" s="35">
        <f t="shared" si="2"/>
        <v>415000</v>
      </c>
      <c r="J4" s="9">
        <f t="shared" si="3"/>
        <v>0.45524352786309785</v>
      </c>
      <c r="K4" s="37">
        <f t="shared" si="4"/>
        <v>3.6419482229047828</v>
      </c>
    </row>
    <row r="5" spans="1:11" x14ac:dyDescent="0.25">
      <c r="E5" s="21">
        <f>SUM(E2:E4)</f>
        <v>914800</v>
      </c>
      <c r="G5" s="36">
        <f>SUM(G2:G4)</f>
        <v>9.5951027547004806</v>
      </c>
      <c r="I5" s="21">
        <f>SUM(I2:I4)</f>
        <v>911600</v>
      </c>
      <c r="J5" s="7"/>
      <c r="K5" s="36">
        <f>SUM(K2:K4)</f>
        <v>9.7621763931548919</v>
      </c>
    </row>
  </sheetData>
  <pageMargins left="0.7" right="0.7" top="0.75" bottom="0.75" header="0.3" footer="0.3"/>
  <pageSetup orientation="portrait" verticalDpi="60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Dividends</vt:lpstr>
      <vt:lpstr>Timeline</vt:lpstr>
      <vt:lpstr>Equity</vt:lpstr>
      <vt:lpstr>PE vs PB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2017-05-04T23:18:04Z</dcterms:modified>
</cp:coreProperties>
</file>