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firstSheet="1" activeTab="8"/>
  </bookViews>
  <sheets>
    <sheet name="Dividends" sheetId="1" r:id="rId1"/>
    <sheet name="Timeline" sheetId="2" r:id="rId2"/>
    <sheet name="Equity" sheetId="3" r:id="rId3"/>
    <sheet name="PE vs PB" sheetId="4" r:id="rId4"/>
    <sheet name="Weight" sheetId="5" r:id="rId5"/>
    <sheet name="Wealth" sheetId="6" r:id="rId6"/>
    <sheet name="ch12" sheetId="7" r:id="rId7"/>
    <sheet name="ch26" sheetId="8" r:id="rId8"/>
    <sheet name="26-1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9" l="1"/>
  <c r="R14" i="9"/>
  <c r="R15" i="9" s="1"/>
  <c r="O14" i="9"/>
  <c r="N14" i="9"/>
  <c r="K15" i="9"/>
  <c r="J15" i="9"/>
  <c r="C16" i="9"/>
  <c r="B16" i="9"/>
  <c r="G14" i="9"/>
  <c r="F14" i="9"/>
  <c r="C10" i="9"/>
  <c r="B10" i="9"/>
  <c r="E13" i="8"/>
  <c r="E14" i="8" s="1"/>
  <c r="B16" i="8"/>
  <c r="B17" i="8" s="1"/>
  <c r="B15" i="8"/>
  <c r="E1" i="8"/>
  <c r="E3" i="8" s="1"/>
  <c r="J9" i="8"/>
  <c r="H7" i="8"/>
  <c r="H8" i="8" s="1"/>
  <c r="E7" i="8"/>
  <c r="E8" i="8" s="1"/>
  <c r="B7" i="8"/>
  <c r="B8" i="8" s="1"/>
  <c r="B3" i="8"/>
  <c r="B17" i="9" l="1"/>
  <c r="N15" i="9"/>
  <c r="F15" i="9"/>
  <c r="J16" i="9"/>
  <c r="J8" i="8"/>
  <c r="H24" i="7"/>
  <c r="H23" i="7"/>
  <c r="H21" i="7"/>
  <c r="H22" i="7" s="1"/>
  <c r="N6" i="7"/>
  <c r="N7" i="7" s="1"/>
  <c r="N5" i="7"/>
  <c r="E17" i="7"/>
  <c r="E12" i="7"/>
  <c r="E11" i="7"/>
  <c r="B17" i="7"/>
  <c r="I9" i="7"/>
  <c r="H9" i="7"/>
  <c r="I8" i="7"/>
  <c r="H8" i="7"/>
  <c r="H5" i="7"/>
  <c r="B10" i="7"/>
  <c r="B11" i="7" s="1"/>
  <c r="E4" i="7"/>
  <c r="B4" i="7"/>
  <c r="C19" i="6"/>
  <c r="C18" i="6"/>
  <c r="D17" i="6"/>
  <c r="K21" i="6"/>
  <c r="K22" i="6" s="1"/>
  <c r="K16" i="6"/>
  <c r="K12" i="6"/>
  <c r="K8" i="6"/>
  <c r="K4" i="6"/>
  <c r="K5" i="6" s="1"/>
  <c r="G8" i="6"/>
  <c r="G9" i="6" s="1"/>
  <c r="C8" i="6"/>
  <c r="C9" i="6" s="1"/>
  <c r="C11" i="6" s="1"/>
  <c r="K15" i="5"/>
  <c r="L13" i="5"/>
  <c r="M11" i="5"/>
  <c r="L11" i="5"/>
  <c r="J9" i="7" l="1"/>
  <c r="C22" i="6"/>
  <c r="D23" i="6"/>
  <c r="D22" i="6"/>
  <c r="C23" i="6"/>
  <c r="K9" i="6"/>
  <c r="K13" i="6" s="1"/>
  <c r="K17" i="6" s="1"/>
  <c r="C10" i="6"/>
  <c r="H14" i="5"/>
  <c r="H17" i="5" s="1"/>
  <c r="B14" i="5"/>
  <c r="B11" i="5"/>
  <c r="H4" i="5"/>
  <c r="I4" i="5" s="1"/>
  <c r="H3" i="5"/>
  <c r="I3" i="5" s="1"/>
  <c r="H2" i="5"/>
  <c r="I2" i="5" s="1"/>
  <c r="E3" i="5"/>
  <c r="E4" i="5"/>
  <c r="E2" i="5"/>
  <c r="K9" i="7" l="1"/>
  <c r="H13" i="7"/>
  <c r="E22" i="6"/>
  <c r="F22" i="6" s="1"/>
  <c r="E23" i="6"/>
  <c r="F23" i="6" s="1"/>
  <c r="H16" i="5"/>
  <c r="E5" i="5"/>
  <c r="G3" i="5" s="1"/>
  <c r="I5" i="5"/>
  <c r="K2" i="5" s="1"/>
  <c r="F10" i="2"/>
  <c r="F11" i="2" s="1"/>
  <c r="F12" i="2" s="1"/>
  <c r="K4" i="2"/>
  <c r="K3" i="2"/>
  <c r="D2" i="2"/>
  <c r="E2" i="2" s="1"/>
  <c r="F2" i="2" s="1"/>
  <c r="G2" i="2" s="1"/>
  <c r="H2" i="2" s="1"/>
  <c r="I2" i="2" s="1"/>
  <c r="C2" i="2"/>
  <c r="F9" i="2"/>
  <c r="B16" i="2"/>
  <c r="B15" i="2"/>
  <c r="H10" i="1"/>
  <c r="B14" i="2"/>
  <c r="I4" i="2"/>
  <c r="C4" i="2"/>
  <c r="D4" i="2"/>
  <c r="E4" i="2"/>
  <c r="F4" i="2"/>
  <c r="G4" i="2"/>
  <c r="H4" i="2"/>
  <c r="B4" i="2"/>
  <c r="H6" i="1"/>
  <c r="H3" i="1"/>
  <c r="B12" i="1"/>
  <c r="B10" i="1"/>
  <c r="B14" i="4"/>
  <c r="B13" i="4"/>
  <c r="B12" i="4"/>
  <c r="B7" i="4"/>
  <c r="B9" i="4" s="1"/>
  <c r="F2" i="4"/>
  <c r="E11" i="3"/>
  <c r="E9" i="3"/>
  <c r="E6" i="3"/>
  <c r="E4" i="3"/>
  <c r="B7" i="3"/>
  <c r="B5" i="3"/>
  <c r="B3" i="3"/>
  <c r="B2" i="2"/>
  <c r="E12" i="1"/>
  <c r="B5" i="1"/>
  <c r="E6" i="1"/>
  <c r="E4" i="1"/>
  <c r="E5" i="1"/>
  <c r="B4" i="1"/>
  <c r="G4" i="5" l="1"/>
  <c r="F3" i="5"/>
  <c r="F2" i="5"/>
  <c r="F4" i="5"/>
  <c r="G2" i="5"/>
  <c r="G5" i="5" s="1"/>
  <c r="K3" i="5"/>
  <c r="K4" i="5"/>
  <c r="J3" i="5"/>
  <c r="J4" i="5"/>
  <c r="J2" i="5"/>
  <c r="I3" i="2"/>
  <c r="B5" i="2"/>
  <c r="D3" i="2"/>
  <c r="G3" i="2"/>
  <c r="G6" i="2" s="1"/>
  <c r="F3" i="2"/>
  <c r="E3" i="2"/>
  <c r="H3" i="2"/>
  <c r="H5" i="2"/>
  <c r="E5" i="2"/>
  <c r="F5" i="2"/>
  <c r="D5" i="2"/>
  <c r="D6" i="2" s="1"/>
  <c r="C3" i="2"/>
  <c r="B3" i="2"/>
  <c r="G5" i="2"/>
  <c r="C5" i="2"/>
  <c r="I5" i="2"/>
  <c r="B8" i="4"/>
  <c r="K5" i="5" l="1"/>
  <c r="B6" i="2"/>
  <c r="E6" i="2"/>
  <c r="I6" i="2"/>
  <c r="H6" i="2"/>
  <c r="F6" i="2"/>
  <c r="C6" i="2"/>
</calcChain>
</file>

<file path=xl/sharedStrings.xml><?xml version="1.0" encoding="utf-8"?>
<sst xmlns="http://schemas.openxmlformats.org/spreadsheetml/2006/main" count="294" uniqueCount="176">
  <si>
    <t xml:space="preserve">Stock Price = </t>
  </si>
  <si>
    <t xml:space="preserve">Expected Price = </t>
  </si>
  <si>
    <t xml:space="preserve">Equity Cost of Captial = </t>
  </si>
  <si>
    <t xml:space="preserve">Dividend = </t>
  </si>
  <si>
    <t xml:space="preserve">Current Price = </t>
  </si>
  <si>
    <t xml:space="preserve">Dividen Yield = </t>
  </si>
  <si>
    <t xml:space="preserve">Capital Gain Rate = </t>
  </si>
  <si>
    <t xml:space="preserve">Dividend Growth Rate = </t>
  </si>
  <si>
    <t>Years</t>
  </si>
  <si>
    <t xml:space="preserve">Dividend Increase = </t>
  </si>
  <si>
    <t xml:space="preserve">Equity Cost of Capital = </t>
  </si>
  <si>
    <t xml:space="preserve">Total Payout = </t>
  </si>
  <si>
    <t xml:space="preserve">Repurcahse Amount = </t>
  </si>
  <si>
    <t xml:space="preserve">g = </t>
  </si>
  <si>
    <t xml:space="preserve">rE = </t>
  </si>
  <si>
    <t xml:space="preserve">Equity Value  = </t>
  </si>
  <si>
    <t xml:space="preserve">Number of Shares = </t>
  </si>
  <si>
    <t xml:space="preserve">Expected FCF 2015 = </t>
  </si>
  <si>
    <t xml:space="preserve">Enterprise Value 2014 = </t>
  </si>
  <si>
    <t xml:space="preserve">Expected FCF 2014 = </t>
  </si>
  <si>
    <t xml:space="preserve">Enterprise Value 2013 = </t>
  </si>
  <si>
    <t xml:space="preserve">Excess Cash 2013 = </t>
  </si>
  <si>
    <t xml:space="preserve">Debt in 2013 = </t>
  </si>
  <si>
    <t>P/E</t>
  </si>
  <si>
    <t>Price/Book</t>
  </si>
  <si>
    <t>Enterprise Value/Sales</t>
  </si>
  <si>
    <t>enterprise Value/EBITDA</t>
  </si>
  <si>
    <t>Average</t>
  </si>
  <si>
    <t>Maximum</t>
  </si>
  <si>
    <t>Minimum</t>
  </si>
  <si>
    <t xml:space="preserve">Share Price = </t>
  </si>
  <si>
    <t xml:space="preserve">Min = </t>
  </si>
  <si>
    <t xml:space="preserve">Max = </t>
  </si>
  <si>
    <t xml:space="preserve">EPS = </t>
  </si>
  <si>
    <t xml:space="preserve">Book Equity = </t>
  </si>
  <si>
    <t xml:space="preserve">Year 0 Dividend = </t>
  </si>
  <si>
    <t xml:space="preserve">Year 1 Dividend = </t>
  </si>
  <si>
    <t xml:space="preserve">Actual Dividend Groth Rate = </t>
  </si>
  <si>
    <t>Dividen N</t>
  </si>
  <si>
    <t>1st ()</t>
  </si>
  <si>
    <t>2nd ()</t>
  </si>
  <si>
    <t>3rd ()</t>
  </si>
  <si>
    <t xml:space="preserve">Dividend Year 0 = </t>
  </si>
  <si>
    <t xml:space="preserve">Dividend Year 1 = </t>
  </si>
  <si>
    <t xml:space="preserve">PV first 5 years = </t>
  </si>
  <si>
    <t xml:space="preserve">Increase Year 1 = </t>
  </si>
  <si>
    <t xml:space="preserve">After 5 years Growth Rate = </t>
  </si>
  <si>
    <t xml:space="preserve">PV First 5 years = </t>
  </si>
  <si>
    <t xml:space="preserve">FV Other Years = </t>
  </si>
  <si>
    <t xml:space="preserve">post years = </t>
  </si>
  <si>
    <t xml:space="preserve">PV = </t>
  </si>
  <si>
    <t xml:space="preserve">FV after x years = </t>
  </si>
  <si>
    <t xml:space="preserve">PV after x years = </t>
  </si>
  <si>
    <t>Apple</t>
  </si>
  <si>
    <t>Cisco</t>
  </si>
  <si>
    <t>Colgate</t>
  </si>
  <si>
    <t>%</t>
  </si>
  <si>
    <t>Price</t>
  </si>
  <si>
    <t>Shares</t>
  </si>
  <si>
    <t>Value</t>
  </si>
  <si>
    <t>a.</t>
  </si>
  <si>
    <t>b.</t>
  </si>
  <si>
    <t>New Price</t>
  </si>
  <si>
    <t>New Value</t>
  </si>
  <si>
    <t>c.</t>
  </si>
  <si>
    <t>d.</t>
  </si>
  <si>
    <t>Firm 1</t>
  </si>
  <si>
    <t>Firm 2</t>
  </si>
  <si>
    <t>Expected Return</t>
  </si>
  <si>
    <t>Volatility</t>
  </si>
  <si>
    <t>Corrolation</t>
  </si>
  <si>
    <t>Weight</t>
  </si>
  <si>
    <t>.b</t>
  </si>
  <si>
    <t xml:space="preserve">Rate </t>
  </si>
  <si>
    <t xml:space="preserve">Expected Return </t>
  </si>
  <si>
    <t xml:space="preserve">Cash </t>
  </si>
  <si>
    <t xml:space="preserve">Borrow </t>
  </si>
  <si>
    <t>Ratio</t>
  </si>
  <si>
    <t xml:space="preserve">Volitility </t>
  </si>
  <si>
    <t xml:space="preserve">Volatility </t>
  </si>
  <si>
    <t xml:space="preserve">a. Sharpe Ratio </t>
  </si>
  <si>
    <t xml:space="preserve">Corrolation = </t>
  </si>
  <si>
    <t>Old Price</t>
  </si>
  <si>
    <t>New Market Portfolio</t>
  </si>
  <si>
    <t>Old Market Portfolio</t>
  </si>
  <si>
    <t>Market Share</t>
  </si>
  <si>
    <t xml:space="preserve">Increase in wealth </t>
  </si>
  <si>
    <t>Increaese in wealth</t>
  </si>
  <si>
    <t>Risk Free Rate</t>
  </si>
  <si>
    <t>Friends Increase</t>
  </si>
  <si>
    <t>Volitility</t>
  </si>
  <si>
    <t>Beta</t>
  </si>
  <si>
    <t xml:space="preserve">volatility </t>
  </si>
  <si>
    <t>SD</t>
  </si>
  <si>
    <t xml:space="preserve">correlation </t>
  </si>
  <si>
    <t>Stock Count</t>
  </si>
  <si>
    <t>Variance</t>
  </si>
  <si>
    <t>Group 1</t>
  </si>
  <si>
    <t>Group 2</t>
  </si>
  <si>
    <t>beta</t>
  </si>
  <si>
    <t>rate</t>
  </si>
  <si>
    <t>market portfolio</t>
  </si>
  <si>
    <t>equity cost</t>
  </si>
  <si>
    <t>Total Market Cap</t>
  </si>
  <si>
    <t>Walt Disnet</t>
  </si>
  <si>
    <t>Best Buy Price</t>
  </si>
  <si>
    <t>Best Buy Shares</t>
  </si>
  <si>
    <t>Disney shares</t>
  </si>
  <si>
    <t>Total Shares</t>
  </si>
  <si>
    <t>Risk-free Return</t>
  </si>
  <si>
    <t>Market Return</t>
  </si>
  <si>
    <t>XYZ Return</t>
  </si>
  <si>
    <t>MKT b.</t>
  </si>
  <si>
    <t>XYZ b.</t>
  </si>
  <si>
    <t>alpha</t>
  </si>
  <si>
    <t>E[R]</t>
  </si>
  <si>
    <t>Expected Rate</t>
  </si>
  <si>
    <t>Current Rate</t>
  </si>
  <si>
    <t>YTM</t>
  </si>
  <si>
    <t>Default</t>
  </si>
  <si>
    <t>Loss</t>
  </si>
  <si>
    <t>Return</t>
  </si>
  <si>
    <t>Risk Premium</t>
  </si>
  <si>
    <t>Expecte loss Rate</t>
  </si>
  <si>
    <t>Using CAPM</t>
  </si>
  <si>
    <t>Market Ris Premium</t>
  </si>
  <si>
    <t>CAPM</t>
  </si>
  <si>
    <t>Market Cap</t>
  </si>
  <si>
    <t>A rated debt</t>
  </si>
  <si>
    <t>Cash</t>
  </si>
  <si>
    <t>Enterprise Value</t>
  </si>
  <si>
    <t>Debt</t>
  </si>
  <si>
    <t>price per share</t>
  </si>
  <si>
    <t>Equity</t>
  </si>
  <si>
    <t>Cost of Capital</t>
  </si>
  <si>
    <t>Equity %</t>
  </si>
  <si>
    <t>Debt %</t>
  </si>
  <si>
    <t>Debt Cost</t>
  </si>
  <si>
    <t>Tax Rate</t>
  </si>
  <si>
    <t>WACC</t>
  </si>
  <si>
    <t>Total Current Assets</t>
  </si>
  <si>
    <t>Total Current Liabilities</t>
  </si>
  <si>
    <t>net working capital</t>
  </si>
  <si>
    <t>Inventory</t>
  </si>
  <si>
    <t>COGS</t>
  </si>
  <si>
    <t>COGS in thousands</t>
  </si>
  <si>
    <t>Accounts receivable</t>
  </si>
  <si>
    <t>Sales</t>
  </si>
  <si>
    <t>Sales in thousands</t>
  </si>
  <si>
    <t>Accounts Payable</t>
  </si>
  <si>
    <t>days</t>
  </si>
  <si>
    <t xml:space="preserve">N = </t>
  </si>
  <si>
    <t>R =</t>
  </si>
  <si>
    <t xml:space="preserve">EAR = </t>
  </si>
  <si>
    <t>Daily colletions</t>
  </si>
  <si>
    <t>APR</t>
  </si>
  <si>
    <t>Collection Float</t>
  </si>
  <si>
    <t>Charges</t>
  </si>
  <si>
    <t>Perpetuity</t>
  </si>
  <si>
    <t>Monthly Rate</t>
  </si>
  <si>
    <t>Benefit</t>
  </si>
  <si>
    <t>sales</t>
  </si>
  <si>
    <t>receivables</t>
  </si>
  <si>
    <t>times</t>
  </si>
  <si>
    <t>Customer</t>
  </si>
  <si>
    <t>Amount Owed​ ($)</t>
  </si>
  <si>
    <t>Age​ (days)</t>
  </si>
  <si>
    <t>ABC</t>
  </si>
  <si>
    <t>DEF</t>
  </si>
  <si>
    <t>GHI</t>
  </si>
  <si>
    <t>KLM</t>
  </si>
  <si>
    <t>NOP</t>
  </si>
  <si>
    <t>QRS</t>
  </si>
  <si>
    <t>TUV</t>
  </si>
  <si>
    <t>WXY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</si>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</sst>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000"/>
    <numFmt numFmtId="166" formatCode="0.00000"/>
    <numFmt numFmtId="167" formatCode="#,##0.0000"/>
    <numFmt numFmtId="168" formatCode="0.000%"/>
    <numFmt numFmtId="169" formatCode="0.0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D363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/>
    <xf numFmtId="9" fontId="0" fillId="0" borderId="1" xfId="0" applyNumberFormat="1" applyBorder="1"/>
    <xf numFmtId="164" fontId="0" fillId="0" borderId="0" xfId="0" applyNumberFormat="1"/>
    <xf numFmtId="1" fontId="0" fillId="0" borderId="1" xfId="0" applyNumberFormat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 applyBorder="1" applyAlignment="1">
      <alignment horizontal="right"/>
    </xf>
    <xf numFmtId="10" fontId="0" fillId="0" borderId="0" xfId="0" applyNumberFormat="1"/>
    <xf numFmtId="0" fontId="0" fillId="0" borderId="1" xfId="0" applyFont="1" applyBorder="1" applyAlignment="1">
      <alignment horizontal="right"/>
    </xf>
    <xf numFmtId="4" fontId="0" fillId="0" borderId="1" xfId="0" applyNumberFormat="1" applyBorder="1"/>
    <xf numFmtId="164" fontId="0" fillId="0" borderId="1" xfId="0" applyNumberFormat="1" applyBorder="1"/>
    <xf numFmtId="9" fontId="0" fillId="0" borderId="0" xfId="0" applyNumberFormat="1"/>
    <xf numFmtId="10" fontId="0" fillId="0" borderId="1" xfId="0" applyNumberFormat="1" applyBorder="1"/>
    <xf numFmtId="4" fontId="1" fillId="0" borderId="0" xfId="0" applyNumberFormat="1" applyFont="1"/>
    <xf numFmtId="2" fontId="0" fillId="0" borderId="0" xfId="0" applyNumberFormat="1"/>
    <xf numFmtId="164" fontId="0" fillId="0" borderId="0" xfId="0" applyNumberFormat="1" applyBorder="1"/>
    <xf numFmtId="4" fontId="0" fillId="0" borderId="1" xfId="0" applyNumberFormat="1" applyFont="1" applyBorder="1"/>
    <xf numFmtId="0" fontId="0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0" fontId="0" fillId="0" borderId="0" xfId="0" applyNumberFormat="1" applyBorder="1"/>
    <xf numFmtId="0" fontId="0" fillId="0" borderId="1" xfId="0" applyFont="1" applyFill="1" applyBorder="1" applyAlignment="1">
      <alignment horizontal="right"/>
    </xf>
    <xf numFmtId="2" fontId="0" fillId="0" borderId="1" xfId="0" applyNumberFormat="1" applyBorder="1"/>
    <xf numFmtId="0" fontId="2" fillId="0" borderId="0" xfId="0" applyFont="1"/>
    <xf numFmtId="4" fontId="0" fillId="0" borderId="0" xfId="0" applyNumberFormat="1"/>
    <xf numFmtId="4" fontId="1" fillId="0" borderId="1" xfId="0" applyNumberFormat="1" applyFont="1" applyBorder="1"/>
    <xf numFmtId="165" fontId="1" fillId="0" borderId="0" xfId="0" applyNumberFormat="1" applyFont="1"/>
    <xf numFmtId="165" fontId="1" fillId="0" borderId="1" xfId="0" applyNumberFormat="1" applyFont="1" applyBorder="1"/>
    <xf numFmtId="0" fontId="0" fillId="0" borderId="1" xfId="0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0" fillId="0" borderId="0" xfId="0" applyFill="1" applyBorder="1" applyAlignment="1">
      <alignment horizontal="right"/>
    </xf>
    <xf numFmtId="10" fontId="1" fillId="0" borderId="0" xfId="0" applyNumberFormat="1" applyFont="1"/>
    <xf numFmtId="0" fontId="1" fillId="0" borderId="0" xfId="0" applyFont="1" applyFill="1" applyBorder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Font="1"/>
    <xf numFmtId="167" fontId="1" fillId="0" borderId="2" xfId="0" applyNumberFormat="1" applyFont="1" applyBorder="1"/>
    <xf numFmtId="168" fontId="0" fillId="0" borderId="0" xfId="0" applyNumberFormat="1"/>
    <xf numFmtId="9" fontId="1" fillId="0" borderId="0" xfId="0" applyNumberFormat="1" applyFont="1"/>
    <xf numFmtId="169" fontId="0" fillId="0" borderId="0" xfId="0" applyNumberFormat="1"/>
    <xf numFmtId="169" fontId="1" fillId="0" borderId="0" xfId="0" applyNumberFormat="1" applyFont="1"/>
    <xf numFmtId="168" fontId="1" fillId="0" borderId="0" xfId="0" applyNumberFormat="1" applyFont="1"/>
    <xf numFmtId="10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0" fillId="0" borderId="0" xfId="0" applyNumberForma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3" fontId="3" fillId="4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3" fontId="3" fillId="5" borderId="0" xfId="0" applyNumberFormat="1" applyFont="1" applyFill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1" sqref="H11"/>
    </sheetView>
  </sheetViews>
  <sheetFormatPr defaultRowHeight="15" x14ac:dyDescent="0.25"/>
  <cols>
    <col min="1" max="1" width="22" bestFit="1" customWidth="1"/>
    <col min="4" max="4" width="22" bestFit="1" customWidth="1"/>
    <col min="5" max="5" width="10.140625" bestFit="1" customWidth="1"/>
    <col min="7" max="7" width="27.28515625" bestFit="1" customWidth="1"/>
    <col min="8" max="8" width="10.85546875" bestFit="1" customWidth="1"/>
  </cols>
  <sheetData>
    <row r="1" spans="1:8" x14ac:dyDescent="0.25">
      <c r="A1" s="1" t="s">
        <v>3</v>
      </c>
      <c r="B1">
        <v>1.26</v>
      </c>
      <c r="D1" s="1" t="s">
        <v>3</v>
      </c>
      <c r="E1">
        <v>2</v>
      </c>
      <c r="G1" s="1" t="s">
        <v>35</v>
      </c>
      <c r="H1">
        <v>1.36</v>
      </c>
    </row>
    <row r="2" spans="1:8" x14ac:dyDescent="0.25">
      <c r="A2" s="1" t="s">
        <v>4</v>
      </c>
      <c r="B2">
        <v>43.6</v>
      </c>
      <c r="D2" s="1" t="s">
        <v>4</v>
      </c>
      <c r="E2">
        <v>13</v>
      </c>
      <c r="G2" s="2" t="s">
        <v>7</v>
      </c>
      <c r="H2" s="20">
        <v>6.5000000000000002E-2</v>
      </c>
    </row>
    <row r="3" spans="1:8" x14ac:dyDescent="0.25">
      <c r="A3" s="2" t="s">
        <v>2</v>
      </c>
      <c r="B3" s="6">
        <v>8.2000000000000003E-2</v>
      </c>
      <c r="D3" s="2" t="s">
        <v>1</v>
      </c>
      <c r="E3" s="8">
        <v>16</v>
      </c>
      <c r="G3" s="1" t="s">
        <v>36</v>
      </c>
      <c r="H3" s="22">
        <f>H1*H2+H1</f>
        <v>1.4484000000000001</v>
      </c>
    </row>
    <row r="4" spans="1:8" x14ac:dyDescent="0.25">
      <c r="A4" s="4" t="s">
        <v>1</v>
      </c>
      <c r="B4" s="5">
        <f>B2*(1+B3)-B1</f>
        <v>45.915200000000006</v>
      </c>
      <c r="D4" s="4" t="s">
        <v>6</v>
      </c>
      <c r="E4" s="9">
        <f>(E3-E2)/E2</f>
        <v>0.23076923076923078</v>
      </c>
      <c r="G4" s="10" t="s">
        <v>2</v>
      </c>
      <c r="H4" s="23">
        <v>8.3000000000000004E-2</v>
      </c>
    </row>
    <row r="5" spans="1:8" x14ac:dyDescent="0.25">
      <c r="A5" s="4" t="s">
        <v>5</v>
      </c>
      <c r="B5" s="7">
        <f>B1/B2</f>
        <v>2.8899082568807338E-2</v>
      </c>
      <c r="D5" s="12" t="s">
        <v>5</v>
      </c>
      <c r="E5" s="13">
        <f>E1/E2</f>
        <v>0.15384615384615385</v>
      </c>
      <c r="G5" s="16" t="s">
        <v>4</v>
      </c>
      <c r="H5" s="24">
        <v>42</v>
      </c>
    </row>
    <row r="6" spans="1:8" x14ac:dyDescent="0.25">
      <c r="D6" s="14" t="s">
        <v>2</v>
      </c>
      <c r="E6" s="13">
        <f>E4+E5</f>
        <v>0.38461538461538464</v>
      </c>
      <c r="G6" s="26" t="s">
        <v>37</v>
      </c>
      <c r="H6" s="9">
        <f>H4-(H3/H5)</f>
        <v>4.8514285714285718E-2</v>
      </c>
    </row>
    <row r="8" spans="1:8" x14ac:dyDescent="0.25">
      <c r="A8" s="1" t="s">
        <v>35</v>
      </c>
      <c r="B8">
        <v>1.36</v>
      </c>
      <c r="D8" s="1" t="s">
        <v>3</v>
      </c>
      <c r="E8">
        <v>4.67</v>
      </c>
      <c r="G8" s="25" t="s">
        <v>42</v>
      </c>
      <c r="H8">
        <v>1.5</v>
      </c>
    </row>
    <row r="9" spans="1:8" x14ac:dyDescent="0.25">
      <c r="A9" s="2" t="s">
        <v>7</v>
      </c>
      <c r="B9" s="20">
        <v>6.5000000000000002E-2</v>
      </c>
      <c r="D9" s="1" t="s">
        <v>7</v>
      </c>
      <c r="E9" s="15">
        <v>2.8000000000000001E-2</v>
      </c>
      <c r="G9" s="30" t="s">
        <v>43</v>
      </c>
      <c r="H9" s="3">
        <v>1.62</v>
      </c>
    </row>
    <row r="10" spans="1:8" x14ac:dyDescent="0.25">
      <c r="A10" s="1" t="s">
        <v>36</v>
      </c>
      <c r="B10" s="22">
        <f>B8*B9+B8</f>
        <v>1.4484000000000001</v>
      </c>
      <c r="D10" s="1"/>
      <c r="E10" s="15"/>
      <c r="G10" s="10" t="s">
        <v>7</v>
      </c>
      <c r="H10" s="29">
        <f>1-H8/H9</f>
        <v>7.4074074074074181E-2</v>
      </c>
    </row>
    <row r="11" spans="1:8" x14ac:dyDescent="0.25">
      <c r="A11" s="2" t="s">
        <v>2</v>
      </c>
      <c r="B11" s="18">
        <v>8.3000000000000004E-2</v>
      </c>
      <c r="D11" s="16" t="s">
        <v>4</v>
      </c>
      <c r="E11" s="17">
        <v>51.46</v>
      </c>
    </row>
    <row r="12" spans="1:8" x14ac:dyDescent="0.25">
      <c r="A12" s="4" t="s">
        <v>4</v>
      </c>
      <c r="B12" s="21">
        <f>B10/(B11-B9)</f>
        <v>80.466666666666669</v>
      </c>
      <c r="D12" s="11" t="s">
        <v>2</v>
      </c>
      <c r="E12" s="9">
        <f>(E8/E11) + E9</f>
        <v>0.11875009716284492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2" sqref="F12"/>
    </sheetView>
  </sheetViews>
  <sheetFormatPr defaultRowHeight="15" x14ac:dyDescent="0.25"/>
  <cols>
    <col min="1" max="1" width="25.7109375" style="1" bestFit="1" customWidth="1"/>
    <col min="5" max="5" width="16.7109375" bestFit="1" customWidth="1"/>
    <col min="6" max="6" width="12" bestFit="1" customWidth="1"/>
    <col min="10" max="10" width="16.28515625" bestFit="1" customWidth="1"/>
  </cols>
  <sheetData>
    <row r="1" spans="1:11" x14ac:dyDescent="0.25">
      <c r="A1" s="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1" x14ac:dyDescent="0.25">
      <c r="A2" s="2" t="s">
        <v>38</v>
      </c>
      <c r="B2" s="31">
        <f>($B$12+$B$11*B1)</f>
        <v>1.5</v>
      </c>
      <c r="C2" s="31">
        <f>B2+$B$11</f>
        <v>1.62</v>
      </c>
      <c r="D2" s="31">
        <f t="shared" ref="D2:I2" si="0">C2+$B$11</f>
        <v>1.7400000000000002</v>
      </c>
      <c r="E2" s="31">
        <f t="shared" si="0"/>
        <v>1.8600000000000003</v>
      </c>
      <c r="F2" s="31">
        <f t="shared" si="0"/>
        <v>1.9800000000000004</v>
      </c>
      <c r="G2" s="31">
        <f t="shared" si="0"/>
        <v>2.1000000000000005</v>
      </c>
      <c r="H2" s="31">
        <f t="shared" si="0"/>
        <v>2.2200000000000006</v>
      </c>
      <c r="I2" s="31">
        <f t="shared" si="0"/>
        <v>2.3400000000000007</v>
      </c>
    </row>
    <row r="3" spans="1:11" x14ac:dyDescent="0.25">
      <c r="A3" s="4" t="s">
        <v>39</v>
      </c>
      <c r="B3" s="5">
        <f>B2/POWER(1+$B$9, B1)</f>
        <v>1.5</v>
      </c>
      <c r="C3" s="5">
        <f t="shared" ref="C3:I3" si="1">C2/POWER(1+$B$9, C1)</f>
        <v>1.4930875576036868</v>
      </c>
      <c r="D3" s="5">
        <f t="shared" si="1"/>
        <v>1.4780521990273738</v>
      </c>
      <c r="E3" s="5">
        <f t="shared" si="1"/>
        <v>1.4562090630811566</v>
      </c>
      <c r="F3" s="5">
        <f t="shared" si="1"/>
        <v>1.4287170828505478</v>
      </c>
      <c r="G3" s="5">
        <f t="shared" si="1"/>
        <v>1.3965953889057166</v>
      </c>
      <c r="H3" s="5">
        <f t="shared" si="1"/>
        <v>1.360738101106294</v>
      </c>
      <c r="I3" s="5">
        <f t="shared" si="1"/>
        <v>1.3219276608082067</v>
      </c>
      <c r="J3" s="4" t="s">
        <v>47</v>
      </c>
      <c r="K3" s="5">
        <f>SUM(B3:G3)</f>
        <v>8.7526612914684812</v>
      </c>
    </row>
    <row r="4" spans="1:11" x14ac:dyDescent="0.25">
      <c r="A4" s="4" t="s">
        <v>40</v>
      </c>
      <c r="B4" s="5">
        <f>1/POWER(1+$B$10, 5)</f>
        <v>0.74725817286605689</v>
      </c>
      <c r="C4" s="5">
        <f t="shared" ref="C4:I4" si="2">1/POWER(1+$B$10, 5)</f>
        <v>0.74725817286605689</v>
      </c>
      <c r="D4" s="5">
        <f t="shared" si="2"/>
        <v>0.74725817286605689</v>
      </c>
      <c r="E4" s="5">
        <f t="shared" si="2"/>
        <v>0.74725817286605689</v>
      </c>
      <c r="F4" s="5">
        <f t="shared" si="2"/>
        <v>0.74725817286605689</v>
      </c>
      <c r="G4" s="5">
        <f t="shared" si="2"/>
        <v>0.74725817286605689</v>
      </c>
      <c r="H4" s="5">
        <f t="shared" si="2"/>
        <v>0.74725817286605689</v>
      </c>
      <c r="I4" s="5">
        <f t="shared" si="2"/>
        <v>0.74725817286605689</v>
      </c>
      <c r="J4" s="4" t="s">
        <v>48</v>
      </c>
      <c r="K4" s="5">
        <f>(B12*POWER(1+B16,5))/(1+B9-B10)</f>
        <v>2.1502362099512204</v>
      </c>
    </row>
    <row r="5" spans="1:11" x14ac:dyDescent="0.25">
      <c r="A5" s="27" t="s">
        <v>41</v>
      </c>
      <c r="B5" s="28">
        <f>$H$2/($B$9-$B$10)</f>
        <v>88.8</v>
      </c>
      <c r="C5" s="28">
        <f t="shared" ref="C5:I5" si="3">$H$2/($B$9-$B$10)</f>
        <v>88.8</v>
      </c>
      <c r="D5" s="28">
        <f t="shared" si="3"/>
        <v>88.8</v>
      </c>
      <c r="E5" s="28">
        <f t="shared" si="3"/>
        <v>88.8</v>
      </c>
      <c r="F5" s="28">
        <f t="shared" si="3"/>
        <v>88.8</v>
      </c>
      <c r="G5" s="28">
        <f t="shared" si="3"/>
        <v>88.8</v>
      </c>
      <c r="H5" s="3">
        <f t="shared" si="3"/>
        <v>88.8</v>
      </c>
      <c r="I5" s="3">
        <f t="shared" si="3"/>
        <v>88.8</v>
      </c>
    </row>
    <row r="6" spans="1:11" x14ac:dyDescent="0.25">
      <c r="B6" s="1">
        <f>B3+B4*B5</f>
        <v>67.856525750505853</v>
      </c>
      <c r="C6" s="1">
        <f t="shared" ref="C6:I6" si="4">C3+C4*C5</f>
        <v>67.849613308109539</v>
      </c>
      <c r="D6" s="1">
        <f t="shared" si="4"/>
        <v>67.834577949533227</v>
      </c>
      <c r="E6" s="1">
        <f t="shared" si="4"/>
        <v>67.812734813587014</v>
      </c>
      <c r="F6" s="1">
        <f t="shared" si="4"/>
        <v>67.785242833356406</v>
      </c>
      <c r="G6" s="1">
        <f t="shared" si="4"/>
        <v>67.753121139411576</v>
      </c>
      <c r="H6" s="1">
        <f t="shared" si="4"/>
        <v>67.717263851612145</v>
      </c>
      <c r="I6" s="1">
        <f t="shared" si="4"/>
        <v>67.678453411314052</v>
      </c>
    </row>
    <row r="9" spans="1:11" x14ac:dyDescent="0.25">
      <c r="A9" s="1" t="s">
        <v>10</v>
      </c>
      <c r="B9" s="15">
        <v>8.5000000000000006E-2</v>
      </c>
      <c r="E9" t="s">
        <v>44</v>
      </c>
      <c r="F9">
        <f>B12*(1+B16)/(B9-B16)*(1-POWER((1+B16)/(1+B9),5))</f>
        <v>7.3969482576469412</v>
      </c>
    </row>
    <row r="10" spans="1:11" x14ac:dyDescent="0.25">
      <c r="A10" s="1" t="s">
        <v>46</v>
      </c>
      <c r="B10" s="19">
        <v>0.06</v>
      </c>
      <c r="E10" t="s">
        <v>51</v>
      </c>
      <c r="F10">
        <f>((B12*POWER(1+B16, F14))/(1+B9-B16))*((1+B10)/(B9-B10))</f>
        <v>193.91289771014712</v>
      </c>
    </row>
    <row r="11" spans="1:11" x14ac:dyDescent="0.25">
      <c r="A11" s="1" t="s">
        <v>9</v>
      </c>
      <c r="B11">
        <v>0.12</v>
      </c>
      <c r="E11" t="s">
        <v>52</v>
      </c>
      <c r="F11">
        <f>F10/POWER(1+B9, F14)</f>
        <v>59.1703319409241</v>
      </c>
    </row>
    <row r="12" spans="1:11" x14ac:dyDescent="0.25">
      <c r="A12" s="25" t="s">
        <v>42</v>
      </c>
      <c r="B12">
        <v>1.5</v>
      </c>
      <c r="E12" s="1" t="s">
        <v>50</v>
      </c>
      <c r="F12">
        <f>F9+F11</f>
        <v>66.567280198571041</v>
      </c>
    </row>
    <row r="13" spans="1:11" ht="15.75" x14ac:dyDescent="0.25">
      <c r="F13" s="32"/>
    </row>
    <row r="14" spans="1:11" x14ac:dyDescent="0.25">
      <c r="A14" s="25" t="s">
        <v>42</v>
      </c>
      <c r="B14">
        <f>B12</f>
        <v>1.5</v>
      </c>
      <c r="E14" s="1" t="s">
        <v>49</v>
      </c>
      <c r="F14">
        <v>14.55</v>
      </c>
    </row>
    <row r="15" spans="1:11" x14ac:dyDescent="0.25">
      <c r="A15" s="30" t="s">
        <v>45</v>
      </c>
      <c r="B15" s="3">
        <f>B11</f>
        <v>0.12</v>
      </c>
    </row>
    <row r="16" spans="1:11" x14ac:dyDescent="0.25">
      <c r="A16" s="10" t="s">
        <v>7</v>
      </c>
      <c r="B16" s="23">
        <f>B15/B14</f>
        <v>0.08</v>
      </c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 x14ac:dyDescent="0.25"/>
  <cols>
    <col min="1" max="1" width="21" style="1" bestFit="1" customWidth="1"/>
    <col min="4" max="4" width="22.42578125" style="1" bestFit="1" customWidth="1"/>
  </cols>
  <sheetData>
    <row r="1" spans="1:5" x14ac:dyDescent="0.25">
      <c r="A1" s="1" t="s">
        <v>12</v>
      </c>
      <c r="B1">
        <v>2.84</v>
      </c>
      <c r="D1" s="1" t="s">
        <v>17</v>
      </c>
      <c r="E1">
        <v>55</v>
      </c>
    </row>
    <row r="2" spans="1:5" x14ac:dyDescent="0.25">
      <c r="A2" s="2" t="s">
        <v>13</v>
      </c>
      <c r="B2" s="20">
        <v>6.6000000000000003E-2</v>
      </c>
      <c r="D2" s="1" t="s">
        <v>14</v>
      </c>
      <c r="E2" s="15">
        <v>9.4E-2</v>
      </c>
    </row>
    <row r="3" spans="1:5" x14ac:dyDescent="0.25">
      <c r="A3" s="4" t="s">
        <v>11</v>
      </c>
      <c r="B3" s="5">
        <f>B1*(1+B2)</f>
        <v>3.0274399999999999</v>
      </c>
      <c r="D3" s="2" t="s">
        <v>13</v>
      </c>
      <c r="E3" s="6">
        <v>0.04</v>
      </c>
    </row>
    <row r="4" spans="1:5" x14ac:dyDescent="0.25">
      <c r="A4" s="2" t="s">
        <v>14</v>
      </c>
      <c r="B4" s="20">
        <v>8.1000000000000003E-2</v>
      </c>
      <c r="D4" s="4" t="s">
        <v>18</v>
      </c>
      <c r="E4" s="21">
        <f>E1/(E2-E3)</f>
        <v>1018.5185185185185</v>
      </c>
    </row>
    <row r="5" spans="1:5" x14ac:dyDescent="0.25">
      <c r="A5" s="4" t="s">
        <v>15</v>
      </c>
      <c r="B5" s="5">
        <f>B3/(B4-B2)</f>
        <v>201.82933333333332</v>
      </c>
      <c r="D5" s="2" t="s">
        <v>19</v>
      </c>
      <c r="E5" s="3">
        <v>50</v>
      </c>
    </row>
    <row r="6" spans="1:5" x14ac:dyDescent="0.25">
      <c r="A6" s="2" t="s">
        <v>16</v>
      </c>
      <c r="B6" s="3">
        <v>0.436</v>
      </c>
      <c r="D6" s="4" t="s">
        <v>20</v>
      </c>
      <c r="E6" s="5">
        <f>(E4+E5)/(1+E2)</f>
        <v>976.70796939535501</v>
      </c>
    </row>
    <row r="7" spans="1:5" x14ac:dyDescent="0.25">
      <c r="A7" s="4" t="s">
        <v>0</v>
      </c>
      <c r="B7" s="5">
        <f>B5/B6</f>
        <v>462.91131498470946</v>
      </c>
      <c r="D7" s="1" t="s">
        <v>21</v>
      </c>
      <c r="E7">
        <v>106</v>
      </c>
    </row>
    <row r="8" spans="1:5" x14ac:dyDescent="0.25">
      <c r="D8" s="2" t="s">
        <v>22</v>
      </c>
      <c r="E8" s="3">
        <v>33</v>
      </c>
    </row>
    <row r="9" spans="1:5" x14ac:dyDescent="0.25">
      <c r="D9" s="4" t="s">
        <v>15</v>
      </c>
      <c r="E9" s="5">
        <f>E6+E7-E8</f>
        <v>1049.7079693953551</v>
      </c>
    </row>
    <row r="10" spans="1:5" x14ac:dyDescent="0.25">
      <c r="D10" s="2" t="s">
        <v>16</v>
      </c>
      <c r="E10" s="3">
        <v>50</v>
      </c>
    </row>
    <row r="11" spans="1:5" x14ac:dyDescent="0.25">
      <c r="D11" s="4" t="s">
        <v>0</v>
      </c>
      <c r="E11" s="5">
        <f>E9/E10</f>
        <v>20.994159387907104</v>
      </c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4" sqref="B14"/>
    </sheetView>
  </sheetViews>
  <sheetFormatPr defaultRowHeight="15" x14ac:dyDescent="0.25"/>
  <cols>
    <col min="1" max="1" width="13.42578125" style="1" bestFit="1" customWidth="1"/>
    <col min="3" max="3" width="10.7109375" bestFit="1" customWidth="1"/>
    <col min="4" max="4" width="21.5703125" bestFit="1" customWidth="1"/>
    <col min="5" max="5" width="23.42578125" bestFit="1" customWidth="1"/>
  </cols>
  <sheetData>
    <row r="1" spans="1:6" x14ac:dyDescent="0.25">
      <c r="B1" t="s">
        <v>23</v>
      </c>
      <c r="C1" t="s">
        <v>24</v>
      </c>
      <c r="D1" t="s">
        <v>25</v>
      </c>
      <c r="E1" t="s">
        <v>26</v>
      </c>
    </row>
    <row r="2" spans="1:6" x14ac:dyDescent="0.25">
      <c r="A2" s="1" t="s">
        <v>27</v>
      </c>
      <c r="B2">
        <v>15.01</v>
      </c>
      <c r="C2">
        <v>2.84</v>
      </c>
      <c r="D2">
        <v>1.06</v>
      </c>
      <c r="E2">
        <v>8.49</v>
      </c>
      <c r="F2">
        <f>SUM(B2:E2)</f>
        <v>27.4</v>
      </c>
    </row>
    <row r="3" spans="1:6" x14ac:dyDescent="0.25">
      <c r="A3" s="1" t="s">
        <v>28</v>
      </c>
      <c r="B3" s="19">
        <v>0.51</v>
      </c>
      <c r="C3" s="19">
        <v>1.86</v>
      </c>
      <c r="D3" s="19">
        <v>1.06</v>
      </c>
      <c r="E3" s="19">
        <v>0.27</v>
      </c>
    </row>
    <row r="4" spans="1:6" x14ac:dyDescent="0.25">
      <c r="A4" s="1" t="s">
        <v>29</v>
      </c>
      <c r="B4" s="19">
        <v>-0.42</v>
      </c>
      <c r="C4" s="19">
        <v>-0.61</v>
      </c>
      <c r="D4" s="19">
        <v>-0.56000000000000005</v>
      </c>
      <c r="E4" s="19">
        <v>-0.22</v>
      </c>
    </row>
    <row r="6" spans="1:6" x14ac:dyDescent="0.25">
      <c r="A6" s="2" t="s">
        <v>33</v>
      </c>
      <c r="B6" s="3">
        <v>1.88</v>
      </c>
    </row>
    <row r="7" spans="1:6" x14ac:dyDescent="0.25">
      <c r="A7" s="4" t="s">
        <v>30</v>
      </c>
      <c r="B7" s="5">
        <f>B6*B2</f>
        <v>28.218799999999998</v>
      </c>
    </row>
    <row r="8" spans="1:6" x14ac:dyDescent="0.25">
      <c r="A8" s="4" t="s">
        <v>32</v>
      </c>
      <c r="B8" s="5">
        <f>B7+(B7*B3)</f>
        <v>42.610388</v>
      </c>
    </row>
    <row r="9" spans="1:6" x14ac:dyDescent="0.25">
      <c r="A9" s="4" t="s">
        <v>31</v>
      </c>
      <c r="B9" s="5">
        <f>B7+(B7*B4)</f>
        <v>16.366903999999998</v>
      </c>
    </row>
    <row r="11" spans="1:6" x14ac:dyDescent="0.25">
      <c r="A11" s="2" t="s">
        <v>34</v>
      </c>
      <c r="B11" s="3">
        <v>12.48</v>
      </c>
    </row>
    <row r="12" spans="1:6" x14ac:dyDescent="0.25">
      <c r="A12" s="4" t="s">
        <v>30</v>
      </c>
      <c r="B12" s="5">
        <f>B11*C2</f>
        <v>35.443199999999997</v>
      </c>
    </row>
    <row r="13" spans="1:6" x14ac:dyDescent="0.25">
      <c r="A13" s="4" t="s">
        <v>32</v>
      </c>
      <c r="B13" s="5">
        <f>B12+(B12*C3)</f>
        <v>101.36755199999999</v>
      </c>
    </row>
    <row r="14" spans="1:6" x14ac:dyDescent="0.25">
      <c r="A14" s="4" t="s">
        <v>31</v>
      </c>
      <c r="B14" s="5">
        <f>B12+(B12*C4)</f>
        <v>13.822848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5" sqref="K15"/>
    </sheetView>
  </sheetViews>
  <sheetFormatPr defaultRowHeight="15" x14ac:dyDescent="0.25"/>
  <cols>
    <col min="1" max="1" width="11" bestFit="1" customWidth="1"/>
    <col min="2" max="2" width="15.7109375" bestFit="1" customWidth="1"/>
    <col min="5" max="5" width="11.7109375" bestFit="1" customWidth="1"/>
    <col min="7" max="7" width="15.7109375" bestFit="1" customWidth="1"/>
    <col min="8" max="8" width="10" bestFit="1" customWidth="1"/>
    <col min="9" max="9" width="11.7109375" bestFit="1" customWidth="1"/>
    <col min="10" max="10" width="10.140625" bestFit="1" customWidth="1"/>
    <col min="11" max="11" width="15.7109375" style="1" bestFit="1" customWidth="1"/>
  </cols>
  <sheetData>
    <row r="1" spans="1:13" x14ac:dyDescent="0.25">
      <c r="B1" s="37" t="s">
        <v>58</v>
      </c>
      <c r="C1" s="37" t="s">
        <v>57</v>
      </c>
      <c r="D1" s="37" t="s">
        <v>56</v>
      </c>
      <c r="E1" s="37" t="s">
        <v>59</v>
      </c>
      <c r="F1" s="37" t="s">
        <v>60</v>
      </c>
      <c r="G1" s="37" t="s">
        <v>61</v>
      </c>
      <c r="H1" s="37" t="s">
        <v>62</v>
      </c>
      <c r="I1" s="37" t="s">
        <v>63</v>
      </c>
      <c r="J1" s="37" t="s">
        <v>64</v>
      </c>
      <c r="K1" s="2" t="s">
        <v>65</v>
      </c>
    </row>
    <row r="2" spans="1:13" x14ac:dyDescent="0.25">
      <c r="A2" t="s">
        <v>53</v>
      </c>
      <c r="B2" s="33">
        <v>600</v>
      </c>
      <c r="C2">
        <v>483</v>
      </c>
      <c r="D2">
        <v>12</v>
      </c>
      <c r="E2" s="21">
        <f>B2*C2</f>
        <v>289800</v>
      </c>
      <c r="F2" s="9">
        <f>E2/$E$5</f>
        <v>0.31679055531263667</v>
      </c>
      <c r="G2" s="35">
        <f>E2*D2/$E$5</f>
        <v>3.8014866637516396</v>
      </c>
      <c r="H2">
        <f>C2+28</f>
        <v>511</v>
      </c>
      <c r="I2" s="21">
        <f>H2*B2</f>
        <v>306600</v>
      </c>
      <c r="J2" s="9">
        <f>I2/$I$5</f>
        <v>0.3363317244405441</v>
      </c>
      <c r="K2" s="43">
        <f>I2*D2/$I$5</f>
        <v>4.035980693286529</v>
      </c>
    </row>
    <row r="3" spans="1:13" x14ac:dyDescent="0.25">
      <c r="A3" t="s">
        <v>54</v>
      </c>
      <c r="B3" s="33">
        <v>10000</v>
      </c>
      <c r="C3">
        <v>15</v>
      </c>
      <c r="D3">
        <v>10</v>
      </c>
      <c r="E3" s="21">
        <f t="shared" ref="E3:E4" si="0">B3*C3</f>
        <v>150000</v>
      </c>
      <c r="F3" s="9">
        <f t="shared" ref="F3:F4" si="1">E3/$E$5</f>
        <v>0.1639702667249672</v>
      </c>
      <c r="G3" s="35">
        <f>E3*D3/$E$5</f>
        <v>1.639702667249672</v>
      </c>
      <c r="H3">
        <f>C3+4</f>
        <v>19</v>
      </c>
      <c r="I3" s="21">
        <f t="shared" ref="I3:I4" si="2">H3*B3</f>
        <v>190000</v>
      </c>
      <c r="J3" s="9">
        <f t="shared" ref="J3:J4" si="3">I3/$I$5</f>
        <v>0.20842474769635805</v>
      </c>
      <c r="K3" s="43">
        <f t="shared" ref="K3:K4" si="4">I3*D3/$I$5</f>
        <v>2.0842474769635806</v>
      </c>
    </row>
    <row r="4" spans="1:13" x14ac:dyDescent="0.25">
      <c r="A4" t="s">
        <v>55</v>
      </c>
      <c r="B4" s="33">
        <v>5000</v>
      </c>
      <c r="C4">
        <v>95</v>
      </c>
      <c r="D4">
        <v>8</v>
      </c>
      <c r="E4" s="34">
        <f t="shared" si="0"/>
        <v>475000</v>
      </c>
      <c r="F4" s="9">
        <f t="shared" si="1"/>
        <v>0.51923917796239616</v>
      </c>
      <c r="G4" s="36">
        <f>E4*D4/$E$5</f>
        <v>4.1539134236991693</v>
      </c>
      <c r="H4">
        <f>C4-12</f>
        <v>83</v>
      </c>
      <c r="I4" s="34">
        <f t="shared" si="2"/>
        <v>415000</v>
      </c>
      <c r="J4" s="9">
        <f t="shared" si="3"/>
        <v>0.45524352786309785</v>
      </c>
      <c r="K4" s="44">
        <f t="shared" si="4"/>
        <v>3.6419482229047828</v>
      </c>
    </row>
    <row r="5" spans="1:13" x14ac:dyDescent="0.25">
      <c r="E5" s="21">
        <f>SUM(E2:E4)</f>
        <v>914800</v>
      </c>
      <c r="G5" s="35">
        <f>SUM(G2:G4)</f>
        <v>9.5951027547004806</v>
      </c>
      <c r="I5" s="21">
        <f>SUM(I2:I4)</f>
        <v>911600</v>
      </c>
      <c r="J5" s="7"/>
      <c r="K5" s="43">
        <f>SUM(K2:K4)</f>
        <v>9.7621763931548919</v>
      </c>
    </row>
    <row r="6" spans="1:13" x14ac:dyDescent="0.25">
      <c r="G6" s="35"/>
    </row>
    <row r="8" spans="1:13" x14ac:dyDescent="0.25">
      <c r="B8" s="3" t="s">
        <v>68</v>
      </c>
      <c r="C8" s="3" t="s">
        <v>69</v>
      </c>
      <c r="D8" s="3" t="s">
        <v>71</v>
      </c>
      <c r="E8" s="42"/>
      <c r="G8" s="1" t="s">
        <v>78</v>
      </c>
      <c r="H8" s="19">
        <v>0.13</v>
      </c>
      <c r="K8" s="1" t="s">
        <v>74</v>
      </c>
      <c r="L8" s="15">
        <v>0.217</v>
      </c>
      <c r="M8" s="15">
        <v>0.126</v>
      </c>
    </row>
    <row r="9" spans="1:13" x14ac:dyDescent="0.25">
      <c r="A9" t="s">
        <v>66</v>
      </c>
      <c r="B9" s="15">
        <v>0.12</v>
      </c>
      <c r="C9" s="15">
        <v>0.25</v>
      </c>
      <c r="D9" s="19">
        <v>0.5</v>
      </c>
      <c r="E9" s="41"/>
      <c r="G9" s="1" t="s">
        <v>73</v>
      </c>
      <c r="H9" s="19">
        <v>0.03</v>
      </c>
      <c r="K9" s="1" t="s">
        <v>79</v>
      </c>
      <c r="L9" s="15">
        <v>0.20399999999999999</v>
      </c>
      <c r="M9" s="15">
        <v>0.36099999999999999</v>
      </c>
    </row>
    <row r="10" spans="1:13" x14ac:dyDescent="0.25">
      <c r="A10" t="s">
        <v>67</v>
      </c>
      <c r="B10" s="20">
        <v>0.1</v>
      </c>
      <c r="C10" s="15">
        <v>0.2</v>
      </c>
      <c r="D10" s="19">
        <v>0.5</v>
      </c>
      <c r="E10" s="5"/>
      <c r="G10" s="1" t="s">
        <v>74</v>
      </c>
      <c r="H10" s="19">
        <v>7.0000000000000007E-2</v>
      </c>
      <c r="K10" s="2" t="s">
        <v>73</v>
      </c>
      <c r="L10" s="20">
        <v>5.5E-2</v>
      </c>
      <c r="M10" s="20">
        <v>5.5E-2</v>
      </c>
    </row>
    <row r="11" spans="1:13" x14ac:dyDescent="0.25">
      <c r="B11" s="9">
        <f>D9*B9+D10*B10</f>
        <v>0.11</v>
      </c>
      <c r="K11" s="4" t="s">
        <v>80</v>
      </c>
      <c r="L11" s="5">
        <f>(L8-L10)/L9</f>
        <v>0.79411764705882359</v>
      </c>
      <c r="M11" s="5">
        <f>(M8-M10)/M9</f>
        <v>0.19667590027700835</v>
      </c>
    </row>
    <row r="12" spans="1:13" x14ac:dyDescent="0.25">
      <c r="G12" s="1" t="s">
        <v>75</v>
      </c>
      <c r="H12" s="38">
        <v>125000</v>
      </c>
    </row>
    <row r="13" spans="1:13" x14ac:dyDescent="0.25">
      <c r="A13" t="s">
        <v>70</v>
      </c>
      <c r="B13" s="19">
        <v>0.22</v>
      </c>
      <c r="G13" s="2" t="s">
        <v>76</v>
      </c>
      <c r="H13" s="39">
        <v>50000</v>
      </c>
      <c r="K13" s="1" t="s">
        <v>81</v>
      </c>
      <c r="L13" s="1">
        <f>M11/L11</f>
        <v>0.24766594849697346</v>
      </c>
    </row>
    <row r="14" spans="1:13" x14ac:dyDescent="0.25">
      <c r="A14" t="s">
        <v>72</v>
      </c>
      <c r="B14" s="7">
        <f>SQRT(POWER(D9,2)*POWER(C9,2)+POWER(D10,2)*POWER(C10,2)+2*B13*D9*C9*D10*C10)</f>
        <v>0.1764227876437735</v>
      </c>
      <c r="G14" s="40" t="s">
        <v>77</v>
      </c>
      <c r="H14">
        <f>(H12+H13)/H12</f>
        <v>1.4</v>
      </c>
    </row>
    <row r="15" spans="1:13" x14ac:dyDescent="0.25">
      <c r="K15" s="1">
        <f>L11*0.83</f>
        <v>0.65911764705882359</v>
      </c>
    </row>
    <row r="16" spans="1:13" x14ac:dyDescent="0.25">
      <c r="G16" s="40" t="s">
        <v>60</v>
      </c>
      <c r="H16" s="15">
        <f>H9+H14*(H10-H9)</f>
        <v>8.6000000000000007E-2</v>
      </c>
    </row>
    <row r="17" spans="7:8" x14ac:dyDescent="0.25">
      <c r="G17" s="40" t="s">
        <v>61</v>
      </c>
      <c r="H17" s="15">
        <f>H8*H14</f>
        <v>0.182</v>
      </c>
    </row>
  </sheetData>
  <pageMargins left="0.7" right="0.7" top="0.75" bottom="0.75" header="0.3" footer="0.3"/>
  <pageSetup orientation="portrait" verticalDpi="60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23" sqref="F23"/>
    </sheetView>
  </sheetViews>
  <sheetFormatPr defaultRowHeight="15" x14ac:dyDescent="0.25"/>
  <cols>
    <col min="1" max="1" width="9.140625" style="1"/>
    <col min="2" max="2" width="20.42578125" bestFit="1" customWidth="1"/>
    <col min="3" max="3" width="14.7109375" bestFit="1" customWidth="1"/>
    <col min="5" max="5" width="9.140625" style="1"/>
    <col min="6" max="6" width="15.7109375" style="1" bestFit="1" customWidth="1"/>
    <col min="7" max="7" width="12.42578125" customWidth="1"/>
    <col min="10" max="10" width="11" style="1" bestFit="1" customWidth="1"/>
    <col min="11" max="11" width="10.5703125" customWidth="1"/>
  </cols>
  <sheetData>
    <row r="1" spans="1:11" x14ac:dyDescent="0.25">
      <c r="B1" s="1" t="s">
        <v>82</v>
      </c>
      <c r="C1">
        <v>1</v>
      </c>
      <c r="F1" s="1" t="s">
        <v>90</v>
      </c>
      <c r="G1" s="15">
        <v>0.157</v>
      </c>
      <c r="J1" s="1" t="s">
        <v>90</v>
      </c>
      <c r="K1" s="19">
        <v>0.39</v>
      </c>
    </row>
    <row r="2" spans="1:11" x14ac:dyDescent="0.25">
      <c r="B2" s="1" t="s">
        <v>62</v>
      </c>
      <c r="C2">
        <v>81</v>
      </c>
      <c r="F2" s="1" t="s">
        <v>68</v>
      </c>
      <c r="G2" s="15">
        <v>8.5999999999999993E-2</v>
      </c>
    </row>
    <row r="3" spans="1:11" x14ac:dyDescent="0.25">
      <c r="B3" s="1" t="s">
        <v>84</v>
      </c>
      <c r="C3" s="15">
        <v>8.9999999999999998E-4</v>
      </c>
      <c r="F3" s="1" t="s">
        <v>88</v>
      </c>
      <c r="G3" s="15">
        <v>3.3000000000000002E-2</v>
      </c>
      <c r="J3" s="2" t="s">
        <v>70</v>
      </c>
      <c r="K3" s="3">
        <v>1</v>
      </c>
    </row>
    <row r="4" spans="1:11" x14ac:dyDescent="0.25">
      <c r="B4" s="1" t="s">
        <v>88</v>
      </c>
      <c r="C4" s="15">
        <v>0.02</v>
      </c>
      <c r="J4" s="46" t="s">
        <v>93</v>
      </c>
      <c r="K4" s="47">
        <f>$K$1^2*0.5^2+$K$1^2*0.5^2+2*0.5*0.5*$K$1*$K$1*K3</f>
        <v>0.15210000000000001</v>
      </c>
    </row>
    <row r="5" spans="1:11" x14ac:dyDescent="0.25">
      <c r="B5" s="1" t="s">
        <v>87</v>
      </c>
      <c r="C5" s="15">
        <v>8.9999999999999993E-3</v>
      </c>
      <c r="F5" s="1" t="s">
        <v>70</v>
      </c>
      <c r="G5">
        <v>4.8000000000000001E-2</v>
      </c>
      <c r="J5" s="4" t="s">
        <v>90</v>
      </c>
      <c r="K5" s="41">
        <f>SQRT(K4)</f>
        <v>0.39</v>
      </c>
    </row>
    <row r="6" spans="1:11" x14ac:dyDescent="0.25">
      <c r="B6" s="1" t="s">
        <v>89</v>
      </c>
      <c r="C6" s="15">
        <v>1.9E-2</v>
      </c>
      <c r="F6" s="1" t="s">
        <v>90</v>
      </c>
      <c r="G6" s="15">
        <v>0.21199999999999999</v>
      </c>
    </row>
    <row r="7" spans="1:11" x14ac:dyDescent="0.25">
      <c r="F7" s="4"/>
      <c r="G7" s="5"/>
      <c r="J7" s="2" t="s">
        <v>70</v>
      </c>
      <c r="K7" s="3">
        <v>0.5</v>
      </c>
    </row>
    <row r="8" spans="1:11" x14ac:dyDescent="0.25">
      <c r="B8" s="4" t="s">
        <v>85</v>
      </c>
      <c r="C8" s="41">
        <f>C3/C1*C2</f>
        <v>7.2899999999999993E-2</v>
      </c>
      <c r="E8" s="1" t="s">
        <v>60</v>
      </c>
      <c r="F8" s="4" t="s">
        <v>91</v>
      </c>
      <c r="G8" s="4">
        <f>G6*G5/G1</f>
        <v>6.4815286624203813E-2</v>
      </c>
      <c r="J8" s="46" t="s">
        <v>93</v>
      </c>
      <c r="K8" s="47">
        <f>$K$1^2*0.5^2+$K$1^2*0.5^2+2*0.5*0.5*$K$1*$K$1*K7</f>
        <v>0.11407500000000001</v>
      </c>
    </row>
    <row r="9" spans="1:11" x14ac:dyDescent="0.25">
      <c r="B9" s="4" t="s">
        <v>83</v>
      </c>
      <c r="C9" s="41">
        <f>C8-C3</f>
        <v>7.1999999999999995E-2</v>
      </c>
      <c r="E9" s="1" t="s">
        <v>61</v>
      </c>
      <c r="F9" s="4" t="s">
        <v>68</v>
      </c>
      <c r="G9" s="9">
        <f>G3+G8*(G2-G3)</f>
        <v>3.6435210191082805E-2</v>
      </c>
      <c r="J9" s="4" t="s">
        <v>90</v>
      </c>
      <c r="K9" s="41">
        <f>SQRT(K8)</f>
        <v>0.33774990747593109</v>
      </c>
    </row>
    <row r="10" spans="1:11" x14ac:dyDescent="0.25">
      <c r="A10" s="1" t="s">
        <v>60</v>
      </c>
      <c r="B10" s="4" t="s">
        <v>86</v>
      </c>
      <c r="C10" s="41">
        <f>(C5-(C4/365))/C9</f>
        <v>0.12423896499238965</v>
      </c>
    </row>
    <row r="11" spans="1:11" x14ac:dyDescent="0.25">
      <c r="A11" s="1" t="s">
        <v>61</v>
      </c>
      <c r="B11" s="4" t="s">
        <v>86</v>
      </c>
      <c r="C11" s="41">
        <f>(C6-(C4/365))/C9</f>
        <v>0.26312785388127857</v>
      </c>
      <c r="J11" s="2" t="s">
        <v>70</v>
      </c>
      <c r="K11" s="3">
        <v>-0.5</v>
      </c>
    </row>
    <row r="12" spans="1:11" x14ac:dyDescent="0.25">
      <c r="J12" s="46" t="s">
        <v>93</v>
      </c>
      <c r="K12" s="47">
        <f>$K$1^2*0.5^2+$K$1^2*0.5^2+2*0.5*0.5*$K$1*$K$1*K11</f>
        <v>3.8025000000000003E-2</v>
      </c>
    </row>
    <row r="13" spans="1:11" x14ac:dyDescent="0.25">
      <c r="J13" s="4" t="s">
        <v>90</v>
      </c>
      <c r="K13" s="41">
        <f>SQRT(K12)</f>
        <v>0.19500000000000001</v>
      </c>
    </row>
    <row r="14" spans="1:11" x14ac:dyDescent="0.25">
      <c r="B14" s="1" t="s">
        <v>92</v>
      </c>
      <c r="C14" s="19">
        <v>0.5</v>
      </c>
    </row>
    <row r="15" spans="1:11" x14ac:dyDescent="0.25">
      <c r="B15" s="1" t="s">
        <v>94</v>
      </c>
      <c r="C15" s="19">
        <v>0.2</v>
      </c>
      <c r="J15" s="2" t="s">
        <v>70</v>
      </c>
      <c r="K15" s="3">
        <v>-1</v>
      </c>
    </row>
    <row r="16" spans="1:11" x14ac:dyDescent="0.25">
      <c r="J16" s="46" t="s">
        <v>93</v>
      </c>
      <c r="K16" s="47">
        <f>$K$1^2*0.5^2+$K$1^2*0.5^2+2*0.5*0.5*$K$1*$K$1*K15</f>
        <v>0</v>
      </c>
    </row>
    <row r="17" spans="2:11" x14ac:dyDescent="0.25">
      <c r="B17" s="1" t="s">
        <v>95</v>
      </c>
      <c r="C17">
        <v>1</v>
      </c>
      <c r="D17" s="19">
        <f>C14</f>
        <v>0.5</v>
      </c>
      <c r="J17" s="4" t="s">
        <v>90</v>
      </c>
      <c r="K17" s="41">
        <f>SQRT(K16)</f>
        <v>0</v>
      </c>
    </row>
    <row r="18" spans="2:11" x14ac:dyDescent="0.25">
      <c r="B18" s="1" t="s">
        <v>93</v>
      </c>
      <c r="C18" s="22">
        <f>C15*C14*C14</f>
        <v>0.05</v>
      </c>
      <c r="D18" s="15"/>
    </row>
    <row r="19" spans="2:11" x14ac:dyDescent="0.25">
      <c r="B19" s="1" t="s">
        <v>96</v>
      </c>
      <c r="C19" s="22">
        <f>C18^2*100</f>
        <v>0.25000000000000006</v>
      </c>
      <c r="D19" s="15"/>
    </row>
    <row r="20" spans="2:11" x14ac:dyDescent="0.25">
      <c r="B20" s="1"/>
      <c r="J20" s="2" t="s">
        <v>70</v>
      </c>
      <c r="K20" s="3">
        <v>0</v>
      </c>
    </row>
    <row r="21" spans="2:11" x14ac:dyDescent="0.25">
      <c r="B21" s="37" t="s">
        <v>95</v>
      </c>
      <c r="C21" s="37" t="s">
        <v>97</v>
      </c>
      <c r="D21" s="37" t="s">
        <v>98</v>
      </c>
      <c r="E21" s="37" t="s">
        <v>93</v>
      </c>
      <c r="F21" s="37" t="s">
        <v>96</v>
      </c>
      <c r="J21" s="46" t="s">
        <v>93</v>
      </c>
      <c r="K21" s="47">
        <f>$K$1^2*0.5^2+$K$1^2*0.5^2+2*0.5*0.5*$K$1*$K$1*K20</f>
        <v>7.6050000000000006E-2</v>
      </c>
    </row>
    <row r="22" spans="2:11" x14ac:dyDescent="0.25">
      <c r="B22">
        <v>30</v>
      </c>
      <c r="C22" s="45">
        <f>(1/B22)*($C$19)</f>
        <v>8.333333333333335E-3</v>
      </c>
      <c r="D22" s="45">
        <f>(1-(1/B22))*$C$18</f>
        <v>4.8333333333333339E-2</v>
      </c>
      <c r="E22" s="51">
        <f>C22+D22</f>
        <v>5.6666666666666671E-2</v>
      </c>
      <c r="F22" s="50">
        <f>SQRT(E22)</f>
        <v>0.23804761428476168</v>
      </c>
      <c r="J22" s="4" t="s">
        <v>90</v>
      </c>
      <c r="K22" s="41">
        <f>SQRT(K21)</f>
        <v>0.27577164466275356</v>
      </c>
    </row>
    <row r="23" spans="2:11" x14ac:dyDescent="0.25">
      <c r="B23">
        <v>1000</v>
      </c>
      <c r="C23" s="45">
        <f>(1/B23)*($C$19)</f>
        <v>2.5000000000000006E-4</v>
      </c>
      <c r="D23">
        <f>(1-(1/B23))*$C$18</f>
        <v>4.9950000000000001E-2</v>
      </c>
      <c r="E23" s="49">
        <f>C23+D23</f>
        <v>5.0200000000000002E-2</v>
      </c>
      <c r="F23" s="50">
        <f>SQRT(E23)</f>
        <v>0.2240535650240808</v>
      </c>
    </row>
  </sheetData>
  <pageMargins left="0.7" right="0.7" top="0.75" bottom="0.75" header="0.3" footer="0.3"/>
  <pageSetup orientation="portrait" verticalDpi="60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H24" sqref="H24"/>
    </sheetView>
  </sheetViews>
  <sheetFormatPr defaultRowHeight="15" x14ac:dyDescent="0.25"/>
  <cols>
    <col min="1" max="1" width="15.7109375" style="1" bestFit="1" customWidth="1"/>
    <col min="2" max="2" width="13.85546875" bestFit="1" customWidth="1"/>
    <col min="4" max="4" width="19.140625" bestFit="1" customWidth="1"/>
    <col min="7" max="7" width="14.28515625" style="1" bestFit="1" customWidth="1"/>
    <col min="8" max="8" width="15.5703125" bestFit="1" customWidth="1"/>
    <col min="9" max="9" width="13.85546875" bestFit="1" customWidth="1"/>
    <col min="10" max="10" width="10.5703125" bestFit="1" customWidth="1"/>
    <col min="13" max="13" width="15.85546875" style="1" bestFit="1" customWidth="1"/>
  </cols>
  <sheetData>
    <row r="1" spans="1:14" x14ac:dyDescent="0.25">
      <c r="A1" s="1" t="s">
        <v>99</v>
      </c>
      <c r="B1">
        <v>0.78</v>
      </c>
      <c r="D1" s="1" t="s">
        <v>99</v>
      </c>
      <c r="E1">
        <v>0.86</v>
      </c>
      <c r="G1" s="48"/>
      <c r="H1" t="s">
        <v>109</v>
      </c>
      <c r="I1" t="s">
        <v>110</v>
      </c>
      <c r="J1" t="s">
        <v>111</v>
      </c>
      <c r="M1" s="1" t="s">
        <v>127</v>
      </c>
      <c r="N1">
        <v>139</v>
      </c>
    </row>
    <row r="2" spans="1:14" x14ac:dyDescent="0.25">
      <c r="A2" s="1" t="s">
        <v>100</v>
      </c>
      <c r="B2" s="19">
        <v>0</v>
      </c>
      <c r="D2" s="1" t="s">
        <v>100</v>
      </c>
      <c r="E2" s="19">
        <v>0</v>
      </c>
      <c r="G2" s="1">
        <v>2011</v>
      </c>
      <c r="H2" s="19">
        <v>0.03</v>
      </c>
      <c r="I2" s="19">
        <v>0.05</v>
      </c>
      <c r="J2" s="19">
        <v>0.1</v>
      </c>
      <c r="M2" s="1" t="s">
        <v>128</v>
      </c>
      <c r="N2">
        <v>24</v>
      </c>
    </row>
    <row r="3" spans="1:14" x14ac:dyDescent="0.25">
      <c r="A3" s="2" t="s">
        <v>101</v>
      </c>
      <c r="B3" s="6">
        <v>0.04</v>
      </c>
      <c r="D3" s="2" t="s">
        <v>101</v>
      </c>
      <c r="E3" s="6">
        <v>0.04</v>
      </c>
      <c r="G3" s="1">
        <v>2012</v>
      </c>
      <c r="H3" s="19">
        <v>0.01</v>
      </c>
      <c r="I3" s="19">
        <v>-0.4</v>
      </c>
      <c r="J3" s="19">
        <v>-0.4</v>
      </c>
      <c r="M3" s="1" t="s">
        <v>129</v>
      </c>
      <c r="N3">
        <v>56</v>
      </c>
    </row>
    <row r="4" spans="1:14" x14ac:dyDescent="0.25">
      <c r="A4" s="4" t="s">
        <v>102</v>
      </c>
      <c r="B4" s="41">
        <f>B2+B1*(B3-B2)</f>
        <v>3.1200000000000002E-2</v>
      </c>
      <c r="D4" s="4" t="s">
        <v>102</v>
      </c>
      <c r="E4" s="41">
        <f>E2+E1*(E3-E2)</f>
        <v>3.44E-2</v>
      </c>
      <c r="M4" s="2" t="s">
        <v>91</v>
      </c>
      <c r="N4" s="3">
        <v>1.37</v>
      </c>
    </row>
    <row r="5" spans="1:14" x14ac:dyDescent="0.25">
      <c r="G5" s="1" t="s">
        <v>60</v>
      </c>
      <c r="H5" s="58">
        <f>(J2+J3)/2</f>
        <v>-0.15000000000000002</v>
      </c>
      <c r="M5" s="4" t="s">
        <v>130</v>
      </c>
      <c r="N5" s="5">
        <f>N1+N2-N3</f>
        <v>107</v>
      </c>
    </row>
    <row r="6" spans="1:14" x14ac:dyDescent="0.25">
      <c r="A6" s="1" t="s">
        <v>105</v>
      </c>
      <c r="B6">
        <v>48</v>
      </c>
      <c r="D6" s="40" t="s">
        <v>118</v>
      </c>
      <c r="E6" s="15">
        <v>8.3000000000000004E-2</v>
      </c>
      <c r="H6" s="54"/>
      <c r="M6" s="27" t="s">
        <v>131</v>
      </c>
      <c r="N6" s="28">
        <f>N2-N3</f>
        <v>-32</v>
      </c>
    </row>
    <row r="7" spans="1:14" x14ac:dyDescent="0.25">
      <c r="A7" s="1" t="s">
        <v>103</v>
      </c>
      <c r="B7" s="38">
        <v>10</v>
      </c>
      <c r="D7" s="40" t="s">
        <v>88</v>
      </c>
      <c r="E7" s="15">
        <v>2.9000000000000001E-2</v>
      </c>
      <c r="H7" s="2">
        <v>2011</v>
      </c>
      <c r="I7" s="2">
        <v>2012</v>
      </c>
      <c r="J7" s="2" t="s">
        <v>91</v>
      </c>
      <c r="K7" s="2" t="s">
        <v>114</v>
      </c>
      <c r="M7" s="1" t="s">
        <v>91</v>
      </c>
      <c r="N7" s="4">
        <f>N1/(N1+N6)*N4</f>
        <v>1.7797196261682244</v>
      </c>
    </row>
    <row r="8" spans="1:14" x14ac:dyDescent="0.25">
      <c r="A8" s="1" t="s">
        <v>104</v>
      </c>
      <c r="B8" s="33">
        <v>1.64</v>
      </c>
      <c r="D8" s="40" t="s">
        <v>122</v>
      </c>
      <c r="E8" s="29">
        <v>5.1999999999999998E-2</v>
      </c>
      <c r="G8" s="4" t="s">
        <v>112</v>
      </c>
      <c r="H8" s="55">
        <f>I2-$H$2</f>
        <v>2.0000000000000004E-2</v>
      </c>
      <c r="I8" s="55">
        <f>I3-$H$3</f>
        <v>-0.41000000000000003</v>
      </c>
      <c r="J8" s="5"/>
    </row>
    <row r="9" spans="1:14" x14ac:dyDescent="0.25">
      <c r="A9" s="2" t="s">
        <v>106</v>
      </c>
      <c r="B9" s="3">
        <v>147</v>
      </c>
      <c r="D9" s="40" t="s">
        <v>119</v>
      </c>
      <c r="E9" s="15">
        <v>0.6</v>
      </c>
      <c r="G9" s="4" t="s">
        <v>113</v>
      </c>
      <c r="H9" s="55">
        <f>J2-$H$2</f>
        <v>7.0000000000000007E-2</v>
      </c>
      <c r="I9" s="55">
        <f>J3-$H$3</f>
        <v>-0.41000000000000003</v>
      </c>
      <c r="J9" s="5">
        <f>(H9-I9)/(H8-I8)</f>
        <v>1.1162790697674418</v>
      </c>
      <c r="K9" s="41">
        <f>(H9+I9)/2-J9*(H8+I8)/2</f>
        <v>4.7674418604651159E-2</v>
      </c>
    </row>
    <row r="10" spans="1:14" x14ac:dyDescent="0.25">
      <c r="A10" s="46" t="s">
        <v>108</v>
      </c>
      <c r="B10" s="53">
        <f>B7/B6</f>
        <v>0.20833333333333334</v>
      </c>
      <c r="D10" s="2" t="s">
        <v>123</v>
      </c>
      <c r="E10" s="20">
        <v>0.08</v>
      </c>
      <c r="H10" s="19"/>
    </row>
    <row r="11" spans="1:14" x14ac:dyDescent="0.25">
      <c r="A11" s="12" t="s">
        <v>107</v>
      </c>
      <c r="B11" s="52">
        <f>100*(B8/B10)</f>
        <v>787.19999999999993</v>
      </c>
      <c r="D11" s="4" t="s">
        <v>68</v>
      </c>
      <c r="E11" s="58">
        <f>E6-E9*E10</f>
        <v>3.5000000000000003E-2</v>
      </c>
      <c r="G11" t="s">
        <v>117</v>
      </c>
      <c r="H11" s="19">
        <v>0.02</v>
      </c>
    </row>
    <row r="12" spans="1:14" x14ac:dyDescent="0.25">
      <c r="D12" s="4" t="s">
        <v>124</v>
      </c>
      <c r="E12" s="56">
        <f>E7+(0.17*E8)</f>
        <v>3.7839999999999999E-2</v>
      </c>
      <c r="G12" s="3" t="s">
        <v>116</v>
      </c>
      <c r="H12" s="6">
        <v>0.06</v>
      </c>
    </row>
    <row r="13" spans="1:14" x14ac:dyDescent="0.25">
      <c r="D13" s="1"/>
      <c r="G13" s="59" t="s">
        <v>115</v>
      </c>
      <c r="H13" s="41">
        <f>H11+J9*(H12-H11)</f>
        <v>6.4651162790697672E-2</v>
      </c>
    </row>
    <row r="14" spans="1:14" x14ac:dyDescent="0.25">
      <c r="A14" s="1" t="s">
        <v>119</v>
      </c>
      <c r="B14" s="15">
        <v>1.4E-2</v>
      </c>
      <c r="D14" s="1" t="s">
        <v>88</v>
      </c>
      <c r="E14" s="19">
        <v>4.1000000000000002E-2</v>
      </c>
      <c r="G14" s="59"/>
      <c r="H14" s="41"/>
    </row>
    <row r="15" spans="1:14" x14ac:dyDescent="0.25">
      <c r="A15" s="1" t="s">
        <v>118</v>
      </c>
      <c r="B15" s="15">
        <v>1.5100000000000001E-2</v>
      </c>
      <c r="D15" s="1" t="s">
        <v>91</v>
      </c>
      <c r="E15">
        <v>0.87</v>
      </c>
      <c r="G15" s="1" t="s">
        <v>138</v>
      </c>
      <c r="H15" s="19">
        <v>0.33</v>
      </c>
    </row>
    <row r="16" spans="1:14" x14ac:dyDescent="0.25">
      <c r="A16" s="2" t="s">
        <v>120</v>
      </c>
      <c r="B16" s="20">
        <v>0.59</v>
      </c>
      <c r="D16" s="2" t="s">
        <v>125</v>
      </c>
      <c r="E16" s="6">
        <v>5.3999999999999999E-2</v>
      </c>
      <c r="G16" s="1" t="s">
        <v>135</v>
      </c>
      <c r="H16" s="19">
        <v>0.17</v>
      </c>
    </row>
    <row r="17" spans="1:8" x14ac:dyDescent="0.25">
      <c r="A17" s="4" t="s">
        <v>121</v>
      </c>
      <c r="B17" s="57">
        <f>B15-B14*B16</f>
        <v>6.8400000000000006E-3</v>
      </c>
      <c r="D17" s="4" t="s">
        <v>126</v>
      </c>
      <c r="E17" s="9">
        <f>E14+E16*E15</f>
        <v>8.7980000000000003E-2</v>
      </c>
      <c r="G17" s="1" t="s">
        <v>136</v>
      </c>
      <c r="H17" s="19">
        <v>0.08</v>
      </c>
    </row>
    <row r="18" spans="1:8" x14ac:dyDescent="0.25">
      <c r="D18" s="1"/>
      <c r="G18" s="1" t="s">
        <v>58</v>
      </c>
      <c r="H18">
        <v>40</v>
      </c>
    </row>
    <row r="19" spans="1:8" x14ac:dyDescent="0.25">
      <c r="D19" s="1"/>
      <c r="G19" s="1" t="s">
        <v>132</v>
      </c>
      <c r="H19">
        <v>12</v>
      </c>
    </row>
    <row r="20" spans="1:8" x14ac:dyDescent="0.25">
      <c r="D20" s="1"/>
      <c r="G20" s="2" t="s">
        <v>131</v>
      </c>
      <c r="H20" s="3">
        <v>115</v>
      </c>
    </row>
    <row r="21" spans="1:8" x14ac:dyDescent="0.25">
      <c r="D21" s="1"/>
      <c r="G21" s="46" t="s">
        <v>133</v>
      </c>
      <c r="H21" s="47">
        <f>H18*H19</f>
        <v>480</v>
      </c>
    </row>
    <row r="22" spans="1:8" x14ac:dyDescent="0.25">
      <c r="D22" s="1"/>
      <c r="G22" s="4" t="s">
        <v>134</v>
      </c>
      <c r="H22" s="41">
        <f>H21/(H20+H21)*H16+H20/(H20+H21)*H17</f>
        <v>0.15260504201680672</v>
      </c>
    </row>
    <row r="23" spans="1:8" x14ac:dyDescent="0.25">
      <c r="D23" s="1"/>
      <c r="G23" s="4" t="s">
        <v>137</v>
      </c>
      <c r="H23" s="41">
        <f>H17*(1-H15)</f>
        <v>5.3599999999999995E-2</v>
      </c>
    </row>
    <row r="24" spans="1:8" x14ac:dyDescent="0.25">
      <c r="D24" s="1"/>
      <c r="G24" s="4" t="s">
        <v>139</v>
      </c>
      <c r="H24" s="41">
        <f>H21/(H20+H21)*H16+H20/(H20+H21)*H23</f>
        <v>0.14750252100840336</v>
      </c>
    </row>
    <row r="25" spans="1:8" x14ac:dyDescent="0.25">
      <c r="D25" s="1"/>
    </row>
    <row r="26" spans="1:8" x14ac:dyDescent="0.25">
      <c r="D26" s="1"/>
    </row>
    <row r="27" spans="1:8" x14ac:dyDescent="0.25">
      <c r="D27" s="1"/>
    </row>
    <row r="28" spans="1:8" x14ac:dyDescent="0.25">
      <c r="D28" s="1"/>
    </row>
    <row r="29" spans="1:8" x14ac:dyDescent="0.25">
      <c r="D29" s="1"/>
    </row>
    <row r="30" spans="1:8" x14ac:dyDescent="0.25">
      <c r="D30" s="1"/>
    </row>
    <row r="31" spans="1:8" x14ac:dyDescent="0.25">
      <c r="D31" s="1"/>
    </row>
    <row r="32" spans="1:8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</sheetData>
  <pageMargins left="0.7" right="0.7" top="0.75" bottom="0.75" header="0.3" footer="0.3"/>
  <pageSetup orientation="portrait" verticalDpi="601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4" sqref="E14"/>
    </sheetView>
  </sheetViews>
  <sheetFormatPr defaultRowHeight="15" x14ac:dyDescent="0.25"/>
  <cols>
    <col min="1" max="1" width="22" style="1" bestFit="1" customWidth="1"/>
    <col min="2" max="2" width="10.140625" bestFit="1" customWidth="1"/>
    <col min="4" max="4" width="19" bestFit="1" customWidth="1"/>
    <col min="5" max="5" width="12" bestFit="1" customWidth="1"/>
    <col min="7" max="7" width="19" bestFit="1" customWidth="1"/>
    <col min="8" max="8" width="10.140625" bestFit="1" customWidth="1"/>
  </cols>
  <sheetData>
    <row r="1" spans="1:11" x14ac:dyDescent="0.25">
      <c r="A1" s="1" t="s">
        <v>140</v>
      </c>
      <c r="B1" s="38">
        <v>8157</v>
      </c>
      <c r="D1" s="61" t="s">
        <v>151</v>
      </c>
      <c r="E1" s="22">
        <f>365/(F1-G1)</f>
        <v>10.735294117647058</v>
      </c>
      <c r="F1">
        <v>45</v>
      </c>
      <c r="G1">
        <v>11</v>
      </c>
    </row>
    <row r="2" spans="1:11" x14ac:dyDescent="0.25">
      <c r="A2" s="2" t="s">
        <v>141</v>
      </c>
      <c r="B2" s="39">
        <v>3535</v>
      </c>
      <c r="D2" s="2" t="s">
        <v>152</v>
      </c>
      <c r="E2" s="3">
        <v>1.7</v>
      </c>
    </row>
    <row r="3" spans="1:11" x14ac:dyDescent="0.25">
      <c r="A3" s="4" t="s">
        <v>142</v>
      </c>
      <c r="B3" s="60">
        <f>(B1-B2)*1000</f>
        <v>4622000</v>
      </c>
      <c r="D3" s="1" t="s">
        <v>153</v>
      </c>
      <c r="E3" s="15">
        <f>POWER(1+(E2/100), E1) - 1</f>
        <v>0.19837456531187692</v>
      </c>
    </row>
    <row r="5" spans="1:11" x14ac:dyDescent="0.25">
      <c r="A5" s="1" t="s">
        <v>143</v>
      </c>
      <c r="B5" s="38">
        <v>1496</v>
      </c>
      <c r="D5" s="1" t="s">
        <v>146</v>
      </c>
      <c r="E5" s="38">
        <v>4179</v>
      </c>
      <c r="G5" s="1" t="s">
        <v>149</v>
      </c>
      <c r="H5" s="38">
        <v>1315</v>
      </c>
    </row>
    <row r="6" spans="1:11" x14ac:dyDescent="0.25">
      <c r="A6" s="1" t="s">
        <v>144</v>
      </c>
      <c r="B6" s="38">
        <v>13100000</v>
      </c>
      <c r="D6" s="1" t="s">
        <v>147</v>
      </c>
      <c r="E6" s="38">
        <v>32700000</v>
      </c>
      <c r="G6" s="1" t="s">
        <v>144</v>
      </c>
      <c r="H6" s="38">
        <v>13100000</v>
      </c>
    </row>
    <row r="7" spans="1:11" x14ac:dyDescent="0.25">
      <c r="A7" s="2" t="s">
        <v>145</v>
      </c>
      <c r="B7" s="39">
        <f>B6/1000</f>
        <v>13100</v>
      </c>
      <c r="D7" s="2" t="s">
        <v>148</v>
      </c>
      <c r="E7" s="39">
        <f>E6/1000</f>
        <v>32700</v>
      </c>
      <c r="G7" s="2" t="s">
        <v>145</v>
      </c>
      <c r="H7" s="39">
        <f>H6/1000</f>
        <v>13100</v>
      </c>
    </row>
    <row r="8" spans="1:11" x14ac:dyDescent="0.25">
      <c r="A8" s="4" t="s">
        <v>150</v>
      </c>
      <c r="B8" s="5">
        <f>B5/(B7/365)</f>
        <v>41.682442748091603</v>
      </c>
      <c r="D8" s="4" t="s">
        <v>150</v>
      </c>
      <c r="E8" s="5">
        <f>E5/(E7/365)</f>
        <v>46.64633027522936</v>
      </c>
      <c r="G8" s="4" t="s">
        <v>150</v>
      </c>
      <c r="H8" s="5">
        <f>H5/(H7/365)</f>
        <v>36.63931297709923</v>
      </c>
      <c r="J8" s="5">
        <f>B8+E8-H8</f>
        <v>51.689460046221733</v>
      </c>
      <c r="K8" s="5" t="s">
        <v>150</v>
      </c>
    </row>
    <row r="9" spans="1:11" x14ac:dyDescent="0.25">
      <c r="B9">
        <v>41.682442748091603</v>
      </c>
      <c r="E9">
        <v>30</v>
      </c>
      <c r="H9">
        <v>36.63931297709923</v>
      </c>
      <c r="J9" s="5">
        <f>B9+E9-H9</f>
        <v>35.043129770992373</v>
      </c>
      <c r="K9" s="5" t="s">
        <v>150</v>
      </c>
    </row>
    <row r="11" spans="1:11" x14ac:dyDescent="0.25">
      <c r="A11" s="1" t="s">
        <v>156</v>
      </c>
      <c r="B11">
        <v>20</v>
      </c>
      <c r="D11" s="1" t="s">
        <v>161</v>
      </c>
      <c r="E11" s="38">
        <v>86000000</v>
      </c>
    </row>
    <row r="12" spans="1:11" x14ac:dyDescent="0.25">
      <c r="A12" s="1" t="s">
        <v>154</v>
      </c>
      <c r="B12">
        <v>1500</v>
      </c>
      <c r="D12" s="2" t="s">
        <v>162</v>
      </c>
      <c r="E12" s="39">
        <v>2000000</v>
      </c>
    </row>
    <row r="13" spans="1:11" x14ac:dyDescent="0.25">
      <c r="A13" s="1" t="s">
        <v>155</v>
      </c>
      <c r="B13" s="19">
        <v>7.0000000000000007E-2</v>
      </c>
      <c r="D13" s="46" t="s">
        <v>163</v>
      </c>
      <c r="E13" s="47">
        <f>(E11/E12)</f>
        <v>43</v>
      </c>
    </row>
    <row r="14" spans="1:11" x14ac:dyDescent="0.25">
      <c r="A14" s="2" t="s">
        <v>157</v>
      </c>
      <c r="B14" s="3">
        <v>325</v>
      </c>
      <c r="D14" s="4" t="s">
        <v>150</v>
      </c>
      <c r="E14" s="5">
        <f>365/E13</f>
        <v>8.4883720930232567</v>
      </c>
    </row>
    <row r="15" spans="1:11" x14ac:dyDescent="0.25">
      <c r="A15" s="4" t="s">
        <v>160</v>
      </c>
      <c r="B15" s="5">
        <f>B12*B11</f>
        <v>30000</v>
      </c>
    </row>
    <row r="16" spans="1:11" x14ac:dyDescent="0.25">
      <c r="A16" s="27" t="s">
        <v>159</v>
      </c>
      <c r="B16" s="28">
        <f>B13/12</f>
        <v>5.8333333333333336E-3</v>
      </c>
    </row>
    <row r="17" spans="1:2" x14ac:dyDescent="0.25">
      <c r="A17" s="4" t="s">
        <v>158</v>
      </c>
      <c r="B17" s="5">
        <f>B14/B16</f>
        <v>55714.28571428571</v>
      </c>
    </row>
  </sheetData>
  <pageMargins left="0.7" right="0.7" top="0.75" bottom="0.75" header="0.3" footer="0.3"/>
  <pageSetup orientation="portrait" verticalDpi="60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topLeftCell="G1" workbookViewId="0">
      <selection activeCell="R15" sqref="R15"/>
    </sheetView>
  </sheetViews>
  <sheetFormatPr defaultRowHeight="15" x14ac:dyDescent="0.25"/>
  <cols>
    <col min="1" max="1" width="8.85546875" style="65" bestFit="1" customWidth="1"/>
    <col min="2" max="2" width="27.85546875" customWidth="1"/>
  </cols>
  <sheetData>
    <row r="1" spans="1:25" ht="25.5" x14ac:dyDescent="0.25">
      <c r="A1" s="62" t="s">
        <v>164</v>
      </c>
      <c r="B1" s="62" t="s">
        <v>165</v>
      </c>
      <c r="C1" s="62" t="s">
        <v>166</v>
      </c>
      <c r="D1" s="78"/>
      <c r="E1" s="79"/>
      <c r="F1" s="79"/>
      <c r="G1" s="79"/>
      <c r="H1" s="78"/>
      <c r="I1" s="79"/>
      <c r="J1" s="79"/>
      <c r="K1" s="79"/>
      <c r="L1" s="78"/>
      <c r="M1" s="79"/>
      <c r="N1" s="79"/>
      <c r="O1" s="79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 x14ac:dyDescent="0.25">
      <c r="A2" s="85" t="s">
        <v>167</v>
      </c>
      <c r="B2" s="86">
        <v>46000</v>
      </c>
      <c r="C2" s="85">
        <v>36</v>
      </c>
      <c r="D2" s="78"/>
      <c r="E2" s="80"/>
      <c r="F2" s="81"/>
      <c r="G2" s="80"/>
      <c r="H2" s="78"/>
      <c r="I2" s="80"/>
      <c r="J2" s="81"/>
      <c r="K2" s="80"/>
      <c r="L2" s="78"/>
      <c r="M2" s="80"/>
      <c r="N2" s="81"/>
      <c r="O2" s="80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x14ac:dyDescent="0.25">
      <c r="A3" s="74" t="s">
        <v>168</v>
      </c>
      <c r="B3" s="75">
        <v>37000</v>
      </c>
      <c r="C3" s="74">
        <v>5</v>
      </c>
      <c r="D3" s="78"/>
      <c r="E3" s="80"/>
      <c r="F3" s="81"/>
      <c r="G3" s="80"/>
      <c r="H3" s="78"/>
      <c r="I3" s="79"/>
      <c r="J3" s="82"/>
      <c r="K3" s="83"/>
      <c r="L3" s="78"/>
      <c r="M3" s="80"/>
      <c r="N3" s="81"/>
      <c r="O3" s="80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 x14ac:dyDescent="0.25">
      <c r="A4" s="74" t="s">
        <v>169</v>
      </c>
      <c r="B4" s="75">
        <v>13000</v>
      </c>
      <c r="C4" s="74">
        <v>11</v>
      </c>
      <c r="D4" s="78"/>
      <c r="E4" s="80"/>
      <c r="F4" s="81"/>
      <c r="G4" s="80"/>
      <c r="H4" s="78"/>
      <c r="I4" s="70"/>
      <c r="J4" s="29"/>
      <c r="K4" s="78"/>
      <c r="L4" s="78"/>
      <c r="M4" s="80"/>
      <c r="N4" s="81"/>
      <c r="O4" s="80"/>
      <c r="P4" s="78"/>
      <c r="Q4" s="78"/>
      <c r="R4" s="78"/>
      <c r="S4" s="78"/>
      <c r="T4" s="78"/>
      <c r="U4" s="78"/>
      <c r="V4" s="78"/>
      <c r="W4" s="78"/>
      <c r="X4" s="78"/>
      <c r="Y4" s="78"/>
    </row>
    <row r="5" spans="1:25" x14ac:dyDescent="0.25">
      <c r="A5" s="76" t="s">
        <v>170</v>
      </c>
      <c r="B5" s="77">
        <v>77000</v>
      </c>
      <c r="C5" s="76">
        <v>22</v>
      </c>
      <c r="D5" s="78"/>
      <c r="E5" s="79"/>
      <c r="F5" s="82"/>
      <c r="G5" s="83"/>
      <c r="H5" s="78"/>
      <c r="I5" s="78"/>
      <c r="J5" s="78"/>
      <c r="K5" s="78"/>
      <c r="L5" s="78"/>
      <c r="M5" s="79"/>
      <c r="N5" s="82"/>
      <c r="O5" s="83"/>
      <c r="P5" s="78"/>
      <c r="Q5" s="78"/>
      <c r="R5" s="78"/>
      <c r="S5" s="78"/>
      <c r="T5" s="78"/>
      <c r="U5" s="78"/>
      <c r="V5" s="78"/>
      <c r="W5" s="78"/>
      <c r="X5" s="78"/>
      <c r="Y5" s="78"/>
    </row>
    <row r="6" spans="1:25" x14ac:dyDescent="0.25">
      <c r="A6" s="85" t="s">
        <v>171</v>
      </c>
      <c r="B6" s="86">
        <v>44000</v>
      </c>
      <c r="C6" s="85">
        <v>40</v>
      </c>
      <c r="D6" s="78"/>
      <c r="E6" s="70"/>
      <c r="F6" s="29"/>
      <c r="G6" s="78"/>
      <c r="H6" s="78"/>
      <c r="I6" s="78"/>
      <c r="J6" s="78"/>
      <c r="K6" s="78"/>
      <c r="L6" s="78"/>
      <c r="M6" s="70"/>
      <c r="N6" s="29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</row>
    <row r="7" spans="1:25" x14ac:dyDescent="0.25">
      <c r="A7" s="74" t="s">
        <v>172</v>
      </c>
      <c r="B7" s="75">
        <v>19000</v>
      </c>
      <c r="C7" s="74">
        <v>11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</row>
    <row r="8" spans="1:25" x14ac:dyDescent="0.25">
      <c r="A8" s="87" t="s">
        <v>173</v>
      </c>
      <c r="B8" s="88">
        <v>77000</v>
      </c>
      <c r="C8" s="87">
        <v>52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25" x14ac:dyDescent="0.25">
      <c r="A9" s="89" t="s">
        <v>174</v>
      </c>
      <c r="B9" s="90">
        <v>37000</v>
      </c>
      <c r="C9" s="89">
        <v>91</v>
      </c>
    </row>
    <row r="10" spans="1:25" x14ac:dyDescent="0.25">
      <c r="A10" s="62" t="s">
        <v>175</v>
      </c>
      <c r="B10" s="68">
        <f>SUM(B2:B9)</f>
        <v>350000</v>
      </c>
      <c r="C10" s="69">
        <f>SUM(C2:C9)</f>
        <v>268</v>
      </c>
    </row>
    <row r="12" spans="1:25" ht="25.5" x14ac:dyDescent="0.25">
      <c r="A12" s="62" t="s">
        <v>164</v>
      </c>
      <c r="B12" s="62" t="s">
        <v>165</v>
      </c>
      <c r="C12" s="62" t="s">
        <v>166</v>
      </c>
      <c r="E12" s="62" t="s">
        <v>164</v>
      </c>
      <c r="F12" s="62" t="s">
        <v>165</v>
      </c>
      <c r="G12" s="62" t="s">
        <v>166</v>
      </c>
      <c r="I12" s="62" t="s">
        <v>164</v>
      </c>
      <c r="J12" s="62" t="s">
        <v>165</v>
      </c>
      <c r="K12" s="62" t="s">
        <v>166</v>
      </c>
      <c r="M12" s="62" t="s">
        <v>164</v>
      </c>
      <c r="N12" s="62" t="s">
        <v>165</v>
      </c>
      <c r="O12" s="62" t="s">
        <v>166</v>
      </c>
      <c r="Q12" s="62" t="s">
        <v>164</v>
      </c>
      <c r="R12" s="62" t="s">
        <v>165</v>
      </c>
      <c r="S12" s="62" t="s">
        <v>166</v>
      </c>
    </row>
    <row r="13" spans="1:25" x14ac:dyDescent="0.25">
      <c r="A13" s="63" t="s">
        <v>169</v>
      </c>
      <c r="B13" s="64">
        <v>13000</v>
      </c>
      <c r="C13" s="63">
        <v>11</v>
      </c>
      <c r="E13" s="63" t="s">
        <v>170</v>
      </c>
      <c r="F13" s="64">
        <v>77000</v>
      </c>
      <c r="G13" s="63">
        <v>22</v>
      </c>
      <c r="I13" s="63" t="s">
        <v>167</v>
      </c>
      <c r="J13" s="64">
        <v>46000</v>
      </c>
      <c r="K13" s="63">
        <v>36</v>
      </c>
      <c r="M13" s="63" t="s">
        <v>173</v>
      </c>
      <c r="N13" s="64">
        <v>77000</v>
      </c>
      <c r="O13" s="63">
        <v>52</v>
      </c>
      <c r="Q13" s="63" t="s">
        <v>174</v>
      </c>
      <c r="R13" s="64">
        <v>37000</v>
      </c>
      <c r="S13" s="63">
        <v>91</v>
      </c>
    </row>
    <row r="14" spans="1:25" x14ac:dyDescent="0.25">
      <c r="A14" s="63" t="s">
        <v>168</v>
      </c>
      <c r="B14" s="64">
        <v>37000</v>
      </c>
      <c r="C14" s="63">
        <v>5</v>
      </c>
      <c r="E14" s="71" t="s">
        <v>175</v>
      </c>
      <c r="F14" s="72">
        <f>SUM(F13:F13)</f>
        <v>77000</v>
      </c>
      <c r="G14" s="73">
        <f>SUM(G13:G13)</f>
        <v>22</v>
      </c>
      <c r="I14" s="63" t="s">
        <v>171</v>
      </c>
      <c r="J14" s="64">
        <v>44000</v>
      </c>
      <c r="K14" s="63">
        <v>40</v>
      </c>
      <c r="M14" s="71" t="s">
        <v>175</v>
      </c>
      <c r="N14" s="72">
        <f>SUM(N13:N13)</f>
        <v>77000</v>
      </c>
      <c r="O14" s="73">
        <f>SUM(O13:O13)</f>
        <v>52</v>
      </c>
      <c r="Q14" s="91" t="s">
        <v>175</v>
      </c>
      <c r="R14" s="92">
        <f>SUM(R13:R13)</f>
        <v>37000</v>
      </c>
      <c r="S14" s="93">
        <f>SUM(S13:S13)</f>
        <v>91</v>
      </c>
    </row>
    <row r="15" spans="1:25" x14ac:dyDescent="0.25">
      <c r="A15" s="66" t="s">
        <v>172</v>
      </c>
      <c r="B15" s="67">
        <v>19000</v>
      </c>
      <c r="C15" s="66">
        <v>11</v>
      </c>
      <c r="E15" s="70" t="s">
        <v>56</v>
      </c>
      <c r="F15" s="84">
        <f>F14/$B$10</f>
        <v>0.22</v>
      </c>
      <c r="I15" s="71" t="s">
        <v>175</v>
      </c>
      <c r="J15" s="72">
        <f>SUM(J13:J14)</f>
        <v>90000</v>
      </c>
      <c r="K15" s="73">
        <f>SUM(K13:K14)</f>
        <v>76</v>
      </c>
      <c r="M15" s="70" t="s">
        <v>56</v>
      </c>
      <c r="N15" s="84">
        <f>N14/$B$10</f>
        <v>0.22</v>
      </c>
      <c r="Q15" s="70" t="s">
        <v>56</v>
      </c>
      <c r="R15" s="84">
        <f>R14/$B$10</f>
        <v>0.10571428571428572</v>
      </c>
    </row>
    <row r="16" spans="1:25" x14ac:dyDescent="0.25">
      <c r="A16" s="71" t="s">
        <v>175</v>
      </c>
      <c r="B16" s="72">
        <f>SUM(B13:B15)</f>
        <v>69000</v>
      </c>
      <c r="C16" s="73">
        <f>SUM(C13:C15)</f>
        <v>27</v>
      </c>
      <c r="I16" s="70" t="s">
        <v>56</v>
      </c>
      <c r="J16" s="84">
        <f>J15/$B$10</f>
        <v>0.25714285714285712</v>
      </c>
    </row>
    <row r="17" spans="1:2" x14ac:dyDescent="0.25">
      <c r="A17" s="70" t="s">
        <v>56</v>
      </c>
      <c r="B17" s="84">
        <f>B16/$B$10</f>
        <v>0.19714285714285715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Dividends</vt:lpstr>
      <vt:lpstr>Timeline</vt:lpstr>
      <vt:lpstr>Equity</vt:lpstr>
      <vt:lpstr>PE vs PB</vt:lpstr>
      <vt:lpstr>Weight</vt:lpstr>
      <vt:lpstr>Wealth</vt:lpstr>
      <vt:lpstr>ch12</vt:lpstr>
      <vt:lpstr>ch26</vt:lpstr>
      <vt:lpstr>26-11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2017-05-08T18:21:59Z</dcterms:modified>
</cp:coreProperties>
</file>