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ildebr\Desktop\"/>
    </mc:Choice>
  </mc:AlternateContent>
  <bookViews>
    <workbookView xWindow="0" yWindow="0" windowWidth="19200" windowHeight="7620" activeTab="1"/>
  </bookViews>
  <sheets>
    <sheet name="Annual TvM" sheetId="1" r:id="rId1"/>
    <sheet name="Semiannual TvM" sheetId="2" r:id="rId2"/>
    <sheet name="Multiple TvM" sheetId="11" r:id="rId3"/>
    <sheet name="Constant A&amp;P" sheetId="3" r:id="rId4"/>
    <sheet name="Growing A&amp;P" sheetId="4" r:id="rId5"/>
    <sheet name="Bonds" sheetId="5" r:id="rId6"/>
    <sheet name="NPV" sheetId="6" r:id="rId7"/>
    <sheet name="Other NPV" sheetId="7" r:id="rId8"/>
    <sheet name="Cash Flow" sheetId="10" r:id="rId9"/>
    <sheet name="Exchange Rage" sheetId="8" r:id="rId10"/>
    <sheet name="Stock" sheetId="9" r:id="rId11"/>
    <sheet name="Tax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5" l="1"/>
  <c r="N7" i="5"/>
  <c r="P7" i="5" s="1"/>
  <c r="N13" i="5"/>
  <c r="P13" i="5" s="1"/>
  <c r="B3" i="3"/>
  <c r="B6" i="3" s="1"/>
  <c r="B4" i="2"/>
  <c r="J4" i="13"/>
  <c r="J5" i="13" s="1"/>
  <c r="G4" i="13"/>
  <c r="G5" i="13" s="1"/>
  <c r="B5" i="13"/>
  <c r="D5" i="13" s="1"/>
  <c r="N15" i="3"/>
  <c r="L15" i="3"/>
  <c r="F20" i="3"/>
  <c r="F15" i="3"/>
  <c r="I15" i="3"/>
  <c r="B19" i="3"/>
  <c r="H7" i="5" l="1"/>
  <c r="B11" i="4" l="1"/>
  <c r="D10" i="6"/>
  <c r="C10" i="6"/>
  <c r="E17" i="11"/>
  <c r="E16" i="11"/>
  <c r="C5" i="11"/>
  <c r="D5" i="11"/>
  <c r="B5" i="11"/>
  <c r="C6" i="11"/>
  <c r="D6" i="11"/>
  <c r="B6" i="11"/>
  <c r="B16" i="11"/>
  <c r="B10" i="6" l="1"/>
  <c r="H6" i="11"/>
  <c r="H5" i="11"/>
  <c r="B20" i="8"/>
  <c r="B21" i="8" s="1"/>
  <c r="B19" i="8"/>
  <c r="F4" i="8"/>
  <c r="E14" i="10"/>
  <c r="E16" i="10"/>
  <c r="E13" i="10"/>
  <c r="E17" i="10"/>
  <c r="G6" i="10"/>
  <c r="G7" i="10"/>
  <c r="E7" i="10"/>
  <c r="E6" i="10"/>
  <c r="E5" i="10"/>
  <c r="G5" i="10"/>
  <c r="G17" i="10" l="1"/>
  <c r="G14" i="10"/>
  <c r="C12" i="6"/>
  <c r="D12" i="6"/>
  <c r="B3" i="9"/>
  <c r="B7" i="9" s="1"/>
  <c r="B7" i="8"/>
  <c r="B3" i="8"/>
  <c r="H10" i="7"/>
  <c r="D10" i="7"/>
  <c r="C10" i="7"/>
  <c r="B9" i="8" l="1"/>
  <c r="J15" i="10"/>
  <c r="B12" i="6"/>
  <c r="E11" i="7"/>
  <c r="F11" i="7" s="1"/>
  <c r="D11" i="7"/>
  <c r="C11" i="7"/>
  <c r="E10" i="7"/>
  <c r="F10" i="7" s="1"/>
  <c r="G10" i="7" s="1"/>
  <c r="D11" i="6"/>
  <c r="C11" i="6"/>
  <c r="D9" i="6"/>
  <c r="C9" i="6"/>
  <c r="H19" i="5"/>
  <c r="F16" i="5"/>
  <c r="C19" i="5"/>
  <c r="D19" i="5" s="1"/>
  <c r="E19" i="5" s="1"/>
  <c r="B19" i="5"/>
  <c r="C16" i="5"/>
  <c r="B16" i="5"/>
  <c r="B13" i="5"/>
  <c r="C13" i="5" s="1"/>
  <c r="D13" i="5" s="1"/>
  <c r="F13" i="5" s="1"/>
  <c r="B10" i="5"/>
  <c r="C10" i="5" s="1"/>
  <c r="B10" i="4"/>
  <c r="C7" i="4"/>
  <c r="D7" i="4" s="1"/>
  <c r="B7" i="4"/>
  <c r="B9" i="3"/>
  <c r="B16" i="2"/>
  <c r="B17" i="2"/>
  <c r="C13" i="2"/>
  <c r="B13" i="2"/>
  <c r="B10" i="2"/>
  <c r="C10" i="2" s="1"/>
  <c r="D10" i="2" s="1"/>
  <c r="E10" i="2" s="1"/>
  <c r="G10" i="2" s="1"/>
  <c r="J10" i="2" s="1"/>
  <c r="B7" i="2"/>
  <c r="D7" i="2" s="1"/>
  <c r="B16" i="1"/>
  <c r="C16" i="1" s="1"/>
  <c r="D16" i="1" s="1"/>
  <c r="C13" i="1"/>
  <c r="B13" i="1"/>
  <c r="B10" i="1"/>
  <c r="C10" i="1" s="1"/>
  <c r="D10" i="1" s="1"/>
  <c r="F10" i="1" s="1"/>
  <c r="B7" i="1"/>
  <c r="C7" i="1" s="1"/>
  <c r="D7" i="1" s="1"/>
  <c r="C16" i="2" l="1"/>
  <c r="D16" i="2" s="1"/>
  <c r="G16" i="2"/>
  <c r="D13" i="2"/>
  <c r="D13" i="1"/>
  <c r="B11" i="6"/>
  <c r="B10" i="7"/>
  <c r="G11" i="7"/>
  <c r="H11" i="7" s="1"/>
  <c r="B9" i="6"/>
  <c r="D16" i="5"/>
  <c r="H16" i="5" s="1"/>
  <c r="F19" i="5"/>
  <c r="I19" i="5" s="1"/>
  <c r="E7" i="4"/>
  <c r="B11" i="7" l="1"/>
</calcChain>
</file>

<file path=xl/sharedStrings.xml><?xml version="1.0" encoding="utf-8"?>
<sst xmlns="http://schemas.openxmlformats.org/spreadsheetml/2006/main" count="195" uniqueCount="126">
  <si>
    <t>PV</t>
  </si>
  <si>
    <t>FV</t>
  </si>
  <si>
    <t>n</t>
  </si>
  <si>
    <t>r</t>
  </si>
  <si>
    <t>PV=</t>
  </si>
  <si>
    <t>r =</t>
  </si>
  <si>
    <t>n=</t>
  </si>
  <si>
    <t>FV=</t>
  </si>
  <si>
    <t>p</t>
  </si>
  <si>
    <t>CFV=</t>
  </si>
  <si>
    <t>CPV=</t>
  </si>
  <si>
    <t>PMT</t>
  </si>
  <si>
    <t>Annuity</t>
  </si>
  <si>
    <t>Perpetuity</t>
  </si>
  <si>
    <t>g</t>
  </si>
  <si>
    <t>Zero Coupon PV =</t>
  </si>
  <si>
    <t xml:space="preserve">FV = </t>
  </si>
  <si>
    <t xml:space="preserve">r = </t>
  </si>
  <si>
    <t xml:space="preserve">n = </t>
  </si>
  <si>
    <t xml:space="preserve">c = </t>
  </si>
  <si>
    <t>Zero Coupon Rate =</t>
  </si>
  <si>
    <t>PV =</t>
  </si>
  <si>
    <t xml:space="preserve">Coupon PV Annual = </t>
  </si>
  <si>
    <t xml:space="preserve">Coupon PV sub annual = </t>
  </si>
  <si>
    <t xml:space="preserve">p = </t>
  </si>
  <si>
    <t xml:space="preserve">Status Quo Annual Cost = </t>
  </si>
  <si>
    <t xml:space="preserve">Discount Rate = </t>
  </si>
  <si>
    <t>Year</t>
  </si>
  <si>
    <t>Status Quo</t>
  </si>
  <si>
    <t>NPV</t>
  </si>
  <si>
    <t xml:space="preserve">Investment 1 = </t>
  </si>
  <si>
    <t xml:space="preserve">Annual Cost 1 = </t>
  </si>
  <si>
    <t xml:space="preserve">Investment 2 = </t>
  </si>
  <si>
    <t xml:space="preserve">Annual Cost 2 = </t>
  </si>
  <si>
    <t>Option 1 Cash Flows</t>
  </si>
  <si>
    <t>Option 2 Cash Flows</t>
  </si>
  <si>
    <t xml:space="preserve">Growth Rate 1 = </t>
  </si>
  <si>
    <t xml:space="preserve">Growth Rate 2 = </t>
  </si>
  <si>
    <t xml:space="preserve">Annual Income 1 = </t>
  </si>
  <si>
    <t xml:space="preserve">Annual Income 2 = </t>
  </si>
  <si>
    <t>Currency One</t>
  </si>
  <si>
    <t>Currency Two</t>
  </si>
  <si>
    <t>Sum</t>
  </si>
  <si>
    <t>Price</t>
  </si>
  <si>
    <t>Shares</t>
  </si>
  <si>
    <t>Bonus</t>
  </si>
  <si>
    <t>Difference</t>
  </si>
  <si>
    <t>Exchange Rate One</t>
  </si>
  <si>
    <t>Exchange Rate Two</t>
  </si>
  <si>
    <t>Value</t>
  </si>
  <si>
    <t xml:space="preserve">Annual Cost 3 = </t>
  </si>
  <si>
    <t xml:space="preserve">Investment 3 = </t>
  </si>
  <si>
    <t>Option 3 Cash Flows</t>
  </si>
  <si>
    <t>Cash Flow Today</t>
  </si>
  <si>
    <t>Cash Flow in One Year</t>
  </si>
  <si>
    <t>C</t>
  </si>
  <si>
    <t xml:space="preserve">Rate = </t>
  </si>
  <si>
    <t xml:space="preserve">Year = </t>
  </si>
  <si>
    <t>Cost</t>
  </si>
  <si>
    <t xml:space="preserve">Cost = </t>
  </si>
  <si>
    <t xml:space="preserve">Investment = </t>
  </si>
  <si>
    <t xml:space="preserve">Interest Rate = </t>
  </si>
  <si>
    <t xml:space="preserve">Exchange Rate =  </t>
  </si>
  <si>
    <t xml:space="preserve">Foreign Money = </t>
  </si>
  <si>
    <t xml:space="preserve">Difference = </t>
  </si>
  <si>
    <t xml:space="preserve">NPV = </t>
  </si>
  <si>
    <t xml:space="preserve">Foreign Rate = </t>
  </si>
  <si>
    <t xml:space="preserve">Benefit = </t>
  </si>
  <si>
    <t>NVP</t>
  </si>
  <si>
    <t xml:space="preserve">Project </t>
  </si>
  <si>
    <t xml:space="preserve">A </t>
  </si>
  <si>
    <t xml:space="preserve">B </t>
  </si>
  <si>
    <t xml:space="preserve">Items To Purchase = </t>
  </si>
  <si>
    <t xml:space="preserve">Cost Per Item 2 = </t>
  </si>
  <si>
    <t>Cost Per Item 1 =</t>
  </si>
  <si>
    <t xml:space="preserve">Item Cost = </t>
  </si>
  <si>
    <t xml:space="preserve">Investment PV = </t>
  </si>
  <si>
    <t xml:space="preserve">Item Cost PV = </t>
  </si>
  <si>
    <t>US Cost</t>
  </si>
  <si>
    <t>Foreign Cost</t>
  </si>
  <si>
    <t>Exchange Rate</t>
  </si>
  <si>
    <t>Investment</t>
  </si>
  <si>
    <t>rate</t>
  </si>
  <si>
    <t>Future Value</t>
  </si>
  <si>
    <t>Years</t>
  </si>
  <si>
    <t>Rate</t>
  </si>
  <si>
    <t>Pay at Start</t>
  </si>
  <si>
    <t>Payment</t>
  </si>
  <si>
    <t>End Of Year</t>
  </si>
  <si>
    <t>FV Sum</t>
  </si>
  <si>
    <t>PV Sum</t>
  </si>
  <si>
    <t>at Start</t>
  </si>
  <si>
    <t xml:space="preserve">PV = </t>
  </si>
  <si>
    <t>Perp grow</t>
  </si>
  <si>
    <t>Periods</t>
  </si>
  <si>
    <t>EAR</t>
  </si>
  <si>
    <t>Face Value</t>
  </si>
  <si>
    <t>Selling Price</t>
  </si>
  <si>
    <t>(FV)</t>
  </si>
  <si>
    <t>(PV)</t>
  </si>
  <si>
    <t>coupon rate</t>
  </si>
  <si>
    <t>payment in interest every p</t>
  </si>
  <si>
    <t xml:space="preserve">YTM = </t>
  </si>
  <si>
    <t>par Value</t>
  </si>
  <si>
    <t>selling Price</t>
  </si>
  <si>
    <t>as %</t>
  </si>
  <si>
    <t>period discout rate</t>
  </si>
  <si>
    <t>APR %</t>
  </si>
  <si>
    <t>period discount rate</t>
  </si>
  <si>
    <t>APR</t>
  </si>
  <si>
    <t>Annuity PV</t>
  </si>
  <si>
    <t>apr</t>
  </si>
  <si>
    <t>Interest Per Period</t>
  </si>
  <si>
    <t>amt owed</t>
  </si>
  <si>
    <t>periods</t>
  </si>
  <si>
    <t>Infaltion</t>
  </si>
  <si>
    <t>real rate</t>
  </si>
  <si>
    <t>nominal</t>
  </si>
  <si>
    <t>or</t>
  </si>
  <si>
    <t>tax</t>
  </si>
  <si>
    <t>period</t>
  </si>
  <si>
    <t>result</t>
  </si>
  <si>
    <t>end payout</t>
  </si>
  <si>
    <t>payouts per year</t>
  </si>
  <si>
    <t>coupon payments</t>
  </si>
  <si>
    <t xml:space="preserve">ytm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</si>
</sst>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000"/>
    <numFmt numFmtId="166" formatCode="#,##0.0000_);[Red]\(#,##0.0000\)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8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0" xfId="0" applyNumberFormat="1"/>
    <xf numFmtId="6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/>
    <xf numFmtId="8" fontId="0" fillId="2" borderId="0" xfId="0" applyNumberFormat="1" applyFill="1"/>
    <xf numFmtId="4" fontId="0" fillId="2" borderId="0" xfId="0" applyNumberFormat="1" applyFill="1"/>
    <xf numFmtId="4" fontId="0" fillId="0" borderId="0" xfId="0" applyNumberFormat="1"/>
    <xf numFmtId="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40" fontId="0" fillId="2" borderId="0" xfId="0" applyNumberFormat="1" applyFill="1"/>
    <xf numFmtId="40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  <col min="4" max="4" width="13.7109375" customWidth="1"/>
  </cols>
  <sheetData>
    <row r="1" spans="1:11" x14ac:dyDescent="0.25">
      <c r="A1" t="s">
        <v>0</v>
      </c>
      <c r="B1" s="19">
        <v>32500</v>
      </c>
    </row>
    <row r="2" spans="1:11" x14ac:dyDescent="0.25">
      <c r="A2" t="s">
        <v>1</v>
      </c>
    </row>
    <row r="3" spans="1:11" x14ac:dyDescent="0.25">
      <c r="A3" t="s">
        <v>3</v>
      </c>
      <c r="B3" s="19">
        <v>0.06</v>
      </c>
    </row>
    <row r="4" spans="1:11" x14ac:dyDescent="0.25">
      <c r="A4" t="s">
        <v>2</v>
      </c>
      <c r="B4" s="22">
        <v>39</v>
      </c>
    </row>
    <row r="5" spans="1:11" x14ac:dyDescent="0.25">
      <c r="B5" s="22"/>
    </row>
    <row r="7" spans="1:11" x14ac:dyDescent="0.25">
      <c r="A7" t="s">
        <v>4</v>
      </c>
      <c r="B7" t="e">
        <f>1 +#REF!</f>
        <v>#REF!</v>
      </c>
      <c r="C7" t="e">
        <f>POWER(B7,  B4)</f>
        <v>#REF!</v>
      </c>
      <c r="D7" s="18" t="e">
        <f>B3/C7</f>
        <v>#REF!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t="s">
        <v>5</v>
      </c>
      <c r="B10">
        <f>B3/B1</f>
        <v>1.846153846153846E-6</v>
      </c>
      <c r="C10">
        <f>POWER(B10, 1/B4)</f>
        <v>0.71282221823304182</v>
      </c>
      <c r="D10" s="1">
        <f>C10-1</f>
        <v>-0.28717778176695818</v>
      </c>
      <c r="F10" s="23">
        <f>D10*100</f>
        <v>-28.71777817669582</v>
      </c>
      <c r="G10" t="s">
        <v>105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t="s">
        <v>6</v>
      </c>
      <c r="B13">
        <f>LOG(B3/B1)</f>
        <v>-5.7337321105952306</v>
      </c>
      <c r="C13" t="e">
        <f>LOG(1 +#REF!)</f>
        <v>#REF!</v>
      </c>
      <c r="D13" s="1" t="e">
        <f>B13/C13</f>
        <v>#REF!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7</v>
      </c>
      <c r="B16" t="e">
        <f>1+#REF!</f>
        <v>#REF!</v>
      </c>
      <c r="C16" t="e">
        <f>POWER(B16,B4)</f>
        <v>#REF!</v>
      </c>
      <c r="D16" s="1" t="e">
        <f>B1*C16</f>
        <v>#REF!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1" sqref="B21"/>
    </sheetView>
  </sheetViews>
  <sheetFormatPr defaultRowHeight="15" x14ac:dyDescent="0.25"/>
  <cols>
    <col min="1" max="1" width="18.140625" bestFit="1" customWidth="1"/>
    <col min="2" max="2" width="15.5703125" style="6" bestFit="1" customWidth="1"/>
    <col min="5" max="5" width="13.85546875" bestFit="1" customWidth="1"/>
  </cols>
  <sheetData>
    <row r="1" spans="1:6" x14ac:dyDescent="0.25">
      <c r="A1" t="s">
        <v>40</v>
      </c>
      <c r="B1" s="6">
        <v>1200000</v>
      </c>
      <c r="E1" s="4" t="s">
        <v>78</v>
      </c>
      <c r="F1">
        <v>7.45</v>
      </c>
    </row>
    <row r="2" spans="1:6" x14ac:dyDescent="0.25">
      <c r="A2" t="s">
        <v>47</v>
      </c>
      <c r="B2" s="8">
        <v>27.18</v>
      </c>
      <c r="E2" s="4" t="s">
        <v>79</v>
      </c>
      <c r="F2">
        <v>5.05</v>
      </c>
    </row>
    <row r="3" spans="1:6" x14ac:dyDescent="0.25">
      <c r="A3" t="s">
        <v>49</v>
      </c>
      <c r="B3" s="7">
        <f>B1/B2</f>
        <v>44150.110375275937</v>
      </c>
      <c r="E3" s="4"/>
    </row>
    <row r="4" spans="1:6" x14ac:dyDescent="0.25">
      <c r="E4" s="4" t="s">
        <v>80</v>
      </c>
      <c r="F4" s="1">
        <f>F1/F2</f>
        <v>1.4752475247524752</v>
      </c>
    </row>
    <row r="5" spans="1:6" x14ac:dyDescent="0.25">
      <c r="A5" t="s">
        <v>41</v>
      </c>
      <c r="B5" s="6">
        <v>3200000</v>
      </c>
    </row>
    <row r="6" spans="1:6" x14ac:dyDescent="0.25">
      <c r="A6" t="s">
        <v>48</v>
      </c>
      <c r="B6" s="8">
        <v>37.81</v>
      </c>
    </row>
    <row r="7" spans="1:6" x14ac:dyDescent="0.25">
      <c r="A7" t="s">
        <v>49</v>
      </c>
      <c r="B7" s="7">
        <f>B5/B6</f>
        <v>84633.694789738161</v>
      </c>
    </row>
    <row r="9" spans="1:6" x14ac:dyDescent="0.25">
      <c r="A9" t="s">
        <v>29</v>
      </c>
      <c r="B9" s="6">
        <f>B3-B7</f>
        <v>-40483.584414462224</v>
      </c>
    </row>
    <row r="13" spans="1:6" x14ac:dyDescent="0.25">
      <c r="A13" s="4" t="s">
        <v>17</v>
      </c>
      <c r="B13" s="8">
        <v>3.9E-2</v>
      </c>
      <c r="D13" s="12"/>
    </row>
    <row r="14" spans="1:6" x14ac:dyDescent="0.25">
      <c r="A14" s="4" t="s">
        <v>60</v>
      </c>
      <c r="B14" s="6">
        <v>1050000</v>
      </c>
    </row>
    <row r="15" spans="1:6" x14ac:dyDescent="0.25">
      <c r="A15" s="4" t="s">
        <v>62</v>
      </c>
      <c r="B15" s="8">
        <v>110</v>
      </c>
    </row>
    <row r="16" spans="1:6" x14ac:dyDescent="0.25">
      <c r="A16" s="4" t="s">
        <v>63</v>
      </c>
      <c r="B16" s="12">
        <v>120000000</v>
      </c>
    </row>
    <row r="17" spans="1:2" x14ac:dyDescent="0.25">
      <c r="A17" s="4" t="s">
        <v>66</v>
      </c>
      <c r="B17" s="8">
        <v>1.6E-2</v>
      </c>
    </row>
    <row r="19" spans="1:2" x14ac:dyDescent="0.25">
      <c r="A19" s="4" t="s">
        <v>59</v>
      </c>
      <c r="B19" s="6">
        <f>B14</f>
        <v>1050000</v>
      </c>
    </row>
    <row r="20" spans="1:2" x14ac:dyDescent="0.25">
      <c r="A20" s="4" t="s">
        <v>67</v>
      </c>
      <c r="B20" s="6">
        <f>-1* PV(B17, 1,  B16) / B15</f>
        <v>1073729.420186114</v>
      </c>
    </row>
    <row r="21" spans="1:2" x14ac:dyDescent="0.25">
      <c r="A21" s="4" t="s">
        <v>65</v>
      </c>
      <c r="B21" s="6">
        <f>B20-B19</f>
        <v>23729.420186114032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43</v>
      </c>
      <c r="B1">
        <v>56</v>
      </c>
    </row>
    <row r="2" spans="1:2" x14ac:dyDescent="0.25">
      <c r="A2" t="s">
        <v>44</v>
      </c>
      <c r="B2">
        <v>200</v>
      </c>
    </row>
    <row r="3" spans="1:2" x14ac:dyDescent="0.25">
      <c r="A3" t="s">
        <v>42</v>
      </c>
      <c r="B3" s="1">
        <f>B1*B2</f>
        <v>11200</v>
      </c>
    </row>
    <row r="5" spans="1:2" x14ac:dyDescent="0.25">
      <c r="A5" t="s">
        <v>45</v>
      </c>
      <c r="B5">
        <v>6000</v>
      </c>
    </row>
    <row r="7" spans="1:2" x14ac:dyDescent="0.25">
      <c r="A7" t="s">
        <v>46</v>
      </c>
      <c r="B7">
        <f>B3-B5</f>
        <v>5200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5" sqref="D5"/>
    </sheetView>
  </sheetViews>
  <sheetFormatPr defaultRowHeight="15" x14ac:dyDescent="0.25"/>
  <sheetData>
    <row r="1" spans="1:10" x14ac:dyDescent="0.25">
      <c r="A1" t="s">
        <v>111</v>
      </c>
      <c r="B1">
        <v>0.06</v>
      </c>
      <c r="F1" t="s">
        <v>95</v>
      </c>
      <c r="G1">
        <v>5.6250000000000001E-2</v>
      </c>
      <c r="I1" t="s">
        <v>111</v>
      </c>
      <c r="J1" s="11">
        <v>5.8749999999999997E-2</v>
      </c>
    </row>
    <row r="2" spans="1:10" x14ac:dyDescent="0.25">
      <c r="A2" t="s">
        <v>119</v>
      </c>
      <c r="B2">
        <v>0.15</v>
      </c>
      <c r="F2" t="s">
        <v>94</v>
      </c>
      <c r="G2">
        <v>12</v>
      </c>
      <c r="I2" t="s">
        <v>94</v>
      </c>
      <c r="J2">
        <v>12</v>
      </c>
    </row>
    <row r="3" spans="1:10" x14ac:dyDescent="0.25">
      <c r="A3" t="s">
        <v>120</v>
      </c>
      <c r="B3">
        <v>12</v>
      </c>
    </row>
    <row r="4" spans="1:10" x14ac:dyDescent="0.25">
      <c r="F4" t="s">
        <v>109</v>
      </c>
      <c r="G4" s="1">
        <f>G2*(POWER((1+G1), 1/G2)-1)</f>
        <v>5.484987353786952E-2</v>
      </c>
      <c r="I4" t="s">
        <v>95</v>
      </c>
      <c r="J4" s="1">
        <f>POWER((1 + J1/J2), J2)-1</f>
        <v>6.0358069583231977E-2</v>
      </c>
    </row>
    <row r="5" spans="1:10" x14ac:dyDescent="0.25">
      <c r="A5" t="s">
        <v>121</v>
      </c>
      <c r="B5" s="1">
        <f>(POWER(1+(B1/B3),B3)-1)*(1-B2)</f>
        <v>5.2426140084822971E-2</v>
      </c>
      <c r="C5" s="11" t="s">
        <v>118</v>
      </c>
      <c r="D5">
        <f>B5*100</f>
        <v>5.2426140084822972</v>
      </c>
      <c r="F5" t="s">
        <v>118</v>
      </c>
      <c r="G5">
        <f>G4*100</f>
        <v>5.484987353786952</v>
      </c>
      <c r="I5" t="s">
        <v>118</v>
      </c>
      <c r="J5">
        <f>J4*100</f>
        <v>6.0358069583231977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5" sqref="B5"/>
    </sheetView>
  </sheetViews>
  <sheetFormatPr defaultRowHeight="15" x14ac:dyDescent="0.25"/>
  <sheetData>
    <row r="1" spans="1:11" x14ac:dyDescent="0.25">
      <c r="A1" t="s">
        <v>0</v>
      </c>
      <c r="B1">
        <v>32500</v>
      </c>
    </row>
    <row r="2" spans="1:11" x14ac:dyDescent="0.25">
      <c r="A2" t="s">
        <v>1</v>
      </c>
      <c r="B2" s="19"/>
    </row>
    <row r="3" spans="1:11" x14ac:dyDescent="0.25">
      <c r="A3" t="s">
        <v>111</v>
      </c>
      <c r="B3">
        <v>0.06</v>
      </c>
    </row>
    <row r="4" spans="1:11" x14ac:dyDescent="0.25">
      <c r="A4" t="s">
        <v>2</v>
      </c>
      <c r="B4">
        <f>39/12</f>
        <v>3.25</v>
      </c>
    </row>
    <row r="5" spans="1:11" x14ac:dyDescent="0.25">
      <c r="A5" t="s">
        <v>8</v>
      </c>
      <c r="B5">
        <v>12</v>
      </c>
    </row>
    <row r="7" spans="1:11" x14ac:dyDescent="0.25">
      <c r="A7" t="s">
        <v>10</v>
      </c>
      <c r="B7">
        <f>EXP(B3*B4)</f>
        <v>1.2153109864897307</v>
      </c>
      <c r="D7" s="1">
        <f>B2/B7</f>
        <v>0</v>
      </c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t="s">
        <v>5</v>
      </c>
      <c r="B10">
        <f>B2/B1</f>
        <v>0</v>
      </c>
      <c r="C10">
        <f>POWER(B10, 1/(B4*B5))</f>
        <v>0</v>
      </c>
      <c r="D10" s="3">
        <f>C10-1</f>
        <v>-1</v>
      </c>
      <c r="E10" s="1">
        <f>B5*D10</f>
        <v>-12</v>
      </c>
      <c r="G10">
        <f>E10*100</f>
        <v>-1200</v>
      </c>
      <c r="H10" t="s">
        <v>107</v>
      </c>
      <c r="J10">
        <f>G10/B5</f>
        <v>-100</v>
      </c>
      <c r="K10" t="s">
        <v>108</v>
      </c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t="s">
        <v>6</v>
      </c>
      <c r="B13" t="e">
        <f>LOG(B2/B1)</f>
        <v>#NUM!</v>
      </c>
      <c r="C13">
        <f>LOG(1+(B3/B5))</f>
        <v>2.1660617565076304E-3</v>
      </c>
      <c r="D13" s="1" t="e">
        <f>B13/C13</f>
        <v>#NUM!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t="s">
        <v>7</v>
      </c>
      <c r="B16">
        <f>1+(B3/B5)</f>
        <v>1.0049999999999999</v>
      </c>
      <c r="C16">
        <f>POWER(B16, B4*B5)</f>
        <v>1.2147206333201908</v>
      </c>
      <c r="D16">
        <f>B1*C16</f>
        <v>39478.420582906198</v>
      </c>
      <c r="G16">
        <f>(B16-1) * 100</f>
        <v>0.49999999999998934</v>
      </c>
      <c r="H16" t="s">
        <v>106</v>
      </c>
    </row>
    <row r="17" spans="1:2" x14ac:dyDescent="0.25">
      <c r="A17" t="s">
        <v>9</v>
      </c>
      <c r="B17">
        <f>B1*EXP(B3*B4)</f>
        <v>39497.607060916249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3" sqref="B13"/>
    </sheetView>
  </sheetViews>
  <sheetFormatPr defaultRowHeight="15" x14ac:dyDescent="0.25"/>
  <cols>
    <col min="1" max="1" width="13.5703125" style="4" bestFit="1" customWidth="1"/>
    <col min="2" max="2" width="10.7109375" customWidth="1"/>
    <col min="5" max="5" width="14.28515625" bestFit="1" customWidth="1"/>
  </cols>
  <sheetData>
    <row r="1" spans="1:8" x14ac:dyDescent="0.25">
      <c r="A1" s="4" t="s">
        <v>84</v>
      </c>
      <c r="B1" s="11">
        <v>2</v>
      </c>
      <c r="C1" s="11">
        <v>1</v>
      </c>
      <c r="D1" s="11">
        <v>0</v>
      </c>
      <c r="E1" s="11">
        <v>0</v>
      </c>
    </row>
    <row r="2" spans="1:8" x14ac:dyDescent="0.25">
      <c r="A2" s="4" t="s">
        <v>81</v>
      </c>
      <c r="B2" s="15">
        <v>1000</v>
      </c>
      <c r="C2" s="15">
        <v>2000</v>
      </c>
      <c r="D2" s="15">
        <v>4500</v>
      </c>
      <c r="E2" s="15"/>
      <c r="F2" s="11"/>
    </row>
    <row r="3" spans="1:8" x14ac:dyDescent="0.25">
      <c r="A3" s="4" t="s">
        <v>82</v>
      </c>
      <c r="B3" s="11">
        <v>0.06</v>
      </c>
      <c r="C3" s="11">
        <v>0.06</v>
      </c>
      <c r="D3" s="11">
        <v>0.06</v>
      </c>
      <c r="E3" s="11"/>
      <c r="F3" s="11"/>
    </row>
    <row r="4" spans="1:8" x14ac:dyDescent="0.25">
      <c r="B4" s="11"/>
      <c r="C4" s="11"/>
      <c r="D4" s="11"/>
      <c r="E4" s="11"/>
      <c r="F4" s="11"/>
    </row>
    <row r="5" spans="1:8" x14ac:dyDescent="0.25">
      <c r="A5" s="4" t="s">
        <v>83</v>
      </c>
      <c r="B5" s="15">
        <f>-1*FV(B3,B1,,B2,0)</f>
        <v>1123.6000000000001</v>
      </c>
      <c r="C5" s="15">
        <f t="shared" ref="C5:D5" si="0">-1*FV(C3,C1,,C2,0)</f>
        <v>2120</v>
      </c>
      <c r="D5" s="15">
        <f t="shared" si="0"/>
        <v>4500</v>
      </c>
      <c r="E5" s="15"/>
      <c r="G5" s="4" t="s">
        <v>89</v>
      </c>
      <c r="H5" s="16">
        <f>SUM(B5:E5)</f>
        <v>7743.6</v>
      </c>
    </row>
    <row r="6" spans="1:8" x14ac:dyDescent="0.25">
      <c r="A6" s="4" t="s">
        <v>0</v>
      </c>
      <c r="B6" s="15">
        <f>-1*PV(B3,B1,,B2,0)</f>
        <v>889.99644001423985</v>
      </c>
      <c r="C6" s="15">
        <f t="shared" ref="C6:D6" si="1">-1*PV(C3,C1,,C2,0)</f>
        <v>1886.7924528301885</v>
      </c>
      <c r="D6" s="15">
        <f t="shared" si="1"/>
        <v>4500</v>
      </c>
      <c r="G6" s="4" t="s">
        <v>90</v>
      </c>
      <c r="H6" s="16">
        <f>SUM(B6:E6)</f>
        <v>7276.7888928444281</v>
      </c>
    </row>
    <row r="7" spans="1:8" x14ac:dyDescent="0.25">
      <c r="C7" s="12"/>
      <c r="D7" s="12"/>
    </row>
    <row r="10" spans="1:8" x14ac:dyDescent="0.25">
      <c r="B10" s="4"/>
    </row>
    <row r="11" spans="1:8" x14ac:dyDescent="0.25">
      <c r="A11" s="4" t="s">
        <v>81</v>
      </c>
      <c r="B11" s="19">
        <v>15000</v>
      </c>
      <c r="D11" s="4" t="s">
        <v>87</v>
      </c>
      <c r="E11" s="20">
        <v>6500</v>
      </c>
    </row>
    <row r="12" spans="1:8" x14ac:dyDescent="0.25">
      <c r="A12" s="4" t="s">
        <v>85</v>
      </c>
      <c r="B12">
        <v>0.1222</v>
      </c>
      <c r="D12" s="4" t="s">
        <v>85</v>
      </c>
      <c r="E12" s="4">
        <v>0.05</v>
      </c>
    </row>
    <row r="13" spans="1:8" x14ac:dyDescent="0.25">
      <c r="A13" s="4" t="s">
        <v>86</v>
      </c>
      <c r="B13">
        <v>1</v>
      </c>
      <c r="D13" s="4" t="s">
        <v>91</v>
      </c>
      <c r="E13" s="4">
        <v>0</v>
      </c>
    </row>
    <row r="14" spans="1:8" x14ac:dyDescent="0.25">
      <c r="A14" s="4" t="s">
        <v>84</v>
      </c>
      <c r="B14">
        <v>2.5</v>
      </c>
      <c r="D14" s="4" t="s">
        <v>84</v>
      </c>
      <c r="E14" s="4">
        <v>32</v>
      </c>
    </row>
    <row r="15" spans="1:8" x14ac:dyDescent="0.25">
      <c r="D15" s="4"/>
      <c r="E15" s="4"/>
    </row>
    <row r="16" spans="1:8" x14ac:dyDescent="0.25">
      <c r="A16" s="4" t="s">
        <v>16</v>
      </c>
      <c r="B16" s="17">
        <f>-1*FV(B12,B14,B11,,B13)</f>
        <v>46016.754532937142</v>
      </c>
      <c r="D16" s="4" t="s">
        <v>16</v>
      </c>
      <c r="E16" s="21">
        <f>-1*FV(E12,E14,E11,,E13)</f>
        <v>489442.39091846888</v>
      </c>
    </row>
    <row r="17" spans="1:5" x14ac:dyDescent="0.25">
      <c r="A17" s="4" t="s">
        <v>92</v>
      </c>
      <c r="D17" s="4" t="s">
        <v>92</v>
      </c>
      <c r="E17" s="5">
        <f>-1*PV(E12,E14,E11, , E13)</f>
        <v>102717.39834443397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  <col min="2" max="2" width="12.5703125" bestFit="1" customWidth="1"/>
    <col min="5" max="5" width="18" bestFit="1" customWidth="1"/>
  </cols>
  <sheetData>
    <row r="1" spans="1:14" x14ac:dyDescent="0.25">
      <c r="A1" t="s">
        <v>11</v>
      </c>
      <c r="B1" s="19">
        <v>1050</v>
      </c>
    </row>
    <row r="2" spans="1:14" x14ac:dyDescent="0.25">
      <c r="A2" t="s">
        <v>3</v>
      </c>
      <c r="B2">
        <v>0.18</v>
      </c>
    </row>
    <row r="3" spans="1:14" x14ac:dyDescent="0.25">
      <c r="A3" t="s">
        <v>2</v>
      </c>
      <c r="B3">
        <f>39/12</f>
        <v>3.25</v>
      </c>
    </row>
    <row r="4" spans="1:14" x14ac:dyDescent="0.25">
      <c r="A4" t="s">
        <v>8</v>
      </c>
      <c r="B4">
        <v>12</v>
      </c>
    </row>
    <row r="6" spans="1:14" x14ac:dyDescent="0.25">
      <c r="A6" t="s">
        <v>110</v>
      </c>
      <c r="B6" s="25">
        <f>-1*PV(B2/B4,B3*B4,B1,,)</f>
        <v>30832.812026348834</v>
      </c>
      <c r="E6" s="18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4" x14ac:dyDescent="0.25">
      <c r="A9" t="s">
        <v>13</v>
      </c>
      <c r="B9" s="1">
        <f>B1/B2</f>
        <v>5833.3333333333339</v>
      </c>
    </row>
    <row r="10" spans="1:14" x14ac:dyDescent="0.25">
      <c r="B10" s="1"/>
    </row>
    <row r="12" spans="1:14" x14ac:dyDescent="0.25">
      <c r="A12" s="4" t="s">
        <v>0</v>
      </c>
      <c r="B12" s="19">
        <v>30000</v>
      </c>
      <c r="E12" t="s">
        <v>111</v>
      </c>
      <c r="F12" s="11">
        <v>0.16</v>
      </c>
      <c r="H12" t="s">
        <v>95</v>
      </c>
      <c r="I12">
        <v>5.6250000000000001E-2</v>
      </c>
      <c r="K12" t="s">
        <v>117</v>
      </c>
      <c r="L12">
        <v>4.9000000000000002E-2</v>
      </c>
    </row>
    <row r="13" spans="1:14" x14ac:dyDescent="0.25">
      <c r="A13" s="4" t="s">
        <v>1</v>
      </c>
      <c r="B13" s="15"/>
      <c r="E13" t="s">
        <v>94</v>
      </c>
      <c r="F13">
        <v>12</v>
      </c>
      <c r="H13" t="s">
        <v>94</v>
      </c>
      <c r="I13">
        <v>12</v>
      </c>
      <c r="K13" t="s">
        <v>115</v>
      </c>
      <c r="L13">
        <v>2.9000000000000001E-2</v>
      </c>
    </row>
    <row r="14" spans="1:14" x14ac:dyDescent="0.25">
      <c r="A14" s="4" t="s">
        <v>84</v>
      </c>
      <c r="B14" s="11">
        <v>1</v>
      </c>
    </row>
    <row r="15" spans="1:14" x14ac:dyDescent="0.25">
      <c r="A15" s="4" t="s">
        <v>109</v>
      </c>
      <c r="B15" s="11">
        <v>0.16</v>
      </c>
      <c r="E15" t="s">
        <v>95</v>
      </c>
      <c r="F15" s="1">
        <f>POWER((1 + F12/F13), F13)-1</f>
        <v>0.17227079825887714</v>
      </c>
      <c r="H15" t="s">
        <v>109</v>
      </c>
      <c r="I15">
        <f>I13*(POWER((1+I12), 1/I13)-1)</f>
        <v>5.484987353786952E-2</v>
      </c>
      <c r="K15" t="s">
        <v>116</v>
      </c>
      <c r="L15">
        <f>(1+L12)*(1+L13)-1</f>
        <v>7.9420999999999742E-2</v>
      </c>
      <c r="M15" s="11" t="s">
        <v>118</v>
      </c>
      <c r="N15">
        <f>L15*100</f>
        <v>7.9420999999999742</v>
      </c>
    </row>
    <row r="16" spans="1:14" x14ac:dyDescent="0.25">
      <c r="A16" s="4" t="s">
        <v>88</v>
      </c>
      <c r="B16" s="11">
        <v>0</v>
      </c>
    </row>
    <row r="17" spans="1:6" x14ac:dyDescent="0.25">
      <c r="A17" s="4" t="s">
        <v>8</v>
      </c>
      <c r="B17" s="11">
        <v>12</v>
      </c>
      <c r="E17" t="s">
        <v>113</v>
      </c>
      <c r="F17" s="19">
        <v>48000</v>
      </c>
    </row>
    <row r="18" spans="1:6" x14ac:dyDescent="0.25">
      <c r="E18" t="s">
        <v>111</v>
      </c>
      <c r="F18">
        <v>0.1</v>
      </c>
    </row>
    <row r="19" spans="1:6" x14ac:dyDescent="0.25">
      <c r="A19" s="4" t="s">
        <v>87</v>
      </c>
      <c r="B19" s="24">
        <f>-1* PMT(B15/B17,B14*B17,B12,B13,B16)</f>
        <v>2721.9257357762394</v>
      </c>
      <c r="E19" t="s">
        <v>114</v>
      </c>
      <c r="F19">
        <v>12</v>
      </c>
    </row>
    <row r="20" spans="1:6" x14ac:dyDescent="0.25">
      <c r="B20" s="5"/>
      <c r="E20" t="s">
        <v>112</v>
      </c>
      <c r="F20" s="1">
        <f>F17*F18/F19</f>
        <v>400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1" sqref="B11"/>
    </sheetView>
  </sheetViews>
  <sheetFormatPr defaultRowHeight="15" x14ac:dyDescent="0.25"/>
  <cols>
    <col min="1" max="1" width="10.42578125" bestFit="1" customWidth="1"/>
    <col min="2" max="2" width="13.5703125" customWidth="1"/>
  </cols>
  <sheetData>
    <row r="1" spans="1:10" x14ac:dyDescent="0.25">
      <c r="A1" t="s">
        <v>11</v>
      </c>
      <c r="B1" s="19">
        <v>20900</v>
      </c>
    </row>
    <row r="2" spans="1:10" x14ac:dyDescent="0.25">
      <c r="A2" t="s">
        <v>3</v>
      </c>
      <c r="B2">
        <v>0.06</v>
      </c>
    </row>
    <row r="3" spans="1:10" x14ac:dyDescent="0.25">
      <c r="A3" t="s">
        <v>2</v>
      </c>
    </row>
    <row r="4" spans="1:10" x14ac:dyDescent="0.25">
      <c r="A4" t="s">
        <v>14</v>
      </c>
    </row>
    <row r="5" spans="1:10" x14ac:dyDescent="0.25">
      <c r="A5" t="s">
        <v>0</v>
      </c>
      <c r="B5">
        <v>497000</v>
      </c>
    </row>
    <row r="7" spans="1:10" x14ac:dyDescent="0.25">
      <c r="A7" t="s">
        <v>12</v>
      </c>
      <c r="B7">
        <f>B1/(B2-B4)</f>
        <v>348333.33333333337</v>
      </c>
      <c r="C7">
        <f>(1 +B4) / (1 +B2)</f>
        <v>0.94339622641509424</v>
      </c>
      <c r="D7">
        <f>POWER(C7,B3)</f>
        <v>1</v>
      </c>
      <c r="E7" s="1">
        <f xml:space="preserve"> B7 * (1 - D7)</f>
        <v>0</v>
      </c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t="s">
        <v>13</v>
      </c>
      <c r="B10" s="18">
        <f>B1/ (B2-B4)</f>
        <v>348333.33333333337</v>
      </c>
    </row>
    <row r="11" spans="1:10" x14ac:dyDescent="0.25">
      <c r="A11" t="s">
        <v>93</v>
      </c>
      <c r="B11">
        <f>-1 * (B1/B5) + B2</f>
        <v>1.7947686116700196E-2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I19" sqref="I19"/>
    </sheetView>
  </sheetViews>
  <sheetFormatPr defaultRowHeight="15" x14ac:dyDescent="0.25"/>
  <cols>
    <col min="1" max="1" width="23" bestFit="1" customWidth="1"/>
    <col min="2" max="2" width="10.140625" bestFit="1" customWidth="1"/>
    <col min="7" max="7" width="16.5703125" customWidth="1"/>
    <col min="8" max="8" width="9.85546875" customWidth="1"/>
    <col min="12" max="12" width="11.5703125" bestFit="1" customWidth="1"/>
    <col min="13" max="13" width="15.85546875" bestFit="1" customWidth="1"/>
    <col min="14" max="14" width="11.140625" customWidth="1"/>
  </cols>
  <sheetData>
    <row r="1" spans="1:16" x14ac:dyDescent="0.25">
      <c r="A1" s="4" t="s">
        <v>16</v>
      </c>
      <c r="B1" s="19">
        <v>1000</v>
      </c>
      <c r="F1" s="4" t="s">
        <v>98</v>
      </c>
      <c r="G1" s="4" t="s">
        <v>96</v>
      </c>
      <c r="H1">
        <v>100</v>
      </c>
      <c r="J1" s="4"/>
      <c r="L1" s="4" t="s">
        <v>98</v>
      </c>
      <c r="M1" s="4" t="s">
        <v>103</v>
      </c>
      <c r="N1">
        <v>1000</v>
      </c>
    </row>
    <row r="2" spans="1:16" x14ac:dyDescent="0.25">
      <c r="A2" s="4" t="s">
        <v>125</v>
      </c>
      <c r="B2">
        <v>6.7400000000000002E-2</v>
      </c>
      <c r="F2" s="4" t="s">
        <v>99</v>
      </c>
      <c r="G2" s="4" t="s">
        <v>97</v>
      </c>
      <c r="J2" s="4"/>
      <c r="L2" s="4" t="s">
        <v>99</v>
      </c>
      <c r="M2" s="4" t="s">
        <v>104</v>
      </c>
      <c r="N2">
        <v>947.02</v>
      </c>
    </row>
    <row r="3" spans="1:16" x14ac:dyDescent="0.25">
      <c r="A3" s="4" t="s">
        <v>18</v>
      </c>
      <c r="B3">
        <v>30</v>
      </c>
      <c r="G3" s="4" t="s">
        <v>8</v>
      </c>
      <c r="H3">
        <v>1</v>
      </c>
      <c r="J3" s="4"/>
      <c r="M3" s="4" t="s">
        <v>100</v>
      </c>
      <c r="N3">
        <v>0.08</v>
      </c>
    </row>
    <row r="4" spans="1:16" x14ac:dyDescent="0.25">
      <c r="A4" s="4" t="s">
        <v>21</v>
      </c>
      <c r="B4" s="19"/>
      <c r="G4" s="4" t="s">
        <v>100</v>
      </c>
      <c r="H4">
        <v>0.06</v>
      </c>
      <c r="J4" s="4"/>
      <c r="M4" s="4" t="s">
        <v>8</v>
      </c>
      <c r="N4">
        <v>2</v>
      </c>
    </row>
    <row r="5" spans="1:16" x14ac:dyDescent="0.25">
      <c r="A5" s="4" t="s">
        <v>19</v>
      </c>
      <c r="B5">
        <v>7.2400000000000006E-2</v>
      </c>
      <c r="G5" s="4" t="s">
        <v>2</v>
      </c>
      <c r="J5" s="4"/>
      <c r="M5" s="4" t="s">
        <v>2</v>
      </c>
      <c r="N5">
        <v>10</v>
      </c>
    </row>
    <row r="6" spans="1:16" x14ac:dyDescent="0.25">
      <c r="A6" s="4" t="s">
        <v>24</v>
      </c>
      <c r="B6">
        <v>1</v>
      </c>
      <c r="G6" s="4" t="s">
        <v>111</v>
      </c>
      <c r="J6" s="4"/>
      <c r="K6" s="1"/>
      <c r="M6" s="4"/>
      <c r="N6" s="29"/>
    </row>
    <row r="7" spans="1:16" s="27" customFormat="1" ht="15.75" x14ac:dyDescent="0.25">
      <c r="A7" s="26"/>
      <c r="F7"/>
      <c r="G7" s="4" t="s">
        <v>101</v>
      </c>
      <c r="H7" s="1">
        <f>H1*H4/H3</f>
        <v>6</v>
      </c>
      <c r="M7" s="4" t="s">
        <v>102</v>
      </c>
      <c r="N7" s="28">
        <f>RATE(N4*N5,N3/N4*N1,-N2,N1)*N4</f>
        <v>8.8078109861209064E-2</v>
      </c>
      <c r="O7" s="30" t="s">
        <v>118</v>
      </c>
      <c r="P7" s="27">
        <f>100*N7</f>
        <v>8.8078109861209057</v>
      </c>
    </row>
    <row r="8" spans="1:16" s="27" customFormat="1" ht="15.75" x14ac:dyDescent="0.25">
      <c r="A8" s="26"/>
      <c r="F8"/>
      <c r="G8" s="4" t="s">
        <v>101</v>
      </c>
      <c r="H8" s="24" t="e">
        <f>PMT(H6,H5*H3,-H2,H1)</f>
        <v>#NUM!</v>
      </c>
    </row>
    <row r="10" spans="1:16" x14ac:dyDescent="0.25">
      <c r="A10" t="s">
        <v>15</v>
      </c>
      <c r="B10">
        <f xml:space="preserve"> POWER((1+B2), B3)</f>
        <v>7.0764583360928741</v>
      </c>
      <c r="C10" s="1">
        <f>B1/B10</f>
        <v>141.31362787788703</v>
      </c>
      <c r="M10" s="4" t="s">
        <v>122</v>
      </c>
      <c r="N10">
        <v>1000</v>
      </c>
    </row>
    <row r="11" spans="1:1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 t="s">
        <v>124</v>
      </c>
      <c r="N11">
        <v>31.51</v>
      </c>
    </row>
    <row r="12" spans="1:1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 t="s">
        <v>123</v>
      </c>
      <c r="N12">
        <v>1</v>
      </c>
    </row>
    <row r="13" spans="1:16" x14ac:dyDescent="0.25">
      <c r="A13" t="s">
        <v>20</v>
      </c>
      <c r="B13" t="e">
        <f>B1/B4</f>
        <v>#DIV/0!</v>
      </c>
      <c r="C13" t="e">
        <f>POWER(B13, 1/B3)</f>
        <v>#DIV/0!</v>
      </c>
      <c r="D13" s="1" t="e">
        <f>C13-1</f>
        <v>#DIV/0!</v>
      </c>
      <c r="E13" s="11" t="s">
        <v>118</v>
      </c>
      <c r="F13" t="e">
        <f>D13*100</f>
        <v>#DIV/0!</v>
      </c>
      <c r="M13" s="4" t="s">
        <v>82</v>
      </c>
      <c r="N13" s="1">
        <f>N11*N12/N10</f>
        <v>3.1510000000000003E-2</v>
      </c>
      <c r="O13" s="11" t="s">
        <v>118</v>
      </c>
      <c r="P13">
        <f>N13*100</f>
        <v>3.1510000000000002</v>
      </c>
    </row>
    <row r="14" spans="1:1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6" x14ac:dyDescent="0.25">
      <c r="A16" t="s">
        <v>22</v>
      </c>
      <c r="B16">
        <f>(B1*B5)/B2</f>
        <v>1074.1839762611276</v>
      </c>
      <c r="C16">
        <f>(1-(1/POWER(1+B2, B3)))</f>
        <v>0.85868637212211296</v>
      </c>
      <c r="D16" s="3">
        <f>B16*C16</f>
        <v>922.38714156737353</v>
      </c>
      <c r="F16">
        <f>B1/POWER((1+B2), B3)</f>
        <v>141.31362787788703</v>
      </c>
      <c r="H16" s="1">
        <f>D16+F16</f>
        <v>1063.7007694452604</v>
      </c>
      <c r="M16" s="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t="s">
        <v>23</v>
      </c>
      <c r="B19">
        <f>((B1*B5)/B6)/(B2/B6)</f>
        <v>1074.1839762611276</v>
      </c>
      <c r="C19">
        <f>B3*B6</f>
        <v>30</v>
      </c>
      <c r="D19">
        <f>POWER(1 + (B2/B6), C19)</f>
        <v>7.0764583360928741</v>
      </c>
      <c r="E19">
        <f>1-(1/D19)</f>
        <v>0.85868637212211296</v>
      </c>
      <c r="F19" s="3">
        <f>B19*E19</f>
        <v>922.38714156737353</v>
      </c>
      <c r="H19" s="3">
        <f>B1/POWER((1+(B2/B6)),B3*B6)</f>
        <v>141.31362787788703</v>
      </c>
      <c r="I19" s="1">
        <f>F19+H19</f>
        <v>1063.7007694452604</v>
      </c>
    </row>
    <row r="21" spans="1:12" x14ac:dyDescent="0.25">
      <c r="A21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5" sqref="B5"/>
    </sheetView>
  </sheetViews>
  <sheetFormatPr defaultRowHeight="15" x14ac:dyDescent="0.25"/>
  <cols>
    <col min="1" max="1" width="23.85546875" bestFit="1" customWidth="1"/>
    <col min="2" max="2" width="14.28515625" customWidth="1"/>
    <col min="4" max="4" width="14.5703125" bestFit="1" customWidth="1"/>
    <col min="7" max="7" width="15" bestFit="1" customWidth="1"/>
  </cols>
  <sheetData>
    <row r="1" spans="1:13" x14ac:dyDescent="0.25">
      <c r="A1" s="4" t="s">
        <v>25</v>
      </c>
      <c r="B1">
        <v>19300</v>
      </c>
    </row>
    <row r="2" spans="1:13" x14ac:dyDescent="0.25">
      <c r="A2" s="4" t="s">
        <v>30</v>
      </c>
      <c r="B2" s="19">
        <v>507000</v>
      </c>
      <c r="D2" s="4" t="s">
        <v>32</v>
      </c>
      <c r="E2">
        <v>5</v>
      </c>
      <c r="G2" s="4" t="s">
        <v>51</v>
      </c>
      <c r="H2">
        <v>20</v>
      </c>
    </row>
    <row r="3" spans="1:13" x14ac:dyDescent="0.25">
      <c r="A3" s="4" t="s">
        <v>31</v>
      </c>
      <c r="B3">
        <v>0</v>
      </c>
      <c r="D3" s="4" t="s">
        <v>33</v>
      </c>
      <c r="E3">
        <v>3</v>
      </c>
      <c r="G3" s="4" t="s">
        <v>50</v>
      </c>
      <c r="H3">
        <v>-8</v>
      </c>
    </row>
    <row r="4" spans="1:13" x14ac:dyDescent="0.25">
      <c r="A4" s="4" t="s">
        <v>26</v>
      </c>
      <c r="B4">
        <v>6.3E-2</v>
      </c>
    </row>
    <row r="8" spans="1:13" x14ac:dyDescent="0.25">
      <c r="A8" t="s">
        <v>27</v>
      </c>
      <c r="B8" t="s">
        <v>29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</row>
    <row r="9" spans="1:13" x14ac:dyDescent="0.25">
      <c r="A9" t="s">
        <v>28</v>
      </c>
      <c r="B9" s="5">
        <f>C9+NPV($B$4, D9:G9)</f>
        <v>-37456.161806208846</v>
      </c>
      <c r="C9">
        <f>-$B$1</f>
        <v>-19300</v>
      </c>
      <c r="D9">
        <f t="shared" ref="D9" si="0">-$B$1</f>
        <v>-19300</v>
      </c>
    </row>
    <row r="10" spans="1:13" x14ac:dyDescent="0.25">
      <c r="A10" t="s">
        <v>34</v>
      </c>
      <c r="B10" s="5">
        <f>C10+NPV($B$4, D10:M10)</f>
        <v>-500244.18603937316</v>
      </c>
      <c r="C10">
        <f>-1*B2</f>
        <v>-507000</v>
      </c>
      <c r="D10">
        <f>B3*(1+B4)</f>
        <v>0</v>
      </c>
      <c r="E10">
        <v>1500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10000</v>
      </c>
    </row>
    <row r="11" spans="1:13" x14ac:dyDescent="0.25">
      <c r="A11" t="s">
        <v>35</v>
      </c>
      <c r="B11" s="5">
        <f>C11+NPV($B$4, D11:G11)</f>
        <v>-10.822201317027282</v>
      </c>
      <c r="C11">
        <f>-1*(E2+E3)</f>
        <v>-8</v>
      </c>
      <c r="D11">
        <f>-$E$3</f>
        <v>-3</v>
      </c>
    </row>
    <row r="12" spans="1:13" x14ac:dyDescent="0.25">
      <c r="A12" t="s">
        <v>52</v>
      </c>
      <c r="B12" s="5">
        <f>C12+NPV($B$4, D12:G12)</f>
        <v>5.1777986829727185</v>
      </c>
      <c r="C12">
        <f>-1*(H3+H4)</f>
        <v>8</v>
      </c>
      <c r="D12">
        <f>-$E$3</f>
        <v>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16" sqref="A16"/>
    </sheetView>
  </sheetViews>
  <sheetFormatPr defaultRowHeight="15" x14ac:dyDescent="0.25"/>
  <cols>
    <col min="1" max="1" width="23.85546875" bestFit="1" customWidth="1"/>
    <col min="2" max="2" width="14.28515625" bestFit="1" customWidth="1"/>
    <col min="3" max="3" width="10.85546875" customWidth="1"/>
    <col min="4" max="4" width="15" bestFit="1" customWidth="1"/>
  </cols>
  <sheetData>
    <row r="1" spans="1:12" x14ac:dyDescent="0.25">
      <c r="A1" s="4" t="s">
        <v>30</v>
      </c>
      <c r="B1">
        <v>3250</v>
      </c>
      <c r="D1" s="4" t="s">
        <v>32</v>
      </c>
    </row>
    <row r="2" spans="1:12" x14ac:dyDescent="0.25">
      <c r="A2" s="4" t="s">
        <v>38</v>
      </c>
      <c r="B2">
        <v>1000</v>
      </c>
      <c r="D2" s="4" t="s">
        <v>39</v>
      </c>
    </row>
    <row r="3" spans="1:12" x14ac:dyDescent="0.25">
      <c r="A3" s="4" t="s">
        <v>36</v>
      </c>
      <c r="B3">
        <v>0</v>
      </c>
      <c r="D3" s="4" t="s">
        <v>37</v>
      </c>
    </row>
    <row r="4" spans="1:12" x14ac:dyDescent="0.25">
      <c r="A4" s="4"/>
      <c r="D4" s="4"/>
    </row>
    <row r="5" spans="1:12" x14ac:dyDescent="0.25">
      <c r="A5" s="4" t="s">
        <v>26</v>
      </c>
      <c r="B5">
        <v>0.1</v>
      </c>
    </row>
    <row r="9" spans="1:12" x14ac:dyDescent="0.25">
      <c r="A9" t="s">
        <v>27</v>
      </c>
      <c r="B9" t="s">
        <v>29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1:12" x14ac:dyDescent="0.25">
      <c r="A10" t="s">
        <v>34</v>
      </c>
      <c r="B10" s="5">
        <f>C10+NPV($B$5, D10:L10)</f>
        <v>1540.7867694084471</v>
      </c>
      <c r="C10">
        <f>(B2-B1)</f>
        <v>-2250</v>
      </c>
      <c r="D10">
        <f>B2*(1+$B$3)</f>
        <v>1000</v>
      </c>
      <c r="E10">
        <f t="shared" ref="E10:H10" si="0">D10*(1+$B$3)</f>
        <v>1000</v>
      </c>
      <c r="F10">
        <f t="shared" si="0"/>
        <v>1000</v>
      </c>
      <c r="G10">
        <f t="shared" si="0"/>
        <v>1000</v>
      </c>
      <c r="H10">
        <f t="shared" si="0"/>
        <v>1000</v>
      </c>
    </row>
    <row r="11" spans="1:12" x14ac:dyDescent="0.25">
      <c r="A11" t="s">
        <v>35</v>
      </c>
      <c r="B11" s="5">
        <f>C11+NPV($B$5, D11:L11)</f>
        <v>0</v>
      </c>
      <c r="C11">
        <f>-1*($E$1)</f>
        <v>0</v>
      </c>
      <c r="D11">
        <f>-1*($E$1)</f>
        <v>0</v>
      </c>
      <c r="E11">
        <f>E2</f>
        <v>0</v>
      </c>
      <c r="F11">
        <f>E11*(1 + $E$3)</f>
        <v>0</v>
      </c>
      <c r="G11">
        <f t="shared" ref="G11:H11" si="1">F11*(1 + $E$3)</f>
        <v>0</v>
      </c>
      <c r="H1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13" sqref="I13"/>
    </sheetView>
  </sheetViews>
  <sheetFormatPr defaultRowHeight="15" x14ac:dyDescent="0.25"/>
  <cols>
    <col min="1" max="1" width="39.42578125" style="4" bestFit="1" customWidth="1"/>
    <col min="2" max="2" width="19" customWidth="1"/>
    <col min="3" max="3" width="20.7109375" bestFit="1" customWidth="1"/>
    <col min="4" max="4" width="16" style="4" bestFit="1" customWidth="1"/>
    <col min="5" max="5" width="10.85546875" bestFit="1" customWidth="1"/>
    <col min="7" max="7" width="11.5703125" customWidth="1"/>
    <col min="9" max="9" width="12.28515625" bestFit="1" customWidth="1"/>
  </cols>
  <sheetData>
    <row r="1" spans="1:10" x14ac:dyDescent="0.25">
      <c r="A1" s="10" t="s">
        <v>57</v>
      </c>
      <c r="B1">
        <v>1</v>
      </c>
    </row>
    <row r="2" spans="1:10" x14ac:dyDescent="0.25">
      <c r="A2" s="4" t="s">
        <v>56</v>
      </c>
      <c r="B2">
        <v>0.08</v>
      </c>
    </row>
    <row r="4" spans="1:10" x14ac:dyDescent="0.25">
      <c r="A4" s="4" t="s">
        <v>69</v>
      </c>
      <c r="B4" s="11" t="s">
        <v>53</v>
      </c>
      <c r="C4" s="11" t="s">
        <v>54</v>
      </c>
      <c r="E4" s="11" t="s">
        <v>58</v>
      </c>
      <c r="F4" s="11"/>
      <c r="G4" s="11" t="s">
        <v>68</v>
      </c>
    </row>
    <row r="5" spans="1:10" x14ac:dyDescent="0.25">
      <c r="A5" s="4" t="s">
        <v>70</v>
      </c>
      <c r="B5" s="9">
        <v>-6</v>
      </c>
      <c r="C5" s="9">
        <v>23</v>
      </c>
      <c r="E5" s="5">
        <f>-1*PV($B$2,$B$1, ,C5)</f>
        <v>21.296296296296294</v>
      </c>
      <c r="G5" s="5">
        <f>E5+B5</f>
        <v>15.296296296296294</v>
      </c>
    </row>
    <row r="6" spans="1:10" x14ac:dyDescent="0.25">
      <c r="A6" s="4" t="s">
        <v>71</v>
      </c>
      <c r="B6" s="9">
        <v>2</v>
      </c>
      <c r="C6" s="9">
        <v>3</v>
      </c>
      <c r="E6" s="5">
        <f>-1*PV($B$2,$B$1, ,C6)</f>
        <v>2.7777777777777777</v>
      </c>
      <c r="G6" s="5">
        <f t="shared" ref="G6:G7" si="0">E6+B6</f>
        <v>4.7777777777777777</v>
      </c>
    </row>
    <row r="7" spans="1:10" x14ac:dyDescent="0.25">
      <c r="A7" s="4" t="s">
        <v>55</v>
      </c>
      <c r="B7" s="9">
        <v>17</v>
      </c>
      <c r="C7" s="9">
        <v>-12</v>
      </c>
      <c r="E7" s="5">
        <f>-1*PV($B$2,$B$1, ,C7)</f>
        <v>-11.111111111111111</v>
      </c>
      <c r="G7" s="5">
        <f t="shared" si="0"/>
        <v>5.8888888888888893</v>
      </c>
    </row>
    <row r="10" spans="1:10" x14ac:dyDescent="0.25">
      <c r="A10" s="4" t="s">
        <v>61</v>
      </c>
      <c r="B10" s="8">
        <v>7.0000000000000007E-2</v>
      </c>
    </row>
    <row r="11" spans="1:10" x14ac:dyDescent="0.25">
      <c r="A11" s="4" t="s">
        <v>72</v>
      </c>
      <c r="B11" s="12">
        <v>10000</v>
      </c>
    </row>
    <row r="13" spans="1:10" x14ac:dyDescent="0.25">
      <c r="A13" s="4" t="s">
        <v>74</v>
      </c>
      <c r="B13" s="9">
        <v>10</v>
      </c>
      <c r="D13" s="4" t="s">
        <v>77</v>
      </c>
      <c r="E13" s="9">
        <f>-1*PV(B10, 1, , B11*B13)</f>
        <v>93457.943925233645</v>
      </c>
      <c r="G13" s="13" t="s">
        <v>42</v>
      </c>
    </row>
    <row r="14" spans="1:10" x14ac:dyDescent="0.25">
      <c r="A14" s="4" t="s">
        <v>30</v>
      </c>
      <c r="B14" s="9">
        <v>100000</v>
      </c>
      <c r="D14" s="4" t="s">
        <v>76</v>
      </c>
      <c r="E14" s="9">
        <f>B14</f>
        <v>100000</v>
      </c>
      <c r="G14" s="14">
        <f>E13+E14</f>
        <v>193457.94392523365</v>
      </c>
    </row>
    <row r="15" spans="1:10" x14ac:dyDescent="0.25">
      <c r="I15" t="s">
        <v>64</v>
      </c>
      <c r="J15" s="9">
        <f>G14-G17</f>
        <v>-2803.7383177570009</v>
      </c>
    </row>
    <row r="16" spans="1:10" x14ac:dyDescent="0.25">
      <c r="A16" s="4" t="s">
        <v>73</v>
      </c>
      <c r="B16" s="9">
        <v>21</v>
      </c>
      <c r="D16" s="4" t="s">
        <v>75</v>
      </c>
      <c r="E16" s="9">
        <f>-1*PV(B10, 1, , B11*B16)</f>
        <v>196261.68224299065</v>
      </c>
      <c r="G16" t="s">
        <v>42</v>
      </c>
    </row>
    <row r="17" spans="1:7" x14ac:dyDescent="0.25">
      <c r="A17" s="4" t="s">
        <v>32</v>
      </c>
      <c r="B17" s="9">
        <v>0</v>
      </c>
      <c r="D17" s="4" t="s">
        <v>76</v>
      </c>
      <c r="E17" s="9">
        <f>B17 * (1 + $B$10)</f>
        <v>0</v>
      </c>
      <c r="G17" s="14">
        <f>E16+E17</f>
        <v>196261.68224299065</v>
      </c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Annual TvM</vt:lpstr>
      <vt:lpstr>Semiannual TvM</vt:lpstr>
      <vt:lpstr>Multiple TvM</vt:lpstr>
      <vt:lpstr>Constant A&amp;P</vt:lpstr>
      <vt:lpstr>Growing A&amp;P</vt:lpstr>
      <vt:lpstr>Bonds</vt:lpstr>
      <vt:lpstr>NPV</vt:lpstr>
      <vt:lpstr>Other NPV</vt:lpstr>
      <vt:lpstr>Cash Flow</vt:lpstr>
      <vt:lpstr>Exchange Rage</vt:lpstr>
      <vt:lpstr>Stock</vt:lpstr>
      <vt:lpstr>Tax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Hildebrand, Richard</dc:creator>
  <cp:lastModifiedBy>Hildebrand, Richard</cp:lastModifiedBy>
  <dcterms:created xsi:type="dcterms:W3CDTF">2017-03-11T20:14:33Z</dcterms:created>
  <dcterms:modified xsi:type="dcterms:W3CDTF">2017-03-27T12:46:40Z</dcterms:modified>
</cp:coreProperties>
</file>