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1"/>
  </bookViews>
  <sheets>
    <sheet name="Loans" sheetId="3" r:id="rId1"/>
    <sheet name="Bonds" sheetId="1" r:id="rId2"/>
    <sheet name="Bond Changing YTM" sheetId="2" r:id="rId3"/>
    <sheet name="NPV" sheetId="4" r:id="rId4"/>
    <sheet name="NPV2" sheetId="6" r:id="rId5"/>
    <sheet name="Incremental NVP" sheetId="8" r:id="rId6"/>
    <sheet name="Many NPV" sheetId="10" r:id="rId7"/>
    <sheet name="Free Cash Flows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0" l="1"/>
  <c r="L31" i="10"/>
  <c r="K31" i="10"/>
  <c r="J31" i="10"/>
  <c r="B24" i="10" l="1"/>
  <c r="K20" i="10"/>
  <c r="L20" i="10"/>
  <c r="J20" i="10"/>
  <c r="B17" i="10"/>
  <c r="E20" i="10" s="1"/>
  <c r="D13" i="10"/>
  <c r="E13" i="10"/>
  <c r="F13" i="10"/>
  <c r="G13" i="10"/>
  <c r="H13" i="10"/>
  <c r="I13" i="10"/>
  <c r="J13" i="10"/>
  <c r="K13" i="10"/>
  <c r="L13" i="10"/>
  <c r="C13" i="10"/>
  <c r="B20" i="10"/>
  <c r="C15" i="11"/>
  <c r="C14" i="11"/>
  <c r="C5" i="11"/>
  <c r="G31" i="10" l="1"/>
  <c r="E31" i="10"/>
  <c r="C31" i="10"/>
  <c r="F31" i="10"/>
  <c r="H31" i="10"/>
  <c r="D31" i="10"/>
  <c r="D32" i="10" s="1"/>
  <c r="I31" i="10"/>
  <c r="E14" i="10"/>
  <c r="D20" i="10"/>
  <c r="F20" i="10"/>
  <c r="H20" i="10"/>
  <c r="I20" i="10"/>
  <c r="C20" i="10"/>
  <c r="E21" i="10" s="1"/>
  <c r="G20" i="10"/>
  <c r="G14" i="10"/>
  <c r="D14" i="10"/>
  <c r="F14" i="10"/>
  <c r="I14" i="10"/>
  <c r="J14" i="10"/>
  <c r="L14" i="10"/>
  <c r="H14" i="10"/>
  <c r="C14" i="10"/>
  <c r="K14" i="10"/>
  <c r="C32" i="10"/>
  <c r="C13" i="11"/>
  <c r="D21" i="10" l="1"/>
  <c r="C21" i="10"/>
  <c r="H21" i="10"/>
  <c r="J21" i="10"/>
  <c r="K32" i="10"/>
  <c r="L32" i="10"/>
  <c r="E32" i="10"/>
  <c r="J32" i="10"/>
  <c r="I32" i="10"/>
  <c r="F32" i="10"/>
  <c r="G32" i="10"/>
  <c r="H32" i="10"/>
  <c r="G21" i="10"/>
  <c r="I21" i="10"/>
  <c r="L21" i="10"/>
  <c r="K21" i="10"/>
  <c r="F21" i="10"/>
  <c r="J17" i="8" l="1"/>
  <c r="J18" i="8" s="1"/>
  <c r="K17" i="8"/>
  <c r="K18" i="8" s="1"/>
  <c r="L17" i="8"/>
  <c r="L18" i="8" s="1"/>
  <c r="H17" i="8"/>
  <c r="H18" i="8" s="1"/>
  <c r="E19" i="8"/>
  <c r="I17" i="8"/>
  <c r="I18" i="8" s="1"/>
  <c r="R21" i="8"/>
  <c r="R22" i="8" s="1"/>
  <c r="N21" i="8"/>
  <c r="O21" i="8"/>
  <c r="P21" i="8"/>
  <c r="Q21" i="8"/>
  <c r="N22" i="8"/>
  <c r="O22" i="8"/>
  <c r="P22" i="8"/>
  <c r="Q22" i="8"/>
  <c r="J21" i="8"/>
  <c r="J22" i="8" s="1"/>
  <c r="K21" i="8"/>
  <c r="L21" i="8"/>
  <c r="L22" i="8" s="1"/>
  <c r="M21" i="8"/>
  <c r="M22" i="8" s="1"/>
  <c r="I21" i="8"/>
  <c r="I22" i="8" s="1"/>
  <c r="K22" i="8"/>
  <c r="H22" i="8"/>
  <c r="J19" i="8" l="1"/>
  <c r="K19" i="8"/>
  <c r="H19" i="8"/>
  <c r="L19" i="8"/>
  <c r="I19" i="8"/>
  <c r="M16" i="8"/>
  <c r="M17" i="8" s="1"/>
  <c r="M18" i="8" s="1"/>
  <c r="M19" i="8" s="1"/>
  <c r="E20" i="8"/>
  <c r="N16" i="8" l="1"/>
  <c r="N17" i="8" s="1"/>
  <c r="N18" i="8" s="1"/>
  <c r="B33" i="8"/>
  <c r="B20" i="8" s="1"/>
  <c r="B25" i="8"/>
  <c r="B19" i="8"/>
  <c r="O16" i="8" l="1"/>
  <c r="O17" i="8" s="1"/>
  <c r="O18" i="8" s="1"/>
  <c r="B26" i="8"/>
  <c r="B29" i="8" s="1"/>
  <c r="B28" i="8"/>
  <c r="K4" i="10"/>
  <c r="L4" i="10" s="1"/>
  <c r="K5" i="10"/>
  <c r="L5" i="10" s="1"/>
  <c r="K6" i="10"/>
  <c r="L6" i="10" s="1"/>
  <c r="K7" i="10"/>
  <c r="L7" i="10" s="1"/>
  <c r="K8" i="10"/>
  <c r="L8" i="10" s="1"/>
  <c r="K3" i="10"/>
  <c r="L3" i="10" s="1"/>
  <c r="I3" i="10"/>
  <c r="I5" i="10"/>
  <c r="I6" i="10"/>
  <c r="I7" i="10"/>
  <c r="I8" i="10"/>
  <c r="I4" i="10"/>
  <c r="D6" i="8"/>
  <c r="C6" i="8"/>
  <c r="B6" i="8"/>
  <c r="D19" i="4"/>
  <c r="D18" i="4"/>
  <c r="B18" i="4"/>
  <c r="B19" i="4"/>
  <c r="P16" i="8" l="1"/>
  <c r="P17" i="8" s="1"/>
  <c r="P18" i="8" s="1"/>
  <c r="E7" i="8"/>
  <c r="M8" i="8"/>
  <c r="M9" i="8" s="1"/>
  <c r="B30" i="8"/>
  <c r="C8" i="8"/>
  <c r="C9" i="8" s="1"/>
  <c r="F8" i="8"/>
  <c r="F9" i="8" s="1"/>
  <c r="M7" i="8"/>
  <c r="I7" i="8"/>
  <c r="F7" i="8"/>
  <c r="J8" i="8"/>
  <c r="J9" i="8" s="1"/>
  <c r="E8" i="8"/>
  <c r="E9" i="8" s="1"/>
  <c r="H7" i="8"/>
  <c r="L8" i="8"/>
  <c r="L9" i="8" s="1"/>
  <c r="H8" i="8"/>
  <c r="H9" i="8" s="1"/>
  <c r="D8" i="8"/>
  <c r="D9" i="8" s="1"/>
  <c r="K7" i="8"/>
  <c r="G7" i="8"/>
  <c r="I8" i="8"/>
  <c r="I9" i="8" s="1"/>
  <c r="L7" i="8"/>
  <c r="D7" i="8"/>
  <c r="K8" i="8"/>
  <c r="K9" i="8" s="1"/>
  <c r="G8" i="8"/>
  <c r="G9" i="8" s="1"/>
  <c r="C7" i="8"/>
  <c r="J7" i="8"/>
  <c r="E5" i="6"/>
  <c r="E19" i="6"/>
  <c r="F19" i="6" s="1"/>
  <c r="C21" i="6"/>
  <c r="C24" i="6" s="1"/>
  <c r="D21" i="6"/>
  <c r="D24" i="6"/>
  <c r="B7" i="6"/>
  <c r="B11" i="6"/>
  <c r="M3" i="4"/>
  <c r="L3" i="4"/>
  <c r="K3" i="4"/>
  <c r="C5" i="4"/>
  <c r="Q16" i="8" l="1"/>
  <c r="Q17" i="8" s="1"/>
  <c r="Q18" i="8" s="1"/>
  <c r="R18" i="8" s="1"/>
  <c r="R16" i="8"/>
  <c r="R17" i="8" s="1"/>
  <c r="C6" i="4"/>
  <c r="E21" i="6"/>
  <c r="E24" i="6" s="1"/>
  <c r="C25" i="6"/>
  <c r="D25" i="6"/>
  <c r="C26" i="6"/>
  <c r="D26" i="6"/>
  <c r="G19" i="6"/>
  <c r="F21" i="6"/>
  <c r="F24" i="6"/>
  <c r="B13" i="6"/>
  <c r="G5" i="4"/>
  <c r="D5" i="4"/>
  <c r="J5" i="4"/>
  <c r="M4" i="4"/>
  <c r="M5" i="4"/>
  <c r="L5" i="4"/>
  <c r="L4" i="4"/>
  <c r="I5" i="4"/>
  <c r="E5" i="4"/>
  <c r="K5" i="4"/>
  <c r="J4" i="4"/>
  <c r="F5" i="4"/>
  <c r="H5" i="4"/>
  <c r="K4" i="4"/>
  <c r="D4" i="4"/>
  <c r="E4" i="4"/>
  <c r="F4" i="4"/>
  <c r="G4" i="4"/>
  <c r="H4" i="4"/>
  <c r="I4" i="4"/>
  <c r="C4" i="4"/>
  <c r="E4" i="2"/>
  <c r="F4" i="2"/>
  <c r="G4" i="2"/>
  <c r="H6" i="4" l="1"/>
  <c r="E6" i="4"/>
  <c r="G6" i="4"/>
  <c r="I6" i="4"/>
  <c r="M6" i="4"/>
  <c r="F6" i="4"/>
  <c r="J6" i="4"/>
  <c r="K6" i="4"/>
  <c r="L6" i="4"/>
  <c r="D6" i="4"/>
  <c r="E26" i="6"/>
  <c r="E25" i="6"/>
  <c r="F26" i="6"/>
  <c r="F25" i="6"/>
  <c r="G21" i="6"/>
  <c r="G24" i="6" s="1"/>
  <c r="E3" i="3"/>
  <c r="E6" i="3"/>
  <c r="E5" i="3"/>
  <c r="G5" i="3" s="1"/>
  <c r="E1" i="3"/>
  <c r="B6" i="3"/>
  <c r="G3" i="2"/>
  <c r="F3" i="2"/>
  <c r="B4" i="2"/>
  <c r="E3" i="1"/>
  <c r="H3" i="1"/>
  <c r="E5" i="1"/>
  <c r="E1" i="1"/>
  <c r="G25" i="6" l="1"/>
  <c r="G26" i="6"/>
  <c r="E6" i="2"/>
</calcChain>
</file>

<file path=xl/comments1.xml><?xml version="1.0" encoding="utf-8"?>
<comments xmlns="http://schemas.openxmlformats.org/spreadsheetml/2006/main">
  <authors>
    <author>Author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<sst xmlns="http://schemas.openxmlformats.org/spreadsheetml/2006/main" count="181" uniqueCount="134">
  <si>
    <t xml:space="preserve">Present Value = </t>
  </si>
  <si>
    <t xml:space="preserve">YTM or APR = </t>
  </si>
  <si>
    <t xml:space="preserve">Coupon Rate = </t>
  </si>
  <si>
    <t xml:space="preserve">Coupon Payment = </t>
  </si>
  <si>
    <t xml:space="preserve">FV or Face Value = </t>
  </si>
  <si>
    <t xml:space="preserve">Years = </t>
  </si>
  <si>
    <t xml:space="preserve">Payments Per Year = </t>
  </si>
  <si>
    <t xml:space="preserve">Pay at start of year = </t>
  </si>
  <si>
    <t xml:space="preserve">Zero Coupon Payment = </t>
  </si>
  <si>
    <t xml:space="preserve">PV or Selling Price = </t>
  </si>
  <si>
    <t xml:space="preserve">Payment = </t>
  </si>
  <si>
    <t xml:space="preserve">YTM &gt; Coupon Rate = </t>
  </si>
  <si>
    <t xml:space="preserve">APR &lt; Coupon Rate = </t>
  </si>
  <si>
    <t>discount on face value</t>
  </si>
  <si>
    <t xml:space="preserve">Credit Spread = </t>
  </si>
  <si>
    <t xml:space="preserve">YTM 1 = </t>
  </si>
  <si>
    <t xml:space="preserve">YTM 2 = </t>
  </si>
  <si>
    <t>Sovereign bond yield reflect investor expectations of​ inflation, currency, and default risk.</t>
  </si>
  <si>
    <t>premium above face value</t>
  </si>
  <si>
    <t xml:space="preserve">Futuer Value = </t>
  </si>
  <si>
    <t xml:space="preserve">Period = </t>
  </si>
  <si>
    <t xml:space="preserve">APR or YTM = </t>
  </si>
  <si>
    <t xml:space="preserve">Payments = </t>
  </si>
  <si>
    <t xml:space="preserve">Payment Sum = </t>
  </si>
  <si>
    <t xml:space="preserve">Future Value = </t>
  </si>
  <si>
    <t xml:space="preserve">Loan Amount = </t>
  </si>
  <si>
    <t xml:space="preserve">APR = </t>
  </si>
  <si>
    <t xml:space="preserve">Periods = </t>
  </si>
  <si>
    <t xml:space="preserve">Rate = </t>
  </si>
  <si>
    <t xml:space="preserve">Pay at start = </t>
  </si>
  <si>
    <t>%</t>
  </si>
  <si>
    <t xml:space="preserve">Investment = </t>
  </si>
  <si>
    <t xml:space="preserve">Cash Flows = </t>
  </si>
  <si>
    <t xml:space="preserve">NPV = </t>
  </si>
  <si>
    <t xml:space="preserve">Required Return Rate = </t>
  </si>
  <si>
    <t xml:space="preserve">Growth Rate = </t>
  </si>
  <si>
    <t>Constant Payback</t>
  </si>
  <si>
    <t>Variable Payback</t>
  </si>
  <si>
    <t xml:space="preserve">Constant Cash Flow = </t>
  </si>
  <si>
    <t xml:space="preserve">NPV =  </t>
  </si>
  <si>
    <t>IIR ignores resource consraints but tells us the discount rate we can switch from one project to another</t>
  </si>
  <si>
    <t>A pitfall of using the IRR is "cash flows changing signs."</t>
  </si>
  <si>
    <t>PI factors in resource constraints because it is NPV divided investment cost</t>
  </si>
  <si>
    <t xml:space="preserve">years = </t>
  </si>
  <si>
    <t xml:space="preserve">payment amount = </t>
  </si>
  <si>
    <t xml:space="preserve">investment = </t>
  </si>
  <si>
    <t xml:space="preserve">IRR = </t>
  </si>
  <si>
    <t xml:space="preserve">The maximum deviation = </t>
  </si>
  <si>
    <t xml:space="preserve">Variable Cost = </t>
  </si>
  <si>
    <t xml:space="preserve">Revenue = </t>
  </si>
  <si>
    <t xml:space="preserve">Percent Cost = </t>
  </si>
  <si>
    <t xml:space="preserve">Fixed Cost = </t>
  </si>
  <si>
    <t xml:space="preserve">Total Cash Flows = </t>
  </si>
  <si>
    <t xml:space="preserve">NVP = </t>
  </si>
  <si>
    <t xml:space="preserve">PV Benefit = </t>
  </si>
  <si>
    <t xml:space="preserve">PV Cost = </t>
  </si>
  <si>
    <t xml:space="preserve">Benefit = </t>
  </si>
  <si>
    <t xml:space="preserve">Cost = </t>
  </si>
  <si>
    <t>Constant Payback and Cost</t>
  </si>
  <si>
    <t>Payback =</t>
  </si>
  <si>
    <t xml:space="preserve">Incremental IRR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</si>
  <si>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</si>
  <si>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</si>
  <si>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</si>
  <si>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</si>
  <si>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</si>
  <si>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>NPV</t>
  </si>
  <si>
    <t>PI</t>
  </si>
  <si>
    <t>Discount Rate</t>
  </si>
  <si>
    <t>Expected Sale</t>
  </si>
  <si>
    <t>Project</t>
  </si>
  <si>
    <t>(%)</t>
  </si>
  <si>
    <t>IRR</t>
  </si>
  <si>
    <t>Mountain Ridge</t>
  </si>
  <si>
    <t>Ocean Park Estates</t>
  </si>
  <si>
    <t>Lakeview</t>
  </si>
  <si>
    <t>Seabreeze</t>
  </si>
  <si>
    <t>Green Hills</t>
  </si>
  <si>
    <t>West Ranch</t>
  </si>
  <si>
    <t xml:space="preserve">Cost of printer = </t>
  </si>
  <si>
    <t xml:space="preserve">Cost of ink = </t>
  </si>
  <si>
    <t xml:space="preserve">Printer Price Two = </t>
  </si>
  <si>
    <t xml:space="preserve">Printers Sold Two = </t>
  </si>
  <si>
    <t xml:space="preserve">Printer Price One = </t>
  </si>
  <si>
    <t xml:space="preserve">Ink Price One = </t>
  </si>
  <si>
    <t xml:space="preserve">Printers Sold One = </t>
  </si>
  <si>
    <t xml:space="preserve">Ink Price Two = </t>
  </si>
  <si>
    <t xml:space="preserve">Printer Ebit = </t>
  </si>
  <si>
    <t xml:space="preserve">Total Ebit = </t>
  </si>
  <si>
    <t xml:space="preserve">Ink Ebit = </t>
  </si>
  <si>
    <t xml:space="preserve">Printer Cash Flow One = </t>
  </si>
  <si>
    <t xml:space="preserve">Ink Cash Flow One = </t>
  </si>
  <si>
    <t xml:space="preserve">Printer Cash Flow Two = </t>
  </si>
  <si>
    <t xml:space="preserve">Ink Cash Flow Two = </t>
  </si>
  <si>
    <t xml:space="preserve">Depreciation </t>
  </si>
  <si>
    <t xml:space="preserve">Total Price = </t>
  </si>
  <si>
    <t xml:space="preserve">Annual Price = </t>
  </si>
  <si>
    <t xml:space="preserve">Tax Rate = </t>
  </si>
  <si>
    <t xml:space="preserve">Annual Tax Sheild = </t>
  </si>
  <si>
    <t xml:space="preserve">Year = </t>
  </si>
  <si>
    <t xml:space="preserve">Accelerated Rate = </t>
  </si>
  <si>
    <t xml:space="preserve">Accelerated Sheild = </t>
  </si>
  <si>
    <t xml:space="preserve">Strait-line Sheild = </t>
  </si>
  <si>
    <t xml:space="preserve">PV = </t>
  </si>
  <si>
    <t xml:space="preserve">Discount rate = </t>
  </si>
  <si>
    <t>Revenues</t>
  </si>
  <si>
    <t>Operating income</t>
  </si>
  <si>
    <t>Free cash flows</t>
  </si>
  <si>
    <t>Book value of equity</t>
  </si>
  <si>
    <t xml:space="preserve">Growth Rate </t>
  </si>
  <si>
    <t>Net income</t>
  </si>
  <si>
    <t>Cost of capital</t>
  </si>
  <si>
    <t>Year</t>
  </si>
  <si>
    <t>P/E Ratio</t>
  </si>
  <si>
    <t>market/book Ratio</t>
  </si>
  <si>
    <t>PE Continuation value</t>
  </si>
  <si>
    <t>Market Book Continuation value</t>
  </si>
  <si>
    <t>Continuation value of free cash flow</t>
  </si>
  <si>
    <t>discount rate</t>
  </si>
  <si>
    <t>tax rate</t>
  </si>
  <si>
    <t>cash flow one</t>
  </si>
  <si>
    <t>investment</t>
  </si>
  <si>
    <t>rental fee</t>
  </si>
  <si>
    <t>maintenance fee</t>
  </si>
  <si>
    <t>rental cash flow</t>
  </si>
  <si>
    <t>rental NPV</t>
  </si>
  <si>
    <t>deprication</t>
  </si>
  <si>
    <t>machine life span</t>
  </si>
  <si>
    <t>yearly savings</t>
  </si>
  <si>
    <t>machine sale price</t>
  </si>
  <si>
    <t>investment purchased</t>
  </si>
  <si>
    <t>training costs</t>
  </si>
  <si>
    <t>Inventory costs</t>
  </si>
  <si>
    <t xml:space="preserve">PV 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</si>
</sst>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%"/>
    <numFmt numFmtId="165" formatCode="#,##0.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D4D4D"/>
      <name val="Arial"/>
      <family val="2"/>
    </font>
    <font>
      <b/>
      <sz val="10"/>
      <color rgb="FF4D4D4D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0" fontId="0" fillId="0" borderId="0" xfId="0" applyNumberFormat="1"/>
    <xf numFmtId="166" fontId="0" fillId="0" borderId="0" xfId="0" applyNumberFormat="1" applyAlignment="1">
      <alignment horizontal="right"/>
    </xf>
    <xf numFmtId="4" fontId="0" fillId="0" borderId="0" xfId="0" applyNumberForma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3" fillId="0" borderId="0" xfId="0" applyFont="1"/>
    <xf numFmtId="165" fontId="0" fillId="0" borderId="0" xfId="0" applyNumberFormat="1"/>
    <xf numFmtId="3" fontId="4" fillId="0" borderId="0" xfId="0" applyNumberFormat="1" applyFon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166" fontId="4" fillId="4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3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center" vertical="center"/>
    </xf>
    <xf numFmtId="0" fontId="0" fillId="0" borderId="3" xfId="0" applyBorder="1"/>
    <xf numFmtId="0" fontId="4" fillId="4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65" fontId="4" fillId="4" borderId="0" xfId="0" applyNumberFormat="1" applyFont="1" applyFill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10" fontId="0" fillId="0" borderId="0" xfId="0" applyNumberForma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"/>
    </sheetView>
  </sheetViews>
  <sheetFormatPr defaultRowHeight="15" x14ac:dyDescent="0.25"/>
  <cols>
    <col min="1" max="1" width="14.7109375" style="1" bestFit="1" customWidth="1"/>
    <col min="2" max="2" width="11.140625" style="2" bestFit="1" customWidth="1"/>
    <col min="4" max="4" width="15.42578125" style="1" bestFit="1" customWidth="1"/>
    <col min="5" max="5" width="11.5703125" style="2" bestFit="1" customWidth="1"/>
    <col min="7" max="7" width="9.85546875" bestFit="1" customWidth="1"/>
    <col min="8" max="8" width="12.140625" bestFit="1" customWidth="1"/>
  </cols>
  <sheetData>
    <row r="1" spans="1:8" x14ac:dyDescent="0.25">
      <c r="A1" s="1" t="s">
        <v>24</v>
      </c>
      <c r="B1" s="9"/>
      <c r="D1" s="10" t="s">
        <v>10</v>
      </c>
      <c r="E1" s="11">
        <f>PMT(B3/B7,B6*B7,-B2,B1,B9)</f>
        <v>0</v>
      </c>
      <c r="H1" s="1"/>
    </row>
    <row r="2" spans="1:8" x14ac:dyDescent="0.25">
      <c r="A2" s="1" t="s">
        <v>25</v>
      </c>
      <c r="B2" s="9"/>
      <c r="H2" s="1"/>
    </row>
    <row r="3" spans="1:8" x14ac:dyDescent="0.25">
      <c r="A3" s="1" t="s">
        <v>26</v>
      </c>
      <c r="B3" s="3">
        <v>0.14630000000000001</v>
      </c>
      <c r="D3" s="1" t="s">
        <v>28</v>
      </c>
      <c r="E3" s="14" t="e">
        <f>RATE(B6*B7,B4,-B2,B1,B9)*100</f>
        <v>#NUM!</v>
      </c>
      <c r="F3" t="s">
        <v>30</v>
      </c>
      <c r="H3" s="1"/>
    </row>
    <row r="4" spans="1:8" x14ac:dyDescent="0.25">
      <c r="A4" s="1" t="s">
        <v>22</v>
      </c>
      <c r="B4" s="9">
        <v>500</v>
      </c>
    </row>
    <row r="5" spans="1:8" x14ac:dyDescent="0.25">
      <c r="D5" s="1" t="s">
        <v>0</v>
      </c>
      <c r="E5" s="11">
        <f>-PV(B3/B7,B6*B7,B4,B1,B9)</f>
        <v>12499.848546225619</v>
      </c>
      <c r="F5">
        <v>5000</v>
      </c>
      <c r="G5" s="13">
        <f>E5+F5</f>
        <v>17499.848546225621</v>
      </c>
    </row>
    <row r="6" spans="1:8" x14ac:dyDescent="0.25">
      <c r="A6" s="1" t="s">
        <v>5</v>
      </c>
      <c r="B6" s="2">
        <f>30/12</f>
        <v>2.5</v>
      </c>
      <c r="D6" s="1" t="s">
        <v>0</v>
      </c>
      <c r="E6" s="9">
        <f>(B4/(B3/B7))*(1-(1/POWER(1+(B3/B7),B6*B7)))</f>
        <v>12499.848546225619</v>
      </c>
    </row>
    <row r="7" spans="1:8" x14ac:dyDescent="0.25">
      <c r="A7" s="1" t="s">
        <v>27</v>
      </c>
      <c r="B7" s="2">
        <v>12</v>
      </c>
      <c r="E7" s="12"/>
    </row>
    <row r="9" spans="1:8" x14ac:dyDescent="0.25">
      <c r="A9" s="1" t="s">
        <v>29</v>
      </c>
      <c r="B9" s="4">
        <v>0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0" sqref="A20"/>
    </sheetView>
  </sheetViews>
  <sheetFormatPr defaultRowHeight="15" x14ac:dyDescent="0.25"/>
  <cols>
    <col min="1" max="1" width="20.7109375" style="1" bestFit="1" customWidth="1"/>
    <col min="2" max="2" width="10.140625" bestFit="1" customWidth="1"/>
    <col min="4" max="4" width="22.85546875" style="1" bestFit="1" customWidth="1"/>
    <col min="5" max="5" width="10.5703125" style="6" bestFit="1" customWidth="1"/>
    <col min="7" max="7" width="15" bestFit="1" customWidth="1"/>
  </cols>
  <sheetData>
    <row r="1" spans="1:8" x14ac:dyDescent="0.25">
      <c r="A1" s="1" t="s">
        <v>4</v>
      </c>
      <c r="B1" s="2">
        <v>1000</v>
      </c>
      <c r="D1" s="1" t="s">
        <v>8</v>
      </c>
      <c r="E1" s="6">
        <f>B1/POWER((1+B4/B10), B9*B10)</f>
        <v>174.11013091063427</v>
      </c>
      <c r="G1" s="1" t="s">
        <v>15</v>
      </c>
      <c r="H1">
        <v>12.7</v>
      </c>
    </row>
    <row r="2" spans="1:8" x14ac:dyDescent="0.25">
      <c r="A2" s="1" t="s">
        <v>9</v>
      </c>
      <c r="B2" s="2">
        <v>947.02</v>
      </c>
      <c r="G2" s="1" t="s">
        <v>16</v>
      </c>
      <c r="H2">
        <v>11.4</v>
      </c>
    </row>
    <row r="3" spans="1:8" x14ac:dyDescent="0.25">
      <c r="B3" s="2"/>
      <c r="D3" s="1" t="s">
        <v>3</v>
      </c>
      <c r="E3" s="6">
        <f>B1*B6</f>
        <v>80</v>
      </c>
      <c r="G3" s="1" t="s">
        <v>14</v>
      </c>
      <c r="H3">
        <f>H1-H2</f>
        <v>1.2999999999999989</v>
      </c>
    </row>
    <row r="4" spans="1:8" x14ac:dyDescent="0.25">
      <c r="A4" s="1" t="s">
        <v>1</v>
      </c>
      <c r="B4" s="3">
        <v>0.06</v>
      </c>
    </row>
    <row r="5" spans="1:8" x14ac:dyDescent="0.25">
      <c r="B5" s="2"/>
      <c r="D5" s="1" t="s">
        <v>0</v>
      </c>
      <c r="E5" s="6">
        <f>-PV(B4/B10,B9*B10,B6/B10*B1,B1,B12)</f>
        <v>1275.2966230297886</v>
      </c>
    </row>
    <row r="6" spans="1:8" x14ac:dyDescent="0.25">
      <c r="A6" s="1" t="s">
        <v>2</v>
      </c>
      <c r="B6" s="3">
        <v>0.08</v>
      </c>
    </row>
    <row r="7" spans="1:8" x14ac:dyDescent="0.25">
      <c r="A7" s="1" t="s">
        <v>3</v>
      </c>
      <c r="B7" s="2">
        <v>80</v>
      </c>
      <c r="E7" s="3"/>
    </row>
    <row r="8" spans="1:8" x14ac:dyDescent="0.25">
      <c r="B8" s="2"/>
      <c r="H8" s="6"/>
    </row>
    <row r="9" spans="1:8" x14ac:dyDescent="0.25">
      <c r="A9" s="1" t="s">
        <v>5</v>
      </c>
      <c r="B9" s="2">
        <v>30</v>
      </c>
    </row>
    <row r="10" spans="1:8" x14ac:dyDescent="0.25">
      <c r="A10" s="1" t="s">
        <v>6</v>
      </c>
      <c r="B10" s="2">
        <v>1</v>
      </c>
      <c r="E10"/>
      <c r="G10" s="1"/>
    </row>
    <row r="11" spans="1:8" x14ac:dyDescent="0.25">
      <c r="B11" s="2"/>
      <c r="G11" s="1"/>
    </row>
    <row r="12" spans="1:8" x14ac:dyDescent="0.25">
      <c r="A12" s="1" t="s">
        <v>7</v>
      </c>
      <c r="B12" s="4">
        <v>0</v>
      </c>
    </row>
    <row r="16" spans="1:8" x14ac:dyDescent="0.25">
      <c r="A16" s="1" t="s">
        <v>11</v>
      </c>
      <c r="B16" t="s">
        <v>13</v>
      </c>
    </row>
    <row r="17" spans="1:2" x14ac:dyDescent="0.25">
      <c r="A17" s="1" t="s">
        <v>12</v>
      </c>
      <c r="B17" t="s">
        <v>18</v>
      </c>
    </row>
    <row r="19" spans="1:2" x14ac:dyDescent="0.25">
      <c r="A19" s="8" t="s">
        <v>17</v>
      </c>
      <c r="B19" s="5"/>
    </row>
    <row r="20" spans="1:2" x14ac:dyDescent="0.25">
      <c r="A20" s="7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7" sqref="C17"/>
    </sheetView>
  </sheetViews>
  <sheetFormatPr defaultRowHeight="15" x14ac:dyDescent="0.25"/>
  <cols>
    <col min="1" max="1" width="18.28515625" bestFit="1" customWidth="1"/>
    <col min="2" max="2" width="10.140625" bestFit="1" customWidth="1"/>
    <col min="4" max="4" width="18.28515625" bestFit="1" customWidth="1"/>
    <col min="5" max="5" width="10.140625" bestFit="1" customWidth="1"/>
  </cols>
  <sheetData>
    <row r="1" spans="1:7" x14ac:dyDescent="0.25">
      <c r="A1" s="1" t="s">
        <v>19</v>
      </c>
      <c r="B1">
        <v>1000</v>
      </c>
      <c r="D1" s="1" t="s">
        <v>21</v>
      </c>
      <c r="E1" s="5">
        <v>0</v>
      </c>
      <c r="F1" s="5">
        <v>6.7000000000000004E-2</v>
      </c>
      <c r="G1" s="5">
        <v>7.0000000000000007E-2</v>
      </c>
    </row>
    <row r="2" spans="1:7" x14ac:dyDescent="0.25">
      <c r="A2" s="1" t="s">
        <v>2</v>
      </c>
      <c r="B2" s="5">
        <v>0.06</v>
      </c>
      <c r="D2" s="1" t="s">
        <v>20</v>
      </c>
      <c r="E2">
        <v>0</v>
      </c>
      <c r="F2">
        <v>1</v>
      </c>
      <c r="G2">
        <v>2</v>
      </c>
    </row>
    <row r="3" spans="1:7" x14ac:dyDescent="0.25">
      <c r="A3" s="1"/>
      <c r="D3" s="1" t="s">
        <v>3</v>
      </c>
      <c r="E3">
        <v>0</v>
      </c>
      <c r="F3">
        <f>B4</f>
        <v>60</v>
      </c>
      <c r="G3">
        <f>B1+B4</f>
        <v>1060</v>
      </c>
    </row>
    <row r="4" spans="1:7" x14ac:dyDescent="0.25">
      <c r="A4" s="1" t="s">
        <v>3</v>
      </c>
      <c r="B4">
        <f>B1*B2</f>
        <v>60</v>
      </c>
      <c r="D4" s="1" t="s">
        <v>0</v>
      </c>
      <c r="E4">
        <f>E3/POWER(1+E1, E2)</f>
        <v>0</v>
      </c>
      <c r="F4">
        <f t="shared" ref="F4:G4" si="0">F3/POWER(1+F1, F2)</f>
        <v>56.232427366447986</v>
      </c>
      <c r="G4">
        <f t="shared" si="0"/>
        <v>925.84505196960436</v>
      </c>
    </row>
    <row r="6" spans="1:7" x14ac:dyDescent="0.25">
      <c r="D6" s="1" t="s">
        <v>23</v>
      </c>
      <c r="E6">
        <f>SUM(E4:L4)</f>
        <v>982.07747933605231</v>
      </c>
    </row>
    <row r="7" spans="1:7" x14ac:dyDescent="0.25">
      <c r="D7" s="1"/>
    </row>
    <row r="9" spans="1:7" x14ac:dyDescent="0.25">
      <c r="D9" s="1"/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7" sqref="C7"/>
    </sheetView>
  </sheetViews>
  <sheetFormatPr defaultRowHeight="15" x14ac:dyDescent="0.25"/>
  <cols>
    <col min="1" max="1" width="22.28515625" bestFit="1" customWidth="1"/>
    <col min="2" max="2" width="21.140625" bestFit="1" customWidth="1"/>
    <col min="3" max="3" width="17" bestFit="1" customWidth="1"/>
    <col min="4" max="4" width="19.5703125" bestFit="1" customWidth="1"/>
    <col min="5" max="6" width="12.42578125" bestFit="1" customWidth="1"/>
    <col min="7" max="7" width="15" customWidth="1"/>
    <col min="8" max="8" width="12.42578125" bestFit="1" customWidth="1"/>
    <col min="9" max="9" width="11.85546875" bestFit="1" customWidth="1"/>
    <col min="10" max="13" width="12.42578125" bestFit="1" customWidth="1"/>
  </cols>
  <sheetData>
    <row r="1" spans="1:13" x14ac:dyDescent="0.25">
      <c r="A1" s="16" t="s">
        <v>37</v>
      </c>
    </row>
    <row r="2" spans="1:13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5">
      <c r="A3" s="1" t="s">
        <v>32</v>
      </c>
      <c r="B3" s="15">
        <v>-29</v>
      </c>
      <c r="C3" s="15">
        <v>20</v>
      </c>
      <c r="D3" s="15">
        <v>18</v>
      </c>
      <c r="E3" s="15">
        <v>1400</v>
      </c>
      <c r="F3" s="15">
        <v>1400</v>
      </c>
      <c r="G3" s="15">
        <v>1400</v>
      </c>
      <c r="H3" s="15">
        <v>1400</v>
      </c>
      <c r="I3" s="15">
        <v>1400</v>
      </c>
      <c r="J3" s="15">
        <v>1400</v>
      </c>
      <c r="K3" s="15">
        <f>1000000</f>
        <v>1000000</v>
      </c>
      <c r="L3" s="15">
        <f>1000000</f>
        <v>1000000</v>
      </c>
      <c r="M3" s="15">
        <f>1000000</f>
        <v>1000000</v>
      </c>
    </row>
    <row r="4" spans="1:13" x14ac:dyDescent="0.25">
      <c r="A4" s="1" t="s">
        <v>33</v>
      </c>
      <c r="B4" s="15"/>
      <c r="C4" s="15">
        <f>NPV($B$8-$B$9,$C$3:C3)+$B$3</f>
        <v>-9.9523809523809526</v>
      </c>
      <c r="D4" s="15">
        <f>NPV($B$8-$B$9,$C$3:D3)+$B$3</f>
        <v>6.3741496598639387</v>
      </c>
      <c r="E4" s="15">
        <f>NPV($B$8-$B$9,$C$3:E3)+$B$3</f>
        <v>1215.7467876039304</v>
      </c>
      <c r="F4" s="15">
        <f>NPV($B$8-$B$9,$C$3:F3)+$B$3</f>
        <v>2367.5302523125647</v>
      </c>
      <c r="G4" s="20">
        <f>NPV($B$8-$B$9,$C$3:G3)+$B$3</f>
        <v>3464.4668853684075</v>
      </c>
      <c r="H4" s="15">
        <f>NPV($B$8-$B$9,$C$3:H3)+$B$3</f>
        <v>4509.168440659686</v>
      </c>
      <c r="I4" s="15">
        <f>NPV($B$8-$B$9,$C$3:I3)+$B$3</f>
        <v>5504.1223028418553</v>
      </c>
      <c r="J4" s="15">
        <f>NPV($B$8-$B$9,$C$3:J3)+$B$3</f>
        <v>6451.6974096820177</v>
      </c>
      <c r="K4" s="15">
        <f>NPV($B$8-$B$9,$C$3:K3)+$B$3</f>
        <v>651060.61362747918</v>
      </c>
      <c r="L4" s="15">
        <f>NPV($B$8-$B$9,$C$3:L3)+$B$3</f>
        <v>1264973.8671682382</v>
      </c>
      <c r="M4" s="15">
        <f>NPV($B$8-$B$9,$C$3:M3)+$B$3</f>
        <v>1849653.1562546752</v>
      </c>
    </row>
    <row r="5" spans="1:13" x14ac:dyDescent="0.25">
      <c r="A5" s="1" t="s">
        <v>46</v>
      </c>
      <c r="B5" s="15"/>
      <c r="C5" s="5">
        <f>IRR($B$3:C3,$B$8)</f>
        <v>-0.31034482758620685</v>
      </c>
      <c r="D5" s="5">
        <f>IRR($B$3:D3,$B$8)</f>
        <v>0.20482509747171918</v>
      </c>
      <c r="E5" s="5">
        <f>IRR($B$3:E3,$B$8)</f>
        <v>2.9465124010452035</v>
      </c>
      <c r="F5" s="5">
        <f>IRR($B$3:F3,$B$8)</f>
        <v>3.2092109180992212</v>
      </c>
      <c r="G5" s="5">
        <f>IRR($B$3:G3,$B$8)</f>
        <v>3.2623004902205066</v>
      </c>
      <c r="H5" s="5">
        <f>IRR($B$3:H3,$B$8)</f>
        <v>3.2741815651716157</v>
      </c>
      <c r="I5" s="5">
        <f>IRR($B$3:I3,$B$8)</f>
        <v>3.2769228196480844</v>
      </c>
      <c r="J5" s="5">
        <f>IRR($B$3:J3,$B$8)</f>
        <v>3.2775612000760468</v>
      </c>
      <c r="K5" s="5">
        <f>IRR($B$3:K3,$B$8)</f>
        <v>3.3695545236343607</v>
      </c>
      <c r="L5" s="5">
        <f>IRR($B$3:L3,$B$8)</f>
        <v>3.3873919535818819</v>
      </c>
      <c r="M5" s="5">
        <f>IRR($B$3:M3,$B$8)</f>
        <v>3.3913094063061875</v>
      </c>
    </row>
    <row r="6" spans="1:13" x14ac:dyDescent="0.25">
      <c r="A6" s="19" t="s">
        <v>47</v>
      </c>
      <c r="B6" s="15"/>
      <c r="C6" s="5">
        <f>C5-$B$8</f>
        <v>-0.36034482758620684</v>
      </c>
      <c r="D6" s="5">
        <f t="shared" ref="D6:I6" si="0">D5-$B$8</f>
        <v>0.15482509747171919</v>
      </c>
      <c r="E6" s="5">
        <f t="shared" si="0"/>
        <v>2.8965124010452037</v>
      </c>
      <c r="F6" s="5">
        <f t="shared" si="0"/>
        <v>3.1592109180992214</v>
      </c>
      <c r="G6" s="5">
        <f t="shared" si="0"/>
        <v>3.2123004902205068</v>
      </c>
      <c r="H6" s="5">
        <f t="shared" si="0"/>
        <v>3.2241815651716159</v>
      </c>
      <c r="I6" s="5">
        <f t="shared" si="0"/>
        <v>3.2269228196480846</v>
      </c>
      <c r="J6" s="5">
        <f t="shared" ref="J6" si="1">J5-$B$8</f>
        <v>3.227561200076047</v>
      </c>
      <c r="K6" s="5">
        <f t="shared" ref="K6" si="2">K5-$B$8</f>
        <v>3.3195545236343609</v>
      </c>
      <c r="L6" s="5">
        <f t="shared" ref="L6" si="3">L5-$B$8</f>
        <v>3.3373919535818821</v>
      </c>
      <c r="M6" s="5">
        <f t="shared" ref="M6" si="4">M5-$B$8</f>
        <v>3.3413094063061877</v>
      </c>
    </row>
    <row r="7" spans="1:13" x14ac:dyDescent="0.25">
      <c r="A7" s="1"/>
    </row>
    <row r="8" spans="1:13" x14ac:dyDescent="0.25">
      <c r="A8" s="1" t="s">
        <v>34</v>
      </c>
      <c r="B8" s="5">
        <v>0.05</v>
      </c>
    </row>
    <row r="9" spans="1:13" x14ac:dyDescent="0.25">
      <c r="A9" s="1" t="s">
        <v>35</v>
      </c>
      <c r="B9" s="5">
        <v>0</v>
      </c>
    </row>
    <row r="10" spans="1:13" s="17" customFormat="1" x14ac:dyDescent="0.25"/>
    <row r="11" spans="1:13" x14ac:dyDescent="0.25">
      <c r="A11" s="16" t="s">
        <v>36</v>
      </c>
      <c r="G11" s="1" t="s">
        <v>43</v>
      </c>
      <c r="H11">
        <v>8</v>
      </c>
      <c r="K11" s="25"/>
    </row>
    <row r="12" spans="1:13" x14ac:dyDescent="0.25">
      <c r="A12" s="1" t="s">
        <v>31</v>
      </c>
      <c r="B12" s="15">
        <v>10.3</v>
      </c>
      <c r="D12" s="15">
        <v>10.3</v>
      </c>
      <c r="G12" s="1" t="s">
        <v>44</v>
      </c>
      <c r="H12" s="15">
        <v>3000</v>
      </c>
      <c r="K12" s="25"/>
    </row>
    <row r="13" spans="1:13" x14ac:dyDescent="0.25">
      <c r="A13" s="1" t="s">
        <v>38</v>
      </c>
      <c r="B13" s="15">
        <v>1.51</v>
      </c>
      <c r="D13" s="15">
        <v>1.95</v>
      </c>
      <c r="G13" s="1" t="s">
        <v>45</v>
      </c>
      <c r="H13" s="15">
        <v>16000</v>
      </c>
    </row>
    <row r="14" spans="1:13" x14ac:dyDescent="0.25">
      <c r="A14" s="1"/>
      <c r="K14" s="25"/>
    </row>
    <row r="15" spans="1:13" x14ac:dyDescent="0.25">
      <c r="A15" s="1" t="s">
        <v>34</v>
      </c>
      <c r="B15" s="5">
        <v>6.3E-2</v>
      </c>
      <c r="D15" s="5">
        <v>6.3E-2</v>
      </c>
      <c r="G15" s="1"/>
      <c r="H15" s="18"/>
      <c r="K15" s="25"/>
    </row>
    <row r="16" spans="1:13" x14ac:dyDescent="0.25">
      <c r="A16" s="1" t="s">
        <v>35</v>
      </c>
      <c r="B16" s="5">
        <v>2.8000000000000001E-2</v>
      </c>
      <c r="D16" s="5">
        <v>0</v>
      </c>
      <c r="G16" s="1"/>
      <c r="J16" s="2"/>
      <c r="K16" s="25"/>
    </row>
    <row r="17" spans="1:11" x14ac:dyDescent="0.25">
      <c r="A17" s="1"/>
      <c r="G17" s="1"/>
      <c r="J17" s="2"/>
      <c r="K17" s="25"/>
    </row>
    <row r="18" spans="1:11" x14ac:dyDescent="0.25">
      <c r="A18" s="1" t="s">
        <v>39</v>
      </c>
      <c r="B18" s="15">
        <f>-B12+(B13/(B15-B16))</f>
        <v>32.842857142857142</v>
      </c>
      <c r="D18" s="15">
        <f>-D12+(D13/(D15-D16))</f>
        <v>20.652380952380952</v>
      </c>
      <c r="J18" s="2"/>
      <c r="K18" s="25"/>
    </row>
    <row r="19" spans="1:11" x14ac:dyDescent="0.25">
      <c r="A19" s="1" t="s">
        <v>46</v>
      </c>
      <c r="B19" s="24">
        <f>((B13/B12)+B16)*100</f>
        <v>17.46019417475728</v>
      </c>
      <c r="C19" t="s">
        <v>30</v>
      </c>
      <c r="D19" s="24">
        <f>((D13/D12)+D16)*100</f>
        <v>18.932038834951452</v>
      </c>
      <c r="E19" s="18" t="s">
        <v>30</v>
      </c>
      <c r="J19" s="5"/>
      <c r="K19" s="25"/>
    </row>
    <row r="20" spans="1:11" x14ac:dyDescent="0.25">
      <c r="A20" s="1"/>
      <c r="B20" s="15"/>
      <c r="D20" s="1"/>
      <c r="E20" s="18"/>
      <c r="K20" s="25"/>
    </row>
    <row r="21" spans="1:11" x14ac:dyDescent="0.25">
      <c r="A21" s="8" t="s">
        <v>41</v>
      </c>
      <c r="K21" s="25"/>
    </row>
    <row r="22" spans="1:11" x14ac:dyDescent="0.25">
      <c r="A22" s="8" t="s">
        <v>40</v>
      </c>
    </row>
    <row r="23" spans="1:11" x14ac:dyDescent="0.25">
      <c r="A23" s="8" t="s">
        <v>42</v>
      </c>
    </row>
    <row r="25" spans="1:11" x14ac:dyDescent="0.25">
      <c r="A2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E5" sqref="E5"/>
    </sheetView>
  </sheetViews>
  <sheetFormatPr defaultRowHeight="15" x14ac:dyDescent="0.25"/>
  <cols>
    <col min="1" max="1" width="24.85546875" bestFit="1" customWidth="1"/>
    <col min="2" max="6" width="12.42578125" bestFit="1" customWidth="1"/>
    <col min="7" max="7" width="12.85546875" bestFit="1" customWidth="1"/>
    <col min="8" max="13" width="11.7109375" bestFit="1" customWidth="1"/>
  </cols>
  <sheetData>
    <row r="1" spans="1:13" x14ac:dyDescent="0.25">
      <c r="A1" s="16" t="s">
        <v>58</v>
      </c>
    </row>
    <row r="2" spans="1:13" x14ac:dyDescent="0.25">
      <c r="A2" s="1" t="s">
        <v>31</v>
      </c>
      <c r="B2" s="15">
        <v>5200000</v>
      </c>
      <c r="D2" s="1" t="s">
        <v>57</v>
      </c>
      <c r="E2" s="15">
        <v>10000</v>
      </c>
    </row>
    <row r="3" spans="1:13" x14ac:dyDescent="0.25">
      <c r="A3" s="1" t="s">
        <v>28</v>
      </c>
      <c r="B3" s="5">
        <v>9.7299999999999998E-2</v>
      </c>
      <c r="C3" s="15"/>
      <c r="D3" s="1" t="s">
        <v>10</v>
      </c>
      <c r="E3" s="15">
        <v>1400</v>
      </c>
      <c r="F3" s="15"/>
      <c r="G3" s="15"/>
      <c r="H3" s="15"/>
      <c r="I3" s="15"/>
      <c r="J3" s="15"/>
      <c r="K3" s="15"/>
      <c r="L3" s="15"/>
      <c r="M3" s="15"/>
    </row>
    <row r="4" spans="1:13" x14ac:dyDescent="0.25">
      <c r="D4" s="1"/>
    </row>
    <row r="5" spans="1:13" x14ac:dyDescent="0.25">
      <c r="A5" s="1" t="s">
        <v>5</v>
      </c>
      <c r="B5">
        <v>10</v>
      </c>
      <c r="C5" s="15"/>
      <c r="D5" s="22" t="s">
        <v>59</v>
      </c>
      <c r="E5" s="15">
        <f>E2/E3</f>
        <v>7.1428571428571432</v>
      </c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" t="s">
        <v>56</v>
      </c>
      <c r="B6" s="15">
        <v>1000000</v>
      </c>
      <c r="C6" s="5"/>
      <c r="D6" s="23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" t="s">
        <v>54</v>
      </c>
      <c r="B7" s="15">
        <f>PV(B3,B5,-B6)</f>
        <v>6216488.7549924944</v>
      </c>
      <c r="C7" s="5"/>
      <c r="D7" s="1"/>
      <c r="F7" s="5"/>
      <c r="G7" s="5"/>
      <c r="H7" s="5"/>
      <c r="I7" s="5"/>
      <c r="J7" s="5"/>
      <c r="K7" s="5"/>
      <c r="L7" s="5"/>
      <c r="M7" s="5"/>
    </row>
    <row r="8" spans="1:13" x14ac:dyDescent="0.25">
      <c r="D8" s="1"/>
    </row>
    <row r="9" spans="1:13" x14ac:dyDescent="0.25">
      <c r="A9" s="1" t="s">
        <v>5</v>
      </c>
      <c r="B9">
        <v>1000</v>
      </c>
      <c r="D9" s="1"/>
    </row>
    <row r="10" spans="1:13" x14ac:dyDescent="0.25">
      <c r="A10" s="1" t="s">
        <v>57</v>
      </c>
      <c r="B10" s="15">
        <v>99000</v>
      </c>
      <c r="D10" s="1"/>
    </row>
    <row r="11" spans="1:13" x14ac:dyDescent="0.25">
      <c r="A11" s="1" t="s">
        <v>55</v>
      </c>
      <c r="B11" s="15">
        <f>PV(B3,B9,B10)</f>
        <v>-1017471.7368961973</v>
      </c>
      <c r="D11" s="1"/>
    </row>
    <row r="12" spans="1:13" x14ac:dyDescent="0.25">
      <c r="D12" s="1"/>
    </row>
    <row r="13" spans="1:13" x14ac:dyDescent="0.25">
      <c r="A13" s="1" t="s">
        <v>33</v>
      </c>
      <c r="B13" s="15">
        <f>B7+B11-B2</f>
        <v>-982.98190370295197</v>
      </c>
      <c r="D13" s="1"/>
    </row>
    <row r="14" spans="1:13" s="17" customFormat="1" x14ac:dyDescent="0.25"/>
    <row r="15" spans="1:13" x14ac:dyDescent="0.25">
      <c r="A15" s="16" t="s">
        <v>37</v>
      </c>
    </row>
    <row r="16" spans="1:13" x14ac:dyDescent="0.25">
      <c r="A16" s="1" t="s">
        <v>28</v>
      </c>
      <c r="B16" s="5">
        <v>0.11</v>
      </c>
    </row>
    <row r="17" spans="1:7" x14ac:dyDescent="0.25">
      <c r="A17" s="1" t="s">
        <v>5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</row>
    <row r="18" spans="1:7" x14ac:dyDescent="0.25">
      <c r="E18" s="5">
        <v>0.35</v>
      </c>
      <c r="F18" s="5">
        <v>0.35</v>
      </c>
      <c r="G18" s="5">
        <v>0.35</v>
      </c>
    </row>
    <row r="19" spans="1:7" x14ac:dyDescent="0.25">
      <c r="A19" s="1" t="s">
        <v>49</v>
      </c>
      <c r="C19" s="21">
        <v>806000</v>
      </c>
      <c r="D19" s="21">
        <v>1560000</v>
      </c>
      <c r="E19" s="15">
        <f>D19*(1-E18)</f>
        <v>1014000</v>
      </c>
      <c r="F19" s="15">
        <f>E19*(1-F18)</f>
        <v>659100</v>
      </c>
      <c r="G19" s="15">
        <f>F19*(1-G18)</f>
        <v>428415</v>
      </c>
    </row>
    <row r="20" spans="1:7" x14ac:dyDescent="0.25">
      <c r="A20" s="1" t="s">
        <v>50</v>
      </c>
      <c r="C20" s="5">
        <v>0.55000000000000004</v>
      </c>
      <c r="D20" s="5">
        <v>0.55000000000000004</v>
      </c>
      <c r="E20" s="5">
        <v>0.55000000000000004</v>
      </c>
      <c r="F20" s="5">
        <v>0.55000000000000004</v>
      </c>
      <c r="G20" s="5">
        <v>0.55000000000000004</v>
      </c>
    </row>
    <row r="21" spans="1:7" x14ac:dyDescent="0.25">
      <c r="A21" s="1" t="s">
        <v>48</v>
      </c>
      <c r="C21" s="15">
        <f>C19*C20</f>
        <v>443300.00000000006</v>
      </c>
      <c r="D21" s="15">
        <f>D19*D20</f>
        <v>858000.00000000012</v>
      </c>
      <c r="E21" s="15">
        <f>E19*E20</f>
        <v>557700</v>
      </c>
      <c r="F21" s="15">
        <f>F19*F20</f>
        <v>362505.00000000006</v>
      </c>
      <c r="G21" s="15">
        <f>G19*G20</f>
        <v>235628.25000000003</v>
      </c>
    </row>
    <row r="22" spans="1:7" x14ac:dyDescent="0.25">
      <c r="A22" s="1" t="s">
        <v>51</v>
      </c>
      <c r="C22" s="15">
        <v>104000</v>
      </c>
      <c r="D22" s="15">
        <v>104000</v>
      </c>
      <c r="E22" s="15">
        <v>104000</v>
      </c>
      <c r="F22" s="15">
        <v>104000</v>
      </c>
      <c r="G22" s="15">
        <v>104000</v>
      </c>
    </row>
    <row r="24" spans="1:7" x14ac:dyDescent="0.25">
      <c r="A24" s="1" t="s">
        <v>52</v>
      </c>
      <c r="B24" s="15">
        <v>-901000</v>
      </c>
      <c r="C24" s="15">
        <f>C19-C21-C22</f>
        <v>258699.99999999994</v>
      </c>
      <c r="D24" s="15">
        <f>D19-D21-D22</f>
        <v>597999.99999999988</v>
      </c>
      <c r="E24" s="15">
        <f>E19-E21-E22</f>
        <v>352300</v>
      </c>
      <c r="F24" s="15">
        <f>F19-F21-F22</f>
        <v>192594.99999999994</v>
      </c>
      <c r="G24" s="15">
        <f>G19-G21-G22</f>
        <v>88786.749999999971</v>
      </c>
    </row>
    <row r="25" spans="1:7" x14ac:dyDescent="0.25">
      <c r="A25" s="1" t="s">
        <v>53</v>
      </c>
      <c r="C25" s="15">
        <f>NPV($B$16,$C$24)+$B$24</f>
        <v>-667936.93693693704</v>
      </c>
      <c r="D25" s="15">
        <f>NPV($B$16,$C$24:D24)+$B$24</f>
        <v>-182586.72185699246</v>
      </c>
      <c r="E25" s="15">
        <f>NPV($B$16,$C$24:E24)+$B$24</f>
        <v>75012.001775332377</v>
      </c>
      <c r="F25" s="15">
        <f>NPV($B$16,$C$24:F24)+$B$24</f>
        <v>201880.29374078871</v>
      </c>
      <c r="G25" s="15">
        <f>NPV($B$16,$C$24:G24)+$B$24</f>
        <v>254570.9084422919</v>
      </c>
    </row>
    <row r="26" spans="1:7" x14ac:dyDescent="0.25">
      <c r="A26" s="1" t="s">
        <v>46</v>
      </c>
      <c r="C26" s="5">
        <f>IRR($B$24:C24,$B$16)</f>
        <v>-0.71287458379578261</v>
      </c>
      <c r="D26" s="5">
        <f>IRR($B$24:D24,$B$16)</f>
        <v>-2.9202595219574912E-2</v>
      </c>
      <c r="E26" s="5">
        <f>IRR($B$24:E24,$B$16)</f>
        <v>0.15493464178807836</v>
      </c>
      <c r="F26" s="5">
        <f>IRR($B$24:F24,$B$16)</f>
        <v>0.21611763883982094</v>
      </c>
      <c r="G26" s="5">
        <f>IRR($B$24:G24,$B$16)</f>
        <v>0.23577018173163489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4" workbookViewId="0">
      <selection activeCell="E20" sqref="E20"/>
    </sheetView>
  </sheetViews>
  <sheetFormatPr defaultRowHeight="15" x14ac:dyDescent="0.25"/>
  <cols>
    <col min="1" max="1" width="23.140625" bestFit="1" customWidth="1"/>
    <col min="2" max="2" width="15.42578125" bestFit="1" customWidth="1"/>
    <col min="3" max="6" width="14.5703125" bestFit="1" customWidth="1"/>
    <col min="7" max="9" width="10.140625" bestFit="1" customWidth="1"/>
    <col min="11" max="13" width="11.7109375" bestFit="1" customWidth="1"/>
  </cols>
  <sheetData>
    <row r="1" spans="1:18" x14ac:dyDescent="0.25">
      <c r="A1" s="16" t="s">
        <v>61</v>
      </c>
    </row>
    <row r="2" spans="1:18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8" x14ac:dyDescent="0.25">
      <c r="A3" s="1" t="s">
        <v>62</v>
      </c>
      <c r="B3" s="15">
        <v>-29</v>
      </c>
      <c r="C3" s="15">
        <v>20</v>
      </c>
      <c r="D3" s="15">
        <v>19</v>
      </c>
      <c r="E3" s="15"/>
      <c r="F3" s="15"/>
      <c r="G3" s="15"/>
      <c r="H3" s="15"/>
      <c r="I3" s="15"/>
      <c r="J3" s="15"/>
      <c r="K3" s="15"/>
      <c r="L3" s="15"/>
      <c r="M3" s="15"/>
    </row>
    <row r="4" spans="1:18" x14ac:dyDescent="0.25">
      <c r="A4" s="1" t="s">
        <v>63</v>
      </c>
      <c r="B4" s="15">
        <v>-78</v>
      </c>
      <c r="C4" s="15">
        <v>40</v>
      </c>
      <c r="D4" s="15">
        <v>51</v>
      </c>
      <c r="E4" s="15"/>
      <c r="F4" s="15"/>
      <c r="G4" s="15"/>
      <c r="H4" s="15"/>
      <c r="I4" s="15"/>
      <c r="J4" s="15"/>
      <c r="K4" s="15"/>
      <c r="L4" s="15"/>
      <c r="M4" s="15"/>
    </row>
    <row r="5" spans="1:18" x14ac:dyDescent="0.25">
      <c r="A5" s="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8" x14ac:dyDescent="0.25">
      <c r="A6" s="1" t="s">
        <v>64</v>
      </c>
      <c r="B6" s="15">
        <f>B3-B4</f>
        <v>49</v>
      </c>
      <c r="C6" s="15">
        <f>C3-C4</f>
        <v>-20</v>
      </c>
      <c r="D6" s="15">
        <f>D3-D4</f>
        <v>-32</v>
      </c>
      <c r="E6" s="15"/>
      <c r="F6" s="15"/>
      <c r="G6" s="15"/>
      <c r="H6" s="15"/>
      <c r="I6" s="15"/>
      <c r="J6" s="15"/>
      <c r="K6" s="15"/>
      <c r="L6" s="15"/>
      <c r="M6" s="15"/>
    </row>
    <row r="7" spans="1:18" x14ac:dyDescent="0.25">
      <c r="A7" s="1" t="s">
        <v>65</v>
      </c>
      <c r="B7" s="15"/>
      <c r="C7" s="15">
        <f>NPV($B$11-$B$12,$C$6:C6)+$B$6</f>
        <v>30.132075471698116</v>
      </c>
      <c r="D7" s="15">
        <f>NPV($B$11-$B$12,$C$6:D6)+$B$6</f>
        <v>1.6521893912424446</v>
      </c>
      <c r="E7" s="15">
        <f>NPV($B$11-$B$12,$C$6:E6)+$B$6</f>
        <v>1.6521893912424446</v>
      </c>
      <c r="F7" s="15">
        <f>NPV($B$11-$B$12,$C$6:F6)+$B$6</f>
        <v>1.6521893912424446</v>
      </c>
      <c r="G7" s="15">
        <f>NPV($B$11-$B$12,$C$6:G6)+$B$6</f>
        <v>1.6521893912424446</v>
      </c>
      <c r="H7" s="15">
        <f>NPV($B$11-$B$12,$C$6:H6)+$B$6</f>
        <v>1.6521893912424446</v>
      </c>
      <c r="I7" s="15">
        <f>NPV($B$11-$B$12,$C$6:I6)+$B$6</f>
        <v>1.6521893912424446</v>
      </c>
      <c r="J7" s="15">
        <f>NPV($B$11-$B$12,$C$6:J6)+$B$6</f>
        <v>1.6521893912424446</v>
      </c>
      <c r="K7" s="15">
        <f>NPV($B$11-$B$12,$C$6:K6)+$B$6</f>
        <v>1.6521893912424446</v>
      </c>
      <c r="L7" s="15">
        <f>NPV($B$11-$B$12,$C$6:L6)+$B$6</f>
        <v>1.6521893912424446</v>
      </c>
      <c r="M7" s="15">
        <f>NPV($B$11-$B$12,$C$6:M6)+$B$6</f>
        <v>1.6521893912424446</v>
      </c>
    </row>
    <row r="8" spans="1:18" x14ac:dyDescent="0.25">
      <c r="A8" s="1" t="s">
        <v>60</v>
      </c>
      <c r="B8" s="15"/>
      <c r="C8" s="5">
        <f>IRR($B$6:C6,$B$11)</f>
        <v>-0.59183673469387754</v>
      </c>
      <c r="D8" s="5">
        <f>IRR($B$6:D6,$B$11)</f>
        <v>3.7574606394372934E-2</v>
      </c>
      <c r="E8" s="5">
        <f>IRR($B$6:E6,$B$11)</f>
        <v>3.7574606394372934E-2</v>
      </c>
      <c r="F8" s="5">
        <f>IRR($B$6:F6,$B$11)</f>
        <v>3.7574606394372934E-2</v>
      </c>
      <c r="G8" s="5">
        <f>IRR($B$6:G6,$B$11)</f>
        <v>3.7574606394372934E-2</v>
      </c>
      <c r="H8" s="5">
        <f>IRR($B$6:H6,$B$11)</f>
        <v>3.7574606394372934E-2</v>
      </c>
      <c r="I8" s="5">
        <f>IRR($B$6:I6,$B$11)</f>
        <v>3.7574606394372934E-2</v>
      </c>
      <c r="J8" s="5">
        <f>IRR($B$6:J6,$B$11)</f>
        <v>3.7574606394372934E-2</v>
      </c>
      <c r="K8" s="5">
        <f>IRR($B$6:K6,$B$11)</f>
        <v>3.7574606394372934E-2</v>
      </c>
      <c r="L8" s="5">
        <f>IRR($B$6:L6,$B$11)</f>
        <v>3.7574606394372934E-2</v>
      </c>
      <c r="M8" s="5">
        <f>IRR($B$6:M6,$B$11)</f>
        <v>3.7574606394372934E-2</v>
      </c>
    </row>
    <row r="9" spans="1:18" x14ac:dyDescent="0.25">
      <c r="A9" s="19" t="s">
        <v>47</v>
      </c>
      <c r="B9" s="15"/>
      <c r="C9" s="5">
        <f>C8-$B$11</f>
        <v>-0.6518367346938776</v>
      </c>
      <c r="D9" s="5">
        <f t="shared" ref="D9:M9" si="0">D8-$B$11</f>
        <v>-2.2425393605627064E-2</v>
      </c>
      <c r="E9" s="5">
        <f t="shared" si="0"/>
        <v>-2.2425393605627064E-2</v>
      </c>
      <c r="F9" s="5">
        <f t="shared" si="0"/>
        <v>-2.2425393605627064E-2</v>
      </c>
      <c r="G9" s="5">
        <f t="shared" si="0"/>
        <v>-2.2425393605627064E-2</v>
      </c>
      <c r="H9" s="5">
        <f t="shared" si="0"/>
        <v>-2.2425393605627064E-2</v>
      </c>
      <c r="I9" s="5">
        <f t="shared" si="0"/>
        <v>-2.2425393605627064E-2</v>
      </c>
      <c r="J9" s="5">
        <f t="shared" si="0"/>
        <v>-2.2425393605627064E-2</v>
      </c>
      <c r="K9" s="5">
        <f t="shared" si="0"/>
        <v>-2.2425393605627064E-2</v>
      </c>
      <c r="L9" s="5">
        <f t="shared" si="0"/>
        <v>-2.2425393605627064E-2</v>
      </c>
      <c r="M9" s="5">
        <f t="shared" si="0"/>
        <v>-2.2425393605627064E-2</v>
      </c>
    </row>
    <row r="10" spans="1:18" x14ac:dyDescent="0.25">
      <c r="A10" s="1"/>
    </row>
    <row r="11" spans="1:18" x14ac:dyDescent="0.25">
      <c r="A11" s="1" t="s">
        <v>34</v>
      </c>
      <c r="B11" s="5">
        <v>0.06</v>
      </c>
    </row>
    <row r="12" spans="1:18" x14ac:dyDescent="0.25">
      <c r="A12" s="1" t="s">
        <v>35</v>
      </c>
      <c r="B12" s="5">
        <v>0</v>
      </c>
    </row>
    <row r="13" spans="1:18" s="17" customFormat="1" x14ac:dyDescent="0.25"/>
    <row r="14" spans="1:18" x14ac:dyDescent="0.25">
      <c r="A14" s="16" t="s">
        <v>61</v>
      </c>
      <c r="D14" s="16" t="s">
        <v>94</v>
      </c>
    </row>
    <row r="15" spans="1:18" x14ac:dyDescent="0.25">
      <c r="A15" s="1" t="s">
        <v>5</v>
      </c>
      <c r="B15">
        <v>1</v>
      </c>
      <c r="D15" s="1" t="s">
        <v>5</v>
      </c>
      <c r="E15">
        <v>1</v>
      </c>
      <c r="G15" s="1" t="s">
        <v>99</v>
      </c>
      <c r="H15">
        <v>0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</row>
    <row r="16" spans="1:18" x14ac:dyDescent="0.25">
      <c r="A16" s="1" t="s">
        <v>85</v>
      </c>
      <c r="B16" s="15">
        <v>30464</v>
      </c>
      <c r="C16" s="15"/>
      <c r="D16" s="1" t="s">
        <v>95</v>
      </c>
      <c r="E16">
        <v>7.4</v>
      </c>
      <c r="G16" s="1" t="s">
        <v>100</v>
      </c>
      <c r="H16" s="5">
        <v>0.2</v>
      </c>
      <c r="I16" s="5">
        <v>0.32</v>
      </c>
      <c r="J16" s="5">
        <v>0.192</v>
      </c>
      <c r="K16" s="5">
        <v>0.1152</v>
      </c>
      <c r="L16" s="5">
        <v>0.1152</v>
      </c>
      <c r="M16" s="5">
        <f>1-SUM(H16:L16)</f>
        <v>5.7600000000000096E-2</v>
      </c>
      <c r="N16" s="5">
        <f t="shared" ref="N16:R16" si="1">1-SUM(I16:M16)</f>
        <v>0.19999999999999996</v>
      </c>
      <c r="O16" s="5">
        <f t="shared" si="1"/>
        <v>0.31999999999999995</v>
      </c>
      <c r="P16" s="5">
        <f t="shared" si="1"/>
        <v>0.19199999999999995</v>
      </c>
      <c r="Q16" s="5">
        <f t="shared" si="1"/>
        <v>0.11520000000000008</v>
      </c>
      <c r="R16" s="5">
        <f t="shared" si="1"/>
        <v>0.11519999999999997</v>
      </c>
    </row>
    <row r="17" spans="1:18" x14ac:dyDescent="0.25">
      <c r="A17" s="1" t="s">
        <v>83</v>
      </c>
      <c r="B17" s="15">
        <v>294</v>
      </c>
      <c r="C17" s="15"/>
      <c r="D17" s="1" t="s">
        <v>97</v>
      </c>
      <c r="E17" s="5">
        <v>0.36</v>
      </c>
      <c r="G17" s="1" t="s">
        <v>101</v>
      </c>
      <c r="H17">
        <f>$E$16*$E$17*H16</f>
        <v>0.53280000000000005</v>
      </c>
      <c r="I17">
        <f t="shared" ref="I17" si="2">$E$16*$E$17*I16</f>
        <v>0.85248000000000002</v>
      </c>
      <c r="J17">
        <f t="shared" ref="J17" si="3">$E$16*$E$17*J16</f>
        <v>0.51148800000000005</v>
      </c>
      <c r="K17">
        <f t="shared" ref="K17" si="4">$E$16*$E$17*K16</f>
        <v>0.30689280000000002</v>
      </c>
      <c r="L17">
        <f t="shared" ref="L17" si="5">$E$16*$E$17*L16</f>
        <v>0.30689280000000002</v>
      </c>
      <c r="M17">
        <f>$E$16*$E$17*M16</f>
        <v>0.15344640000000026</v>
      </c>
      <c r="N17">
        <f t="shared" ref="N17" si="6">$E$16*$E$17*N16</f>
        <v>0.53279999999999994</v>
      </c>
      <c r="O17">
        <f t="shared" ref="O17" si="7">$E$16*$E$17*O16</f>
        <v>0.8524799999999999</v>
      </c>
      <c r="P17">
        <f t="shared" ref="P17" si="8">$E$16*$E$17*P16</f>
        <v>0.51148799999999994</v>
      </c>
      <c r="Q17">
        <f t="shared" ref="Q17" si="9">$E$16*$E$17*Q16</f>
        <v>0.30689280000000024</v>
      </c>
      <c r="R17">
        <f t="shared" ref="R17" si="10">$E$16*$E$17*R16</f>
        <v>0.30689279999999991</v>
      </c>
    </row>
    <row r="18" spans="1:18" x14ac:dyDescent="0.25">
      <c r="A18" s="1" t="s">
        <v>84</v>
      </c>
      <c r="B18">
        <v>89</v>
      </c>
      <c r="C18" s="15"/>
      <c r="G18" s="1" t="s">
        <v>103</v>
      </c>
      <c r="H18" s="13">
        <f>PV($E$22,H15,,-H17)</f>
        <v>0.53280000000000005</v>
      </c>
      <c r="I18" s="13">
        <f t="shared" ref="I18:M18" si="11">PV($E$22,I15,,-I17)</f>
        <v>0.79671028037383174</v>
      </c>
      <c r="J18" s="13">
        <f t="shared" si="11"/>
        <v>0.44675342824700853</v>
      </c>
      <c r="K18" s="13">
        <f t="shared" si="11"/>
        <v>0.25051594107308883</v>
      </c>
      <c r="L18" s="13">
        <f t="shared" si="11"/>
        <v>0.23412704773185877</v>
      </c>
      <c r="M18" s="13">
        <f t="shared" si="11"/>
        <v>0.10940516249152295</v>
      </c>
      <c r="N18" s="13">
        <f>NPV($E$22,$I$17:N17)/(1+$E$22)+M18</f>
        <v>2.1585070286286712</v>
      </c>
      <c r="O18" s="13">
        <f>NPV($E$22,$I$17:O17)/(1+$E$22)+N18</f>
        <v>4.7037600162254236</v>
      </c>
      <c r="P18" s="13">
        <f>NPV($E$22,$I$17:P17)/(1+$E$22)+O18</f>
        <v>7.5272285859490564</v>
      </c>
      <c r="Q18" s="13">
        <f>NPV($E$22,$I$17:Q17)/(1+$E$22)+P18</f>
        <v>10.506705893313931</v>
      </c>
      <c r="R18" s="13">
        <f>NPV($E$22,$I$17:R17)/(1+$E$22)+Q18</f>
        <v>13.631985759222022</v>
      </c>
    </row>
    <row r="19" spans="1:18" x14ac:dyDescent="0.25">
      <c r="A19" s="1" t="s">
        <v>90</v>
      </c>
      <c r="B19" s="15">
        <f>B16*(B17-B32)</f>
        <v>2802688</v>
      </c>
      <c r="C19" s="15"/>
      <c r="D19" s="1" t="s">
        <v>96</v>
      </c>
      <c r="E19" s="15">
        <f>E16/E15</f>
        <v>7.4</v>
      </c>
      <c r="G19" s="1" t="s">
        <v>133</v>
      </c>
      <c r="H19" s="13">
        <f t="shared" ref="H19:L19" si="12">SUM(C18:H18)</f>
        <v>0.53280000000000005</v>
      </c>
      <c r="I19" s="13">
        <f t="shared" si="12"/>
        <v>1.3295102803738317</v>
      </c>
      <c r="J19" s="13">
        <f t="shared" si="12"/>
        <v>1.7762637086208402</v>
      </c>
      <c r="K19" s="13">
        <f t="shared" si="12"/>
        <v>2.0267796496939292</v>
      </c>
      <c r="L19" s="13">
        <f t="shared" si="12"/>
        <v>2.2609066974257881</v>
      </c>
      <c r="M19" s="13">
        <f>SUM(H18:M18)</f>
        <v>2.3703118599173112</v>
      </c>
      <c r="N19" s="13"/>
      <c r="O19" s="13"/>
      <c r="P19" s="13"/>
      <c r="Q19" s="13"/>
      <c r="R19" s="13"/>
    </row>
    <row r="20" spans="1:18" x14ac:dyDescent="0.25">
      <c r="A20" s="1" t="s">
        <v>91</v>
      </c>
      <c r="B20" s="15">
        <f>B16*(B18-$B$33)</f>
        <v>1762342.4000000001</v>
      </c>
      <c r="C20" s="15"/>
      <c r="D20" s="22" t="s">
        <v>98</v>
      </c>
      <c r="E20" s="20">
        <f>E19*E17</f>
        <v>2.6640000000000001</v>
      </c>
      <c r="G20" s="1"/>
    </row>
    <row r="21" spans="1:18" x14ac:dyDescent="0.25">
      <c r="A21" s="1"/>
      <c r="B21" s="15"/>
      <c r="C21" s="15"/>
      <c r="D21" s="22"/>
      <c r="E21" s="15"/>
      <c r="F21" s="15"/>
      <c r="G21" s="1" t="s">
        <v>102</v>
      </c>
      <c r="H21">
        <v>0</v>
      </c>
      <c r="I21">
        <f>($E$16/$E$15)*($E$17)</f>
        <v>2.6640000000000001</v>
      </c>
      <c r="J21">
        <f t="shared" ref="J21:R21" si="13">($E$16/$E$15)*($E$17)</f>
        <v>2.6640000000000001</v>
      </c>
      <c r="K21">
        <f t="shared" si="13"/>
        <v>2.6640000000000001</v>
      </c>
      <c r="L21">
        <f t="shared" si="13"/>
        <v>2.6640000000000001</v>
      </c>
      <c r="M21">
        <f t="shared" si="13"/>
        <v>2.6640000000000001</v>
      </c>
      <c r="N21">
        <f t="shared" si="13"/>
        <v>2.6640000000000001</v>
      </c>
      <c r="O21">
        <f t="shared" si="13"/>
        <v>2.6640000000000001</v>
      </c>
      <c r="P21">
        <f t="shared" si="13"/>
        <v>2.6640000000000001</v>
      </c>
      <c r="Q21">
        <f t="shared" si="13"/>
        <v>2.6640000000000001</v>
      </c>
      <c r="R21">
        <f t="shared" si="13"/>
        <v>2.6640000000000001</v>
      </c>
    </row>
    <row r="22" spans="1:18" x14ac:dyDescent="0.25">
      <c r="A22" s="1" t="s">
        <v>82</v>
      </c>
      <c r="B22" s="15">
        <v>23800</v>
      </c>
      <c r="C22" s="15"/>
      <c r="D22" s="22" t="s">
        <v>104</v>
      </c>
      <c r="E22" s="51">
        <v>7.0000000000000007E-2</v>
      </c>
      <c r="F22" s="15"/>
      <c r="G22" s="22" t="s">
        <v>103</v>
      </c>
      <c r="H22" s="15">
        <f t="shared" ref="H22:R22" si="14">PV($E$22,H15,-H21)</f>
        <v>0</v>
      </c>
      <c r="I22" s="15">
        <f t="shared" si="14"/>
        <v>2.4897196261682262</v>
      </c>
      <c r="J22" s="15">
        <f t="shared" si="14"/>
        <v>4.8165603982880603</v>
      </c>
      <c r="K22" s="15">
        <f t="shared" si="14"/>
        <v>6.9911779423252911</v>
      </c>
      <c r="L22" s="15">
        <f t="shared" si="14"/>
        <v>9.0235307872198955</v>
      </c>
      <c r="M22" s="20">
        <f t="shared" si="14"/>
        <v>10.922925969364393</v>
      </c>
      <c r="N22" s="20">
        <f t="shared" si="14"/>
        <v>12.698061653611578</v>
      </c>
      <c r="O22" s="20">
        <f t="shared" si="14"/>
        <v>14.35706696599213</v>
      </c>
      <c r="P22" s="20">
        <f t="shared" si="14"/>
        <v>15.907539220553392</v>
      </c>
      <c r="Q22" s="20">
        <f t="shared" si="14"/>
        <v>17.356578710797567</v>
      </c>
      <c r="R22" s="20">
        <f t="shared" si="14"/>
        <v>18.710821225044455</v>
      </c>
    </row>
    <row r="23" spans="1:18" x14ac:dyDescent="0.25">
      <c r="A23" s="1" t="s">
        <v>81</v>
      </c>
      <c r="B23" s="15">
        <v>343</v>
      </c>
      <c r="C23" s="15"/>
      <c r="D23" s="15"/>
      <c r="E23" s="22"/>
      <c r="G23" s="15"/>
      <c r="H23" s="15"/>
      <c r="I23" s="15"/>
      <c r="J23" s="15"/>
      <c r="K23" s="15"/>
      <c r="L23" s="15"/>
    </row>
    <row r="24" spans="1:18" x14ac:dyDescent="0.25">
      <c r="A24" s="1" t="s">
        <v>86</v>
      </c>
      <c r="B24" s="15">
        <v>89</v>
      </c>
      <c r="C24" s="15"/>
      <c r="D24" s="15"/>
      <c r="E24" s="22"/>
      <c r="F24" s="15"/>
      <c r="G24" s="15"/>
      <c r="H24" s="15"/>
      <c r="I24" s="15"/>
      <c r="J24" s="15"/>
      <c r="K24" s="15"/>
      <c r="L24" s="15"/>
      <c r="M24" s="15"/>
    </row>
    <row r="25" spans="1:18" x14ac:dyDescent="0.25">
      <c r="A25" s="1" t="s">
        <v>92</v>
      </c>
      <c r="B25" s="15">
        <f>B22*(B23-B32)</f>
        <v>3355800</v>
      </c>
      <c r="C25" s="15"/>
      <c r="D25" s="15"/>
      <c r="E25" s="22"/>
      <c r="F25" s="15"/>
      <c r="G25" s="15"/>
      <c r="H25" s="15"/>
      <c r="I25" s="15"/>
      <c r="J25" s="15"/>
      <c r="K25" s="15"/>
      <c r="L25" s="15"/>
      <c r="M25" s="15"/>
    </row>
    <row r="26" spans="1:18" x14ac:dyDescent="0.25">
      <c r="A26" s="1" t="s">
        <v>93</v>
      </c>
      <c r="B26" s="15">
        <f>B22*(B24-$B$33)</f>
        <v>1376830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8" x14ac:dyDescent="0.25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8" x14ac:dyDescent="0.25">
      <c r="A28" s="1" t="s">
        <v>87</v>
      </c>
      <c r="B28" s="15">
        <f>B19-B25</f>
        <v>-553112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8" x14ac:dyDescent="0.25">
      <c r="A29" s="1" t="s">
        <v>89</v>
      </c>
      <c r="B29" s="15">
        <f>B20-B26</f>
        <v>385512.40000000014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8" x14ac:dyDescent="0.25">
      <c r="A30" s="1" t="s">
        <v>88</v>
      </c>
      <c r="B30" s="15">
        <f>B28+B29</f>
        <v>-167599.59999999986</v>
      </c>
      <c r="G30" s="15"/>
      <c r="H30" s="15"/>
      <c r="I30" s="15"/>
      <c r="J30" s="15"/>
      <c r="K30" s="15"/>
      <c r="L30" s="15"/>
      <c r="M30" s="15"/>
    </row>
    <row r="31" spans="1:18" x14ac:dyDescent="0.25">
      <c r="A31" s="1"/>
    </row>
    <row r="32" spans="1:18" x14ac:dyDescent="0.25">
      <c r="A32" s="1" t="s">
        <v>79</v>
      </c>
      <c r="B32">
        <v>202</v>
      </c>
      <c r="D32" s="15"/>
    </row>
    <row r="33" spans="1:4" x14ac:dyDescent="0.25">
      <c r="A33" s="1" t="s">
        <v>80</v>
      </c>
      <c r="B33">
        <f>89*(1-0.65)</f>
        <v>31.15</v>
      </c>
      <c r="D33" s="15"/>
    </row>
    <row r="34" spans="1:4" x14ac:dyDescent="0.25">
      <c r="D34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opLeftCell="A15" workbookViewId="0">
      <selection activeCell="L34" sqref="L34"/>
    </sheetView>
  </sheetViews>
  <sheetFormatPr defaultRowHeight="15" x14ac:dyDescent="0.25"/>
  <cols>
    <col min="1" max="1" width="21" bestFit="1" customWidth="1"/>
    <col min="2" max="2" width="12.7109375" bestFit="1" customWidth="1"/>
    <col min="3" max="4" width="10.85546875" bestFit="1" customWidth="1"/>
    <col min="5" max="6" width="12.42578125" bestFit="1" customWidth="1"/>
    <col min="7" max="7" width="14.42578125" bestFit="1" customWidth="1"/>
    <col min="8" max="8" width="13.5703125" bestFit="1" customWidth="1"/>
    <col min="9" max="9" width="12.85546875" customWidth="1"/>
    <col min="10" max="12" width="12.42578125" bestFit="1" customWidth="1"/>
    <col min="13" max="13" width="10.85546875" bestFit="1" customWidth="1"/>
    <col min="14" max="14" width="10.5703125" bestFit="1" customWidth="1"/>
  </cols>
  <sheetData>
    <row r="1" spans="1:15" x14ac:dyDescent="0.25">
      <c r="A1" s="27"/>
      <c r="B1" s="27"/>
      <c r="C1" s="27"/>
      <c r="D1" s="27"/>
      <c r="E1" s="27"/>
      <c r="F1" s="27"/>
      <c r="G1" s="27" t="s">
        <v>69</v>
      </c>
      <c r="H1" s="27" t="s">
        <v>68</v>
      </c>
      <c r="I1" s="58"/>
      <c r="J1" s="58"/>
      <c r="K1" s="58"/>
      <c r="L1" s="58"/>
      <c r="M1" s="58"/>
      <c r="N1" s="58"/>
      <c r="O1" s="27"/>
    </row>
    <row r="2" spans="1:15" ht="15.75" thickBot="1" x14ac:dyDescent="0.3">
      <c r="A2" s="28" t="s">
        <v>70</v>
      </c>
      <c r="B2" s="28">
        <v>0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 t="s">
        <v>71</v>
      </c>
      <c r="I2" s="28" t="s">
        <v>72</v>
      </c>
      <c r="J2" s="28"/>
      <c r="K2" s="28" t="s">
        <v>66</v>
      </c>
      <c r="L2" s="28" t="s">
        <v>67</v>
      </c>
    </row>
    <row r="3" spans="1:15" x14ac:dyDescent="0.25">
      <c r="A3" s="44" t="s">
        <v>73</v>
      </c>
      <c r="B3" s="30">
        <v>-3000000</v>
      </c>
      <c r="C3" s="30">
        <v>0</v>
      </c>
      <c r="D3" s="30">
        <v>0</v>
      </c>
      <c r="E3" s="30">
        <v>0</v>
      </c>
      <c r="F3" s="30">
        <v>0</v>
      </c>
      <c r="G3" s="30">
        <v>18000000</v>
      </c>
      <c r="H3" s="26">
        <v>15</v>
      </c>
      <c r="I3" s="31">
        <f>IRR(B3:G3,(H3/100))*100</f>
        <v>43.096908110525092</v>
      </c>
      <c r="J3" s="29" t="s">
        <v>30</v>
      </c>
      <c r="K3" s="32">
        <f>NPV(H3/100,C3:G3)+B3</f>
        <v>5949181.2353692204</v>
      </c>
      <c r="L3" s="48">
        <f>1 + -(K3+B3)/B3</f>
        <v>1.9830604117897401</v>
      </c>
      <c r="M3" s="43"/>
    </row>
    <row r="4" spans="1:15" x14ac:dyDescent="0.25">
      <c r="A4" s="45" t="s">
        <v>74</v>
      </c>
      <c r="B4" s="34">
        <v>-15000000</v>
      </c>
      <c r="C4" s="34">
        <v>0</v>
      </c>
      <c r="D4" s="34">
        <v>0</v>
      </c>
      <c r="E4" s="34">
        <v>0</v>
      </c>
      <c r="F4" s="34">
        <v>0</v>
      </c>
      <c r="G4" s="34">
        <v>75500000</v>
      </c>
      <c r="H4" s="35">
        <v>15</v>
      </c>
      <c r="I4" s="36">
        <f>IRR(B4:G4,(H4/100))*100</f>
        <v>38.156441483607686</v>
      </c>
      <c r="J4" s="33" t="s">
        <v>30</v>
      </c>
      <c r="K4" s="37">
        <f t="shared" ref="K4:K8" si="0">NPV(H4/100,C4:G4)+B4</f>
        <v>22536843.515020892</v>
      </c>
      <c r="L4" s="50">
        <f t="shared" ref="L4:L8" si="1">1 + -(K4+B4)/B4</f>
        <v>1.5024562343347261</v>
      </c>
      <c r="M4" s="43"/>
    </row>
    <row r="5" spans="1:15" x14ac:dyDescent="0.25">
      <c r="A5" s="46" t="s">
        <v>75</v>
      </c>
      <c r="B5" s="30">
        <v>-9000000</v>
      </c>
      <c r="C5" s="30">
        <v>0</v>
      </c>
      <c r="D5" s="30">
        <v>0</v>
      </c>
      <c r="E5" s="30">
        <v>0</v>
      </c>
      <c r="F5" s="30">
        <v>0</v>
      </c>
      <c r="G5" s="30">
        <v>50000000</v>
      </c>
      <c r="H5" s="26">
        <v>15</v>
      </c>
      <c r="I5" s="31">
        <f t="shared" ref="I5:I8" si="2">IRR(B5:G5,(H5/100))*100</f>
        <v>40.911195330433237</v>
      </c>
      <c r="J5" s="29" t="s">
        <v>30</v>
      </c>
      <c r="K5" s="32">
        <f t="shared" si="0"/>
        <v>15858836.764914494</v>
      </c>
      <c r="L5" s="48">
        <f t="shared" si="1"/>
        <v>1.7620929738793882</v>
      </c>
      <c r="M5" s="43"/>
    </row>
    <row r="6" spans="1:15" x14ac:dyDescent="0.25">
      <c r="A6" s="45" t="s">
        <v>76</v>
      </c>
      <c r="B6" s="34">
        <v>-6000000</v>
      </c>
      <c r="C6" s="34">
        <v>0</v>
      </c>
      <c r="D6" s="34">
        <v>0</v>
      </c>
      <c r="E6" s="34">
        <v>0</v>
      </c>
      <c r="F6" s="34">
        <v>0</v>
      </c>
      <c r="G6" s="34">
        <v>35500000</v>
      </c>
      <c r="H6" s="35">
        <v>8</v>
      </c>
      <c r="I6" s="36">
        <f t="shared" si="2"/>
        <v>42.697189830286497</v>
      </c>
      <c r="J6" s="33" t="s">
        <v>30</v>
      </c>
      <c r="K6" s="37">
        <f t="shared" si="0"/>
        <v>18160703.49469823</v>
      </c>
      <c r="L6" s="50">
        <f t="shared" si="1"/>
        <v>3.0267839157830383</v>
      </c>
      <c r="M6" s="43"/>
    </row>
    <row r="7" spans="1:15" x14ac:dyDescent="0.25">
      <c r="A7" s="46" t="s">
        <v>77</v>
      </c>
      <c r="B7" s="30">
        <v>-3000000</v>
      </c>
      <c r="C7" s="30">
        <v>0</v>
      </c>
      <c r="D7" s="30">
        <v>0</v>
      </c>
      <c r="E7" s="30">
        <v>0</v>
      </c>
      <c r="F7" s="30">
        <v>0</v>
      </c>
      <c r="G7" s="30">
        <v>10000000</v>
      </c>
      <c r="H7" s="26">
        <v>8</v>
      </c>
      <c r="I7" s="31">
        <f t="shared" si="2"/>
        <v>27.22596365393921</v>
      </c>
      <c r="J7" s="29" t="s">
        <v>30</v>
      </c>
      <c r="K7" s="32">
        <f t="shared" si="0"/>
        <v>3805831.9703375297</v>
      </c>
      <c r="L7" s="48">
        <f t="shared" si="1"/>
        <v>1.2686106567791766</v>
      </c>
      <c r="M7" s="43"/>
    </row>
    <row r="8" spans="1:15" ht="15.75" thickBot="1" x14ac:dyDescent="0.3">
      <c r="A8" s="47" t="s">
        <v>78</v>
      </c>
      <c r="B8" s="39">
        <v>-9000000</v>
      </c>
      <c r="C8" s="39">
        <v>0</v>
      </c>
      <c r="D8" s="39">
        <v>0</v>
      </c>
      <c r="E8" s="39">
        <v>0</v>
      </c>
      <c r="F8" s="39">
        <v>0</v>
      </c>
      <c r="G8" s="39">
        <v>46500000</v>
      </c>
      <c r="H8" s="40">
        <v>8</v>
      </c>
      <c r="I8" s="41">
        <f t="shared" si="2"/>
        <v>38.880761359949915</v>
      </c>
      <c r="J8" s="38" t="s">
        <v>30</v>
      </c>
      <c r="K8" s="42">
        <f t="shared" si="0"/>
        <v>22647118.662069514</v>
      </c>
      <c r="L8" s="49">
        <f t="shared" si="1"/>
        <v>2.5163465180077238</v>
      </c>
      <c r="M8" s="43"/>
    </row>
    <row r="9" spans="1:15" s="17" customFormat="1" ht="15.75" thickTop="1" x14ac:dyDescent="0.25"/>
    <row r="10" spans="1:15" x14ac:dyDescent="0.25">
      <c r="A10" s="22" t="s">
        <v>112</v>
      </c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</row>
    <row r="11" spans="1:15" x14ac:dyDescent="0.25">
      <c r="A11" s="22" t="s">
        <v>121</v>
      </c>
      <c r="B11" s="2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25">
      <c r="A12" s="1" t="s">
        <v>122</v>
      </c>
      <c r="B12" s="15">
        <v>54000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25">
      <c r="A13" s="22" t="s">
        <v>124</v>
      </c>
      <c r="B13" s="9">
        <v>0</v>
      </c>
      <c r="C13" s="9">
        <f>-$B$12*(1-$B$34)</f>
        <v>-32400</v>
      </c>
      <c r="D13" s="9">
        <f t="shared" ref="D13:L13" si="3">-$B$12*(1-$B$34)</f>
        <v>-32400</v>
      </c>
      <c r="E13" s="9">
        <f t="shared" si="3"/>
        <v>-32400</v>
      </c>
      <c r="F13" s="9">
        <f t="shared" si="3"/>
        <v>-32400</v>
      </c>
      <c r="G13" s="9">
        <f t="shared" si="3"/>
        <v>-32400</v>
      </c>
      <c r="H13" s="9">
        <f t="shared" si="3"/>
        <v>-32400</v>
      </c>
      <c r="I13" s="9">
        <f t="shared" si="3"/>
        <v>-32400</v>
      </c>
      <c r="J13" s="9">
        <f t="shared" si="3"/>
        <v>-32400</v>
      </c>
      <c r="K13" s="9">
        <f t="shared" si="3"/>
        <v>-32400</v>
      </c>
      <c r="L13" s="9">
        <f t="shared" si="3"/>
        <v>-32400</v>
      </c>
    </row>
    <row r="14" spans="1:15" x14ac:dyDescent="0.25">
      <c r="A14" s="22" t="s">
        <v>125</v>
      </c>
      <c r="B14" s="9"/>
      <c r="C14" s="9">
        <f>NPV($B$35,C13)+$B$13</f>
        <v>-29999.999999999996</v>
      </c>
      <c r="D14" s="9">
        <f>NPV($B$35,$C$13:D13)+$B$13</f>
        <v>-57777.777777777774</v>
      </c>
      <c r="E14" s="9">
        <f>NPV($B$35,$C$13:E13)+$B$13</f>
        <v>-83497.942386831273</v>
      </c>
      <c r="F14" s="9">
        <f>NPV($B$35,$C$13:F13)+$B$13</f>
        <v>-107312.90961743635</v>
      </c>
      <c r="G14" s="9">
        <f>NPV($B$35,$C$13:G13)+$B$13</f>
        <v>-129363.80520132995</v>
      </c>
      <c r="H14" s="9">
        <f>NPV($B$35,$C$13:H13)+$B$13</f>
        <v>-149781.30111234254</v>
      </c>
      <c r="I14" s="9">
        <f>NPV($B$35,$C$13:I13)+$B$13</f>
        <v>-168686.38991883566</v>
      </c>
      <c r="J14" s="9">
        <f>NPV($B$35,$C$13:J13)+$B$13</f>
        <v>-186191.10177669968</v>
      </c>
      <c r="K14" s="9">
        <f>NPV($B$35,$C$13:K13)+$B$13</f>
        <v>-202399.16831175896</v>
      </c>
      <c r="L14" s="9">
        <f>NPV($B$35,$C$13:L13)+$B$13</f>
        <v>-217406.63732570273</v>
      </c>
    </row>
    <row r="15" spans="1:15" x14ac:dyDescent="0.25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25">
      <c r="A16" s="22" t="s">
        <v>127</v>
      </c>
      <c r="B16" s="2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3" x14ac:dyDescent="0.25">
      <c r="A17" s="22" t="s">
        <v>126</v>
      </c>
      <c r="B17" s="15">
        <f>B18/B16</f>
        <v>23571.428571428572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3" x14ac:dyDescent="0.25">
      <c r="A18" s="1" t="s">
        <v>121</v>
      </c>
      <c r="B18" s="15">
        <v>165000</v>
      </c>
    </row>
    <row r="19" spans="1:13" x14ac:dyDescent="0.25">
      <c r="A19" s="1" t="s">
        <v>123</v>
      </c>
      <c r="B19" s="15">
        <v>21000</v>
      </c>
    </row>
    <row r="20" spans="1:13" x14ac:dyDescent="0.25">
      <c r="A20" s="1" t="s">
        <v>120</v>
      </c>
      <c r="B20" s="15">
        <f>-B18</f>
        <v>-165000</v>
      </c>
      <c r="C20" s="15">
        <f t="shared" ref="C20:I20" si="4">-$B$19*(1-$B$34)+($B$17*$B$34)</f>
        <v>-3171.4285714285706</v>
      </c>
      <c r="D20" s="15">
        <f t="shared" si="4"/>
        <v>-3171.4285714285706</v>
      </c>
      <c r="E20" s="15">
        <f t="shared" si="4"/>
        <v>-3171.4285714285706</v>
      </c>
      <c r="F20" s="15">
        <f t="shared" si="4"/>
        <v>-3171.4285714285706</v>
      </c>
      <c r="G20" s="15">
        <f t="shared" si="4"/>
        <v>-3171.4285714285706</v>
      </c>
      <c r="H20" s="15">
        <f t="shared" si="4"/>
        <v>-3171.4285714285706</v>
      </c>
      <c r="I20" s="15">
        <f t="shared" si="4"/>
        <v>-3171.4285714285706</v>
      </c>
      <c r="J20" s="15">
        <f>-$B$19*(1-$B$34)</f>
        <v>-12600</v>
      </c>
      <c r="K20" s="15">
        <f t="shared" ref="K20:L20" si="5">-$B$19*(1-$B$34)</f>
        <v>-12600</v>
      </c>
      <c r="L20" s="15">
        <f t="shared" si="5"/>
        <v>-12600</v>
      </c>
    </row>
    <row r="21" spans="1:13" x14ac:dyDescent="0.25">
      <c r="A21" s="1" t="s">
        <v>66</v>
      </c>
      <c r="B21" s="15"/>
      <c r="C21" s="15">
        <f>NPV($B$35,C20) +$B$20</f>
        <v>-167936.50793650793</v>
      </c>
      <c r="D21" s="15">
        <f>NPV($B$35,$C$20:D20) +$B$20</f>
        <v>-170655.49676660789</v>
      </c>
      <c r="E21" s="15">
        <f>NPV($B$35,$C$20:E20) +$B$20</f>
        <v>-173173.07901670042</v>
      </c>
      <c r="F21" s="15">
        <f>NPV($B$35,$C$20:F20) +$B$20</f>
        <v>-175504.17369271201</v>
      </c>
      <c r="G21" s="15">
        <f>NPV($B$35,$C$20:G20) +$B$20</f>
        <v>-177662.59468901905</v>
      </c>
      <c r="H21" s="15">
        <f>NPV($B$35,$C$20:H20) +$B$20</f>
        <v>-179661.13264856263</v>
      </c>
      <c r="I21" s="15">
        <f>NPV($B$35,$C$20:I20) +$B$20</f>
        <v>-181511.6307592511</v>
      </c>
      <c r="J21" s="15">
        <f>NPV($B$35,$C$20:J20) +$B$20</f>
        <v>-188319.01870397601</v>
      </c>
      <c r="K21" s="15">
        <f>NPV($B$35,$C$20:K20) +$B$20</f>
        <v>-194622.15568983238</v>
      </c>
      <c r="L21" s="15">
        <f>NPV($B$35,$C$20:L20) +$B$20</f>
        <v>-200458.39363969941</v>
      </c>
    </row>
    <row r="23" spans="1:13" x14ac:dyDescent="0.25">
      <c r="A23" s="22" t="s">
        <v>127</v>
      </c>
      <c r="B23" s="2">
        <v>7</v>
      </c>
    </row>
    <row r="24" spans="1:13" x14ac:dyDescent="0.25">
      <c r="A24" s="22" t="s">
        <v>126</v>
      </c>
      <c r="B24" s="15">
        <f>B25/B23</f>
        <v>36428.571428571428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3" x14ac:dyDescent="0.25">
      <c r="A25" s="1" t="s">
        <v>130</v>
      </c>
      <c r="B25" s="15">
        <v>255000</v>
      </c>
    </row>
    <row r="26" spans="1:13" x14ac:dyDescent="0.25">
      <c r="A26" s="1" t="s">
        <v>131</v>
      </c>
      <c r="B26" s="15">
        <v>36000</v>
      </c>
    </row>
    <row r="27" spans="1:13" x14ac:dyDescent="0.25">
      <c r="A27" s="1" t="s">
        <v>132</v>
      </c>
      <c r="B27" s="15">
        <v>0</v>
      </c>
    </row>
    <row r="28" spans="1:13" x14ac:dyDescent="0.25">
      <c r="A28" s="1" t="s">
        <v>128</v>
      </c>
      <c r="B28" s="15">
        <v>10000</v>
      </c>
    </row>
    <row r="29" spans="1:13" x14ac:dyDescent="0.25">
      <c r="A29" s="1" t="s">
        <v>129</v>
      </c>
      <c r="B29" s="15">
        <v>0</v>
      </c>
    </row>
    <row r="30" spans="1:13" x14ac:dyDescent="0.25">
      <c r="A30" s="1" t="s">
        <v>123</v>
      </c>
      <c r="B30" s="15">
        <v>16000</v>
      </c>
    </row>
    <row r="31" spans="1:13" x14ac:dyDescent="0.25">
      <c r="A31" s="1" t="s">
        <v>120</v>
      </c>
      <c r="B31" s="15">
        <f>-B25-B27-(B26*(1-B34))</f>
        <v>-276600</v>
      </c>
      <c r="C31" s="15">
        <f>($B$28-$B$30)*(1-$B$34)+($B$24*$B$34)</f>
        <v>10971.428571428572</v>
      </c>
      <c r="D31" s="15">
        <f t="shared" ref="D31:I31" si="6">($B$28-$B$30)*(1-$B$34)+($B$24*$B$34)</f>
        <v>10971.428571428572</v>
      </c>
      <c r="E31" s="15">
        <f t="shared" si="6"/>
        <v>10971.428571428572</v>
      </c>
      <c r="F31" s="15">
        <f t="shared" si="6"/>
        <v>10971.428571428572</v>
      </c>
      <c r="G31" s="15">
        <f>($B$28-$B$30)*(1-$B$34)+($B$24*$B$34)</f>
        <v>10971.428571428572</v>
      </c>
      <c r="H31" s="15">
        <f t="shared" si="6"/>
        <v>10971.428571428572</v>
      </c>
      <c r="I31" s="15">
        <f t="shared" si="6"/>
        <v>10971.428571428572</v>
      </c>
      <c r="J31" s="15">
        <f>($B$28-$B$30)*(1-$B$34)</f>
        <v>-3600</v>
      </c>
      <c r="K31" s="15">
        <f t="shared" ref="K31:L31" si="7">($B$28-$B$30)*(1-$B$34)</f>
        <v>-3600</v>
      </c>
      <c r="L31" s="15">
        <f t="shared" si="7"/>
        <v>-3600</v>
      </c>
      <c r="M31" s="15"/>
    </row>
    <row r="32" spans="1:13" x14ac:dyDescent="0.25">
      <c r="A32" s="1" t="s">
        <v>66</v>
      </c>
      <c r="B32" s="15"/>
      <c r="C32" s="15">
        <f>NPV($B$35,C31) +$B$31</f>
        <v>-266441.26984126982</v>
      </c>
      <c r="D32" s="15">
        <f>NPV($B$35,$C$31:D31) +$B$31</f>
        <v>-257035.038212816</v>
      </c>
      <c r="E32" s="15">
        <f>NPV($B$35,$C$31:E31) +$B$31</f>
        <v>-248325.56448276615</v>
      </c>
      <c r="F32" s="15">
        <f>NPV($B$35,$C$31:F31) +$B$31</f>
        <v>-240261.23695494217</v>
      </c>
      <c r="G32" s="15">
        <f>NPV($B$35,$C$31:G31) +$B$31</f>
        <v>-232794.26702177187</v>
      </c>
      <c r="H32" s="15">
        <f>NPV($B$35,$C$31:H31) +$B$31</f>
        <v>-225880.40597254009</v>
      </c>
      <c r="I32" s="15">
        <f>NPV($B$35,$C$31:I31) +$B$31</f>
        <v>-219478.68277880695</v>
      </c>
      <c r="J32" s="15">
        <f>NPV($B$35,$C$31:J31) +$B$31</f>
        <v>-221423.65076301407</v>
      </c>
      <c r="K32" s="15">
        <f>NPV($B$35,$C$31:K31) +$B$31</f>
        <v>-223224.54704468732</v>
      </c>
      <c r="L32" s="15">
        <f>NPV($B$35,$C$31:L31) +$B$31</f>
        <v>-224892.04360179219</v>
      </c>
      <c r="M32" s="15"/>
    </row>
    <row r="33" spans="1:12" x14ac:dyDescent="0.25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" t="s">
        <v>119</v>
      </c>
      <c r="B34" s="51">
        <v>0.4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" t="s">
        <v>118</v>
      </c>
      <c r="B35" s="51">
        <v>0.08</v>
      </c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5" x14ac:dyDescent="0.25"/>
  <cols>
    <col min="1" max="1" width="30.5703125" bestFit="1" customWidth="1"/>
    <col min="2" max="2" width="11.7109375" style="2" bestFit="1" customWidth="1"/>
    <col min="3" max="3" width="9.140625" style="2"/>
  </cols>
  <sheetData>
    <row r="1" spans="1:3" ht="15.75" thickBot="1" x14ac:dyDescent="0.3">
      <c r="A1" s="55" t="s">
        <v>112</v>
      </c>
      <c r="B1" s="54">
        <v>0</v>
      </c>
      <c r="C1" s="54">
        <v>1</v>
      </c>
    </row>
    <row r="2" spans="1:3" x14ac:dyDescent="0.25">
      <c r="A2" s="53" t="s">
        <v>105</v>
      </c>
      <c r="B2" s="57"/>
    </row>
    <row r="3" spans="1:3" x14ac:dyDescent="0.25">
      <c r="A3" s="53" t="s">
        <v>106</v>
      </c>
      <c r="B3" s="57"/>
    </row>
    <row r="4" spans="1:3" x14ac:dyDescent="0.25">
      <c r="A4" s="53" t="s">
        <v>110</v>
      </c>
      <c r="B4" s="57">
        <v>33.200000000000003</v>
      </c>
    </row>
    <row r="5" spans="1:3" x14ac:dyDescent="0.25">
      <c r="A5" s="53" t="s">
        <v>107</v>
      </c>
      <c r="B5" s="57">
        <v>91.2</v>
      </c>
      <c r="C5" s="9">
        <f>B5*(1+$B$9)</f>
        <v>93.024000000000001</v>
      </c>
    </row>
    <row r="6" spans="1:3" x14ac:dyDescent="0.25">
      <c r="A6" s="53" t="s">
        <v>108</v>
      </c>
      <c r="B6" s="57">
        <v>168.5</v>
      </c>
    </row>
    <row r="7" spans="1:3" x14ac:dyDescent="0.25">
      <c r="A7" s="53"/>
    </row>
    <row r="8" spans="1:3" x14ac:dyDescent="0.25">
      <c r="A8" s="53" t="s">
        <v>111</v>
      </c>
      <c r="B8" s="3">
        <v>0.1</v>
      </c>
    </row>
    <row r="9" spans="1:3" x14ac:dyDescent="0.25">
      <c r="A9" s="53" t="s">
        <v>109</v>
      </c>
      <c r="B9" s="3">
        <v>0.02</v>
      </c>
    </row>
    <row r="10" spans="1:3" x14ac:dyDescent="0.25">
      <c r="A10" s="53" t="s">
        <v>113</v>
      </c>
      <c r="B10" s="56">
        <v>30</v>
      </c>
    </row>
    <row r="11" spans="1:3" x14ac:dyDescent="0.25">
      <c r="A11" s="53" t="s">
        <v>114</v>
      </c>
      <c r="B11" s="56">
        <v>5.4</v>
      </c>
    </row>
    <row r="12" spans="1:3" x14ac:dyDescent="0.25">
      <c r="A12" s="53"/>
    </row>
    <row r="13" spans="1:3" x14ac:dyDescent="0.25">
      <c r="A13" s="52" t="s">
        <v>117</v>
      </c>
      <c r="B13" s="9"/>
      <c r="C13" s="9">
        <f>C5/($B$8-$B$9)</f>
        <v>1162.8</v>
      </c>
    </row>
    <row r="14" spans="1:3" x14ac:dyDescent="0.25">
      <c r="A14" s="53" t="s">
        <v>115</v>
      </c>
      <c r="B14" s="9"/>
      <c r="C14" s="9">
        <f xml:space="preserve"> B4 * $B$10</f>
        <v>996.00000000000011</v>
      </c>
    </row>
    <row r="15" spans="1:3" x14ac:dyDescent="0.25">
      <c r="A15" s="52" t="s">
        <v>116</v>
      </c>
      <c r="C15" s="9">
        <f>B11*B6</f>
        <v>909.90000000000009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Loans</vt:lpstr>
      <vt:lpstr>Bonds</vt:lpstr>
      <vt:lpstr>Bond Changing YTM</vt:lpstr>
      <vt:lpstr>NPV</vt:lpstr>
      <vt:lpstr>NPV2</vt:lpstr>
      <vt:lpstr>Incremental NVP</vt:lpstr>
      <vt:lpstr>Many NPV</vt:lpstr>
      <vt:lpstr>Free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2017-04-15T00:11:39Z</dcterms:modified>
</cp:coreProperties>
</file>