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1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8.xml" ContentType="application/vnd.openxmlformats-officedocument.drawing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9.xml" ContentType="application/vnd.openxmlformats-officedocument.drawing+xml"/>
  <Override PartName="/xl/charts/chart14.xml" ContentType="application/vnd.openxmlformats-officedocument.drawingml.chart+xml"/>
  <Override PartName="/xl/drawings/drawing30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\workspace\data analysis portfolio\statistics-for-data-analysis\"/>
    </mc:Choice>
  </mc:AlternateContent>
  <xr:revisionPtr revIDLastSave="0" documentId="13_ncr:1_{D4F9EBF1-8892-476D-97B5-DA9C5107C3D8}" xr6:coauthVersionLast="47" xr6:coauthVersionMax="47" xr10:uidLastSave="{00000000-0000-0000-0000-000000000000}"/>
  <bookViews>
    <workbookView xWindow="-105" yWindow="0" windowWidth="14610" windowHeight="15585" firstSheet="58" activeTab="59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2" hidden="1">'Box &amp; Whisker'!$B$5</definedName>
    <definedName name="_xlchart.v1.3" hidden="1">'Box &amp; Whisker'!$B$6:$B$100</definedName>
    <definedName name="_xlchart.v1.4" hidden="1">'Box &amp; Whisker'!$C$5</definedName>
    <definedName name="_xlchart.v1.5" hidden="1">'Box &amp; Whisker'!$C$6:$C$100</definedName>
    <definedName name="_xlchart.v1.6" hidden="1">'Normal Distributions'!$B$6:$B$58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68" l="1"/>
  <c r="O14" i="62" l="1"/>
  <c r="O13" i="62"/>
  <c r="O9" i="62"/>
  <c r="O12" i="62"/>
  <c r="O10" i="62"/>
  <c r="O8" i="62"/>
  <c r="O7" i="62" a="1"/>
  <c r="O7" i="62" s="1"/>
  <c r="O6" i="62" a="1"/>
  <c r="O6" i="62" s="1"/>
  <c r="O6" i="65" a="1"/>
  <c r="O6" i="65" s="1"/>
  <c r="O12" i="65" s="1"/>
  <c r="O10" i="63"/>
  <c r="O9" i="63"/>
  <c r="O8" i="61"/>
  <c r="O7" i="61" a="1"/>
  <c r="O7" i="61" s="1"/>
  <c r="O6" i="61" a="1"/>
  <c r="O6" i="61" s="1"/>
  <c r="Q7" i="59"/>
  <c r="N7" i="59"/>
  <c r="N6" i="59"/>
  <c r="K7" i="59"/>
  <c r="J7" i="59"/>
  <c r="L7" i="58"/>
  <c r="I7" i="58"/>
  <c r="I6" i="58"/>
  <c r="J7" i="56"/>
  <c r="K7" i="56"/>
  <c r="L7" i="56"/>
  <c r="I7" i="56"/>
  <c r="F6" i="55"/>
  <c r="U9" i="53"/>
  <c r="U8" i="53"/>
  <c r="F11" i="53"/>
  <c r="U6" i="53" s="1"/>
  <c r="U7" i="53" s="1"/>
  <c r="J6" i="53"/>
  <c r="G11" i="53"/>
  <c r="G10" i="53" a="1"/>
  <c r="G10" i="53" s="1"/>
  <c r="F10" i="53" a="1"/>
  <c r="F10" i="53" s="1"/>
  <c r="G9" i="53"/>
  <c r="F9" i="53"/>
  <c r="G8" i="53"/>
  <c r="F8" i="53"/>
  <c r="G7" i="53"/>
  <c r="F7" i="53"/>
  <c r="S8" i="52"/>
  <c r="S7" i="52"/>
  <c r="S6" i="52"/>
  <c r="P8" i="52"/>
  <c r="P7" i="52"/>
  <c r="P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8" i="51"/>
  <c r="P7" i="51"/>
  <c r="P6" i="51"/>
  <c r="E12" i="51"/>
  <c r="E11" i="51"/>
  <c r="E8" i="51"/>
  <c r="E7" i="51"/>
  <c r="E6" i="51"/>
  <c r="N6" i="49"/>
  <c r="N8" i="49" a="1"/>
  <c r="N8" i="49" s="1"/>
  <c r="N7" i="49"/>
  <c r="P7" i="48"/>
  <c r="P8" i="48" s="1"/>
  <c r="P6" i="48"/>
  <c r="M8" i="48"/>
  <c r="M7" i="48"/>
  <c r="M6" i="48"/>
  <c r="P8" i="47"/>
  <c r="P7" i="46"/>
  <c r="P6" i="46"/>
  <c r="M8" i="46"/>
  <c r="M7" i="46"/>
  <c r="M6" i="46"/>
  <c r="P6" i="43"/>
  <c r="P7" i="43"/>
  <c r="M11" i="43"/>
  <c r="M10" i="43"/>
  <c r="M9" i="43"/>
  <c r="M8" i="43"/>
  <c r="M7" i="43"/>
  <c r="J6" i="43"/>
  <c r="G13" i="43"/>
  <c r="F13" i="43"/>
  <c r="G12" i="43"/>
  <c r="F12" i="43"/>
  <c r="G8" i="43"/>
  <c r="G9" i="43" s="1"/>
  <c r="F8" i="43"/>
  <c r="F9" i="43" s="1"/>
  <c r="G7" i="43"/>
  <c r="F7" i="43"/>
  <c r="P7" i="42"/>
  <c r="P6" i="42"/>
  <c r="M12" i="42"/>
  <c r="M11" i="42"/>
  <c r="M10" i="42"/>
  <c r="M9" i="42"/>
  <c r="G10" i="42" a="1"/>
  <c r="G10" i="42" s="1"/>
  <c r="G11" i="42" s="1"/>
  <c r="F10" i="42" a="1"/>
  <c r="F10" i="42" s="1"/>
  <c r="F11" i="42" s="1"/>
  <c r="J6" i="42"/>
  <c r="G9" i="42"/>
  <c r="F9" i="42"/>
  <c r="G8" i="42"/>
  <c r="G7" i="42"/>
  <c r="F7" i="42"/>
  <c r="F8" i="42" s="1"/>
  <c r="M8" i="42"/>
  <c r="M7" i="42"/>
  <c r="Q7" i="41"/>
  <c r="Q6" i="41"/>
  <c r="N12" i="41"/>
  <c r="N11" i="41"/>
  <c r="N10" i="41"/>
  <c r="N9" i="41"/>
  <c r="N8" i="41"/>
  <c r="N7" i="41"/>
  <c r="K6" i="41"/>
  <c r="H11" i="41"/>
  <c r="G11" i="41"/>
  <c r="H10" i="41"/>
  <c r="G10" i="41"/>
  <c r="H9" i="41"/>
  <c r="G9" i="41"/>
  <c r="H8" i="41"/>
  <c r="G8" i="41"/>
  <c r="H7" i="41"/>
  <c r="G7" i="41"/>
  <c r="N7" i="40"/>
  <c r="N6" i="40"/>
  <c r="K8" i="40"/>
  <c r="K7" i="40"/>
  <c r="N7" i="39"/>
  <c r="N6" i="39"/>
  <c r="K11" i="39"/>
  <c r="K10" i="39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8" i="40"/>
  <c r="H7" i="40"/>
  <c r="H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10" i="38"/>
  <c r="H7" i="38"/>
  <c r="H8" i="38" s="1"/>
  <c r="H9" i="38" s="1"/>
  <c r="H11" i="38" s="1"/>
  <c r="E12" i="38"/>
  <c r="E11" i="38"/>
  <c r="E8" i="38"/>
  <c r="E7" i="38"/>
  <c r="E6" i="38"/>
  <c r="K7" i="37"/>
  <c r="K6" i="37"/>
  <c r="H11" i="37"/>
  <c r="H10" i="37"/>
  <c r="H9" i="37"/>
  <c r="H8" i="37"/>
  <c r="H7" i="37"/>
  <c r="E12" i="37"/>
  <c r="E11" i="37"/>
  <c r="E8" i="37"/>
  <c r="E7" i="37"/>
  <c r="E6" i="37"/>
  <c r="H7" i="36"/>
  <c r="H8" i="36" s="1"/>
  <c r="E8" i="36"/>
  <c r="E7" i="36"/>
  <c r="E6" i="36"/>
  <c r="K7" i="35"/>
  <c r="K6" i="35"/>
  <c r="H11" i="35"/>
  <c r="H10" i="35"/>
  <c r="H9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8" i="32"/>
  <c r="H7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L10" i="25"/>
  <c r="M10" i="25"/>
  <c r="K10" i="25"/>
  <c r="L8" i="25"/>
  <c r="M8" i="25"/>
  <c r="K8" i="25"/>
  <c r="M7" i="25"/>
  <c r="L7" i="25"/>
  <c r="K7" i="25"/>
  <c r="H7" i="25"/>
  <c r="H6" i="25"/>
  <c r="E7" i="25"/>
  <c r="E6" i="25"/>
  <c r="J10" i="23"/>
  <c r="I10" i="23"/>
  <c r="H10" i="23"/>
  <c r="I8" i="23"/>
  <c r="J8" i="23"/>
  <c r="H8" i="23"/>
  <c r="I7" i="23"/>
  <c r="J7" i="23"/>
  <c r="H7" i="23"/>
  <c r="I7" i="22"/>
  <c r="I8" i="22" s="1"/>
  <c r="K7" i="21"/>
  <c r="K6" i="21"/>
  <c r="H7" i="21"/>
  <c r="H6" i="21"/>
  <c r="G10" i="19" a="1"/>
  <c r="G10" i="19" s="1"/>
  <c r="F10" i="19" a="1"/>
  <c r="F10" i="19" s="1"/>
  <c r="G9" i="19" a="1"/>
  <c r="G9" i="19" s="1"/>
  <c r="F9" i="19" a="1"/>
  <c r="F9" i="19" s="1"/>
  <c r="G8" i="19"/>
  <c r="F8" i="19"/>
  <c r="G7" i="19"/>
  <c r="F7" i="19"/>
  <c r="G7" i="20"/>
  <c r="G9" i="20" s="1"/>
  <c r="G8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7" i="16"/>
  <c r="G8" i="16"/>
  <c r="G9" i="16"/>
  <c r="G10" i="16"/>
  <c r="G12" i="16" s="1"/>
  <c r="G11" i="16"/>
  <c r="F11" i="16"/>
  <c r="F10" i="16"/>
  <c r="F12" i="16" s="1"/>
  <c r="F9" i="16"/>
  <c r="F8" i="16"/>
  <c r="F7" i="16"/>
  <c r="G9" i="15"/>
  <c r="F9" i="15"/>
  <c r="G7" i="15"/>
  <c r="G8" i="15"/>
  <c r="F8" i="15"/>
  <c r="F7" i="15"/>
  <c r="H7" i="14"/>
  <c r="G7" i="14"/>
  <c r="H11" i="14"/>
  <c r="G11" i="14"/>
  <c r="H10" i="14"/>
  <c r="G10" i="14"/>
  <c r="H9" i="14"/>
  <c r="G9" i="14"/>
  <c r="H8" i="14"/>
  <c r="G8" i="14"/>
  <c r="E8" i="13"/>
  <c r="N9" i="11" a="1"/>
  <c r="N9" i="11" s="1"/>
  <c r="M9" i="11" a="1"/>
  <c r="M9" i="11" s="1"/>
  <c r="N8" i="11" a="1"/>
  <c r="N8" i="11" s="1"/>
  <c r="M8" i="11" a="1"/>
  <c r="M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I6" i="5"/>
  <c r="J6" i="4"/>
  <c r="N6" i="4" a="1"/>
  <c r="N6" i="4" s="1"/>
  <c r="M6" i="4" a="1"/>
  <c r="M6" i="4" s="1"/>
  <c r="L6" i="4" a="1"/>
  <c r="L6" i="4" s="1"/>
  <c r="J7" i="4"/>
  <c r="I7" i="4"/>
  <c r="I6" i="4"/>
  <c r="E6" i="13"/>
  <c r="E7" i="13"/>
  <c r="Q6" i="49" l="1"/>
  <c r="Q7" i="49" s="1"/>
  <c r="Q8" i="49" s="1"/>
  <c r="K6" i="38"/>
  <c r="K7" i="38"/>
  <c r="K7" i="36"/>
  <c r="K6" i="36"/>
  <c r="K7" i="34"/>
  <c r="K6" i="34"/>
  <c r="L10" i="66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9" i="65"/>
  <c r="O13" i="65" s="1"/>
  <c r="O14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<sst xmlns="http://schemas.openxmlformats.org/spreadsheetml/2006/main" count="2396" uniqueCount="370">
  <si>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</si>
  <si>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</si>
  <si>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</si>
  <si>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</si>
  <si>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</si>
  <si>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</si>
  <si>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</si>
  <si>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</si>
  <si>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</si>
  <si>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</si>
  <si>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</si>
  <si>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</si>
  <si>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</si>
  <si>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</si>
  <si>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</si>
  <si>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</si>
  <si>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</si>
  <si>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</si>
  <si>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</si>
  <si>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</si>
  <si>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</si>
  <si>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</si>
  <si>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</si>
  <si>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</si>
  <si>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</si>
  <si>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</si>
  <si>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</si>
  <si>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</si>
  <si>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</si>
  <si>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</si>
  <si>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</si>
  <si>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</si>
  <si>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</si>
  <si>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</si>
  <si>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</si>
  <si>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</si>
  <si>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</si>
  <si>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</si>
  <si>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</si>
  <si>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</si>
  <si>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</si>
  <si>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</si>
  <si>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</si>
  <si>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</si>
  <si>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</si>
  <si>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</si>
  <si>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</si>
  <si>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</si>
  <si>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</si>
  <si>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</si>
  <si>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</si>
  <si>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</si>
  <si>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</si>
  <si>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</si>
  <si>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</si>
  <si>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</si>
  <si>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</si>
  <si>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</si>
  <si>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</si>
  <si>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</si>
  <si>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</si>
  <si>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</si>
  <si>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</si>
  <si>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</si>
  <si>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</si>
  <si>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</si>
  <si>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</si>
  <si>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</si>
  <si>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</si>
  <si>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</si>
  <si>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</si>
  <si>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</si>
  <si>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</si>
  <si>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</si>
  <si>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</si>
  <si>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</si>
  <si>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</si>
  <si>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</si>
  <si>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</si>
  <si>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</si>
  <si>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</si>
  <si>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</si>
  <si>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</si>
  <si>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</si>
  <si>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</si>
  <si>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</si>
  <si>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</si>
  <si>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</si>
  <si>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</si>
  <si>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</si>
  <si>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</si>
  <si>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</si>
  <si>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</si>
  <si>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</si>
  <si>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</si>
  <si>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</si>
  <si>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</si>
  <si>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</si>
  <si>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</si>
  <si>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</si>
  <si>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</si>
  <si>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</si>
  <si>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</si>
  <si>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</si>
  <si>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</si>
  <si>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</si>
  <si>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</si>
  <si>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</si>
  <si>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</si>
  <si>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</si>
  <si>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</si>
  <si>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</si>
  <si>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</si>
  <si>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</si>
  <si>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</si>
  <si>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</si>
  <si>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</si>
  <si>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</si>
  <si>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</si>
  <si>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</si>
  <si>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</si>
  <si>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</si>
  <si>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</si>
  <si>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</si>
  <si>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</si>
  <si>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</si>
  <si>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</si>
  <si>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</si>
  <si>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</si>
  <si>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</si>
  <si>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</si>
  <si>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</si>
  <si>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</si>
  <si>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</si>
  <si>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</si>
  <si>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</si>
  <si>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</si>
  <si>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</si>
  <si>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</si>
  <si>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</si>
  <si>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</si>
  <si>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</si>
  <si>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</si>
  <si>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</si>
  <si>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</si>
  <si>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</si>
  <si>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</si>
  <si>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</si>
  <si>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</si>
  <si>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</si>
  <si>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</si>
  <si>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</si>
  <si>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</si>
  <si>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</si>
  <si>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</si>
  <si>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</si>
  <si>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</si>
  <si>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</si>
  <si>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</si>
  <si>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</si>
  <si>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</si>
  <si>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</si>
  <si>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</si>
  <si>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</si>
  <si>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</si>
  <si>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</si>
  <si>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</si>
  <si>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</si>
  <si>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</si>
  <si>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</si>
  <si>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</si>
  <si>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</si>
  <si>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</si>
  <si>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</si>
  <si>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</si>
  <si>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</si>
  <si>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</si>
  <si>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</si>
  <si>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</si>
  <si>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</si>
  <si>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</si>
  <si>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</si>
  <si>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</si>
  <si>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</si>
  <si>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</si>
  <si>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</si>
  <si>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</si>
  <si>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</si>
  <si>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</si>
  <si>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</si>
  <si>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</si>
  <si>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</si>
  <si>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</si>
  <si>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</si>
  <si>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</si>
  <si>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</si>
  <si>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</si>
  <si>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</si>
  <si>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</si>
  <si>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</si>
  <si>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</si>
  <si>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</si>
  <si>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</si>
  <si>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</si>
  <si>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</si>
  <si>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</si>
  <si>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</si>
  <si>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</si>
  <si>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</si>
  <si>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</si>
  <si>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</si>
  <si>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</si>
  <si>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</si>
  <si>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</si>
  <si>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</si>
  <si>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</si>
  <si>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</si>
  <si>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</si>
  <si>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</si>
  <si>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</si>
  <si>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</si>
  <si>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</si>
  <si>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</si>
  <si>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</si>
  <si>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</si>
  <si>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</si>
  <si>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</si>
  <si>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</si>
  <si>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</si>
  <si>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</si>
  <si>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</si>
  <si>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</si>
  <si>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</si>
  <si>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</si>
  <si>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</si>
  <si>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</si>
  <si>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</si>
  <si>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</si>
  <si>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</si>
  <si>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</si>
  <si>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</si>
  <si>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</si>
  <si>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</si>
  <si>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</si>
  <si>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</si>
  <si>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</si>
  <si>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</si>
  <si>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</si>
  <si>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</si>
  <si>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</si>
  <si>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</si>
  <si>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</si>
  <si>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</si>
  <si>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</si>
  <si>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</si>
  <si>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</si>
  <si>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</si>
  <si>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</si>
  <si>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</si>
  <si>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</si>
  <si>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</si>
  <si>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</si>
  <si>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</si>
  <si>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</si>
  <si>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</si>
  <si>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</si>
  <si>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</si>
  <si>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</si>
  <si>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</si>
  <si>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</si>
  <si>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</si>
  <si>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</si>
  <si>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</si>
  <si>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</si>
  <si>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</si>
  <si>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</si>
  <si>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</si>
  <si>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</si>
  <si>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</si>
  <si>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</si>
  <si>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</si>
  <si>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</si>
  <si>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</si>
  <si>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</si>
  <si>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</si>
  <si>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</si>
  <si>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</si>
  <si>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</si>
  <si>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</si>
  <si>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</si>
  <si>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</si>
  <si>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</si>
  <si>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</si>
  <si>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</si>
  <si>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</si>
  <si>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</si>
  <si>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</si>
  <si>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</si>
  <si>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</si>
  <si>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</si>
  <si>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</si>
  <si>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</si>
  <si>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</si>
  <si>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</si>
  <si>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</si>
  <si>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</si>
  <si>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</si>
  <si>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</si>
  <si>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</si>
  <si>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</si>
  <si>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</si>
  <si>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</si>
  <si>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</si>
  <si>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</si>
  <si>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</si>
  <si>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</si>
  <si>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</si>
  <si>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</si>
  <si>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</si>
  <si>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Row Labels</t>
  </si>
  <si>
    <t>70-90</t>
  </si>
  <si>
    <t>90-110</t>
  </si>
  <si>
    <t>110-130</t>
  </si>
  <si>
    <t>130-150</t>
  </si>
  <si>
    <t>150-170</t>
  </si>
  <si>
    <t>170-190</t>
  </si>
  <si>
    <t>190-210</t>
  </si>
  <si>
    <t>210-230</t>
  </si>
  <si>
    <t>230-250</t>
  </si>
  <si>
    <t>250-270</t>
  </si>
  <si>
    <t>270-290</t>
  </si>
  <si>
    <t>290-310</t>
  </si>
  <si>
    <t>310-330</t>
  </si>
  <si>
    <t>330-350</t>
  </si>
  <si>
    <t>Cumulative Relative Frequency</t>
  </si>
  <si>
    <t>&gt;100</t>
  </si>
  <si>
    <t>&lt;60</t>
  </si>
  <si>
    <r>
      <t xml:space="preserve">Since p &gt; </t>
    </r>
    <r>
      <rPr>
        <sz val="11"/>
        <color theme="1"/>
        <rFont val="Calibri"/>
        <family val="2"/>
      </rPr>
      <t>α, we don't have sufficient evidence to prove that the average employability scores are any different from 300.</t>
    </r>
    <r>
      <rPr>
        <sz val="11"/>
        <color theme="1"/>
        <rFont val="Calibri"/>
        <family val="2"/>
        <scheme val="minor"/>
      </rPr>
      <t xml:space="preserve">
We can keep stating the same average in communications, keeping in mind that there's a 10% chance that we're wrong. </t>
    </r>
  </si>
  <si>
    <r>
      <t xml:space="preserve">Since p &gt; </t>
    </r>
    <r>
      <rPr>
        <sz val="11"/>
        <color theme="1"/>
        <rFont val="Calibri"/>
        <family val="2"/>
      </rPr>
      <t>α, we don't have sufficient evience to prove that the average MBA grades are any different than 80.</t>
    </r>
    <r>
      <rPr>
        <sz val="11"/>
        <color theme="1"/>
        <rFont val="Calibri"/>
        <family val="2"/>
        <scheme val="minor"/>
      </rPr>
      <t xml:space="preserve">
At the 20% significance level, we should stick with the current curriculum.</t>
    </r>
  </si>
  <si>
    <r>
      <t xml:space="preserve">Since p &lt; </t>
    </r>
    <r>
      <rPr>
        <sz val="11"/>
        <color theme="1"/>
        <rFont val="Calibri"/>
        <family val="2"/>
      </rPr>
      <t>α, we have sufficient evidence to prove that the average employability scores for placed graduates are greater than 300.
We should use this as a target, especially since we estimated that our program improves scores by at least 41 points on average.</t>
    </r>
  </si>
  <si>
    <t>We have sufficient evidence to prove that the proportion of placed graduates that earn at least $100k is greater than 50%.
Let's get that article published! (Just be sure to stat that we used a significance level of 5% somewhere in the fine print).</t>
  </si>
  <si>
    <r>
      <t xml:space="preserve">Since p &gt; </t>
    </r>
    <r>
      <rPr>
        <sz val="11"/>
        <color theme="1"/>
        <rFont val="Calibri"/>
        <family val="2"/>
      </rPr>
      <t>α, we don't have sufficient evidence to prove that graduates with previous work experience earn more money.
No need to filter our applicants!</t>
    </r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</si>
  <si>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</si>
  <si>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</si>
  <si>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</si>
  <si>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</si>
  <si>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</si>
  <si>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</si>
  <si>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</si>
  <si>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</si>
  <si>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</si>
  <si>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</si>
  <si>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</si>
  <si>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</si>
  <si>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</si>
  <si>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</si>
  <si>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</si>
  <si>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</si>
  <si>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</si>
  <si>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</si>
  <si>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</si>
  <si>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</si>
  <si>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</si>
  <si>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</si>
  <si>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</si>
  <si>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</si>
  <si>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</si>
  <si>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Employability (After)</t>
  </si>
  <si>
    <t>Residuals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</si>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</sst>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_);[Red]\(&quot;$&quot;#,##0\)"/>
    <numFmt numFmtId="165" formatCode="_(@"/>
    <numFmt numFmtId="166" formatCode="&quot;$&quot;#,##0"/>
    <numFmt numFmtId="167" formatCode="0.0"/>
    <numFmt numFmtId="168" formatCode="0.000"/>
    <numFmt numFmtId="169" formatCode="#,##0.0"/>
    <numFmt numFmtId="170" formatCode="0.0%"/>
    <numFmt numFmtId="171" formatCode="0.0000"/>
    <numFmt numFmtId="172" formatCode="#,##0.0000"/>
    <numFmt numFmtId="173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5" fontId="0" fillId="4" borderId="1" xfId="0" applyNumberFormat="1" applyFill="1" applyBorder="1" applyAlignment="1">
      <alignment vertical="center"/>
    </xf>
    <xf numFmtId="164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6" fontId="0" fillId="0" borderId="0" xfId="0" applyNumberFormat="1"/>
    <xf numFmtId="164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5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5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5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5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164" fontId="0" fillId="0" borderId="7" xfId="0" applyNumberFormat="1" applyBorder="1"/>
    <xf numFmtId="166" fontId="0" fillId="0" borderId="2" xfId="0" applyNumberFormat="1" applyBorder="1"/>
    <xf numFmtId="165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5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70" fontId="0" fillId="0" borderId="2" xfId="1" applyNumberFormat="1" applyFont="1" applyBorder="1" applyAlignment="1">
      <alignment horizontal="center"/>
    </xf>
    <xf numFmtId="170" fontId="0" fillId="0" borderId="2" xfId="1" applyNumberFormat="1" applyFont="1" applyBorder="1" applyAlignment="1">
      <alignment horizontal="center" wrapText="1"/>
    </xf>
    <xf numFmtId="166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9" fontId="14" fillId="0" borderId="2" xfId="0" applyNumberFormat="1" applyFon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0" fontId="0" fillId="0" borderId="0" xfId="0" quotePrefix="1"/>
    <xf numFmtId="171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3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Fill="1" applyBorder="1" applyAlignment="1"/>
    <xf numFmtId="0" fontId="0" fillId="0" borderId="9" xfId="0" applyFill="1" applyBorder="1" applyAlignment="1"/>
    <xf numFmtId="0" fontId="5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Continuous"/>
    </xf>
    <xf numFmtId="0" fontId="2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7-4CDF-AD97-F051D519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41432607"/>
        <c:axId val="441433567"/>
      </c:barChart>
      <c:catAx>
        <c:axId val="44143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Annual Salary (Thousands of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33567"/>
        <c:crosses val="autoZero"/>
        <c:auto val="1"/>
        <c:lblAlgn val="ctr"/>
        <c:lblOffset val="100"/>
        <c:noMultiLvlLbl val="0"/>
      </c:catAx>
      <c:valAx>
        <c:axId val="4414335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3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[Excel_Statistics.xlsx]Frequency Distributions!PivotTable3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MBA Grade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Distributions'!$F$5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'Frequency Distributions'!$E$6:$E$16</c:f>
              <c:strCache>
                <c:ptCount val="10"/>
                <c:pt idx="0">
                  <c:v>&lt;60</c:v>
                </c:pt>
                <c:pt idx="1">
                  <c:v>60-65</c:v>
                </c:pt>
                <c:pt idx="2">
                  <c:v>65-70</c:v>
                </c:pt>
                <c:pt idx="3">
                  <c:v>70-75</c:v>
                </c:pt>
                <c:pt idx="4">
                  <c:v>75-80</c:v>
                </c:pt>
                <c:pt idx="5">
                  <c:v>80-85</c:v>
                </c:pt>
                <c:pt idx="6">
                  <c:v>85-90</c:v>
                </c:pt>
                <c:pt idx="7">
                  <c:v>90-95</c:v>
                </c:pt>
                <c:pt idx="8">
                  <c:v>95-100</c:v>
                </c:pt>
                <c:pt idx="9">
                  <c:v>&gt;100</c:v>
                </c:pt>
              </c:strCache>
            </c:strRef>
          </c:cat>
          <c:val>
            <c:numRef>
              <c:f>'Frequency Distributions'!$F$6:$F$16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17</c:v>
                </c:pt>
                <c:pt idx="4">
                  <c:v>24</c:v>
                </c:pt>
                <c:pt idx="5">
                  <c:v>29</c:v>
                </c:pt>
                <c:pt idx="6">
                  <c:v>17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F-4485-92C0-7C46CCE34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2281119"/>
        <c:axId val="492287839"/>
      </c:barChart>
      <c:catAx>
        <c:axId val="49228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87839"/>
        <c:crosses val="autoZero"/>
        <c:auto val="1"/>
        <c:lblAlgn val="ctr"/>
        <c:lblOffset val="100"/>
        <c:noMultiLvlLbl val="0"/>
      </c:catAx>
      <c:valAx>
        <c:axId val="4922878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8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</a:t>
            </a:r>
            <a:r>
              <a:rPr lang="en-US" baseline="0"/>
              <a:t> ~ N(80.17, 6.17)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alpha val="20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5F-48E2-8F17-D80DFEC64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735839"/>
        <c:axId val="572739679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F-48E2-8F17-D80DFEC64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735839"/>
        <c:axId val="572739679"/>
      </c:lineChart>
      <c:catAx>
        <c:axId val="57273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 ~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39679"/>
        <c:crosses val="autoZero"/>
        <c:auto val="1"/>
        <c:lblAlgn val="ctr"/>
        <c:lblOffset val="100"/>
        <c:noMultiLvlLbl val="0"/>
      </c:catAx>
      <c:valAx>
        <c:axId val="57273967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3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4-423C-A3A3-03AAB0AEE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886928"/>
        <c:axId val="721891728"/>
      </c:scatterChart>
      <c:valAx>
        <c:axId val="721886928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Undergrad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91728"/>
        <c:crosses val="autoZero"/>
        <c:crossBetween val="midCat"/>
      </c:valAx>
      <c:valAx>
        <c:axId val="72189172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i="0" baseline="0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8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24950525831197"/>
                  <c:y val="0.4579166666666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4166666666666669E-3"/>
                  <c:y val="0.470282516768737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 Model'!$B$6:$B$100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'Linear Regression Model'!$G$6:$G$100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D4A3-4D1B-9961-7627C063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430656"/>
        <c:axId val="655439296"/>
      </c:scatterChart>
      <c:valAx>
        <c:axId val="655430656"/>
        <c:scaling>
          <c:orientation val="minMax"/>
          <c:max val="100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Undergrad</a:t>
                </a:r>
                <a:r>
                  <a:rPr lang="en-GB" b="1" baseline="0"/>
                  <a:t> Grade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39296"/>
        <c:crosses val="autoZero"/>
        <c:crossBetween val="midCat"/>
      </c:valAx>
      <c:valAx>
        <c:axId val="655439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Employability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3065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'Analysis ToolPak'!$G$50:$G$144</c:f>
              <c:numCache>
                <c:formatCode>General</c:formatCode>
                <c:ptCount val="95"/>
                <c:pt idx="0">
                  <c:v>-25.835941312263913</c:v>
                </c:pt>
                <c:pt idx="1">
                  <c:v>-68.404145505238034</c:v>
                </c:pt>
                <c:pt idx="2">
                  <c:v>-26.918989071684507</c:v>
                </c:pt>
                <c:pt idx="3">
                  <c:v>-5.008194826574254</c:v>
                </c:pt>
                <c:pt idx="4">
                  <c:v>-45.705690921785049</c:v>
                </c:pt>
                <c:pt idx="5">
                  <c:v>17.648256633047311</c:v>
                </c:pt>
                <c:pt idx="6">
                  <c:v>6.3122316423961138</c:v>
                </c:pt>
                <c:pt idx="7">
                  <c:v>4.0243677710454904</c:v>
                </c:pt>
                <c:pt idx="8">
                  <c:v>21.415118942482195</c:v>
                </c:pt>
                <c:pt idx="9">
                  <c:v>9.0989334924965988</c:v>
                </c:pt>
                <c:pt idx="10">
                  <c:v>2.4434405211172532</c:v>
                </c:pt>
                <c:pt idx="11">
                  <c:v>0.56000936639978249</c:v>
                </c:pt>
                <c:pt idx="12">
                  <c:v>-56.863304402656723</c:v>
                </c:pt>
                <c:pt idx="13">
                  <c:v>36.238624409187196</c:v>
                </c:pt>
                <c:pt idx="14">
                  <c:v>12.420318449709185</c:v>
                </c:pt>
                <c:pt idx="15">
                  <c:v>8.9455610306096105</c:v>
                </c:pt>
                <c:pt idx="16">
                  <c:v>16.350952235484996</c:v>
                </c:pt>
                <c:pt idx="17">
                  <c:v>-4.4272675766460452</c:v>
                </c:pt>
                <c:pt idx="18">
                  <c:v>38.34999374724282</c:v>
                </c:pt>
                <c:pt idx="19">
                  <c:v>-10.338061821756298</c:v>
                </c:pt>
                <c:pt idx="20">
                  <c:v>-37.087001567010134</c:v>
                </c:pt>
                <c:pt idx="21">
                  <c:v>7.4434405211172532</c:v>
                </c:pt>
                <c:pt idx="22">
                  <c:v>-20.821301278825331</c:v>
                </c:pt>
                <c:pt idx="23">
                  <c:v>-41.700491414558059</c:v>
                </c:pt>
                <c:pt idx="24">
                  <c:v>25.029567278272424</c:v>
                </c:pt>
                <c:pt idx="25">
                  <c:v>17.313190130638333</c:v>
                </c:pt>
                <c:pt idx="26">
                  <c:v>-1.2823771527284862</c:v>
                </c:pt>
                <c:pt idx="27">
                  <c:v>-6.6216846741222071</c:v>
                </c:pt>
                <c:pt idx="28">
                  <c:v>-18.10492413119124</c:v>
                </c:pt>
                <c:pt idx="29">
                  <c:v>8.2669459878221971</c:v>
                </c:pt>
                <c:pt idx="30">
                  <c:v>16.410877923497509</c:v>
                </c:pt>
                <c:pt idx="31">
                  <c:v>51.489684663933417</c:v>
                </c:pt>
                <c:pt idx="32">
                  <c:v>27.629375580623957</c:v>
                </c:pt>
                <c:pt idx="33">
                  <c:v>24.476003118736969</c:v>
                </c:pt>
                <c:pt idx="34">
                  <c:v>-25.412627543207464</c:v>
                </c:pt>
                <c:pt idx="35">
                  <c:v>26.336312202046429</c:v>
                </c:pt>
                <c:pt idx="36">
                  <c:v>27.959242575806002</c:v>
                </c:pt>
                <c:pt idx="37">
                  <c:v>-55.566000005094452</c:v>
                </c:pt>
                <c:pt idx="38">
                  <c:v>-26.435749614615474</c:v>
                </c:pt>
                <c:pt idx="39">
                  <c:v>-40.873703417110619</c:v>
                </c:pt>
                <c:pt idx="40">
                  <c:v>11.559050878157564</c:v>
                </c:pt>
                <c:pt idx="41">
                  <c:v>40.261746480595207</c:v>
                </c:pt>
                <c:pt idx="42">
                  <c:v>8.9455610306096105</c:v>
                </c:pt>
                <c:pt idx="43">
                  <c:v>-23.667928816938343</c:v>
                </c:pt>
                <c:pt idx="44">
                  <c:v>73.052689349680463</c:v>
                </c:pt>
                <c:pt idx="45">
                  <c:v>-20.742494538389479</c:v>
                </c:pt>
                <c:pt idx="46">
                  <c:v>24.279669044776369</c:v>
                </c:pt>
                <c:pt idx="47">
                  <c:v>-26.147885743264851</c:v>
                </c:pt>
                <c:pt idx="48">
                  <c:v>-3.5239968812630309</c:v>
                </c:pt>
                <c:pt idx="49">
                  <c:v>13.257505461610521</c:v>
                </c:pt>
                <c:pt idx="50">
                  <c:v>36.70818232105978</c:v>
                </c:pt>
                <c:pt idx="51">
                  <c:v>-4.3569428741795946</c:v>
                </c:pt>
                <c:pt idx="52">
                  <c:v>32.931879485413219</c:v>
                </c:pt>
                <c:pt idx="53">
                  <c:v>15.233424901960234</c:v>
                </c:pt>
                <c:pt idx="54">
                  <c:v>-6.9945132813778628</c:v>
                </c:pt>
                <c:pt idx="55">
                  <c:v>23.298550097199723</c:v>
                </c:pt>
                <c:pt idx="56">
                  <c:v>65.978123628229355</c:v>
                </c:pt>
                <c:pt idx="57">
                  <c:v>-17.948269138561727</c:v>
                </c:pt>
                <c:pt idx="58">
                  <c:v>22.344794240015858</c:v>
                </c:pt>
                <c:pt idx="59">
                  <c:v>16.19142177812887</c:v>
                </c:pt>
                <c:pt idx="60">
                  <c:v>46.066370894876854</c:v>
                </c:pt>
                <c:pt idx="61">
                  <c:v>-27.384305964572434</c:v>
                </c:pt>
                <c:pt idx="62">
                  <c:v>19.294309078214951</c:v>
                </c:pt>
                <c:pt idx="63">
                  <c:v>3.9224389592015427</c:v>
                </c:pt>
                <c:pt idx="64">
                  <c:v>-41.468312212235219</c:v>
                </c:pt>
                <c:pt idx="65">
                  <c:v>-14.114364657402916</c:v>
                </c:pt>
                <c:pt idx="66">
                  <c:v>13.587372456792536</c:v>
                </c:pt>
                <c:pt idx="67">
                  <c:v>-26.97563222895451</c:v>
                </c:pt>
                <c:pt idx="68">
                  <c:v>-19.701449902800277</c:v>
                </c:pt>
                <c:pt idx="69">
                  <c:v>-5.6773693431500192</c:v>
                </c:pt>
                <c:pt idx="70">
                  <c:v>-7.1941298860809866</c:v>
                </c:pt>
                <c:pt idx="71">
                  <c:v>-13.259255081320475</c:v>
                </c:pt>
                <c:pt idx="72">
                  <c:v>-20.738253519404793</c:v>
                </c:pt>
                <c:pt idx="73">
                  <c:v>-1.9062660147303632</c:v>
                </c:pt>
                <c:pt idx="74">
                  <c:v>-14.431508595630817</c:v>
                </c:pt>
                <c:pt idx="75">
                  <c:v>-30.510315336066583</c:v>
                </c:pt>
                <c:pt idx="76">
                  <c:v>-3.5008748098549631</c:v>
                </c:pt>
                <c:pt idx="77">
                  <c:v>-23.840182331248656</c:v>
                </c:pt>
                <c:pt idx="78">
                  <c:v>7.2711870068069402</c:v>
                </c:pt>
                <c:pt idx="79">
                  <c:v>3.039007804484072</c:v>
                </c:pt>
                <c:pt idx="80">
                  <c:v>15.397196378301118</c:v>
                </c:pt>
                <c:pt idx="81">
                  <c:v>23.685060249651769</c:v>
                </c:pt>
                <c:pt idx="82">
                  <c:v>-11.286618171713229</c:v>
                </c:pt>
                <c:pt idx="83">
                  <c:v>50.842673730523529</c:v>
                </c:pt>
                <c:pt idx="84">
                  <c:v>-28.598562602714139</c:v>
                </c:pt>
                <c:pt idx="85">
                  <c:v>32.043248823468844</c:v>
                </c:pt>
                <c:pt idx="86">
                  <c:v>88.870995309158502</c:v>
                </c:pt>
                <c:pt idx="87">
                  <c:v>9.3499937472428201</c:v>
                </c:pt>
                <c:pt idx="88">
                  <c:v>-7.8128192408559016</c:v>
                </c:pt>
                <c:pt idx="89">
                  <c:v>-45.115323145645107</c:v>
                </c:pt>
                <c:pt idx="90">
                  <c:v>-9.2455735361240841</c:v>
                </c:pt>
                <c:pt idx="91">
                  <c:v>-19.339020309998546</c:v>
                </c:pt>
                <c:pt idx="92">
                  <c:v>-0.61320263615277781</c:v>
                </c:pt>
                <c:pt idx="93">
                  <c:v>-47.715131447996669</c:v>
                </c:pt>
                <c:pt idx="94">
                  <c:v>-62.356942874179595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D-4F2E-9BD4-9D5A48660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446016"/>
        <c:axId val="1163746480"/>
      </c:scatterChart>
      <c:valAx>
        <c:axId val="65544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3746480"/>
        <c:crosses val="autoZero"/>
        <c:crossBetween val="midCat"/>
      </c:valAx>
      <c:valAx>
        <c:axId val="1163746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4460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Undergrad Grade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'Multiple Linear Regression'!$I$30:$I$124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00-4D9D-B34E-84BE010AC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731120"/>
        <c:axId val="1163723920"/>
      </c:scatterChart>
      <c:valAx>
        <c:axId val="116373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Undergrad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3723920"/>
        <c:crosses val="autoZero"/>
        <c:crossBetween val="midCat"/>
      </c:valAx>
      <c:valAx>
        <c:axId val="1163723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37311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Regression'!$C$6:$C$100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'Multiple Linear Regression'!$I$30:$I$124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32-4D32-881A-6F10F72D5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737360"/>
        <c:axId val="1163726800"/>
      </c:scatterChart>
      <c:valAx>
        <c:axId val="116373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3726800"/>
        <c:crosses val="autoZero"/>
        <c:crossBetween val="midCat"/>
      </c:valAx>
      <c:valAx>
        <c:axId val="1163726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37373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Salary Distribution for MBA Graduates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A9EA10E-50EC-41FC-9C66-3FFCB5C57901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7AAE562D-62AE-4D39-B37D-BBBF148060D3}">
          <cx:tx>
            <cx:txData>
              <cx:f>_xlchart.v1.2</cx:f>
              <cx:v>Employability (Before)</cx:v>
            </cx:txData>
          </cx:tx>
          <cx:spPr>
            <a:solidFill>
              <a:sysClr val="windowText" lastClr="000000">
                <a:lumMod val="65000"/>
                <a:lumOff val="35000"/>
                <a:alpha val="30000"/>
              </a:sys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CD1E6F43-5614-4B1B-9612-AE9FD2376BF7}">
          <cx:tx>
            <cx:txData>
              <cx:f>_xlchart.v1.4</cx:f>
              <cx:v>Employability (After)</cx:v>
            </cx:txData>
          </cx:tx>
          <cx:spPr>
            <a:solidFill>
              <a:sysClr val="windowText" lastClr="000000">
                <a:lumMod val="65000"/>
                <a:lumOff val="35000"/>
                <a:alpha val="30000"/>
              </a:sys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0.300000012"/>
        <cx:tickLabels/>
      </cx:axis>
      <cx:axis id="1">
        <cx:valScaling max="500"/>
        <cx:title>
          <cx:tx>
            <cx:txData>
              <cx:v>Employability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plotArea>
      <cx:plotAreaRegion>
        <cx:series layoutId="clusteredColumn" uniqueId="{549DD48F-70FD-4171-A289-B8CDF429FB03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0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12.xml"/><Relationship Id="rId4" Type="http://schemas.openxmlformats.org/officeDocument/2006/relationships/image" Target="../media/image18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4</xdr:row>
      <xdr:rowOff>23812</xdr:rowOff>
    </xdr:from>
    <xdr:to>
      <xdr:col>10</xdr:col>
      <xdr:colOff>309562</xdr:colOff>
      <xdr:row>17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0502595-18DA-F66C-9903-DAFD5E0EAF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00262" y="957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595312</xdr:colOff>
      <xdr:row>3</xdr:row>
      <xdr:rowOff>176212</xdr:rowOff>
    </xdr:from>
    <xdr:to>
      <xdr:col>21</xdr:col>
      <xdr:colOff>290512</xdr:colOff>
      <xdr:row>17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15B227-9464-30CF-14C9-C23EEA674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3</xdr:row>
      <xdr:rowOff>155575</xdr:rowOff>
    </xdr:from>
    <xdr:to>
      <xdr:col>14</xdr:col>
      <xdr:colOff>352425</xdr:colOff>
      <xdr:row>18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57A0C-F6BC-C6B0-5FB8-49B4D3891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400051</xdr:colOff>
      <xdr:row>4</xdr:row>
      <xdr:rowOff>0</xdr:rowOff>
    </xdr:from>
    <xdr:to>
      <xdr:col>9</xdr:col>
      <xdr:colOff>203201</xdr:colOff>
      <xdr:row>23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581AD0-E935-7146-D4AF-5ADC85FF1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43276" y="933450"/>
              <a:ext cx="3460750" cy="3733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</xdr:colOff>
      <xdr:row>8</xdr:row>
      <xdr:rowOff>4762</xdr:rowOff>
    </xdr:from>
    <xdr:to>
      <xdr:col>8</xdr:col>
      <xdr:colOff>481012</xdr:colOff>
      <xdr:row>22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885FA1B-3533-D394-76F1-276D78A3E6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3012" y="1700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4</xdr:row>
      <xdr:rowOff>4762</xdr:rowOff>
    </xdr:from>
    <xdr:to>
      <xdr:col>16</xdr:col>
      <xdr:colOff>519112</xdr:colOff>
      <xdr:row>18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BDF017-E1A6-CEEE-1998-E410AF219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181538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33337</xdr:rowOff>
    </xdr:from>
    <xdr:to>
      <xdr:col>11</xdr:col>
      <xdr:colOff>333375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31639-693E-C4E1-C95B-EFE3C2E98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9</xdr:row>
      <xdr:rowOff>61912</xdr:rowOff>
    </xdr:from>
    <xdr:to>
      <xdr:col>12</xdr:col>
      <xdr:colOff>514350</xdr:colOff>
      <xdr:row>23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B748F-704B-275C-1F10-682A8051F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757669</xdr:colOff>
      <xdr:row>19</xdr:row>
      <xdr:rowOff>130752</xdr:rowOff>
    </xdr:from>
    <xdr:to>
      <xdr:col>19</xdr:col>
      <xdr:colOff>138544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297C5F-7E24-D7C4-14EA-3434143D3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4</xdr:row>
      <xdr:rowOff>180975</xdr:rowOff>
    </xdr:from>
    <xdr:to>
      <xdr:col>21</xdr:col>
      <xdr:colOff>238125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06B64-9E41-7163-BEF4-15608ADDE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228600</xdr:colOff>
      <xdr:row>15</xdr:row>
      <xdr:rowOff>142875</xdr:rowOff>
    </xdr:from>
    <xdr:to>
      <xdr:col>21</xdr:col>
      <xdr:colOff>228600</xdr:colOff>
      <xdr:row>25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6EAF20-DEE8-60F9-E1C5-CCE178847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 Taylor" refreshedDate="45124.356405439816" createdVersion="8" refreshedVersion="8" minRefreshableVersion="3" recordCount="53" xr:uid="{B5BD8022-578F-4B3F-8DA9-63B6E435991F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startNum="70" endNum="34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 Taylor" refreshedDate="45124.356406250001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 Taylor" refreshedDate="45124.35640636574" createdVersion="8" refreshedVersion="8" minRefreshableVersion="3" recordCount="95" xr:uid="{A34C5789-D1F2-4D6A-8E1D-E9178374C6AC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 Taylor" refreshedDate="45124.381306597221" createdVersion="8" refreshedVersion="8" minRefreshableVersion="3" recordCount="95" xr:uid="{C2F06E55-34EB-42BC-BFBC-D0A180FF5D24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27F21-1A6D-426C-963F-70AC52747B7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4DE09-4AF8-4340-B83F-7E17907ED773}" name="PivotTable2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20" firstHeaderRow="0" firstDataRow="1" firstDataCol="1"/>
  <pivotFields count="1">
    <pivotField axis="axisRow" dataField="1">
      <items count="1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1"/>
    <dataField name="Cumulative Relative Frequency" fld="0" subtotal="count" baseField="0" baseItem="1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B1EE3-0AAF-428A-954F-55A1DE7FFE61}" name="PivotTable3" cacheId="3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2" rowHeaderCaption="MBA Grade">
  <location ref="E5:F16" firstHeaderRow="1" firstDataRow="1" firstDataCol="1"/>
  <pivotFields count="1">
    <pivotField axis="axisRow" dataField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Frequency" fld="0" subtotal="count" baseField="0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5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6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7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9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0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1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42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3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defaultRowHeight="15" x14ac:dyDescent="0.25"/>
  <cols>
    <col min="1" max="1" width="10" bestFit="1" customWidth="1"/>
    <col min="2" max="2" width="17.140625" bestFit="1" customWidth="1"/>
    <col min="3" max="3" width="16" bestFit="1" customWidth="1"/>
    <col min="4" max="4" width="10.7109375" bestFit="1" customWidth="1"/>
    <col min="5" max="5" width="15.7109375" bestFit="1" customWidth="1"/>
    <col min="6" max="6" width="20.7109375" bestFit="1" customWidth="1"/>
    <col min="7" max="7" width="19.28515625" bestFit="1" customWidth="1"/>
    <col min="8" max="8" width="10.28515625" bestFit="1" customWidth="1"/>
    <col min="9" max="9" width="12.7109375" bestFit="1" customWidth="1"/>
    <col min="10" max="10" width="10.85546875" bestFit="1" customWidth="1"/>
  </cols>
  <sheetData>
    <row r="1" spans="1:11" x14ac:dyDescent="0.25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5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5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5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5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5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5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5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5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5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5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5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5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5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5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5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5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5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5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5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5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5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5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5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5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5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5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5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5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5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5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5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5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5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5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5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5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5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5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5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5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5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5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5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5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5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5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5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5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5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5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5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5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5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5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5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5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5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5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5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5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5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5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5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5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5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5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5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5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5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5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5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5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5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5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5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5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5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5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5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5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5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5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5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5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5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5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5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5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5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5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5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5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5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5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5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topLeftCell="I5" workbookViewId="0">
      <selection activeCell="L11" sqref="L11"/>
    </sheetView>
  </sheetViews>
  <sheetFormatPr defaultRowHeight="15" x14ac:dyDescent="0.25"/>
  <cols>
    <col min="1" max="1" width="3" customWidth="1"/>
    <col min="2" max="2" width="38.5703125" customWidth="1"/>
    <col min="3" max="3" width="12.140625" customWidth="1"/>
    <col min="4" max="4" width="3" customWidth="1"/>
    <col min="5" max="5" width="41.42578125" customWidth="1"/>
    <col min="6" max="6" width="12.140625" customWidth="1"/>
    <col min="7" max="7" width="3" customWidth="1"/>
    <col min="8" max="8" width="55.85546875" bestFit="1" customWidth="1"/>
    <col min="9" max="9" width="12.140625" customWidth="1"/>
    <col min="10" max="10" width="3" customWidth="1"/>
    <col min="11" max="11" width="52.28515625" bestFit="1" customWidth="1"/>
    <col min="12" max="12" width="12.140625" customWidth="1"/>
    <col min="13" max="13" width="3" customWidth="1"/>
    <col min="14" max="14" width="44.28515625" customWidth="1"/>
    <col min="15" max="15" width="12.140625" customWidth="1"/>
  </cols>
  <sheetData>
    <row r="1" spans="2:15" ht="15.75" thickBot="1" x14ac:dyDescent="0.3"/>
    <row r="2" spans="2:15" ht="30" customHeight="1" thickBot="1" x14ac:dyDescent="0.3">
      <c r="B2" s="103" t="s">
        <v>0</v>
      </c>
      <c r="C2" s="103"/>
      <c r="E2" s="104" t="s">
        <v>19</v>
      </c>
      <c r="F2" s="104"/>
      <c r="H2" s="105" t="s">
        <v>138</v>
      </c>
      <c r="I2" s="105"/>
      <c r="K2" s="106" t="s">
        <v>189</v>
      </c>
      <c r="L2" s="106"/>
      <c r="N2" s="107" t="s">
        <v>219</v>
      </c>
      <c r="O2" s="107"/>
    </row>
    <row r="3" spans="2:15" ht="15.75" thickBot="1" x14ac:dyDescent="0.3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3">
      <c r="B4" s="5" t="s">
        <v>2</v>
      </c>
      <c r="C4" s="4" t="s">
        <v>11</v>
      </c>
      <c r="E4" s="23" t="s">
        <v>84</v>
      </c>
      <c r="F4" s="24" t="s">
        <v>11</v>
      </c>
      <c r="H4" s="33" t="s">
        <v>153</v>
      </c>
      <c r="I4" s="34" t="s">
        <v>11</v>
      </c>
      <c r="K4" s="47" t="s">
        <v>191</v>
      </c>
      <c r="L4" s="48" t="s">
        <v>11</v>
      </c>
      <c r="N4" s="54" t="s">
        <v>226</v>
      </c>
      <c r="O4" s="55" t="s">
        <v>11</v>
      </c>
    </row>
    <row r="5" spans="2:15" ht="22.5" customHeight="1" thickBot="1" x14ac:dyDescent="0.3">
      <c r="B5" s="5" t="s">
        <v>3</v>
      </c>
      <c r="C5" s="4" t="s">
        <v>11</v>
      </c>
      <c r="E5" s="23" t="s">
        <v>82</v>
      </c>
      <c r="F5" s="24" t="s">
        <v>11</v>
      </c>
      <c r="H5" s="35" t="s">
        <v>224</v>
      </c>
      <c r="I5" s="32" t="s">
        <v>11</v>
      </c>
      <c r="K5" s="47" t="s">
        <v>192</v>
      </c>
      <c r="L5" s="48" t="s">
        <v>11</v>
      </c>
      <c r="N5" s="54" t="s">
        <v>227</v>
      </c>
      <c r="O5" s="55" t="s">
        <v>11</v>
      </c>
    </row>
    <row r="6" spans="2:15" ht="22.5" customHeight="1" thickBot="1" x14ac:dyDescent="0.3">
      <c r="B6" s="5" t="s">
        <v>4</v>
      </c>
      <c r="C6" s="4" t="s">
        <v>11</v>
      </c>
      <c r="E6" s="23" t="s">
        <v>83</v>
      </c>
      <c r="F6" s="24" t="s">
        <v>11</v>
      </c>
      <c r="H6" s="33" t="s">
        <v>155</v>
      </c>
      <c r="I6" s="34" t="s">
        <v>11</v>
      </c>
      <c r="K6" s="47" t="s">
        <v>193</v>
      </c>
      <c r="L6" s="48" t="s">
        <v>11</v>
      </c>
      <c r="N6" s="56" t="s">
        <v>228</v>
      </c>
      <c r="O6" s="57" t="s">
        <v>11</v>
      </c>
    </row>
    <row r="7" spans="2:15" ht="22.5" customHeight="1" thickBot="1" x14ac:dyDescent="0.3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154</v>
      </c>
      <c r="I7" s="32" t="s">
        <v>11</v>
      </c>
      <c r="K7" s="47" t="s">
        <v>194</v>
      </c>
      <c r="L7" s="48" t="s">
        <v>11</v>
      </c>
      <c r="N7" s="54" t="s">
        <v>237</v>
      </c>
      <c r="O7" s="55" t="s">
        <v>11</v>
      </c>
    </row>
    <row r="8" spans="2:15" ht="22.5" customHeight="1" thickBot="1" x14ac:dyDescent="0.3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157</v>
      </c>
      <c r="I8" s="34" t="s">
        <v>11</v>
      </c>
      <c r="K8" s="47" t="s">
        <v>309</v>
      </c>
      <c r="L8" s="48" t="s">
        <v>11</v>
      </c>
      <c r="N8" s="54" t="s">
        <v>238</v>
      </c>
      <c r="O8" s="55" t="s">
        <v>11</v>
      </c>
    </row>
    <row r="9" spans="2:15" ht="22.5" customHeight="1" thickBot="1" x14ac:dyDescent="0.3">
      <c r="B9" s="5" t="s">
        <v>6</v>
      </c>
      <c r="C9" s="4" t="s">
        <v>11</v>
      </c>
      <c r="E9" s="23" t="s">
        <v>106</v>
      </c>
      <c r="F9" s="24" t="s">
        <v>11</v>
      </c>
      <c r="H9" s="35" t="s">
        <v>190</v>
      </c>
      <c r="I9" s="32" t="s">
        <v>11</v>
      </c>
      <c r="K9" s="45" t="s">
        <v>223</v>
      </c>
      <c r="L9" s="46" t="s">
        <v>11</v>
      </c>
      <c r="N9" s="56" t="s">
        <v>256</v>
      </c>
      <c r="O9" s="57" t="s">
        <v>11</v>
      </c>
    </row>
    <row r="10" spans="2:15" ht="22.5" customHeight="1" thickBot="1" x14ac:dyDescent="0.3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166</v>
      </c>
      <c r="I10" s="34" t="s">
        <v>11</v>
      </c>
      <c r="K10" s="49" t="s">
        <v>208</v>
      </c>
      <c r="L10" s="48" t="s">
        <v>11</v>
      </c>
      <c r="N10" s="54" t="s">
        <v>257</v>
      </c>
      <c r="O10" s="55" t="s">
        <v>11</v>
      </c>
    </row>
    <row r="11" spans="2:15" ht="22.5" customHeight="1" thickBot="1" x14ac:dyDescent="0.3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167</v>
      </c>
      <c r="I11" s="32" t="s">
        <v>11</v>
      </c>
      <c r="K11" s="45" t="s">
        <v>222</v>
      </c>
      <c r="L11" s="46" t="s">
        <v>11</v>
      </c>
      <c r="N11" s="54" t="s">
        <v>258</v>
      </c>
      <c r="O11" s="55" t="s">
        <v>11</v>
      </c>
    </row>
    <row r="12" spans="2:15" ht="22.5" customHeight="1" thickBot="1" x14ac:dyDescent="0.3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168</v>
      </c>
      <c r="I12" s="34" t="s">
        <v>11</v>
      </c>
      <c r="K12" s="45" t="s">
        <v>220</v>
      </c>
      <c r="L12" s="46" t="s">
        <v>11</v>
      </c>
      <c r="N12" s="54" t="s">
        <v>259</v>
      </c>
      <c r="O12" s="55" t="s">
        <v>11</v>
      </c>
    </row>
    <row r="13" spans="2:15" ht="22.5" customHeight="1" thickBot="1" x14ac:dyDescent="0.3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169</v>
      </c>
      <c r="I13" s="32" t="s">
        <v>11</v>
      </c>
      <c r="K13" s="45" t="s">
        <v>221</v>
      </c>
      <c r="L13" s="46" t="s">
        <v>11</v>
      </c>
      <c r="N13" s="54" t="s">
        <v>260</v>
      </c>
      <c r="O13" s="55" t="s">
        <v>11</v>
      </c>
    </row>
    <row r="14" spans="2:15" ht="22.5" customHeight="1" thickBot="1" x14ac:dyDescent="0.3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185</v>
      </c>
      <c r="I14" s="34" t="s">
        <v>11</v>
      </c>
      <c r="N14" s="56" t="s">
        <v>261</v>
      </c>
      <c r="O14" s="57" t="s">
        <v>11</v>
      </c>
    </row>
    <row r="15" spans="2:15" ht="22.5" customHeight="1" thickBot="1" x14ac:dyDescent="0.3">
      <c r="B15" s="5" t="s">
        <v>81</v>
      </c>
      <c r="C15" s="4" t="s">
        <v>11</v>
      </c>
      <c r="N15" s="54" t="s">
        <v>262</v>
      </c>
      <c r="O15" s="55" t="s">
        <v>11</v>
      </c>
    </row>
    <row r="16" spans="2:15" ht="22.5" customHeight="1" thickBot="1" x14ac:dyDescent="0.3">
      <c r="B16" s="15" t="s">
        <v>31</v>
      </c>
      <c r="C16" s="16" t="s">
        <v>11</v>
      </c>
      <c r="N16" s="54" t="s">
        <v>267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topLeftCell="D1" workbookViewId="0">
      <selection activeCell="J7" sqref="J7"/>
    </sheetView>
  </sheetViews>
  <sheetFormatPr defaultRowHeight="15" x14ac:dyDescent="0.25"/>
  <cols>
    <col min="1" max="1" width="2.85546875" customWidth="1"/>
    <col min="2" max="2" width="11.7109375" customWidth="1"/>
    <col min="3" max="3" width="9.140625" customWidth="1"/>
    <col min="4" max="4" width="13.140625" bestFit="1" customWidth="1"/>
    <col min="5" max="5" width="10.28515625" bestFit="1" customWidth="1"/>
    <col min="6" max="6" width="18.28515625" bestFit="1" customWidth="1"/>
    <col min="8" max="8" width="11.28515625" bestFit="1" customWidth="1"/>
    <col min="9" max="9" width="10.28515625" bestFit="1" customWidth="1"/>
    <col min="10" max="10" width="18.28515625" bestFit="1" customWidth="1"/>
    <col min="12" max="12" width="11.28515625" bestFit="1" customWidth="1"/>
    <col min="13" max="13" width="10.28515625" bestFit="1" customWidth="1"/>
    <col min="14" max="14" width="18.28515625" bestFit="1" customWidth="1"/>
  </cols>
  <sheetData>
    <row r="1" spans="2:14" ht="25.5" customHeight="1" x14ac:dyDescent="0.3">
      <c r="B1" s="18" t="s">
        <v>268</v>
      </c>
    </row>
    <row r="2" spans="2:14" ht="15.75" x14ac:dyDescent="0.25">
      <c r="B2" s="30" t="s">
        <v>2</v>
      </c>
    </row>
    <row r="3" spans="2:14" ht="18" customHeight="1" x14ac:dyDescent="0.25"/>
    <row r="4" spans="2:14" x14ac:dyDescent="0.25">
      <c r="D4" s="3" t="s">
        <v>52</v>
      </c>
      <c r="H4" s="3" t="s">
        <v>54</v>
      </c>
      <c r="L4" s="3" t="s">
        <v>53</v>
      </c>
    </row>
    <row r="5" spans="2:14" x14ac:dyDescent="0.25">
      <c r="B5" s="7" t="s">
        <v>12</v>
      </c>
      <c r="D5" s="9" t="s">
        <v>319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5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>
        <f>COUNTIFS(B$6:$B$100, H6)</f>
        <v>42</v>
      </c>
      <c r="J6" s="59">
        <f>I6/SUM($I$6,$I$7)</f>
        <v>0.44210526315789472</v>
      </c>
      <c r="L6" s="8" t="str" cm="1">
        <f t="array" ref="L6:L7">_xlfn._xlws.SORT(_xlfn.UNIQUE(B6:B100))</f>
        <v>Not Placed</v>
      </c>
      <c r="M6" s="8" cm="1">
        <f t="array" ref="M6:M7">COUNTIF(B6:B100,_xlfn.ANCHORARRAY(L6))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5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>
        <f>COUNTIFS(B$6:$B$100, H7)</f>
        <v>53</v>
      </c>
      <c r="J7" s="59">
        <f>I7/SUM($I$6,$I$7)</f>
        <v>0.55789473684210522</v>
      </c>
      <c r="L7" s="8" t="str">
        <v>Placed</v>
      </c>
      <c r="M7" s="8">
        <v>53</v>
      </c>
      <c r="N7" s="59">
        <v>0.55789473684210522</v>
      </c>
    </row>
    <row r="8" spans="2:14" x14ac:dyDescent="0.25">
      <c r="B8" s="8" t="s">
        <v>13</v>
      </c>
      <c r="D8" s="101" t="s">
        <v>17</v>
      </c>
      <c r="E8">
        <v>95</v>
      </c>
      <c r="F8" s="102">
        <v>1</v>
      </c>
    </row>
    <row r="9" spans="2:14" x14ac:dyDescent="0.25">
      <c r="B9" s="8" t="s">
        <v>14</v>
      </c>
    </row>
    <row r="10" spans="2:14" x14ac:dyDescent="0.25">
      <c r="B10" s="8" t="s">
        <v>14</v>
      </c>
    </row>
    <row r="11" spans="2:14" x14ac:dyDescent="0.25">
      <c r="B11" s="8" t="s">
        <v>14</v>
      </c>
    </row>
    <row r="12" spans="2:14" x14ac:dyDescent="0.25">
      <c r="B12" s="8" t="s">
        <v>13</v>
      </c>
    </row>
    <row r="13" spans="2:14" x14ac:dyDescent="0.25">
      <c r="B13" s="8" t="s">
        <v>13</v>
      </c>
    </row>
    <row r="14" spans="2:14" x14ac:dyDescent="0.25">
      <c r="B14" s="8" t="s">
        <v>13</v>
      </c>
    </row>
    <row r="15" spans="2:14" x14ac:dyDescent="0.25">
      <c r="B15" s="8" t="s">
        <v>13</v>
      </c>
    </row>
    <row r="16" spans="2:14" x14ac:dyDescent="0.25">
      <c r="B16" s="8" t="s">
        <v>14</v>
      </c>
    </row>
    <row r="17" spans="2:2" x14ac:dyDescent="0.25">
      <c r="B17" s="8" t="s">
        <v>13</v>
      </c>
    </row>
    <row r="18" spans="2:2" x14ac:dyDescent="0.25">
      <c r="B18" s="8" t="s">
        <v>14</v>
      </c>
    </row>
    <row r="19" spans="2:2" x14ac:dyDescent="0.25">
      <c r="B19" s="8" t="s">
        <v>13</v>
      </c>
    </row>
    <row r="20" spans="2:2" x14ac:dyDescent="0.25">
      <c r="B20" s="8" t="s">
        <v>13</v>
      </c>
    </row>
    <row r="21" spans="2:2" x14ac:dyDescent="0.25">
      <c r="B21" s="8" t="s">
        <v>13</v>
      </c>
    </row>
    <row r="22" spans="2:2" x14ac:dyDescent="0.25">
      <c r="B22" s="8" t="s">
        <v>14</v>
      </c>
    </row>
    <row r="23" spans="2:2" x14ac:dyDescent="0.25">
      <c r="B23" s="8" t="s">
        <v>13</v>
      </c>
    </row>
    <row r="24" spans="2:2" x14ac:dyDescent="0.25">
      <c r="B24" s="8" t="s">
        <v>14</v>
      </c>
    </row>
    <row r="25" spans="2:2" x14ac:dyDescent="0.25">
      <c r="B25" s="8" t="s">
        <v>14</v>
      </c>
    </row>
    <row r="26" spans="2:2" x14ac:dyDescent="0.25">
      <c r="B26" s="8" t="s">
        <v>14</v>
      </c>
    </row>
    <row r="27" spans="2:2" x14ac:dyDescent="0.25">
      <c r="B27" s="8" t="s">
        <v>13</v>
      </c>
    </row>
    <row r="28" spans="2:2" x14ac:dyDescent="0.25">
      <c r="B28" s="8" t="s">
        <v>14</v>
      </c>
    </row>
    <row r="29" spans="2:2" x14ac:dyDescent="0.25">
      <c r="B29" s="8" t="s">
        <v>14</v>
      </c>
    </row>
    <row r="30" spans="2:2" x14ac:dyDescent="0.25">
      <c r="B30" s="8" t="s">
        <v>13</v>
      </c>
    </row>
    <row r="31" spans="2:2" x14ac:dyDescent="0.25">
      <c r="B31" s="8" t="s">
        <v>13</v>
      </c>
    </row>
    <row r="32" spans="2:2" x14ac:dyDescent="0.25">
      <c r="B32" s="8" t="s">
        <v>13</v>
      </c>
    </row>
    <row r="33" spans="2:2" x14ac:dyDescent="0.25">
      <c r="B33" s="8" t="s">
        <v>14</v>
      </c>
    </row>
    <row r="34" spans="2:2" x14ac:dyDescent="0.25">
      <c r="B34" s="8" t="s">
        <v>14</v>
      </c>
    </row>
    <row r="35" spans="2:2" x14ac:dyDescent="0.25">
      <c r="B35" s="8" t="s">
        <v>13</v>
      </c>
    </row>
    <row r="36" spans="2:2" x14ac:dyDescent="0.25">
      <c r="B36" s="8" t="s">
        <v>14</v>
      </c>
    </row>
    <row r="37" spans="2:2" x14ac:dyDescent="0.25">
      <c r="B37" s="8" t="s">
        <v>14</v>
      </c>
    </row>
    <row r="38" spans="2:2" x14ac:dyDescent="0.25">
      <c r="B38" s="8" t="s">
        <v>14</v>
      </c>
    </row>
    <row r="39" spans="2:2" x14ac:dyDescent="0.25">
      <c r="B39" s="8" t="s">
        <v>13</v>
      </c>
    </row>
    <row r="40" spans="2:2" x14ac:dyDescent="0.25">
      <c r="B40" s="8" t="s">
        <v>14</v>
      </c>
    </row>
    <row r="41" spans="2:2" x14ac:dyDescent="0.25">
      <c r="B41" s="8" t="s">
        <v>13</v>
      </c>
    </row>
    <row r="42" spans="2:2" x14ac:dyDescent="0.25">
      <c r="B42" s="8" t="s">
        <v>13</v>
      </c>
    </row>
    <row r="43" spans="2:2" x14ac:dyDescent="0.25">
      <c r="B43" s="8" t="s">
        <v>14</v>
      </c>
    </row>
    <row r="44" spans="2:2" x14ac:dyDescent="0.25">
      <c r="B44" s="8" t="s">
        <v>14</v>
      </c>
    </row>
    <row r="45" spans="2:2" x14ac:dyDescent="0.25">
      <c r="B45" s="8" t="s">
        <v>14</v>
      </c>
    </row>
    <row r="46" spans="2:2" x14ac:dyDescent="0.25">
      <c r="B46" s="8" t="s">
        <v>13</v>
      </c>
    </row>
    <row r="47" spans="2:2" x14ac:dyDescent="0.25">
      <c r="B47" s="8" t="s">
        <v>13</v>
      </c>
    </row>
    <row r="48" spans="2:2" x14ac:dyDescent="0.25">
      <c r="B48" s="8" t="s">
        <v>13</v>
      </c>
    </row>
    <row r="49" spans="2:2" x14ac:dyDescent="0.25">
      <c r="B49" s="8" t="s">
        <v>14</v>
      </c>
    </row>
    <row r="50" spans="2:2" x14ac:dyDescent="0.25">
      <c r="B50" s="8" t="s">
        <v>13</v>
      </c>
    </row>
    <row r="51" spans="2:2" x14ac:dyDescent="0.25">
      <c r="B51" s="8" t="s">
        <v>14</v>
      </c>
    </row>
    <row r="52" spans="2:2" x14ac:dyDescent="0.25">
      <c r="B52" s="8" t="s">
        <v>13</v>
      </c>
    </row>
    <row r="53" spans="2:2" x14ac:dyDescent="0.25">
      <c r="B53" s="8" t="s">
        <v>14</v>
      </c>
    </row>
    <row r="54" spans="2:2" x14ac:dyDescent="0.25">
      <c r="B54" s="8" t="s">
        <v>13</v>
      </c>
    </row>
    <row r="55" spans="2:2" x14ac:dyDescent="0.25">
      <c r="B55" s="8" t="s">
        <v>13</v>
      </c>
    </row>
    <row r="56" spans="2:2" x14ac:dyDescent="0.25">
      <c r="B56" s="8" t="s">
        <v>13</v>
      </c>
    </row>
    <row r="57" spans="2:2" x14ac:dyDescent="0.25">
      <c r="B57" s="8" t="s">
        <v>14</v>
      </c>
    </row>
    <row r="58" spans="2:2" x14ac:dyDescent="0.25">
      <c r="B58" s="8" t="s">
        <v>13</v>
      </c>
    </row>
    <row r="59" spans="2:2" x14ac:dyDescent="0.25">
      <c r="B59" s="8" t="s">
        <v>13</v>
      </c>
    </row>
    <row r="60" spans="2:2" x14ac:dyDescent="0.25">
      <c r="B60" s="8" t="s">
        <v>13</v>
      </c>
    </row>
    <row r="61" spans="2:2" x14ac:dyDescent="0.25">
      <c r="B61" s="8" t="s">
        <v>13</v>
      </c>
    </row>
    <row r="62" spans="2:2" x14ac:dyDescent="0.25">
      <c r="B62" s="8" t="s">
        <v>13</v>
      </c>
    </row>
    <row r="63" spans="2:2" x14ac:dyDescent="0.25">
      <c r="B63" s="8" t="s">
        <v>13</v>
      </c>
    </row>
    <row r="64" spans="2:2" x14ac:dyDescent="0.25">
      <c r="B64" s="8" t="s">
        <v>13</v>
      </c>
    </row>
    <row r="65" spans="2:2" x14ac:dyDescent="0.25">
      <c r="B65" s="8" t="s">
        <v>13</v>
      </c>
    </row>
    <row r="66" spans="2:2" x14ac:dyDescent="0.25">
      <c r="B66" s="8" t="s">
        <v>13</v>
      </c>
    </row>
    <row r="67" spans="2:2" x14ac:dyDescent="0.25">
      <c r="B67" s="8" t="s">
        <v>14</v>
      </c>
    </row>
    <row r="68" spans="2:2" x14ac:dyDescent="0.25">
      <c r="B68" s="8" t="s">
        <v>13</v>
      </c>
    </row>
    <row r="69" spans="2:2" x14ac:dyDescent="0.25">
      <c r="B69" s="8" t="s">
        <v>13</v>
      </c>
    </row>
    <row r="70" spans="2:2" x14ac:dyDescent="0.25">
      <c r="B70" s="8" t="s">
        <v>14</v>
      </c>
    </row>
    <row r="71" spans="2:2" x14ac:dyDescent="0.25">
      <c r="B71" s="8" t="s">
        <v>14</v>
      </c>
    </row>
    <row r="72" spans="2:2" x14ac:dyDescent="0.25">
      <c r="B72" s="8" t="s">
        <v>13</v>
      </c>
    </row>
    <row r="73" spans="2:2" x14ac:dyDescent="0.25">
      <c r="B73" s="8" t="s">
        <v>14</v>
      </c>
    </row>
    <row r="74" spans="2:2" x14ac:dyDescent="0.25">
      <c r="B74" s="8" t="s">
        <v>13</v>
      </c>
    </row>
    <row r="75" spans="2:2" x14ac:dyDescent="0.25">
      <c r="B75" s="8" t="s">
        <v>14</v>
      </c>
    </row>
    <row r="76" spans="2:2" x14ac:dyDescent="0.25">
      <c r="B76" s="8" t="s">
        <v>13</v>
      </c>
    </row>
    <row r="77" spans="2:2" x14ac:dyDescent="0.25">
      <c r="B77" s="8" t="s">
        <v>14</v>
      </c>
    </row>
    <row r="78" spans="2:2" x14ac:dyDescent="0.25">
      <c r="B78" s="8" t="s">
        <v>14</v>
      </c>
    </row>
    <row r="79" spans="2:2" x14ac:dyDescent="0.25">
      <c r="B79" s="8" t="s">
        <v>14</v>
      </c>
    </row>
    <row r="80" spans="2:2" x14ac:dyDescent="0.25">
      <c r="B80" s="8" t="s">
        <v>13</v>
      </c>
    </row>
    <row r="81" spans="2:2" x14ac:dyDescent="0.25">
      <c r="B81" s="8" t="s">
        <v>14</v>
      </c>
    </row>
    <row r="82" spans="2:2" x14ac:dyDescent="0.25">
      <c r="B82" s="8" t="s">
        <v>14</v>
      </c>
    </row>
    <row r="83" spans="2:2" x14ac:dyDescent="0.25">
      <c r="B83" s="8" t="s">
        <v>13</v>
      </c>
    </row>
    <row r="84" spans="2:2" x14ac:dyDescent="0.25">
      <c r="B84" s="8" t="s">
        <v>13</v>
      </c>
    </row>
    <row r="85" spans="2:2" x14ac:dyDescent="0.25">
      <c r="B85" s="8" t="s">
        <v>14</v>
      </c>
    </row>
    <row r="86" spans="2:2" x14ac:dyDescent="0.25">
      <c r="B86" s="8" t="s">
        <v>14</v>
      </c>
    </row>
    <row r="87" spans="2:2" x14ac:dyDescent="0.25">
      <c r="B87" s="8" t="s">
        <v>13</v>
      </c>
    </row>
    <row r="88" spans="2:2" x14ac:dyDescent="0.25">
      <c r="B88" s="8" t="s">
        <v>14</v>
      </c>
    </row>
    <row r="89" spans="2:2" x14ac:dyDescent="0.25">
      <c r="B89" s="8" t="s">
        <v>13</v>
      </c>
    </row>
    <row r="90" spans="2:2" x14ac:dyDescent="0.25">
      <c r="B90" s="8" t="s">
        <v>13</v>
      </c>
    </row>
    <row r="91" spans="2:2" x14ac:dyDescent="0.25">
      <c r="B91" s="8" t="s">
        <v>13</v>
      </c>
    </row>
    <row r="92" spans="2:2" x14ac:dyDescent="0.25">
      <c r="B92" s="8" t="s">
        <v>13</v>
      </c>
    </row>
    <row r="93" spans="2:2" x14ac:dyDescent="0.25">
      <c r="B93" s="8" t="s">
        <v>14</v>
      </c>
    </row>
    <row r="94" spans="2:2" x14ac:dyDescent="0.25">
      <c r="B94" s="8" t="s">
        <v>13</v>
      </c>
    </row>
    <row r="95" spans="2:2" x14ac:dyDescent="0.25">
      <c r="B95" s="8" t="s">
        <v>14</v>
      </c>
    </row>
    <row r="96" spans="2:2" x14ac:dyDescent="0.25">
      <c r="B96" s="8" t="s">
        <v>13</v>
      </c>
    </row>
    <row r="97" spans="2:2" x14ac:dyDescent="0.25">
      <c r="B97" s="8" t="s">
        <v>13</v>
      </c>
    </row>
    <row r="98" spans="2:2" x14ac:dyDescent="0.25">
      <c r="B98" s="8" t="s">
        <v>14</v>
      </c>
    </row>
    <row r="99" spans="2:2" x14ac:dyDescent="0.25">
      <c r="B99" s="8" t="s">
        <v>13</v>
      </c>
    </row>
    <row r="100" spans="2:2" x14ac:dyDescent="0.25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D5" sqref="D5"/>
    </sheetView>
  </sheetViews>
  <sheetFormatPr defaultRowHeight="15" x14ac:dyDescent="0.25"/>
  <cols>
    <col min="1" max="1" width="2.85546875" customWidth="1"/>
    <col min="2" max="2" width="19.42578125" customWidth="1"/>
    <col min="4" max="4" width="15.42578125" bestFit="1" customWidth="1"/>
    <col min="5" max="5" width="10.28515625" bestFit="1" customWidth="1"/>
    <col min="6" max="6" width="29.140625" bestFit="1" customWidth="1"/>
    <col min="9" max="9" width="19" customWidth="1"/>
    <col min="10" max="10" width="12.140625" customWidth="1"/>
  </cols>
  <sheetData>
    <row r="1" spans="2:10" ht="25.5" customHeight="1" x14ac:dyDescent="0.3">
      <c r="B1" s="18" t="s">
        <v>118</v>
      </c>
    </row>
    <row r="2" spans="2:10" ht="15" customHeight="1" x14ac:dyDescent="0.25">
      <c r="B2" s="30" t="s">
        <v>3</v>
      </c>
    </row>
    <row r="3" spans="2:10" ht="18" customHeight="1" x14ac:dyDescent="0.25"/>
    <row r="4" spans="2:10" ht="15" customHeight="1" x14ac:dyDescent="0.25">
      <c r="D4" s="3" t="s">
        <v>52</v>
      </c>
      <c r="H4" s="3" t="s">
        <v>53</v>
      </c>
    </row>
    <row r="5" spans="2:10" ht="30" x14ac:dyDescent="0.25">
      <c r="B5" s="14" t="s">
        <v>37</v>
      </c>
      <c r="D5" s="9" t="s">
        <v>35</v>
      </c>
      <c r="E5" t="s">
        <v>15</v>
      </c>
      <c r="F5" t="s">
        <v>334</v>
      </c>
      <c r="H5" s="66" t="s">
        <v>34</v>
      </c>
      <c r="I5" s="67" t="s">
        <v>37</v>
      </c>
      <c r="J5" s="65" t="s">
        <v>15</v>
      </c>
    </row>
    <row r="6" spans="2:10" x14ac:dyDescent="0.25">
      <c r="B6" s="8">
        <v>111</v>
      </c>
      <c r="C6" s="11"/>
      <c r="D6" s="101" t="s">
        <v>320</v>
      </c>
      <c r="E6">
        <v>9</v>
      </c>
      <c r="F6" s="102">
        <v>0.16981132075471697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5">
      <c r="B7" s="8">
        <v>107</v>
      </c>
      <c r="C7" s="11"/>
      <c r="D7" s="101" t="s">
        <v>321</v>
      </c>
      <c r="E7">
        <v>22</v>
      </c>
      <c r="F7" s="102">
        <v>0.58490566037735847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5">
      <c r="B8" s="8">
        <v>109</v>
      </c>
      <c r="C8" s="11"/>
      <c r="D8" s="101" t="s">
        <v>322</v>
      </c>
      <c r="E8">
        <v>11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5">
      <c r="B9" s="8">
        <v>148</v>
      </c>
      <c r="C9" s="11"/>
      <c r="D9" s="101" t="s">
        <v>323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5">
      <c r="B10" s="8">
        <v>255.5</v>
      </c>
      <c r="C10" s="11"/>
      <c r="D10" s="101" t="s">
        <v>324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5">
      <c r="B11" s="8">
        <v>103.5</v>
      </c>
      <c r="C11" s="11"/>
      <c r="D11" s="101" t="s">
        <v>325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5">
      <c r="B12" s="8">
        <v>114.5</v>
      </c>
      <c r="C12" s="11"/>
      <c r="D12" s="101" t="s">
        <v>326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5">
      <c r="B13" s="8">
        <v>124</v>
      </c>
      <c r="C13" s="11"/>
      <c r="D13" s="101" t="s">
        <v>327</v>
      </c>
      <c r="E13">
        <v>0</v>
      </c>
      <c r="F13" s="102">
        <v>0.96226415094339623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5">
      <c r="B14" s="8">
        <v>132.5</v>
      </c>
      <c r="C14" s="11"/>
      <c r="D14" s="101" t="s">
        <v>328</v>
      </c>
      <c r="E14">
        <v>0</v>
      </c>
      <c r="F14" s="102">
        <v>0.96226415094339623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5">
      <c r="B15" s="8">
        <v>99</v>
      </c>
      <c r="C15" s="11"/>
      <c r="D15" s="101" t="s">
        <v>329</v>
      </c>
      <c r="E15">
        <v>1</v>
      </c>
      <c r="F15" s="102">
        <v>0.98113207547169812</v>
      </c>
      <c r="H15" s="68">
        <v>270</v>
      </c>
      <c r="I15" s="8" t="str">
        <f t="shared" si="0"/>
        <v>250-270</v>
      </c>
      <c r="J15" s="8">
        <v>1</v>
      </c>
    </row>
    <row r="16" spans="2:10" x14ac:dyDescent="0.25">
      <c r="B16" s="8">
        <v>124</v>
      </c>
      <c r="C16" s="11"/>
      <c r="D16" s="101" t="s">
        <v>330</v>
      </c>
      <c r="E16">
        <v>0</v>
      </c>
      <c r="F16" s="102">
        <v>0.98113207547169812</v>
      </c>
      <c r="H16" s="68">
        <v>290</v>
      </c>
      <c r="I16" s="8" t="str">
        <f t="shared" si="0"/>
        <v>270-290</v>
      </c>
      <c r="J16" s="8">
        <v>0</v>
      </c>
    </row>
    <row r="17" spans="2:10" x14ac:dyDescent="0.25">
      <c r="B17" s="8">
        <v>82</v>
      </c>
      <c r="C17" s="11"/>
      <c r="D17" s="101" t="s">
        <v>331</v>
      </c>
      <c r="E17">
        <v>0</v>
      </c>
      <c r="F17" s="102">
        <v>0.98113207547169812</v>
      </c>
      <c r="H17" s="68">
        <v>310</v>
      </c>
      <c r="I17" s="8" t="str">
        <f t="shared" si="0"/>
        <v>290-310</v>
      </c>
      <c r="J17" s="8">
        <v>0</v>
      </c>
    </row>
    <row r="18" spans="2:10" x14ac:dyDescent="0.25">
      <c r="B18" s="8">
        <v>185</v>
      </c>
      <c r="C18" s="11"/>
      <c r="D18" s="101" t="s">
        <v>332</v>
      </c>
      <c r="E18">
        <v>0</v>
      </c>
      <c r="F18" s="102">
        <v>0.98113207547169812</v>
      </c>
      <c r="H18" s="68">
        <v>330</v>
      </c>
      <c r="I18" s="8" t="str">
        <f t="shared" si="0"/>
        <v>310-330</v>
      </c>
      <c r="J18" s="8">
        <v>0</v>
      </c>
    </row>
    <row r="19" spans="2:10" x14ac:dyDescent="0.25">
      <c r="B19" s="8">
        <v>89.5</v>
      </c>
      <c r="C19" s="11"/>
      <c r="D19" s="101" t="s">
        <v>333</v>
      </c>
      <c r="E19">
        <v>1</v>
      </c>
      <c r="F19" s="102">
        <v>1</v>
      </c>
      <c r="H19" s="68">
        <v>350</v>
      </c>
      <c r="I19" s="8" t="str">
        <f t="shared" si="0"/>
        <v>330-350</v>
      </c>
      <c r="J19" s="8">
        <v>1</v>
      </c>
    </row>
    <row r="20" spans="2:10" x14ac:dyDescent="0.25">
      <c r="B20" s="8">
        <v>91.5</v>
      </c>
      <c r="C20" s="11"/>
      <c r="D20" s="101" t="s">
        <v>17</v>
      </c>
      <c r="E20">
        <v>53</v>
      </c>
      <c r="F20" s="102"/>
    </row>
    <row r="21" spans="2:10" x14ac:dyDescent="0.25">
      <c r="B21" s="8">
        <v>113.5</v>
      </c>
      <c r="C21" s="11"/>
    </row>
    <row r="22" spans="2:10" x14ac:dyDescent="0.25">
      <c r="B22" s="8">
        <v>99</v>
      </c>
      <c r="C22" s="11"/>
    </row>
    <row r="23" spans="2:10" x14ac:dyDescent="0.25">
      <c r="B23" s="8">
        <v>75.5</v>
      </c>
      <c r="C23" s="11"/>
    </row>
    <row r="24" spans="2:10" x14ac:dyDescent="0.25">
      <c r="B24" s="8">
        <v>86</v>
      </c>
      <c r="C24" s="11"/>
    </row>
    <row r="25" spans="2:10" x14ac:dyDescent="0.25">
      <c r="B25" s="8">
        <v>156.5</v>
      </c>
      <c r="C25" s="11"/>
    </row>
    <row r="26" spans="2:10" x14ac:dyDescent="0.25">
      <c r="B26" s="8">
        <v>99.5</v>
      </c>
      <c r="C26" s="11"/>
    </row>
    <row r="27" spans="2:10" x14ac:dyDescent="0.25">
      <c r="B27" s="8">
        <v>148</v>
      </c>
      <c r="C27" s="11"/>
    </row>
    <row r="28" spans="2:10" x14ac:dyDescent="0.25">
      <c r="B28" s="8">
        <v>82</v>
      </c>
      <c r="C28" s="11"/>
    </row>
    <row r="29" spans="2:10" x14ac:dyDescent="0.25">
      <c r="B29" s="8">
        <v>103.5</v>
      </c>
      <c r="C29" s="11"/>
    </row>
    <row r="30" spans="2:10" x14ac:dyDescent="0.25">
      <c r="B30" s="8">
        <v>205.5</v>
      </c>
      <c r="C30" s="11"/>
    </row>
    <row r="31" spans="2:10" x14ac:dyDescent="0.25">
      <c r="B31" s="8">
        <v>103.5</v>
      </c>
      <c r="C31" s="11"/>
    </row>
    <row r="32" spans="2:10" x14ac:dyDescent="0.25">
      <c r="B32" s="8">
        <v>340</v>
      </c>
      <c r="C32" s="11"/>
    </row>
    <row r="33" spans="2:3" x14ac:dyDescent="0.25">
      <c r="B33" s="8">
        <v>103.5</v>
      </c>
      <c r="C33" s="11"/>
    </row>
    <row r="34" spans="2:3" x14ac:dyDescent="0.25">
      <c r="B34" s="8">
        <v>99.5</v>
      </c>
      <c r="C34" s="11"/>
    </row>
    <row r="35" spans="2:3" x14ac:dyDescent="0.25">
      <c r="B35" s="8">
        <v>103</v>
      </c>
      <c r="C35" s="11"/>
    </row>
    <row r="36" spans="2:3" x14ac:dyDescent="0.25">
      <c r="B36" s="8">
        <v>103.5</v>
      </c>
      <c r="C36" s="11"/>
    </row>
    <row r="37" spans="2:3" x14ac:dyDescent="0.25">
      <c r="B37" s="8">
        <v>165</v>
      </c>
      <c r="C37" s="11"/>
    </row>
    <row r="38" spans="2:3" x14ac:dyDescent="0.25">
      <c r="B38" s="8">
        <v>124.5</v>
      </c>
      <c r="C38" s="11"/>
    </row>
    <row r="39" spans="2:3" x14ac:dyDescent="0.25">
      <c r="B39" s="8">
        <v>103.5</v>
      </c>
      <c r="C39" s="11"/>
    </row>
    <row r="40" spans="2:3" x14ac:dyDescent="0.25">
      <c r="B40" s="8">
        <v>82.5</v>
      </c>
      <c r="C40" s="11"/>
    </row>
    <row r="41" spans="2:3" x14ac:dyDescent="0.25">
      <c r="B41" s="8">
        <v>93</v>
      </c>
      <c r="C41" s="11"/>
    </row>
    <row r="42" spans="2:3" x14ac:dyDescent="0.25">
      <c r="B42" s="8">
        <v>168</v>
      </c>
      <c r="C42" s="11"/>
    </row>
    <row r="43" spans="2:3" x14ac:dyDescent="0.25">
      <c r="B43" s="8">
        <v>96</v>
      </c>
      <c r="C43" s="11"/>
    </row>
    <row r="44" spans="2:3" x14ac:dyDescent="0.25">
      <c r="B44" s="8">
        <v>80</v>
      </c>
      <c r="C44" s="11"/>
    </row>
    <row r="45" spans="2:3" x14ac:dyDescent="0.25">
      <c r="B45" s="8">
        <v>124.5</v>
      </c>
      <c r="C45" s="11"/>
    </row>
    <row r="46" spans="2:3" x14ac:dyDescent="0.25">
      <c r="B46" s="8">
        <v>99</v>
      </c>
      <c r="C46" s="11"/>
    </row>
    <row r="47" spans="2:3" x14ac:dyDescent="0.25">
      <c r="B47" s="8">
        <v>124</v>
      </c>
      <c r="C47" s="11"/>
    </row>
    <row r="48" spans="2:3" x14ac:dyDescent="0.25">
      <c r="B48" s="8">
        <v>91.5</v>
      </c>
      <c r="C48" s="11"/>
    </row>
    <row r="49" spans="2:3" x14ac:dyDescent="0.25">
      <c r="B49" s="8">
        <v>144.5</v>
      </c>
      <c r="C49" s="11"/>
    </row>
    <row r="50" spans="2:3" x14ac:dyDescent="0.25">
      <c r="B50" s="8">
        <v>114.5</v>
      </c>
      <c r="C50" s="11"/>
    </row>
    <row r="51" spans="2:3" x14ac:dyDescent="0.25">
      <c r="B51" s="8">
        <v>104.5</v>
      </c>
      <c r="C51" s="11"/>
    </row>
    <row r="52" spans="2:3" x14ac:dyDescent="0.25">
      <c r="B52" s="8">
        <v>124</v>
      </c>
      <c r="C52" s="11"/>
    </row>
    <row r="53" spans="2:3" x14ac:dyDescent="0.25">
      <c r="B53" s="8">
        <v>113</v>
      </c>
      <c r="C53" s="11"/>
    </row>
    <row r="54" spans="2:3" x14ac:dyDescent="0.25">
      <c r="B54" s="8">
        <v>78</v>
      </c>
      <c r="C54" s="11"/>
    </row>
    <row r="55" spans="2:3" x14ac:dyDescent="0.25">
      <c r="B55" s="8">
        <v>109</v>
      </c>
      <c r="C55" s="11"/>
    </row>
    <row r="56" spans="2:3" x14ac:dyDescent="0.25">
      <c r="B56" s="8">
        <v>99.5</v>
      </c>
      <c r="C56" s="11"/>
    </row>
    <row r="57" spans="2:3" x14ac:dyDescent="0.25">
      <c r="B57" s="8">
        <v>107</v>
      </c>
      <c r="C57" s="11"/>
    </row>
    <row r="58" spans="2:3" x14ac:dyDescent="0.25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topLeftCell="E1" workbookViewId="0">
      <selection activeCell="M6" sqref="M6"/>
    </sheetView>
  </sheetViews>
  <sheetFormatPr defaultRowHeight="15" x14ac:dyDescent="0.25"/>
  <cols>
    <col min="1" max="1" width="2.85546875" customWidth="1"/>
    <col min="2" max="2" width="19.42578125" customWidth="1"/>
    <col min="12" max="12" width="19" customWidth="1"/>
    <col min="13" max="13" width="12.140625" customWidth="1"/>
  </cols>
  <sheetData>
    <row r="1" spans="2:15" ht="25.5" customHeight="1" x14ac:dyDescent="0.3">
      <c r="B1" s="18" t="s">
        <v>118</v>
      </c>
    </row>
    <row r="2" spans="2:15" ht="15" customHeight="1" x14ac:dyDescent="0.25">
      <c r="B2" s="30" t="s">
        <v>4</v>
      </c>
    </row>
    <row r="3" spans="2:15" ht="18" customHeight="1" x14ac:dyDescent="0.25"/>
    <row r="4" spans="2:15" x14ac:dyDescent="0.25">
      <c r="D4" s="3" t="s">
        <v>56</v>
      </c>
      <c r="O4" s="3" t="s">
        <v>55</v>
      </c>
    </row>
    <row r="5" spans="2:15" ht="30" x14ac:dyDescent="0.25">
      <c r="B5" s="14" t="s">
        <v>37</v>
      </c>
      <c r="L5" s="13" t="s">
        <v>37</v>
      </c>
      <c r="M5" s="7" t="s">
        <v>15</v>
      </c>
    </row>
    <row r="6" spans="2:15" x14ac:dyDescent="0.25">
      <c r="B6" s="8">
        <v>111</v>
      </c>
      <c r="L6" s="8" t="s">
        <v>269</v>
      </c>
      <c r="M6" s="8">
        <v>9</v>
      </c>
    </row>
    <row r="7" spans="2:15" x14ac:dyDescent="0.25">
      <c r="B7" s="8">
        <v>107</v>
      </c>
      <c r="L7" s="8" t="s">
        <v>270</v>
      </c>
      <c r="M7" s="8">
        <v>18</v>
      </c>
    </row>
    <row r="8" spans="2:15" x14ac:dyDescent="0.25">
      <c r="B8" s="8">
        <v>109</v>
      </c>
      <c r="L8" s="8" t="s">
        <v>271</v>
      </c>
      <c r="M8" s="8">
        <v>9</v>
      </c>
    </row>
    <row r="9" spans="2:15" x14ac:dyDescent="0.25">
      <c r="B9" s="8">
        <v>148</v>
      </c>
      <c r="L9" s="8" t="s">
        <v>272</v>
      </c>
      <c r="M9" s="8">
        <v>7</v>
      </c>
    </row>
    <row r="10" spans="2:15" x14ac:dyDescent="0.25">
      <c r="B10" s="8">
        <v>255.5</v>
      </c>
      <c r="L10" s="8" t="s">
        <v>273</v>
      </c>
      <c r="M10" s="8">
        <v>3</v>
      </c>
    </row>
    <row r="11" spans="2:15" x14ac:dyDescent="0.25">
      <c r="B11" s="8">
        <v>103.5</v>
      </c>
      <c r="L11" s="8" t="s">
        <v>274</v>
      </c>
      <c r="M11" s="8">
        <v>2</v>
      </c>
    </row>
    <row r="12" spans="2:15" x14ac:dyDescent="0.25">
      <c r="B12" s="8">
        <v>114.5</v>
      </c>
      <c r="L12" s="8" t="s">
        <v>275</v>
      </c>
      <c r="M12" s="8">
        <v>1</v>
      </c>
    </row>
    <row r="13" spans="2:15" x14ac:dyDescent="0.25">
      <c r="B13" s="8">
        <v>124</v>
      </c>
      <c r="L13" s="8" t="s">
        <v>276</v>
      </c>
      <c r="M13" s="8">
        <v>1</v>
      </c>
    </row>
    <row r="14" spans="2:15" x14ac:dyDescent="0.25">
      <c r="B14" s="8">
        <v>132.5</v>
      </c>
      <c r="L14" s="8" t="s">
        <v>277</v>
      </c>
      <c r="M14" s="8">
        <v>1</v>
      </c>
    </row>
    <row r="15" spans="2:15" x14ac:dyDescent="0.25">
      <c r="B15" s="8">
        <v>99</v>
      </c>
      <c r="L15" s="8" t="s">
        <v>278</v>
      </c>
      <c r="M15" s="8">
        <v>0</v>
      </c>
    </row>
    <row r="16" spans="2:15" x14ac:dyDescent="0.25">
      <c r="B16" s="8">
        <v>124</v>
      </c>
      <c r="L16" s="8" t="s">
        <v>279</v>
      </c>
      <c r="M16" s="8">
        <v>0</v>
      </c>
    </row>
    <row r="17" spans="2:13" x14ac:dyDescent="0.25">
      <c r="B17" s="8">
        <v>82</v>
      </c>
      <c r="L17" s="8" t="s">
        <v>280</v>
      </c>
      <c r="M17" s="8">
        <v>0</v>
      </c>
    </row>
    <row r="18" spans="2:13" x14ac:dyDescent="0.25">
      <c r="B18" s="8">
        <v>185</v>
      </c>
      <c r="L18" s="8" t="s">
        <v>281</v>
      </c>
      <c r="M18" s="8">
        <v>1</v>
      </c>
    </row>
    <row r="19" spans="2:13" x14ac:dyDescent="0.25">
      <c r="B19" s="8">
        <v>89.5</v>
      </c>
      <c r="L19" s="8" t="s">
        <v>282</v>
      </c>
      <c r="M19" s="8">
        <v>0</v>
      </c>
    </row>
    <row r="20" spans="2:13" x14ac:dyDescent="0.25">
      <c r="B20" s="8">
        <v>91.5</v>
      </c>
      <c r="L20" s="8" t="s">
        <v>283</v>
      </c>
      <c r="M20" s="8">
        <v>0</v>
      </c>
    </row>
    <row r="21" spans="2:13" x14ac:dyDescent="0.25">
      <c r="B21" s="8">
        <v>113.5</v>
      </c>
      <c r="L21" s="8" t="s">
        <v>284</v>
      </c>
      <c r="M21" s="8">
        <v>0</v>
      </c>
    </row>
    <row r="22" spans="2:13" x14ac:dyDescent="0.25">
      <c r="B22" s="8">
        <v>99</v>
      </c>
      <c r="L22" s="8" t="s">
        <v>285</v>
      </c>
      <c r="M22" s="8">
        <v>0</v>
      </c>
    </row>
    <row r="23" spans="2:13" x14ac:dyDescent="0.25">
      <c r="B23" s="8">
        <v>75.5</v>
      </c>
      <c r="L23" s="8" t="s">
        <v>286</v>
      </c>
      <c r="M23" s="8">
        <v>1</v>
      </c>
    </row>
    <row r="24" spans="2:13" x14ac:dyDescent="0.25">
      <c r="B24" s="8">
        <v>86</v>
      </c>
    </row>
    <row r="25" spans="2:13" x14ac:dyDescent="0.25">
      <c r="B25" s="8">
        <v>156.5</v>
      </c>
    </row>
    <row r="26" spans="2:13" x14ac:dyDescent="0.25">
      <c r="B26" s="8">
        <v>99.5</v>
      </c>
    </row>
    <row r="27" spans="2:13" x14ac:dyDescent="0.25">
      <c r="B27" s="8">
        <v>148</v>
      </c>
    </row>
    <row r="28" spans="2:13" x14ac:dyDescent="0.25">
      <c r="B28" s="8">
        <v>82</v>
      </c>
    </row>
    <row r="29" spans="2:13" x14ac:dyDescent="0.25">
      <c r="B29" s="8">
        <v>103.5</v>
      </c>
    </row>
    <row r="30" spans="2:13" x14ac:dyDescent="0.25">
      <c r="B30" s="8">
        <v>205.5</v>
      </c>
    </row>
    <row r="31" spans="2:13" x14ac:dyDescent="0.25">
      <c r="B31" s="8">
        <v>103.5</v>
      </c>
    </row>
    <row r="32" spans="2:13" x14ac:dyDescent="0.25">
      <c r="B32" s="8">
        <v>340</v>
      </c>
    </row>
    <row r="33" spans="2:2" x14ac:dyDescent="0.25">
      <c r="B33" s="8">
        <v>103.5</v>
      </c>
    </row>
    <row r="34" spans="2:2" x14ac:dyDescent="0.25">
      <c r="B34" s="8">
        <v>99.5</v>
      </c>
    </row>
    <row r="35" spans="2:2" x14ac:dyDescent="0.25">
      <c r="B35" s="8">
        <v>103</v>
      </c>
    </row>
    <row r="36" spans="2:2" x14ac:dyDescent="0.25">
      <c r="B36" s="8">
        <v>103.5</v>
      </c>
    </row>
    <row r="37" spans="2:2" x14ac:dyDescent="0.25">
      <c r="B37" s="8">
        <v>165</v>
      </c>
    </row>
    <row r="38" spans="2:2" x14ac:dyDescent="0.25">
      <c r="B38" s="8">
        <v>124.5</v>
      </c>
    </row>
    <row r="39" spans="2:2" x14ac:dyDescent="0.25">
      <c r="B39" s="8">
        <v>103.5</v>
      </c>
    </row>
    <row r="40" spans="2:2" x14ac:dyDescent="0.25">
      <c r="B40" s="8">
        <v>82.5</v>
      </c>
    </row>
    <row r="41" spans="2:2" x14ac:dyDescent="0.25">
      <c r="B41" s="8">
        <v>93</v>
      </c>
    </row>
    <row r="42" spans="2:2" x14ac:dyDescent="0.25">
      <c r="B42" s="8">
        <v>168</v>
      </c>
    </row>
    <row r="43" spans="2:2" x14ac:dyDescent="0.25">
      <c r="B43" s="8">
        <v>96</v>
      </c>
    </row>
    <row r="44" spans="2:2" x14ac:dyDescent="0.25">
      <c r="B44" s="8">
        <v>80</v>
      </c>
    </row>
    <row r="45" spans="2:2" x14ac:dyDescent="0.25">
      <c r="B45" s="8">
        <v>124.5</v>
      </c>
    </row>
    <row r="46" spans="2:2" x14ac:dyDescent="0.25">
      <c r="B46" s="8">
        <v>99</v>
      </c>
    </row>
    <row r="47" spans="2:2" x14ac:dyDescent="0.25">
      <c r="B47" s="8">
        <v>124</v>
      </c>
    </row>
    <row r="48" spans="2:2" x14ac:dyDescent="0.25">
      <c r="B48" s="8">
        <v>91.5</v>
      </c>
    </row>
    <row r="49" spans="2:8" x14ac:dyDescent="0.25">
      <c r="B49" s="8">
        <v>144.5</v>
      </c>
    </row>
    <row r="50" spans="2:8" x14ac:dyDescent="0.25">
      <c r="B50" s="8">
        <v>114.5</v>
      </c>
    </row>
    <row r="51" spans="2:8" x14ac:dyDescent="0.25">
      <c r="B51" s="8">
        <v>104.5</v>
      </c>
    </row>
    <row r="52" spans="2:8" x14ac:dyDescent="0.25">
      <c r="B52" s="8">
        <v>124</v>
      </c>
    </row>
    <row r="53" spans="2:8" x14ac:dyDescent="0.25">
      <c r="B53" s="8">
        <v>113</v>
      </c>
    </row>
    <row r="54" spans="2:8" x14ac:dyDescent="0.25">
      <c r="B54" s="8">
        <v>78</v>
      </c>
    </row>
    <row r="55" spans="2:8" x14ac:dyDescent="0.25">
      <c r="B55" s="8">
        <v>109</v>
      </c>
    </row>
    <row r="56" spans="2:8" x14ac:dyDescent="0.25">
      <c r="B56" s="8">
        <v>99.5</v>
      </c>
      <c r="H56" t="s">
        <v>130</v>
      </c>
    </row>
    <row r="57" spans="2:8" x14ac:dyDescent="0.25">
      <c r="B57" s="8">
        <v>107</v>
      </c>
    </row>
    <row r="58" spans="2:8" x14ac:dyDescent="0.25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topLeftCell="B1" workbookViewId="0">
      <selection activeCell="M21" sqref="M21"/>
    </sheetView>
  </sheetViews>
  <sheetFormatPr defaultRowHeight="15" x14ac:dyDescent="0.25"/>
  <cols>
    <col min="1" max="1" width="2.85546875" customWidth="1"/>
    <col min="2" max="2" width="11.28515625" customWidth="1"/>
    <col min="4" max="4" width="13.140625" bestFit="1" customWidth="1"/>
    <col min="5" max="5" width="13.42578125" bestFit="1" customWidth="1"/>
    <col min="6" max="6" width="10.28515625" bestFit="1" customWidth="1"/>
  </cols>
  <sheetData>
    <row r="1" spans="2:6" ht="25.5" customHeight="1" x14ac:dyDescent="0.3">
      <c r="B1" s="18" t="s">
        <v>119</v>
      </c>
    </row>
    <row r="2" spans="2:6" ht="15" customHeight="1" x14ac:dyDescent="0.25">
      <c r="B2" s="30" t="s">
        <v>287</v>
      </c>
      <c r="E2" s="30" t="s">
        <v>52</v>
      </c>
    </row>
    <row r="3" spans="2:6" ht="18" customHeight="1" x14ac:dyDescent="0.25"/>
    <row r="5" spans="2:6" x14ac:dyDescent="0.25">
      <c r="B5" s="7" t="s">
        <v>77</v>
      </c>
      <c r="E5" s="9" t="s">
        <v>77</v>
      </c>
      <c r="F5" t="s">
        <v>15</v>
      </c>
    </row>
    <row r="6" spans="2:6" x14ac:dyDescent="0.25">
      <c r="B6" s="8">
        <v>90.2</v>
      </c>
      <c r="E6" s="101" t="s">
        <v>336</v>
      </c>
      <c r="F6">
        <v>0</v>
      </c>
    </row>
    <row r="7" spans="2:6" x14ac:dyDescent="0.25">
      <c r="B7" s="8">
        <v>92.8</v>
      </c>
      <c r="E7" s="101" t="s">
        <v>38</v>
      </c>
      <c r="F7">
        <v>1</v>
      </c>
    </row>
    <row r="8" spans="2:6" x14ac:dyDescent="0.25">
      <c r="B8" s="8">
        <v>68.7</v>
      </c>
      <c r="E8" s="101" t="s">
        <v>39</v>
      </c>
      <c r="F8">
        <v>3</v>
      </c>
    </row>
    <row r="9" spans="2:6" x14ac:dyDescent="0.25">
      <c r="B9" s="8">
        <v>80.7</v>
      </c>
      <c r="E9" s="101" t="s">
        <v>40</v>
      </c>
      <c r="F9">
        <v>17</v>
      </c>
    </row>
    <row r="10" spans="2:6" x14ac:dyDescent="0.25">
      <c r="B10" s="8">
        <v>74.900000000000006</v>
      </c>
      <c r="E10" s="101" t="s">
        <v>41</v>
      </c>
      <c r="F10">
        <v>24</v>
      </c>
    </row>
    <row r="11" spans="2:6" x14ac:dyDescent="0.25">
      <c r="B11" s="8">
        <v>80.7</v>
      </c>
      <c r="E11" s="101" t="s">
        <v>42</v>
      </c>
      <c r="F11">
        <v>29</v>
      </c>
    </row>
    <row r="12" spans="2:6" x14ac:dyDescent="0.25">
      <c r="B12" s="8">
        <v>83.3</v>
      </c>
      <c r="E12" s="101" t="s">
        <v>43</v>
      </c>
      <c r="F12">
        <v>17</v>
      </c>
    </row>
    <row r="13" spans="2:6" x14ac:dyDescent="0.25">
      <c r="B13" s="8">
        <v>88.7</v>
      </c>
      <c r="E13" s="101" t="s">
        <v>44</v>
      </c>
      <c r="F13">
        <v>3</v>
      </c>
    </row>
    <row r="14" spans="2:6" x14ac:dyDescent="0.25">
      <c r="B14" s="8">
        <v>75.400000000000006</v>
      </c>
      <c r="E14" s="101" t="s">
        <v>45</v>
      </c>
      <c r="F14">
        <v>1</v>
      </c>
    </row>
    <row r="15" spans="2:6" x14ac:dyDescent="0.25">
      <c r="B15" s="8">
        <v>82.1</v>
      </c>
      <c r="E15" s="101" t="s">
        <v>335</v>
      </c>
      <c r="F15">
        <v>0</v>
      </c>
    </row>
    <row r="16" spans="2:6" x14ac:dyDescent="0.25">
      <c r="B16" s="8">
        <v>87.5</v>
      </c>
      <c r="E16" s="101" t="s">
        <v>17</v>
      </c>
      <c r="F16">
        <v>95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topLeftCell="I1" workbookViewId="0">
      <selection activeCell="O14" sqref="O14"/>
    </sheetView>
  </sheetViews>
  <sheetFormatPr defaultRowHeight="15" x14ac:dyDescent="0.25"/>
  <cols>
    <col min="1" max="1" width="2.85546875" customWidth="1"/>
    <col min="2" max="2" width="16.28515625" bestFit="1" customWidth="1"/>
    <col min="3" max="3" width="13.140625" bestFit="1" customWidth="1"/>
    <col min="6" max="6" width="14.28515625" customWidth="1"/>
    <col min="8" max="10" width="14.28515625" customWidth="1"/>
    <col min="12" max="14" width="14.28515625" customWidth="1"/>
  </cols>
  <sheetData>
    <row r="1" spans="2:14" ht="25.5" customHeight="1" x14ac:dyDescent="0.3">
      <c r="B1" s="18" t="s">
        <v>120</v>
      </c>
    </row>
    <row r="2" spans="2:14" ht="15" customHeight="1" x14ac:dyDescent="0.25">
      <c r="B2" s="30" t="s">
        <v>288</v>
      </c>
    </row>
    <row r="3" spans="2:14" ht="18" customHeight="1" x14ac:dyDescent="0.25"/>
    <row r="4" spans="2:14" x14ac:dyDescent="0.25">
      <c r="E4" s="3" t="s">
        <v>54</v>
      </c>
      <c r="H4" s="3" t="s">
        <v>54</v>
      </c>
      <c r="L4" s="3" t="s">
        <v>53</v>
      </c>
    </row>
    <row r="5" spans="2:14" x14ac:dyDescent="0.25">
      <c r="B5" s="7" t="s">
        <v>21</v>
      </c>
      <c r="C5" s="7" t="s">
        <v>35</v>
      </c>
      <c r="E5" s="108" t="s">
        <v>51</v>
      </c>
      <c r="F5" s="108"/>
      <c r="H5" s="108" t="s">
        <v>57</v>
      </c>
      <c r="I5" s="108"/>
      <c r="J5" s="108"/>
      <c r="L5" s="109" t="s">
        <v>57</v>
      </c>
      <c r="M5" s="109"/>
      <c r="N5" s="109"/>
    </row>
    <row r="6" spans="2:14" x14ac:dyDescent="0.25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5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AVERAGEIFS(C6:C58,B6:B58,M6:N6)</f>
        <v>124647.05882352941</v>
      </c>
      <c r="N7" s="69">
        <v>116902.77777777778</v>
      </c>
    </row>
    <row r="8" spans="2:14" x14ac:dyDescent="0.25">
      <c r="B8" s="8" t="s">
        <v>25</v>
      </c>
      <c r="C8" s="12">
        <v>109000</v>
      </c>
      <c r="E8" s="20" t="s">
        <v>48</v>
      </c>
      <c r="F8" s="69">
        <f>_xlfn.MODE.SNGL(C6:C58)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5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5">
      <c r="B10" s="8" t="s">
        <v>25</v>
      </c>
      <c r="C10" s="12">
        <v>255500</v>
      </c>
      <c r="M10" s="19">
        <v>99500</v>
      </c>
    </row>
    <row r="11" spans="2:14" x14ac:dyDescent="0.25">
      <c r="B11" s="8" t="s">
        <v>25</v>
      </c>
      <c r="C11" s="12">
        <v>103500</v>
      </c>
      <c r="M11" s="19">
        <v>103500</v>
      </c>
    </row>
    <row r="12" spans="2:14" x14ac:dyDescent="0.25">
      <c r="B12" s="8" t="s">
        <v>25</v>
      </c>
      <c r="C12" s="12">
        <v>114500</v>
      </c>
      <c r="M12" s="19">
        <v>124500</v>
      </c>
    </row>
    <row r="13" spans="2:14" x14ac:dyDescent="0.25">
      <c r="B13" s="8" t="s">
        <v>25</v>
      </c>
      <c r="C13" s="12">
        <v>124000</v>
      </c>
    </row>
    <row r="14" spans="2:14" x14ac:dyDescent="0.25">
      <c r="B14" s="8" t="s">
        <v>25</v>
      </c>
      <c r="C14" s="12">
        <v>132500</v>
      </c>
    </row>
    <row r="15" spans="2:14" x14ac:dyDescent="0.25">
      <c r="B15" s="8" t="s">
        <v>25</v>
      </c>
      <c r="C15" s="12">
        <v>99000</v>
      </c>
    </row>
    <row r="16" spans="2:14" x14ac:dyDescent="0.25">
      <c r="B16" s="8" t="s">
        <v>25</v>
      </c>
      <c r="C16" s="12">
        <v>124000</v>
      </c>
    </row>
    <row r="17" spans="2:3" x14ac:dyDescent="0.25">
      <c r="B17" s="8" t="s">
        <v>25</v>
      </c>
      <c r="C17" s="12">
        <v>82000</v>
      </c>
    </row>
    <row r="18" spans="2:3" x14ac:dyDescent="0.25">
      <c r="B18" s="8" t="s">
        <v>25</v>
      </c>
      <c r="C18" s="12">
        <v>185000</v>
      </c>
    </row>
    <row r="19" spans="2:3" x14ac:dyDescent="0.25">
      <c r="B19" s="8" t="s">
        <v>25</v>
      </c>
      <c r="C19" s="12">
        <v>89500</v>
      </c>
    </row>
    <row r="20" spans="2:3" x14ac:dyDescent="0.25">
      <c r="B20" s="8" t="s">
        <v>25</v>
      </c>
      <c r="C20" s="12">
        <v>91500</v>
      </c>
    </row>
    <row r="21" spans="2:3" x14ac:dyDescent="0.25">
      <c r="B21" s="8" t="s">
        <v>25</v>
      </c>
      <c r="C21" s="12">
        <v>113500</v>
      </c>
    </row>
    <row r="22" spans="2:3" x14ac:dyDescent="0.25">
      <c r="B22" s="8" t="s">
        <v>27</v>
      </c>
      <c r="C22" s="12">
        <v>99000</v>
      </c>
    </row>
    <row r="23" spans="2:3" x14ac:dyDescent="0.25">
      <c r="B23" s="8" t="s">
        <v>25</v>
      </c>
      <c r="C23" s="12">
        <v>75500</v>
      </c>
    </row>
    <row r="24" spans="2:3" x14ac:dyDescent="0.25">
      <c r="B24" s="8" t="s">
        <v>27</v>
      </c>
      <c r="C24" s="12">
        <v>86000</v>
      </c>
    </row>
    <row r="25" spans="2:3" x14ac:dyDescent="0.25">
      <c r="B25" s="8" t="s">
        <v>25</v>
      </c>
      <c r="C25" s="12">
        <v>156500</v>
      </c>
    </row>
    <row r="26" spans="2:3" x14ac:dyDescent="0.25">
      <c r="B26" s="8" t="s">
        <v>27</v>
      </c>
      <c r="C26" s="12">
        <v>99500</v>
      </c>
    </row>
    <row r="27" spans="2:3" x14ac:dyDescent="0.25">
      <c r="B27" s="8" t="s">
        <v>27</v>
      </c>
      <c r="C27" s="12">
        <v>148000</v>
      </c>
    </row>
    <row r="28" spans="2:3" x14ac:dyDescent="0.25">
      <c r="B28" s="8" t="s">
        <v>25</v>
      </c>
      <c r="C28" s="12">
        <v>82000</v>
      </c>
    </row>
    <row r="29" spans="2:3" x14ac:dyDescent="0.25">
      <c r="B29" s="8" t="s">
        <v>25</v>
      </c>
      <c r="C29" s="12">
        <v>103500</v>
      </c>
    </row>
    <row r="30" spans="2:3" x14ac:dyDescent="0.25">
      <c r="B30" s="8" t="s">
        <v>25</v>
      </c>
      <c r="C30" s="12">
        <v>205500</v>
      </c>
    </row>
    <row r="31" spans="2:3" x14ac:dyDescent="0.25">
      <c r="B31" s="8" t="s">
        <v>25</v>
      </c>
      <c r="C31" s="12">
        <v>103500</v>
      </c>
    </row>
    <row r="32" spans="2:3" x14ac:dyDescent="0.25">
      <c r="B32" s="8" t="s">
        <v>27</v>
      </c>
      <c r="C32" s="12">
        <v>340000</v>
      </c>
    </row>
    <row r="33" spans="2:3" x14ac:dyDescent="0.25">
      <c r="B33" s="8" t="s">
        <v>27</v>
      </c>
      <c r="C33" s="12">
        <v>103500</v>
      </c>
    </row>
    <row r="34" spans="2:3" x14ac:dyDescent="0.25">
      <c r="B34" s="8" t="s">
        <v>27</v>
      </c>
      <c r="C34" s="12">
        <v>99500</v>
      </c>
    </row>
    <row r="35" spans="2:3" x14ac:dyDescent="0.25">
      <c r="B35" s="8" t="s">
        <v>27</v>
      </c>
      <c r="C35" s="12">
        <v>103000</v>
      </c>
    </row>
    <row r="36" spans="2:3" x14ac:dyDescent="0.25">
      <c r="B36" s="8" t="s">
        <v>25</v>
      </c>
      <c r="C36" s="12">
        <v>103500</v>
      </c>
    </row>
    <row r="37" spans="2:3" x14ac:dyDescent="0.25">
      <c r="B37" s="8" t="s">
        <v>27</v>
      </c>
      <c r="C37" s="12">
        <v>165000</v>
      </c>
    </row>
    <row r="38" spans="2:3" x14ac:dyDescent="0.25">
      <c r="B38" s="8" t="s">
        <v>27</v>
      </c>
      <c r="C38" s="12">
        <v>124500</v>
      </c>
    </row>
    <row r="39" spans="2:3" x14ac:dyDescent="0.25">
      <c r="B39" s="8" t="s">
        <v>27</v>
      </c>
      <c r="C39" s="12">
        <v>103500</v>
      </c>
    </row>
    <row r="40" spans="2:3" x14ac:dyDescent="0.25">
      <c r="B40" s="8" t="s">
        <v>25</v>
      </c>
      <c r="C40" s="12">
        <v>82500</v>
      </c>
    </row>
    <row r="41" spans="2:3" x14ac:dyDescent="0.25">
      <c r="B41" s="8" t="s">
        <v>25</v>
      </c>
      <c r="C41" s="12">
        <v>93000</v>
      </c>
    </row>
    <row r="42" spans="2:3" x14ac:dyDescent="0.25">
      <c r="B42" s="8" t="s">
        <v>25</v>
      </c>
      <c r="C42" s="12">
        <v>168000</v>
      </c>
    </row>
    <row r="43" spans="2:3" x14ac:dyDescent="0.25">
      <c r="B43" s="8" t="s">
        <v>25</v>
      </c>
      <c r="C43" s="12">
        <v>96000</v>
      </c>
    </row>
    <row r="44" spans="2:3" x14ac:dyDescent="0.25">
      <c r="B44" s="8" t="s">
        <v>27</v>
      </c>
      <c r="C44" s="12">
        <v>80000</v>
      </c>
    </row>
    <row r="45" spans="2:3" x14ac:dyDescent="0.25">
      <c r="B45" s="8" t="s">
        <v>27</v>
      </c>
      <c r="C45" s="12">
        <v>124500</v>
      </c>
    </row>
    <row r="46" spans="2:3" x14ac:dyDescent="0.25">
      <c r="B46" s="8" t="s">
        <v>27</v>
      </c>
      <c r="C46" s="12">
        <v>99000</v>
      </c>
    </row>
    <row r="47" spans="2:3" x14ac:dyDescent="0.25">
      <c r="B47" s="8" t="s">
        <v>25</v>
      </c>
      <c r="C47" s="12">
        <v>124000</v>
      </c>
    </row>
    <row r="48" spans="2:3" x14ac:dyDescent="0.25">
      <c r="B48" s="8" t="s">
        <v>25</v>
      </c>
      <c r="C48" s="12">
        <v>91500</v>
      </c>
    </row>
    <row r="49" spans="2:3" x14ac:dyDescent="0.25">
      <c r="B49" s="8" t="s">
        <v>25</v>
      </c>
      <c r="C49" s="12">
        <v>144500</v>
      </c>
    </row>
    <row r="50" spans="2:3" x14ac:dyDescent="0.25">
      <c r="B50" s="8" t="s">
        <v>25</v>
      </c>
      <c r="C50" s="12">
        <v>114500</v>
      </c>
    </row>
    <row r="51" spans="2:3" x14ac:dyDescent="0.25">
      <c r="B51" s="8" t="s">
        <v>25</v>
      </c>
      <c r="C51" s="12">
        <v>104500</v>
      </c>
    </row>
    <row r="52" spans="2:3" x14ac:dyDescent="0.25">
      <c r="B52" s="8" t="s">
        <v>27</v>
      </c>
      <c r="C52" s="12">
        <v>124000</v>
      </c>
    </row>
    <row r="53" spans="2:3" x14ac:dyDescent="0.25">
      <c r="B53" s="8" t="s">
        <v>27</v>
      </c>
      <c r="C53" s="12">
        <v>113000</v>
      </c>
    </row>
    <row r="54" spans="2:3" x14ac:dyDescent="0.25">
      <c r="B54" s="8" t="s">
        <v>25</v>
      </c>
      <c r="C54" s="12">
        <v>78000</v>
      </c>
    </row>
    <row r="55" spans="2:3" x14ac:dyDescent="0.25">
      <c r="B55" s="8" t="s">
        <v>25</v>
      </c>
      <c r="C55" s="12">
        <v>109000</v>
      </c>
    </row>
    <row r="56" spans="2:3" x14ac:dyDescent="0.25">
      <c r="B56" s="8" t="s">
        <v>25</v>
      </c>
      <c r="C56" s="12">
        <v>99500</v>
      </c>
    </row>
    <row r="57" spans="2:3" x14ac:dyDescent="0.25">
      <c r="B57" s="8" t="s">
        <v>25</v>
      </c>
      <c r="C57" s="12">
        <v>107000</v>
      </c>
    </row>
    <row r="58" spans="2:3" x14ac:dyDescent="0.25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9" sqref="E9"/>
    </sheetView>
  </sheetViews>
  <sheetFormatPr defaultRowHeight="15" x14ac:dyDescent="0.25"/>
  <cols>
    <col min="1" max="1" width="2.85546875" customWidth="1"/>
    <col min="2" max="2" width="13.140625" bestFit="1" customWidth="1"/>
    <col min="5" max="5" width="14.28515625" customWidth="1"/>
  </cols>
  <sheetData>
    <row r="1" spans="2:5" ht="25.5" customHeight="1" x14ac:dyDescent="0.3">
      <c r="B1" s="18" t="s">
        <v>121</v>
      </c>
    </row>
    <row r="2" spans="2:5" ht="15" customHeight="1" x14ac:dyDescent="0.25">
      <c r="B2" s="30" t="s">
        <v>6</v>
      </c>
    </row>
    <row r="3" spans="2:5" ht="18" customHeight="1" x14ac:dyDescent="0.25"/>
    <row r="4" spans="2:5" x14ac:dyDescent="0.25">
      <c r="D4" s="3" t="s">
        <v>54</v>
      </c>
    </row>
    <row r="5" spans="2:5" x14ac:dyDescent="0.25">
      <c r="B5" s="7" t="s">
        <v>35</v>
      </c>
      <c r="D5" s="108" t="s">
        <v>51</v>
      </c>
      <c r="E5" s="108"/>
    </row>
    <row r="6" spans="2:5" x14ac:dyDescent="0.25">
      <c r="B6" s="12">
        <v>111000</v>
      </c>
      <c r="D6" s="20" t="s">
        <v>46</v>
      </c>
      <c r="E6" s="69">
        <f>AVERAGE(B6:B58)</f>
        <v>119386.7924528302</v>
      </c>
    </row>
    <row r="7" spans="2:5" x14ac:dyDescent="0.25">
      <c r="B7" s="12">
        <v>107000</v>
      </c>
      <c r="D7" s="20" t="s">
        <v>47</v>
      </c>
      <c r="E7" s="69">
        <f>MEDIAN(B6:B58)</f>
        <v>104500</v>
      </c>
    </row>
    <row r="8" spans="2:5" x14ac:dyDescent="0.25">
      <c r="B8" s="12">
        <v>109000</v>
      </c>
      <c r="D8" s="20" t="s">
        <v>49</v>
      </c>
      <c r="E8" s="70">
        <f>SKEW(B6:B58)</f>
        <v>2.9324340018176889</v>
      </c>
    </row>
    <row r="9" spans="2:5" x14ac:dyDescent="0.25">
      <c r="B9" s="12">
        <v>148000</v>
      </c>
    </row>
    <row r="10" spans="2:5" x14ac:dyDescent="0.25">
      <c r="B10" s="12">
        <v>255500</v>
      </c>
    </row>
    <row r="11" spans="2:5" x14ac:dyDescent="0.25">
      <c r="B11" s="12">
        <v>103500</v>
      </c>
    </row>
    <row r="12" spans="2:5" x14ac:dyDescent="0.25">
      <c r="B12" s="12">
        <v>114500</v>
      </c>
    </row>
    <row r="13" spans="2:5" x14ac:dyDescent="0.25">
      <c r="B13" s="12">
        <v>124000</v>
      </c>
    </row>
    <row r="14" spans="2:5" x14ac:dyDescent="0.25">
      <c r="B14" s="12">
        <v>132500</v>
      </c>
    </row>
    <row r="15" spans="2:5" x14ac:dyDescent="0.25">
      <c r="B15" s="12">
        <v>99000</v>
      </c>
    </row>
    <row r="16" spans="2:5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topLeftCell="C1" workbookViewId="0">
      <selection activeCell="H8" sqref="H8"/>
    </sheetView>
  </sheetViews>
  <sheetFormatPr defaultRowHeight="15" x14ac:dyDescent="0.25"/>
  <cols>
    <col min="1" max="1" width="2.85546875" customWidth="1"/>
    <col min="2" max="2" width="19.7109375" customWidth="1"/>
    <col min="3" max="3" width="2.85546875" customWidth="1"/>
    <col min="4" max="4" width="17" bestFit="1" customWidth="1"/>
    <col min="6" max="6" width="11.42578125" customWidth="1"/>
    <col min="7" max="8" width="14.28515625" customWidth="1"/>
  </cols>
  <sheetData>
    <row r="1" spans="2:8" ht="25.5" customHeight="1" x14ac:dyDescent="0.3">
      <c r="B1" s="18" t="s">
        <v>122</v>
      </c>
    </row>
    <row r="2" spans="2:8" ht="15" customHeight="1" x14ac:dyDescent="0.25">
      <c r="B2" s="30" t="s">
        <v>288</v>
      </c>
    </row>
    <row r="3" spans="2:8" ht="18" customHeight="1" x14ac:dyDescent="0.25"/>
    <row r="5" spans="2:8" x14ac:dyDescent="0.25">
      <c r="B5" s="7" t="s">
        <v>58</v>
      </c>
      <c r="D5" s="7" t="s">
        <v>59</v>
      </c>
      <c r="F5" s="108" t="s">
        <v>60</v>
      </c>
      <c r="G5" s="108"/>
      <c r="H5" s="108"/>
    </row>
    <row r="6" spans="2:8" x14ac:dyDescent="0.25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5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5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5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5">
      <c r="B10" s="8">
        <v>71.3</v>
      </c>
      <c r="D10" s="8">
        <v>83.3</v>
      </c>
      <c r="F10" s="20" t="s">
        <v>48</v>
      </c>
      <c r="G10" s="72">
        <f>MODE(B6:B41)</f>
        <v>87.5</v>
      </c>
      <c r="H10" s="72">
        <f>MODE(D6:D64)</f>
        <v>80.7</v>
      </c>
    </row>
    <row r="11" spans="2:8" x14ac:dyDescent="0.25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5">
      <c r="B12" s="8">
        <v>96.1</v>
      </c>
      <c r="D12" s="8">
        <v>82.1</v>
      </c>
    </row>
    <row r="13" spans="2:8" x14ac:dyDescent="0.25">
      <c r="B13" s="8">
        <v>80.3</v>
      </c>
      <c r="D13" s="8">
        <v>66.900000000000006</v>
      </c>
    </row>
    <row r="14" spans="2:8" x14ac:dyDescent="0.25">
      <c r="B14" s="8">
        <v>79.099999999999994</v>
      </c>
      <c r="D14" s="8">
        <v>76.8</v>
      </c>
    </row>
    <row r="15" spans="2:8" x14ac:dyDescent="0.25">
      <c r="B15" s="8">
        <v>87.5</v>
      </c>
      <c r="D15" s="8">
        <v>72.400000000000006</v>
      </c>
    </row>
    <row r="16" spans="2:8" x14ac:dyDescent="0.25">
      <c r="B16" s="8">
        <v>80.8</v>
      </c>
      <c r="D16" s="8">
        <v>72</v>
      </c>
    </row>
    <row r="17" spans="2:4" x14ac:dyDescent="0.25">
      <c r="B17" s="8">
        <v>88.9</v>
      </c>
      <c r="D17" s="8">
        <v>81</v>
      </c>
    </row>
    <row r="18" spans="2:4" x14ac:dyDescent="0.25">
      <c r="B18" s="8">
        <v>82.3</v>
      </c>
      <c r="D18" s="8">
        <v>76.7</v>
      </c>
    </row>
    <row r="19" spans="2:4" x14ac:dyDescent="0.25">
      <c r="B19" s="8">
        <v>83.4</v>
      </c>
      <c r="D19" s="8">
        <v>77.8</v>
      </c>
    </row>
    <row r="20" spans="2:4" x14ac:dyDescent="0.25">
      <c r="B20" s="8">
        <v>77.8</v>
      </c>
      <c r="D20" s="8">
        <v>62.6</v>
      </c>
    </row>
    <row r="21" spans="2:4" x14ac:dyDescent="0.25">
      <c r="B21" s="8">
        <v>71</v>
      </c>
      <c r="D21" s="8">
        <v>80.2</v>
      </c>
    </row>
    <row r="22" spans="2:4" x14ac:dyDescent="0.25">
      <c r="B22" s="8">
        <v>87.2</v>
      </c>
      <c r="D22" s="8">
        <v>77.8</v>
      </c>
    </row>
    <row r="23" spans="2:4" x14ac:dyDescent="0.25">
      <c r="B23" s="8">
        <v>82.9</v>
      </c>
      <c r="D23" s="8">
        <v>75.099999999999994</v>
      </c>
    </row>
    <row r="24" spans="2:4" x14ac:dyDescent="0.25">
      <c r="B24" s="8">
        <v>75.099999999999994</v>
      </c>
      <c r="D24" s="8">
        <v>82.2</v>
      </c>
    </row>
    <row r="25" spans="2:4" x14ac:dyDescent="0.25">
      <c r="B25" s="8">
        <v>74.900000000000006</v>
      </c>
      <c r="D25" s="8">
        <v>70.5</v>
      </c>
    </row>
    <row r="26" spans="2:4" x14ac:dyDescent="0.25">
      <c r="B26" s="8">
        <v>81.7</v>
      </c>
      <c r="D26" s="8">
        <v>70.8</v>
      </c>
    </row>
    <row r="27" spans="2:4" x14ac:dyDescent="0.25">
      <c r="B27" s="8">
        <v>83.8</v>
      </c>
      <c r="D27" s="8">
        <v>79.5</v>
      </c>
    </row>
    <row r="28" spans="2:4" x14ac:dyDescent="0.25">
      <c r="B28" s="8">
        <v>74.8</v>
      </c>
      <c r="D28" s="8">
        <v>79.599999999999994</v>
      </c>
    </row>
    <row r="29" spans="2:4" x14ac:dyDescent="0.25">
      <c r="B29" s="8">
        <v>82.7</v>
      </c>
      <c r="D29" s="8">
        <v>85.9</v>
      </c>
    </row>
    <row r="30" spans="2:4" x14ac:dyDescent="0.25">
      <c r="B30" s="8">
        <v>84</v>
      </c>
      <c r="D30" s="8">
        <v>76.7</v>
      </c>
    </row>
    <row r="31" spans="2:4" x14ac:dyDescent="0.25">
      <c r="B31" s="8">
        <v>80.099999999999994</v>
      </c>
      <c r="D31" s="8">
        <v>79.900000000000006</v>
      </c>
    </row>
    <row r="32" spans="2:4" x14ac:dyDescent="0.25">
      <c r="B32" s="8">
        <v>79.599999999999994</v>
      </c>
      <c r="D32" s="8">
        <v>86.2</v>
      </c>
    </row>
    <row r="33" spans="2:4" x14ac:dyDescent="0.25">
      <c r="B33" s="8">
        <v>78.900000000000006</v>
      </c>
      <c r="D33" s="8">
        <v>79.2</v>
      </c>
    </row>
    <row r="34" spans="2:4" x14ac:dyDescent="0.25">
      <c r="B34" s="8">
        <v>72</v>
      </c>
      <c r="D34" s="8">
        <v>85.2</v>
      </c>
    </row>
    <row r="35" spans="2:4" x14ac:dyDescent="0.25">
      <c r="B35" s="8">
        <v>74.2</v>
      </c>
      <c r="D35" s="8">
        <v>80.2</v>
      </c>
    </row>
    <row r="36" spans="2:4" x14ac:dyDescent="0.25">
      <c r="B36" s="8">
        <v>71.7</v>
      </c>
      <c r="D36" s="8">
        <v>73.5</v>
      </c>
    </row>
    <row r="37" spans="2:4" x14ac:dyDescent="0.25">
      <c r="B37" s="8">
        <v>87.4</v>
      </c>
      <c r="D37" s="8">
        <v>74.599999999999994</v>
      </c>
    </row>
    <row r="38" spans="2:4" x14ac:dyDescent="0.25">
      <c r="B38" s="8">
        <v>77.400000000000006</v>
      </c>
      <c r="D38" s="8">
        <v>85.1</v>
      </c>
    </row>
    <row r="39" spans="2:4" x14ac:dyDescent="0.25">
      <c r="B39" s="8">
        <v>78.8</v>
      </c>
      <c r="D39" s="8">
        <v>84.6</v>
      </c>
    </row>
    <row r="40" spans="2:4" x14ac:dyDescent="0.25">
      <c r="B40" s="8">
        <v>92.7</v>
      </c>
      <c r="D40" s="8">
        <v>81.400000000000006</v>
      </c>
    </row>
    <row r="41" spans="2:4" x14ac:dyDescent="0.25">
      <c r="B41" s="8">
        <v>77.900000000000006</v>
      </c>
      <c r="D41" s="8">
        <v>88.5</v>
      </c>
    </row>
    <row r="42" spans="2:4" x14ac:dyDescent="0.25">
      <c r="D42" s="8">
        <v>84.9</v>
      </c>
    </row>
    <row r="43" spans="2:4" x14ac:dyDescent="0.25">
      <c r="D43" s="8">
        <v>84.3</v>
      </c>
    </row>
    <row r="44" spans="2:4" x14ac:dyDescent="0.25">
      <c r="D44" s="8">
        <v>78.2</v>
      </c>
    </row>
    <row r="45" spans="2:4" x14ac:dyDescent="0.25">
      <c r="D45" s="8">
        <v>80</v>
      </c>
    </row>
    <row r="46" spans="2:4" x14ac:dyDescent="0.25">
      <c r="D46" s="8">
        <v>78.5</v>
      </c>
    </row>
    <row r="47" spans="2:4" x14ac:dyDescent="0.25">
      <c r="D47" s="8">
        <v>71.8</v>
      </c>
    </row>
    <row r="48" spans="2:4" x14ac:dyDescent="0.25">
      <c r="D48" s="8">
        <v>69.900000000000006</v>
      </c>
    </row>
    <row r="49" spans="4:4" x14ac:dyDescent="0.25">
      <c r="D49" s="8">
        <v>74</v>
      </c>
    </row>
    <row r="50" spans="4:4" x14ac:dyDescent="0.25">
      <c r="D50" s="8">
        <v>84.7</v>
      </c>
    </row>
    <row r="51" spans="4:4" x14ac:dyDescent="0.25">
      <c r="D51" s="8">
        <v>78.2</v>
      </c>
    </row>
    <row r="52" spans="4:4" x14ac:dyDescent="0.25">
      <c r="D52" s="8">
        <v>85</v>
      </c>
    </row>
    <row r="53" spans="4:4" x14ac:dyDescent="0.25">
      <c r="D53" s="8">
        <v>85.3</v>
      </c>
    </row>
    <row r="54" spans="4:4" x14ac:dyDescent="0.25">
      <c r="D54" s="8">
        <v>79.7</v>
      </c>
    </row>
    <row r="55" spans="4:4" x14ac:dyDescent="0.25">
      <c r="D55" s="8">
        <v>78.5</v>
      </c>
    </row>
    <row r="56" spans="4:4" x14ac:dyDescent="0.25">
      <c r="D56" s="8">
        <v>80.7</v>
      </c>
    </row>
    <row r="57" spans="4:4" x14ac:dyDescent="0.25">
      <c r="D57" s="8">
        <v>84.1</v>
      </c>
    </row>
    <row r="58" spans="4:4" x14ac:dyDescent="0.25">
      <c r="D58" s="8">
        <v>84.7</v>
      </c>
    </row>
    <row r="59" spans="4:4" x14ac:dyDescent="0.25">
      <c r="D59" s="8">
        <v>88.8</v>
      </c>
    </row>
    <row r="60" spans="4:4" x14ac:dyDescent="0.25">
      <c r="D60" s="8">
        <v>86.6</v>
      </c>
    </row>
    <row r="61" spans="4:4" x14ac:dyDescent="0.25">
      <c r="D61" s="8">
        <v>86.1</v>
      </c>
    </row>
    <row r="62" spans="4:4" x14ac:dyDescent="0.25">
      <c r="D62" s="8">
        <v>89.9</v>
      </c>
    </row>
    <row r="63" spans="4:4" x14ac:dyDescent="0.25">
      <c r="D63" s="8">
        <v>83.1</v>
      </c>
    </row>
    <row r="64" spans="4:4" x14ac:dyDescent="0.25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9" sqref="F9:G9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7" ht="25.5" customHeight="1" x14ac:dyDescent="0.3">
      <c r="B1" s="18" t="s">
        <v>123</v>
      </c>
    </row>
    <row r="2" spans="2:7" ht="15" customHeight="1" x14ac:dyDescent="0.25">
      <c r="B2" s="30" t="s">
        <v>7</v>
      </c>
    </row>
    <row r="3" spans="2:7" ht="18" customHeight="1" x14ac:dyDescent="0.25"/>
    <row r="4" spans="2:7" x14ac:dyDescent="0.25">
      <c r="E4" s="3" t="s">
        <v>54</v>
      </c>
    </row>
    <row r="5" spans="2:7" x14ac:dyDescent="0.25">
      <c r="B5" s="7" t="s">
        <v>22</v>
      </c>
      <c r="C5" s="7" t="s">
        <v>23</v>
      </c>
      <c r="E5" s="108" t="s">
        <v>64</v>
      </c>
      <c r="F5" s="108"/>
      <c r="G5" s="108"/>
    </row>
    <row r="6" spans="2:7" x14ac:dyDescent="0.25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5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5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5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5">
      <c r="B10" s="8">
        <v>248</v>
      </c>
      <c r="C10" s="8">
        <v>252</v>
      </c>
    </row>
    <row r="11" spans="2:7" x14ac:dyDescent="0.25">
      <c r="B11" s="8">
        <v>145</v>
      </c>
      <c r="C11" s="8">
        <v>209</v>
      </c>
    </row>
    <row r="12" spans="2:7" x14ac:dyDescent="0.25">
      <c r="B12" s="8">
        <v>401</v>
      </c>
      <c r="C12" s="8">
        <v>462</v>
      </c>
    </row>
    <row r="13" spans="2:7" x14ac:dyDescent="0.25">
      <c r="B13" s="8">
        <v>287</v>
      </c>
      <c r="C13" s="8">
        <v>342</v>
      </c>
    </row>
    <row r="14" spans="2:7" x14ac:dyDescent="0.25">
      <c r="B14" s="8">
        <v>275</v>
      </c>
      <c r="C14" s="8">
        <v>347</v>
      </c>
    </row>
    <row r="15" spans="2:7" x14ac:dyDescent="0.25">
      <c r="B15" s="8">
        <v>254</v>
      </c>
      <c r="C15" s="8">
        <v>313</v>
      </c>
    </row>
    <row r="16" spans="2:7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topLeftCell="C2" workbookViewId="0">
      <selection activeCell="J12" sqref="J12:K12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11" ht="25.5" customHeight="1" x14ac:dyDescent="0.3">
      <c r="B1" s="18" t="s">
        <v>124</v>
      </c>
    </row>
    <row r="2" spans="2:11" ht="15" customHeight="1" x14ac:dyDescent="0.25">
      <c r="B2" s="30" t="s">
        <v>289</v>
      </c>
    </row>
    <row r="3" spans="2:11" ht="18" customHeight="1" x14ac:dyDescent="0.25"/>
    <row r="4" spans="2:11" x14ac:dyDescent="0.25">
      <c r="E4" s="3" t="s">
        <v>54</v>
      </c>
      <c r="I4" s="3" t="s">
        <v>53</v>
      </c>
    </row>
    <row r="5" spans="2:11" x14ac:dyDescent="0.25">
      <c r="B5" s="7" t="s">
        <v>22</v>
      </c>
      <c r="C5" s="7" t="s">
        <v>23</v>
      </c>
      <c r="E5" s="108" t="s">
        <v>64</v>
      </c>
      <c r="F5" s="108"/>
      <c r="G5" s="108"/>
      <c r="I5" s="109" t="s">
        <v>64</v>
      </c>
      <c r="J5" s="109"/>
      <c r="K5" s="109"/>
    </row>
    <row r="6" spans="2:11" x14ac:dyDescent="0.25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5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5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5">
      <c r="B9" s="8">
        <v>288</v>
      </c>
      <c r="C9" s="8">
        <v>334</v>
      </c>
      <c r="E9" s="20" t="s">
        <v>47</v>
      </c>
      <c r="F9" s="71">
        <f>MEDIAN(B6:B100)</f>
        <v>236</v>
      </c>
      <c r="G9" s="71">
        <f>MEDIAN(C6:C100)</f>
        <v>286</v>
      </c>
      <c r="I9" s="20" t="s">
        <v>47</v>
      </c>
      <c r="J9" s="71">
        <v>236</v>
      </c>
      <c r="K9" s="71">
        <v>286</v>
      </c>
    </row>
    <row r="10" spans="2:11" x14ac:dyDescent="0.25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5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5">
      <c r="B12" s="8">
        <v>401</v>
      </c>
      <c r="C12" s="8">
        <v>462</v>
      </c>
      <c r="E12" s="20" t="s">
        <v>67</v>
      </c>
      <c r="F12" s="71">
        <f>F10-F8</f>
        <v>105.5</v>
      </c>
      <c r="G12" s="71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5">
      <c r="B13" s="8">
        <v>287</v>
      </c>
      <c r="C13" s="8">
        <v>342</v>
      </c>
      <c r="E13" s="20"/>
    </row>
    <row r="14" spans="2:11" x14ac:dyDescent="0.25">
      <c r="B14" s="8">
        <v>275</v>
      </c>
      <c r="C14" s="8">
        <v>347</v>
      </c>
    </row>
    <row r="15" spans="2:11" x14ac:dyDescent="0.25">
      <c r="B15" s="8">
        <v>254</v>
      </c>
      <c r="C15" s="8">
        <v>313</v>
      </c>
    </row>
    <row r="16" spans="2:11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topLeftCell="B5" workbookViewId="0">
      <selection activeCell="L10" sqref="L10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3" ht="25.5" customHeight="1" x14ac:dyDescent="0.3">
      <c r="B1" s="18" t="s">
        <v>124</v>
      </c>
    </row>
    <row r="2" spans="2:3" ht="15" customHeight="1" x14ac:dyDescent="0.25">
      <c r="B2" s="30" t="s">
        <v>9</v>
      </c>
    </row>
    <row r="3" spans="2:3" ht="18" customHeight="1" x14ac:dyDescent="0.25"/>
    <row r="5" spans="2:3" x14ac:dyDescent="0.25">
      <c r="B5" s="7" t="s">
        <v>22</v>
      </c>
      <c r="C5" s="7" t="s">
        <v>23</v>
      </c>
    </row>
    <row r="6" spans="2:3" x14ac:dyDescent="0.25">
      <c r="B6" s="8">
        <v>252</v>
      </c>
      <c r="C6" s="8">
        <v>276</v>
      </c>
    </row>
    <row r="7" spans="2:3" x14ac:dyDescent="0.25">
      <c r="B7" s="8">
        <v>423</v>
      </c>
      <c r="C7" s="8">
        <v>410</v>
      </c>
    </row>
    <row r="8" spans="2:3" x14ac:dyDescent="0.25">
      <c r="B8" s="8">
        <v>101</v>
      </c>
      <c r="C8" s="8">
        <v>119</v>
      </c>
    </row>
    <row r="9" spans="2:3" x14ac:dyDescent="0.25">
      <c r="B9" s="8">
        <v>288</v>
      </c>
      <c r="C9" s="8">
        <v>334</v>
      </c>
    </row>
    <row r="10" spans="2:3" x14ac:dyDescent="0.25">
      <c r="B10" s="8">
        <v>248</v>
      </c>
      <c r="C10" s="8">
        <v>252</v>
      </c>
    </row>
    <row r="11" spans="2:3" x14ac:dyDescent="0.25">
      <c r="B11" s="8">
        <v>145</v>
      </c>
      <c r="C11" s="8">
        <v>209</v>
      </c>
    </row>
    <row r="12" spans="2:3" x14ac:dyDescent="0.25">
      <c r="B12" s="8">
        <v>401</v>
      </c>
      <c r="C12" s="8">
        <v>462</v>
      </c>
    </row>
    <row r="13" spans="2:3" x14ac:dyDescent="0.25">
      <c r="B13" s="8">
        <v>287</v>
      </c>
      <c r="C13" s="8">
        <v>342</v>
      </c>
    </row>
    <row r="14" spans="2:3" x14ac:dyDescent="0.25">
      <c r="B14" s="8">
        <v>275</v>
      </c>
      <c r="C14" s="8">
        <v>347</v>
      </c>
    </row>
    <row r="15" spans="2:3" x14ac:dyDescent="0.25">
      <c r="B15" s="8">
        <v>254</v>
      </c>
      <c r="C15" s="8">
        <v>313</v>
      </c>
    </row>
    <row r="16" spans="2:3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topLeftCell="D1" workbookViewId="0">
      <selection activeCell="G9" sqref="G9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  <col min="4" max="4" width="26.28515625" bestFit="1" customWidth="1"/>
    <col min="6" max="6" width="20" customWidth="1"/>
    <col min="7" max="7" width="11.42578125" customWidth="1"/>
  </cols>
  <sheetData>
    <row r="1" spans="2:7" ht="25.5" customHeight="1" x14ac:dyDescent="0.3">
      <c r="B1" s="18" t="s">
        <v>317</v>
      </c>
    </row>
    <row r="2" spans="2:7" ht="15" customHeight="1" x14ac:dyDescent="0.25">
      <c r="B2" s="30" t="s">
        <v>10</v>
      </c>
    </row>
    <row r="3" spans="2:7" ht="18" customHeight="1" x14ac:dyDescent="0.25"/>
    <row r="4" spans="2:7" x14ac:dyDescent="0.25">
      <c r="F4" s="3" t="s">
        <v>54</v>
      </c>
    </row>
    <row r="5" spans="2:7" x14ac:dyDescent="0.25">
      <c r="B5" s="40" t="s">
        <v>22</v>
      </c>
      <c r="C5" s="43" t="s">
        <v>23</v>
      </c>
      <c r="D5" s="100" t="s">
        <v>243</v>
      </c>
      <c r="F5" s="108" t="s">
        <v>318</v>
      </c>
      <c r="G5" s="108"/>
    </row>
    <row r="6" spans="2:7" x14ac:dyDescent="0.25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5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5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5">
      <c r="B9" s="8">
        <v>288</v>
      </c>
      <c r="C9" s="8">
        <v>334</v>
      </c>
      <c r="D9" s="8">
        <f t="shared" si="0"/>
        <v>46</v>
      </c>
    </row>
    <row r="10" spans="2:7" x14ac:dyDescent="0.25">
      <c r="B10" s="8">
        <v>248</v>
      </c>
      <c r="C10" s="8">
        <v>252</v>
      </c>
      <c r="D10" s="8">
        <f t="shared" si="0"/>
        <v>4</v>
      </c>
    </row>
    <row r="11" spans="2:7" x14ac:dyDescent="0.25">
      <c r="B11" s="8">
        <v>145</v>
      </c>
      <c r="C11" s="8">
        <v>209</v>
      </c>
      <c r="D11" s="8">
        <f t="shared" si="0"/>
        <v>64</v>
      </c>
    </row>
    <row r="12" spans="2:7" x14ac:dyDescent="0.25">
      <c r="B12" s="8">
        <v>401</v>
      </c>
      <c r="C12" s="8">
        <v>462</v>
      </c>
      <c r="D12" s="8">
        <f t="shared" si="0"/>
        <v>61</v>
      </c>
    </row>
    <row r="13" spans="2:7" x14ac:dyDescent="0.25">
      <c r="B13" s="8">
        <v>287</v>
      </c>
      <c r="C13" s="8">
        <v>342</v>
      </c>
      <c r="D13" s="8">
        <f t="shared" si="0"/>
        <v>55</v>
      </c>
    </row>
    <row r="14" spans="2:7" x14ac:dyDescent="0.25">
      <c r="B14" s="8">
        <v>275</v>
      </c>
      <c r="C14" s="8">
        <v>347</v>
      </c>
      <c r="D14" s="8">
        <f t="shared" si="0"/>
        <v>72</v>
      </c>
    </row>
    <row r="15" spans="2:7" x14ac:dyDescent="0.25">
      <c r="B15" s="8">
        <v>254</v>
      </c>
      <c r="C15" s="8">
        <v>313</v>
      </c>
      <c r="D15" s="8">
        <f t="shared" si="0"/>
        <v>59</v>
      </c>
    </row>
    <row r="16" spans="2:7" x14ac:dyDescent="0.25">
      <c r="B16" s="8">
        <v>182</v>
      </c>
      <c r="C16" s="8">
        <v>232</v>
      </c>
      <c r="D16" s="8">
        <f t="shared" si="0"/>
        <v>50</v>
      </c>
    </row>
    <row r="17" spans="2:4" x14ac:dyDescent="0.25">
      <c r="B17" s="8">
        <v>117</v>
      </c>
      <c r="C17" s="8">
        <v>163</v>
      </c>
      <c r="D17" s="8">
        <f t="shared" si="0"/>
        <v>46</v>
      </c>
    </row>
    <row r="18" spans="2:4" x14ac:dyDescent="0.25">
      <c r="B18" s="8">
        <v>130</v>
      </c>
      <c r="C18" s="8">
        <v>119</v>
      </c>
      <c r="D18" s="8">
        <f t="shared" si="0"/>
        <v>-11</v>
      </c>
    </row>
    <row r="19" spans="2:4" x14ac:dyDescent="0.25">
      <c r="B19" s="8">
        <v>219</v>
      </c>
      <c r="C19" s="8">
        <v>304</v>
      </c>
      <c r="D19" s="8">
        <f t="shared" si="0"/>
        <v>85</v>
      </c>
    </row>
    <row r="20" spans="2:4" x14ac:dyDescent="0.25">
      <c r="B20" s="8">
        <v>152</v>
      </c>
      <c r="C20" s="8">
        <v>211</v>
      </c>
      <c r="D20" s="8">
        <f t="shared" si="0"/>
        <v>59</v>
      </c>
    </row>
    <row r="21" spans="2:4" x14ac:dyDescent="0.25">
      <c r="B21" s="8">
        <v>228</v>
      </c>
      <c r="C21" s="8">
        <v>286</v>
      </c>
      <c r="D21" s="8">
        <f t="shared" si="0"/>
        <v>58</v>
      </c>
    </row>
    <row r="22" spans="2:4" x14ac:dyDescent="0.25">
      <c r="B22" s="8">
        <v>62</v>
      </c>
      <c r="C22" s="8">
        <v>122</v>
      </c>
      <c r="D22" s="8">
        <f t="shared" si="0"/>
        <v>60</v>
      </c>
    </row>
    <row r="23" spans="2:4" x14ac:dyDescent="0.25">
      <c r="B23" s="8">
        <v>393</v>
      </c>
      <c r="C23" s="8">
        <v>443</v>
      </c>
      <c r="D23" s="8">
        <f t="shared" si="0"/>
        <v>50</v>
      </c>
    </row>
    <row r="24" spans="2:4" x14ac:dyDescent="0.25">
      <c r="B24" s="8">
        <v>277</v>
      </c>
      <c r="C24" s="8">
        <v>366</v>
      </c>
      <c r="D24" s="8">
        <f t="shared" si="0"/>
        <v>89</v>
      </c>
    </row>
    <row r="25" spans="2:4" x14ac:dyDescent="0.25">
      <c r="B25" s="8">
        <v>206</v>
      </c>
      <c r="C25" s="8">
        <v>244</v>
      </c>
      <c r="D25" s="8">
        <f t="shared" si="0"/>
        <v>38</v>
      </c>
    </row>
    <row r="26" spans="2:4" x14ac:dyDescent="0.25">
      <c r="B26" s="8">
        <v>229</v>
      </c>
      <c r="C26" s="8">
        <v>241</v>
      </c>
      <c r="D26" s="8">
        <f t="shared" si="0"/>
        <v>12</v>
      </c>
    </row>
    <row r="27" spans="2:4" x14ac:dyDescent="0.25">
      <c r="B27" s="8">
        <v>182</v>
      </c>
      <c r="C27" s="8">
        <v>237</v>
      </c>
      <c r="D27" s="8">
        <f t="shared" si="0"/>
        <v>55</v>
      </c>
    </row>
    <row r="28" spans="2:4" x14ac:dyDescent="0.25">
      <c r="B28" s="8">
        <v>98</v>
      </c>
      <c r="C28" s="8">
        <v>122</v>
      </c>
      <c r="D28" s="8">
        <f t="shared" si="0"/>
        <v>24</v>
      </c>
    </row>
    <row r="29" spans="2:4" x14ac:dyDescent="0.25">
      <c r="B29" s="8">
        <v>125</v>
      </c>
      <c r="C29" s="8">
        <v>129</v>
      </c>
      <c r="D29" s="8">
        <f t="shared" si="0"/>
        <v>4</v>
      </c>
    </row>
    <row r="30" spans="2:4" x14ac:dyDescent="0.25">
      <c r="B30" s="8">
        <v>164</v>
      </c>
      <c r="C30" s="8">
        <v>236</v>
      </c>
      <c r="D30" s="8">
        <f t="shared" si="0"/>
        <v>72</v>
      </c>
    </row>
    <row r="31" spans="2:4" x14ac:dyDescent="0.25">
      <c r="B31" s="8">
        <v>186</v>
      </c>
      <c r="C31" s="8">
        <v>251</v>
      </c>
      <c r="D31" s="8">
        <f t="shared" si="0"/>
        <v>65</v>
      </c>
    </row>
    <row r="32" spans="2:4" x14ac:dyDescent="0.25">
      <c r="B32" s="8">
        <v>235</v>
      </c>
      <c r="C32" s="8">
        <v>283</v>
      </c>
      <c r="D32" s="8">
        <f t="shared" si="0"/>
        <v>48</v>
      </c>
    </row>
    <row r="33" spans="2:4" x14ac:dyDescent="0.25">
      <c r="B33" s="8">
        <v>184</v>
      </c>
      <c r="C33" s="8">
        <v>225</v>
      </c>
      <c r="D33" s="8">
        <f t="shared" si="0"/>
        <v>41</v>
      </c>
    </row>
    <row r="34" spans="2:4" x14ac:dyDescent="0.25">
      <c r="B34" s="8">
        <v>76</v>
      </c>
      <c r="C34" s="8">
        <v>102</v>
      </c>
      <c r="D34" s="8">
        <f t="shared" si="0"/>
        <v>26</v>
      </c>
    </row>
    <row r="35" spans="2:4" x14ac:dyDescent="0.25">
      <c r="B35" s="8">
        <v>126</v>
      </c>
      <c r="C35" s="8">
        <v>180</v>
      </c>
      <c r="D35" s="8">
        <f t="shared" si="0"/>
        <v>54</v>
      </c>
    </row>
    <row r="36" spans="2:4" x14ac:dyDescent="0.25">
      <c r="B36" s="8">
        <v>183</v>
      </c>
      <c r="C36" s="8">
        <v>247</v>
      </c>
      <c r="D36" s="8">
        <f t="shared" si="0"/>
        <v>64</v>
      </c>
    </row>
    <row r="37" spans="2:4" x14ac:dyDescent="0.25">
      <c r="B37" s="8">
        <v>242</v>
      </c>
      <c r="C37" s="8">
        <v>343</v>
      </c>
      <c r="D37" s="8">
        <f t="shared" si="0"/>
        <v>101</v>
      </c>
    </row>
    <row r="38" spans="2:4" x14ac:dyDescent="0.25">
      <c r="B38" s="8">
        <v>207</v>
      </c>
      <c r="C38" s="8">
        <v>283</v>
      </c>
      <c r="D38" s="8">
        <f t="shared" si="0"/>
        <v>76</v>
      </c>
    </row>
    <row r="39" spans="2:4" x14ac:dyDescent="0.25">
      <c r="B39" s="8">
        <v>181</v>
      </c>
      <c r="C39" s="8">
        <v>253</v>
      </c>
      <c r="D39" s="8">
        <f t="shared" si="0"/>
        <v>72</v>
      </c>
    </row>
    <row r="40" spans="2:4" x14ac:dyDescent="0.25">
      <c r="B40" s="8">
        <v>239</v>
      </c>
      <c r="C40" s="8">
        <v>263</v>
      </c>
      <c r="D40" s="8">
        <f t="shared" si="0"/>
        <v>24</v>
      </c>
    </row>
    <row r="41" spans="2:4" x14ac:dyDescent="0.25">
      <c r="B41" s="8">
        <v>216</v>
      </c>
      <c r="C41" s="8">
        <v>291</v>
      </c>
      <c r="D41" s="8">
        <f t="shared" si="0"/>
        <v>75</v>
      </c>
    </row>
    <row r="42" spans="2:4" x14ac:dyDescent="0.25">
      <c r="B42" s="8">
        <v>289</v>
      </c>
      <c r="C42" s="8">
        <v>368</v>
      </c>
      <c r="D42" s="8">
        <f t="shared" si="0"/>
        <v>79</v>
      </c>
    </row>
    <row r="43" spans="2:4" x14ac:dyDescent="0.25">
      <c r="B43" s="8">
        <v>213</v>
      </c>
      <c r="C43" s="8">
        <v>206</v>
      </c>
      <c r="D43" s="8">
        <f t="shared" si="0"/>
        <v>-7</v>
      </c>
    </row>
    <row r="44" spans="2:4" x14ac:dyDescent="0.25">
      <c r="B44" s="8">
        <v>209</v>
      </c>
      <c r="C44" s="8">
        <v>231</v>
      </c>
      <c r="D44" s="8">
        <f t="shared" si="0"/>
        <v>22</v>
      </c>
    </row>
    <row r="45" spans="2:4" x14ac:dyDescent="0.25">
      <c r="B45" s="8">
        <v>376</v>
      </c>
      <c r="C45" s="8">
        <v>389</v>
      </c>
      <c r="D45" s="8">
        <f t="shared" si="0"/>
        <v>13</v>
      </c>
    </row>
    <row r="46" spans="2:4" x14ac:dyDescent="0.25">
      <c r="B46" s="8">
        <v>332</v>
      </c>
      <c r="C46" s="8">
        <v>396</v>
      </c>
      <c r="D46" s="8">
        <f t="shared" si="0"/>
        <v>64</v>
      </c>
    </row>
    <row r="47" spans="2:4" x14ac:dyDescent="0.25">
      <c r="B47" s="8">
        <v>249</v>
      </c>
      <c r="C47" s="8">
        <v>339</v>
      </c>
      <c r="D47" s="8">
        <f t="shared" si="0"/>
        <v>90</v>
      </c>
    </row>
    <row r="48" spans="2:4" x14ac:dyDescent="0.25">
      <c r="B48" s="8">
        <v>228</v>
      </c>
      <c r="C48" s="8">
        <v>286</v>
      </c>
      <c r="D48" s="8">
        <f t="shared" si="0"/>
        <v>58</v>
      </c>
    </row>
    <row r="49" spans="2:4" x14ac:dyDescent="0.25">
      <c r="B49" s="8">
        <v>124</v>
      </c>
      <c r="C49" s="8">
        <v>146</v>
      </c>
      <c r="D49" s="8">
        <f t="shared" si="0"/>
        <v>22</v>
      </c>
    </row>
    <row r="50" spans="2:4" x14ac:dyDescent="0.25">
      <c r="B50" s="8">
        <v>194</v>
      </c>
      <c r="C50" s="8">
        <v>315</v>
      </c>
      <c r="D50" s="8">
        <f t="shared" si="0"/>
        <v>121</v>
      </c>
    </row>
    <row r="51" spans="2:4" x14ac:dyDescent="0.25">
      <c r="B51" s="8">
        <v>157</v>
      </c>
      <c r="C51" s="8">
        <v>183</v>
      </c>
      <c r="D51" s="8">
        <f t="shared" si="0"/>
        <v>26</v>
      </c>
    </row>
    <row r="52" spans="2:4" x14ac:dyDescent="0.25">
      <c r="B52" s="8">
        <v>402</v>
      </c>
      <c r="C52" s="8">
        <v>481</v>
      </c>
      <c r="D52" s="8">
        <f t="shared" si="0"/>
        <v>79</v>
      </c>
    </row>
    <row r="53" spans="2:4" x14ac:dyDescent="0.25">
      <c r="B53" s="8">
        <v>323</v>
      </c>
      <c r="C53" s="8">
        <v>349</v>
      </c>
      <c r="D53" s="8">
        <f t="shared" si="0"/>
        <v>26</v>
      </c>
    </row>
    <row r="54" spans="2:4" x14ac:dyDescent="0.25">
      <c r="B54" s="8">
        <v>181</v>
      </c>
      <c r="C54" s="8">
        <v>225</v>
      </c>
      <c r="D54" s="8">
        <f t="shared" si="0"/>
        <v>44</v>
      </c>
    </row>
    <row r="55" spans="2:4" x14ac:dyDescent="0.25">
      <c r="B55" s="8">
        <v>157</v>
      </c>
      <c r="C55" s="8">
        <v>217</v>
      </c>
      <c r="D55" s="8">
        <f t="shared" si="0"/>
        <v>60</v>
      </c>
    </row>
    <row r="56" spans="2:4" x14ac:dyDescent="0.25">
      <c r="B56" s="8">
        <v>266</v>
      </c>
      <c r="C56" s="8">
        <v>353</v>
      </c>
      <c r="D56" s="8">
        <f t="shared" si="0"/>
        <v>87</v>
      </c>
    </row>
    <row r="57" spans="2:4" x14ac:dyDescent="0.25">
      <c r="B57" s="8">
        <v>268</v>
      </c>
      <c r="C57" s="8">
        <v>314</v>
      </c>
      <c r="D57" s="8">
        <f t="shared" si="0"/>
        <v>46</v>
      </c>
    </row>
    <row r="58" spans="2:4" x14ac:dyDescent="0.25">
      <c r="B58" s="8">
        <v>167</v>
      </c>
      <c r="C58" s="8">
        <v>247</v>
      </c>
      <c r="D58" s="8">
        <f t="shared" si="0"/>
        <v>80</v>
      </c>
    </row>
    <row r="59" spans="2:4" x14ac:dyDescent="0.25">
      <c r="B59" s="8">
        <v>342</v>
      </c>
      <c r="C59" s="8">
        <v>410</v>
      </c>
      <c r="D59" s="8">
        <f t="shared" si="0"/>
        <v>68</v>
      </c>
    </row>
    <row r="60" spans="2:4" x14ac:dyDescent="0.25">
      <c r="B60" s="8">
        <v>349</v>
      </c>
      <c r="C60" s="8">
        <v>395</v>
      </c>
      <c r="D60" s="8">
        <f t="shared" si="0"/>
        <v>46</v>
      </c>
    </row>
    <row r="61" spans="2:4" x14ac:dyDescent="0.25">
      <c r="B61" s="8">
        <v>340</v>
      </c>
      <c r="C61" s="8">
        <v>416</v>
      </c>
      <c r="D61" s="8">
        <f t="shared" si="0"/>
        <v>76</v>
      </c>
    </row>
    <row r="62" spans="2:4" x14ac:dyDescent="0.25">
      <c r="B62" s="8">
        <v>227</v>
      </c>
      <c r="C62" s="8">
        <v>342</v>
      </c>
      <c r="D62" s="8">
        <f t="shared" si="0"/>
        <v>115</v>
      </c>
    </row>
    <row r="63" spans="2:4" x14ac:dyDescent="0.25">
      <c r="B63" s="8">
        <v>409</v>
      </c>
      <c r="C63" s="8">
        <v>446</v>
      </c>
      <c r="D63" s="8">
        <f t="shared" si="0"/>
        <v>37</v>
      </c>
    </row>
    <row r="64" spans="2:4" x14ac:dyDescent="0.25">
      <c r="B64" s="8">
        <v>400</v>
      </c>
      <c r="C64" s="8">
        <v>477</v>
      </c>
      <c r="D64" s="8">
        <f t="shared" si="0"/>
        <v>77</v>
      </c>
    </row>
    <row r="65" spans="2:4" x14ac:dyDescent="0.25">
      <c r="B65" s="8">
        <v>374</v>
      </c>
      <c r="C65" s="8">
        <v>444</v>
      </c>
      <c r="D65" s="8">
        <f t="shared" si="0"/>
        <v>70</v>
      </c>
    </row>
    <row r="66" spans="2:4" x14ac:dyDescent="0.25">
      <c r="B66" s="8">
        <v>255</v>
      </c>
      <c r="C66" s="8">
        <v>351</v>
      </c>
      <c r="D66" s="8">
        <f t="shared" si="0"/>
        <v>96</v>
      </c>
    </row>
    <row r="67" spans="2:4" x14ac:dyDescent="0.25">
      <c r="B67" s="8">
        <v>146</v>
      </c>
      <c r="C67" s="8">
        <v>165</v>
      </c>
      <c r="D67" s="8">
        <f t="shared" si="0"/>
        <v>19</v>
      </c>
    </row>
    <row r="68" spans="2:4" x14ac:dyDescent="0.25">
      <c r="B68" s="8">
        <v>248</v>
      </c>
      <c r="C68" s="8">
        <v>317</v>
      </c>
      <c r="D68" s="8">
        <f t="shared" si="0"/>
        <v>69</v>
      </c>
    </row>
    <row r="69" spans="2:4" x14ac:dyDescent="0.25">
      <c r="B69" s="8">
        <v>198</v>
      </c>
      <c r="C69" s="8">
        <v>250</v>
      </c>
      <c r="D69" s="8">
        <f t="shared" si="0"/>
        <v>52</v>
      </c>
    </row>
    <row r="70" spans="2:4" x14ac:dyDescent="0.25">
      <c r="B70" s="8">
        <v>210</v>
      </c>
      <c r="C70" s="8">
        <v>217</v>
      </c>
      <c r="D70" s="8">
        <f t="shared" si="0"/>
        <v>7</v>
      </c>
    </row>
    <row r="71" spans="2:4" x14ac:dyDescent="0.25">
      <c r="B71" s="8">
        <v>107</v>
      </c>
      <c r="C71" s="8">
        <v>138</v>
      </c>
      <c r="D71" s="8">
        <f t="shared" ref="D71:D100" si="1">C71-B71</f>
        <v>31</v>
      </c>
    </row>
    <row r="72" spans="2:4" x14ac:dyDescent="0.25">
      <c r="B72" s="8">
        <v>239</v>
      </c>
      <c r="C72" s="8">
        <v>302</v>
      </c>
      <c r="D72" s="8">
        <f t="shared" si="1"/>
        <v>63</v>
      </c>
    </row>
    <row r="73" spans="2:4" x14ac:dyDescent="0.25">
      <c r="B73" s="8">
        <v>287</v>
      </c>
      <c r="C73" s="8">
        <v>311</v>
      </c>
      <c r="D73" s="8">
        <f t="shared" si="1"/>
        <v>24</v>
      </c>
    </row>
    <row r="74" spans="2:4" x14ac:dyDescent="0.25">
      <c r="B74" s="8">
        <v>340</v>
      </c>
      <c r="C74" s="8">
        <v>373</v>
      </c>
      <c r="D74" s="8">
        <f t="shared" si="1"/>
        <v>33</v>
      </c>
    </row>
    <row r="75" spans="2:4" x14ac:dyDescent="0.25">
      <c r="B75" s="8">
        <v>155</v>
      </c>
      <c r="C75" s="8">
        <v>196</v>
      </c>
      <c r="D75" s="8">
        <f t="shared" si="1"/>
        <v>41</v>
      </c>
    </row>
    <row r="76" spans="2:4" x14ac:dyDescent="0.25">
      <c r="B76" s="8">
        <v>263</v>
      </c>
      <c r="C76" s="8">
        <v>306</v>
      </c>
      <c r="D76" s="8">
        <f t="shared" si="1"/>
        <v>43</v>
      </c>
    </row>
    <row r="77" spans="2:4" x14ac:dyDescent="0.25">
      <c r="B77" s="8">
        <v>265</v>
      </c>
      <c r="C77" s="8">
        <v>302</v>
      </c>
      <c r="D77" s="8">
        <f t="shared" si="1"/>
        <v>37</v>
      </c>
    </row>
    <row r="78" spans="2:4" x14ac:dyDescent="0.25">
      <c r="B78" s="8">
        <v>249</v>
      </c>
      <c r="C78" s="8">
        <v>278</v>
      </c>
      <c r="D78" s="8">
        <f t="shared" si="1"/>
        <v>29</v>
      </c>
    </row>
    <row r="79" spans="2:4" x14ac:dyDescent="0.25">
      <c r="B79" s="8">
        <v>377</v>
      </c>
      <c r="C79" s="8">
        <v>429</v>
      </c>
      <c r="D79" s="8">
        <f t="shared" si="1"/>
        <v>52</v>
      </c>
    </row>
    <row r="80" spans="2:4" x14ac:dyDescent="0.25">
      <c r="B80" s="8">
        <v>301</v>
      </c>
      <c r="C80" s="8">
        <v>338</v>
      </c>
      <c r="D80" s="8">
        <f t="shared" si="1"/>
        <v>37</v>
      </c>
    </row>
    <row r="81" spans="2:4" x14ac:dyDescent="0.25">
      <c r="B81" s="8">
        <v>242</v>
      </c>
      <c r="C81" s="8">
        <v>261</v>
      </c>
      <c r="D81" s="8">
        <f t="shared" si="1"/>
        <v>19</v>
      </c>
    </row>
    <row r="82" spans="2:4" x14ac:dyDescent="0.25">
      <c r="B82" s="8">
        <v>211</v>
      </c>
      <c r="C82" s="8">
        <v>256</v>
      </c>
      <c r="D82" s="8">
        <f t="shared" si="1"/>
        <v>45</v>
      </c>
    </row>
    <row r="83" spans="2:4" x14ac:dyDescent="0.25">
      <c r="B83" s="8">
        <v>160</v>
      </c>
      <c r="C83" s="8">
        <v>183</v>
      </c>
      <c r="D83" s="8">
        <f t="shared" si="1"/>
        <v>23</v>
      </c>
    </row>
    <row r="84" spans="2:4" x14ac:dyDescent="0.25">
      <c r="B84" s="8">
        <v>218</v>
      </c>
      <c r="C84" s="8">
        <v>274</v>
      </c>
      <c r="D84" s="8">
        <f t="shared" si="1"/>
        <v>56</v>
      </c>
    </row>
    <row r="85" spans="2:4" x14ac:dyDescent="0.25">
      <c r="B85" s="8">
        <v>133</v>
      </c>
      <c r="C85" s="8">
        <v>182</v>
      </c>
      <c r="D85" s="8">
        <f t="shared" si="1"/>
        <v>49</v>
      </c>
    </row>
    <row r="86" spans="2:4" x14ac:dyDescent="0.25">
      <c r="B86" s="8">
        <v>122</v>
      </c>
      <c r="C86" s="8">
        <v>183</v>
      </c>
      <c r="D86" s="8">
        <f t="shared" si="1"/>
        <v>61</v>
      </c>
    </row>
    <row r="87" spans="2:4" x14ac:dyDescent="0.25">
      <c r="B87" s="8">
        <v>236</v>
      </c>
      <c r="C87" s="8">
        <v>309</v>
      </c>
      <c r="D87" s="8">
        <f t="shared" si="1"/>
        <v>73</v>
      </c>
    </row>
    <row r="88" spans="2:4" x14ac:dyDescent="0.25">
      <c r="B88" s="8">
        <v>143</v>
      </c>
      <c r="C88" s="8">
        <v>178</v>
      </c>
      <c r="D88" s="8">
        <f t="shared" si="1"/>
        <v>35</v>
      </c>
    </row>
    <row r="89" spans="2:4" x14ac:dyDescent="0.25">
      <c r="B89" s="8">
        <v>354</v>
      </c>
      <c r="C89" s="8">
        <v>458</v>
      </c>
      <c r="D89" s="8">
        <f t="shared" si="1"/>
        <v>104</v>
      </c>
    </row>
    <row r="90" spans="2:4" x14ac:dyDescent="0.25">
      <c r="B90" s="8">
        <v>214</v>
      </c>
      <c r="C90" s="8">
        <v>234</v>
      </c>
      <c r="D90" s="8">
        <f t="shared" si="1"/>
        <v>20</v>
      </c>
    </row>
    <row r="91" spans="2:4" x14ac:dyDescent="0.25">
      <c r="B91" s="8">
        <v>225</v>
      </c>
      <c r="C91" s="8">
        <v>306</v>
      </c>
      <c r="D91" s="8">
        <f t="shared" si="1"/>
        <v>81</v>
      </c>
    </row>
    <row r="92" spans="2:4" x14ac:dyDescent="0.25">
      <c r="B92" s="8">
        <v>261</v>
      </c>
      <c r="C92" s="8">
        <v>400</v>
      </c>
      <c r="D92" s="8">
        <f t="shared" si="1"/>
        <v>139</v>
      </c>
    </row>
    <row r="93" spans="2:4" x14ac:dyDescent="0.25">
      <c r="B93" s="8">
        <v>277</v>
      </c>
      <c r="C93" s="8">
        <v>337</v>
      </c>
      <c r="D93" s="8">
        <f t="shared" si="1"/>
        <v>60</v>
      </c>
    </row>
    <row r="94" spans="2:4" x14ac:dyDescent="0.25">
      <c r="B94" s="8">
        <v>282</v>
      </c>
      <c r="C94" s="8">
        <v>325</v>
      </c>
      <c r="D94" s="8">
        <f t="shared" si="1"/>
        <v>43</v>
      </c>
    </row>
    <row r="95" spans="2:4" x14ac:dyDescent="0.25">
      <c r="B95" s="8">
        <v>322</v>
      </c>
      <c r="C95" s="8">
        <v>329</v>
      </c>
      <c r="D95" s="8">
        <f t="shared" si="1"/>
        <v>7</v>
      </c>
    </row>
    <row r="96" spans="2:4" x14ac:dyDescent="0.25">
      <c r="B96" s="8">
        <v>326</v>
      </c>
      <c r="C96" s="8">
        <v>369</v>
      </c>
      <c r="D96" s="8">
        <f t="shared" si="1"/>
        <v>43</v>
      </c>
    </row>
    <row r="97" spans="2:4" x14ac:dyDescent="0.25">
      <c r="B97" s="8">
        <v>421</v>
      </c>
      <c r="C97" s="8">
        <v>457</v>
      </c>
      <c r="D97" s="8">
        <f t="shared" si="1"/>
        <v>36</v>
      </c>
    </row>
    <row r="98" spans="2:4" x14ac:dyDescent="0.25">
      <c r="B98" s="8">
        <v>368</v>
      </c>
      <c r="C98" s="8">
        <v>421</v>
      </c>
      <c r="D98" s="8">
        <f t="shared" si="1"/>
        <v>53</v>
      </c>
    </row>
    <row r="99" spans="2:4" x14ac:dyDescent="0.25">
      <c r="B99" s="8">
        <v>279</v>
      </c>
      <c r="C99" s="8">
        <v>282</v>
      </c>
      <c r="D99" s="8">
        <f t="shared" si="1"/>
        <v>3</v>
      </c>
    </row>
    <row r="100" spans="2:4" x14ac:dyDescent="0.25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topLeftCell="C1" workbookViewId="0">
      <selection activeCell="G14" sqref="G14"/>
    </sheetView>
  </sheetViews>
  <sheetFormatPr defaultRowHeight="15" x14ac:dyDescent="0.25"/>
  <cols>
    <col min="1" max="1" width="2.85546875" customWidth="1"/>
    <col min="2" max="2" width="10.7109375" bestFit="1" customWidth="1"/>
    <col min="3" max="3" width="19.85546875" bestFit="1" customWidth="1"/>
    <col min="5" max="5" width="22.7109375" bestFit="1" customWidth="1"/>
    <col min="6" max="6" width="12" bestFit="1" customWidth="1"/>
    <col min="7" max="7" width="13.42578125" bestFit="1" customWidth="1"/>
  </cols>
  <sheetData>
    <row r="1" spans="2:7" ht="25.5" customHeight="1" x14ac:dyDescent="0.3">
      <c r="B1" s="18" t="s">
        <v>125</v>
      </c>
    </row>
    <row r="2" spans="2:7" ht="15" customHeight="1" x14ac:dyDescent="0.25">
      <c r="B2" s="30" t="s">
        <v>81</v>
      </c>
    </row>
    <row r="3" spans="2:7" ht="18" customHeight="1" x14ac:dyDescent="0.25"/>
    <row r="4" spans="2:7" x14ac:dyDescent="0.25">
      <c r="E4" s="3" t="s">
        <v>54</v>
      </c>
    </row>
    <row r="5" spans="2:7" x14ac:dyDescent="0.25">
      <c r="B5" s="7" t="s">
        <v>77</v>
      </c>
      <c r="C5" s="7" t="s">
        <v>23</v>
      </c>
      <c r="E5" s="108" t="s">
        <v>80</v>
      </c>
      <c r="F5" s="108"/>
      <c r="G5" s="108"/>
    </row>
    <row r="6" spans="2:7" x14ac:dyDescent="0.25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5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5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5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5">
      <c r="B10" s="8">
        <v>74.900000000000006</v>
      </c>
      <c r="C10" s="8">
        <v>252</v>
      </c>
      <c r="E10" s="20"/>
      <c r="F10" s="1"/>
      <c r="G10" s="1"/>
    </row>
    <row r="11" spans="2:7" x14ac:dyDescent="0.25">
      <c r="B11" s="8">
        <v>80.7</v>
      </c>
      <c r="C11" s="8">
        <v>209</v>
      </c>
      <c r="E11" s="20"/>
      <c r="F11" s="1"/>
      <c r="G11" s="1"/>
    </row>
    <row r="12" spans="2:7" x14ac:dyDescent="0.25">
      <c r="B12" s="8">
        <v>83.3</v>
      </c>
      <c r="C12" s="8">
        <v>462</v>
      </c>
      <c r="E12" s="20"/>
      <c r="F12" s="1"/>
      <c r="G12" s="1"/>
    </row>
    <row r="13" spans="2:7" x14ac:dyDescent="0.25">
      <c r="B13" s="8">
        <v>88.7</v>
      </c>
      <c r="C13" s="8">
        <v>342</v>
      </c>
      <c r="E13" s="20"/>
    </row>
    <row r="14" spans="2:7" x14ac:dyDescent="0.25">
      <c r="B14" s="8">
        <v>75.400000000000006</v>
      </c>
      <c r="C14" s="8">
        <v>347</v>
      </c>
    </row>
    <row r="15" spans="2:7" x14ac:dyDescent="0.25">
      <c r="B15" s="8">
        <v>82.1</v>
      </c>
      <c r="C15" s="8">
        <v>313</v>
      </c>
    </row>
    <row r="16" spans="2:7" x14ac:dyDescent="0.25">
      <c r="B16" s="8">
        <v>87.5</v>
      </c>
      <c r="C16" s="8">
        <v>232</v>
      </c>
    </row>
    <row r="17" spans="2:3" x14ac:dyDescent="0.25">
      <c r="B17" s="8">
        <v>66.900000000000006</v>
      </c>
      <c r="C17" s="8">
        <v>163</v>
      </c>
    </row>
    <row r="18" spans="2:3" x14ac:dyDescent="0.25">
      <c r="B18" s="8">
        <v>71.3</v>
      </c>
      <c r="C18" s="8">
        <v>119</v>
      </c>
    </row>
    <row r="19" spans="2:3" x14ac:dyDescent="0.25">
      <c r="B19" s="8">
        <v>76.8</v>
      </c>
      <c r="C19" s="8">
        <v>304</v>
      </c>
    </row>
    <row r="20" spans="2:3" x14ac:dyDescent="0.25">
      <c r="B20" s="8">
        <v>72.3</v>
      </c>
      <c r="C20" s="8">
        <v>211</v>
      </c>
    </row>
    <row r="21" spans="2:3" x14ac:dyDescent="0.25">
      <c r="B21" s="8">
        <v>72.400000000000006</v>
      </c>
      <c r="C21" s="8">
        <v>286</v>
      </c>
    </row>
    <row r="22" spans="2:3" x14ac:dyDescent="0.25">
      <c r="B22" s="8">
        <v>72</v>
      </c>
      <c r="C22" s="8">
        <v>122</v>
      </c>
    </row>
    <row r="23" spans="2:3" x14ac:dyDescent="0.25">
      <c r="B23" s="8">
        <v>81</v>
      </c>
      <c r="C23" s="8">
        <v>443</v>
      </c>
    </row>
    <row r="24" spans="2:3" x14ac:dyDescent="0.25">
      <c r="B24" s="8">
        <v>96.1</v>
      </c>
      <c r="C24" s="8">
        <v>366</v>
      </c>
    </row>
    <row r="25" spans="2:3" x14ac:dyDescent="0.25">
      <c r="B25" s="8">
        <v>76.7</v>
      </c>
      <c r="C25" s="8">
        <v>244</v>
      </c>
    </row>
    <row r="26" spans="2:3" x14ac:dyDescent="0.25">
      <c r="B26" s="8">
        <v>80.3</v>
      </c>
      <c r="C26" s="8">
        <v>241</v>
      </c>
    </row>
    <row r="27" spans="2:3" x14ac:dyDescent="0.25">
      <c r="B27" s="8">
        <v>77.8</v>
      </c>
      <c r="C27" s="8">
        <v>237</v>
      </c>
    </row>
    <row r="28" spans="2:3" x14ac:dyDescent="0.25">
      <c r="B28" s="8">
        <v>62.6</v>
      </c>
      <c r="C28" s="8">
        <v>122</v>
      </c>
    </row>
    <row r="29" spans="2:3" x14ac:dyDescent="0.25">
      <c r="B29" s="8">
        <v>80.2</v>
      </c>
      <c r="C29" s="8">
        <v>129</v>
      </c>
    </row>
    <row r="30" spans="2:3" x14ac:dyDescent="0.25">
      <c r="B30" s="8">
        <v>79.099999999999994</v>
      </c>
      <c r="C30" s="8">
        <v>236</v>
      </c>
    </row>
    <row r="31" spans="2:3" x14ac:dyDescent="0.25">
      <c r="B31" s="8">
        <v>77.8</v>
      </c>
      <c r="C31" s="8">
        <v>251</v>
      </c>
    </row>
    <row r="32" spans="2:3" x14ac:dyDescent="0.25">
      <c r="B32" s="8">
        <v>75.099999999999994</v>
      </c>
      <c r="C32" s="8">
        <v>283</v>
      </c>
    </row>
    <row r="33" spans="2:3" x14ac:dyDescent="0.25">
      <c r="B33" s="8">
        <v>82.2</v>
      </c>
      <c r="C33" s="8">
        <v>225</v>
      </c>
    </row>
    <row r="34" spans="2:3" x14ac:dyDescent="0.25">
      <c r="B34" s="8">
        <v>70.5</v>
      </c>
      <c r="C34" s="8">
        <v>102</v>
      </c>
    </row>
    <row r="35" spans="2:3" x14ac:dyDescent="0.25">
      <c r="B35" s="8">
        <v>70.8</v>
      </c>
      <c r="C35" s="8">
        <v>180</v>
      </c>
    </row>
    <row r="36" spans="2:3" x14ac:dyDescent="0.25">
      <c r="B36" s="8">
        <v>87.5</v>
      </c>
      <c r="C36" s="8">
        <v>247</v>
      </c>
    </row>
    <row r="37" spans="2:3" x14ac:dyDescent="0.25">
      <c r="B37" s="8">
        <v>79.5</v>
      </c>
      <c r="C37" s="8">
        <v>343</v>
      </c>
    </row>
    <row r="38" spans="2:3" x14ac:dyDescent="0.25">
      <c r="B38" s="8">
        <v>80.8</v>
      </c>
      <c r="C38" s="8">
        <v>283</v>
      </c>
    </row>
    <row r="39" spans="2:3" x14ac:dyDescent="0.25">
      <c r="B39" s="8">
        <v>79.599999999999994</v>
      </c>
      <c r="C39" s="8">
        <v>253</v>
      </c>
    </row>
    <row r="40" spans="2:3" x14ac:dyDescent="0.25">
      <c r="B40" s="8">
        <v>88.9</v>
      </c>
      <c r="C40" s="8">
        <v>263</v>
      </c>
    </row>
    <row r="41" spans="2:3" x14ac:dyDescent="0.25">
      <c r="B41" s="8">
        <v>85.9</v>
      </c>
      <c r="C41" s="8">
        <v>291</v>
      </c>
    </row>
    <row r="42" spans="2:3" x14ac:dyDescent="0.25">
      <c r="B42" s="8">
        <v>82.3</v>
      </c>
      <c r="C42" s="8">
        <v>368</v>
      </c>
    </row>
    <row r="43" spans="2:3" x14ac:dyDescent="0.25">
      <c r="B43" s="8">
        <v>76.7</v>
      </c>
      <c r="C43" s="8">
        <v>206</v>
      </c>
    </row>
    <row r="44" spans="2:3" x14ac:dyDescent="0.25">
      <c r="B44" s="8">
        <v>79.900000000000006</v>
      </c>
      <c r="C44" s="8">
        <v>231</v>
      </c>
    </row>
    <row r="45" spans="2:3" x14ac:dyDescent="0.25">
      <c r="B45" s="8">
        <v>86.2</v>
      </c>
      <c r="C45" s="8">
        <v>389</v>
      </c>
    </row>
    <row r="46" spans="2:3" x14ac:dyDescent="0.25">
      <c r="B46" s="8">
        <v>79.2</v>
      </c>
      <c r="C46" s="8">
        <v>396</v>
      </c>
    </row>
    <row r="47" spans="2:3" x14ac:dyDescent="0.25">
      <c r="B47" s="8">
        <v>83.4</v>
      </c>
      <c r="C47" s="8">
        <v>339</v>
      </c>
    </row>
    <row r="48" spans="2:3" x14ac:dyDescent="0.25">
      <c r="B48" s="8">
        <v>85.2</v>
      </c>
      <c r="C48" s="8">
        <v>286</v>
      </c>
    </row>
    <row r="49" spans="2:3" x14ac:dyDescent="0.25">
      <c r="B49" s="8">
        <v>77.8</v>
      </c>
      <c r="C49" s="8">
        <v>146</v>
      </c>
    </row>
    <row r="50" spans="2:3" x14ac:dyDescent="0.25">
      <c r="B50" s="8">
        <v>80.2</v>
      </c>
      <c r="C50" s="8">
        <v>315</v>
      </c>
    </row>
    <row r="51" spans="2:3" x14ac:dyDescent="0.25">
      <c r="B51" s="8">
        <v>71</v>
      </c>
      <c r="C51" s="8">
        <v>183</v>
      </c>
    </row>
    <row r="52" spans="2:3" x14ac:dyDescent="0.25">
      <c r="B52" s="8">
        <v>87.2</v>
      </c>
      <c r="C52" s="8">
        <v>481</v>
      </c>
    </row>
    <row r="53" spans="2:3" x14ac:dyDescent="0.25">
      <c r="B53" s="8">
        <v>82.9</v>
      </c>
      <c r="C53" s="8">
        <v>349</v>
      </c>
    </row>
    <row r="54" spans="2:3" x14ac:dyDescent="0.25">
      <c r="B54" s="8">
        <v>73.5</v>
      </c>
      <c r="C54" s="8">
        <v>225</v>
      </c>
    </row>
    <row r="55" spans="2:3" x14ac:dyDescent="0.25">
      <c r="B55" s="8">
        <v>74.599999999999994</v>
      </c>
      <c r="C55" s="8">
        <v>217</v>
      </c>
    </row>
    <row r="56" spans="2:3" x14ac:dyDescent="0.25">
      <c r="B56" s="8">
        <v>75.099999999999994</v>
      </c>
      <c r="C56" s="8">
        <v>353</v>
      </c>
    </row>
    <row r="57" spans="2:3" x14ac:dyDescent="0.25">
      <c r="B57" s="8">
        <v>85.1</v>
      </c>
      <c r="C57" s="8">
        <v>314</v>
      </c>
    </row>
    <row r="58" spans="2:3" x14ac:dyDescent="0.25">
      <c r="B58" s="8">
        <v>74.900000000000006</v>
      </c>
      <c r="C58" s="8">
        <v>247</v>
      </c>
    </row>
    <row r="59" spans="2:3" x14ac:dyDescent="0.25">
      <c r="B59" s="8">
        <v>84.6</v>
      </c>
      <c r="C59" s="8">
        <v>410</v>
      </c>
    </row>
    <row r="60" spans="2:3" x14ac:dyDescent="0.25">
      <c r="B60" s="8">
        <v>81.7</v>
      </c>
      <c r="C60" s="8">
        <v>395</v>
      </c>
    </row>
    <row r="61" spans="2:3" x14ac:dyDescent="0.25">
      <c r="B61" s="8">
        <v>81.400000000000006</v>
      </c>
      <c r="C61" s="8">
        <v>416</v>
      </c>
    </row>
    <row r="62" spans="2:3" x14ac:dyDescent="0.25">
      <c r="B62" s="8">
        <v>83.8</v>
      </c>
      <c r="C62" s="8">
        <v>342</v>
      </c>
    </row>
    <row r="63" spans="2:3" x14ac:dyDescent="0.25">
      <c r="B63" s="8">
        <v>88.5</v>
      </c>
      <c r="C63" s="8">
        <v>446</v>
      </c>
    </row>
    <row r="64" spans="2:3" x14ac:dyDescent="0.25">
      <c r="B64" s="8">
        <v>84.9</v>
      </c>
      <c r="C64" s="8">
        <v>477</v>
      </c>
    </row>
    <row r="65" spans="2:3" x14ac:dyDescent="0.25">
      <c r="B65" s="8">
        <v>84.3</v>
      </c>
      <c r="C65" s="8">
        <v>444</v>
      </c>
    </row>
    <row r="66" spans="2:3" x14ac:dyDescent="0.25">
      <c r="B66" s="8">
        <v>78.2</v>
      </c>
      <c r="C66" s="8">
        <v>351</v>
      </c>
    </row>
    <row r="67" spans="2:3" x14ac:dyDescent="0.25">
      <c r="B67" s="8">
        <v>80</v>
      </c>
      <c r="C67" s="8">
        <v>165</v>
      </c>
    </row>
    <row r="68" spans="2:3" x14ac:dyDescent="0.25">
      <c r="B68" s="8">
        <v>74.8</v>
      </c>
      <c r="C68" s="8">
        <v>317</v>
      </c>
    </row>
    <row r="69" spans="2:3" x14ac:dyDescent="0.25">
      <c r="B69" s="8">
        <v>78.5</v>
      </c>
      <c r="C69" s="8">
        <v>250</v>
      </c>
    </row>
    <row r="70" spans="2:3" x14ac:dyDescent="0.25">
      <c r="B70" s="8">
        <v>71.8</v>
      </c>
      <c r="C70" s="8">
        <v>217</v>
      </c>
    </row>
    <row r="71" spans="2:3" x14ac:dyDescent="0.25">
      <c r="B71" s="8">
        <v>69.900000000000006</v>
      </c>
      <c r="C71" s="8">
        <v>138</v>
      </c>
    </row>
    <row r="72" spans="2:3" x14ac:dyDescent="0.25">
      <c r="B72" s="8">
        <v>82.7</v>
      </c>
      <c r="C72" s="8">
        <v>302</v>
      </c>
    </row>
    <row r="73" spans="2:3" x14ac:dyDescent="0.25">
      <c r="B73" s="8">
        <v>74</v>
      </c>
      <c r="C73" s="8">
        <v>311</v>
      </c>
    </row>
    <row r="74" spans="2:3" x14ac:dyDescent="0.25">
      <c r="B74" s="8">
        <v>84</v>
      </c>
      <c r="C74" s="8">
        <v>373</v>
      </c>
    </row>
    <row r="75" spans="2:3" x14ac:dyDescent="0.25">
      <c r="B75" s="8">
        <v>84.7</v>
      </c>
      <c r="C75" s="8">
        <v>196</v>
      </c>
    </row>
    <row r="76" spans="2:3" x14ac:dyDescent="0.25">
      <c r="B76" s="8">
        <v>78.2</v>
      </c>
      <c r="C76" s="8">
        <v>306</v>
      </c>
    </row>
    <row r="77" spans="2:3" x14ac:dyDescent="0.25">
      <c r="B77" s="8">
        <v>85</v>
      </c>
      <c r="C77" s="8">
        <v>302</v>
      </c>
    </row>
    <row r="78" spans="2:3" x14ac:dyDescent="0.25">
      <c r="B78" s="8">
        <v>80.099999999999994</v>
      </c>
      <c r="C78" s="8">
        <v>278</v>
      </c>
    </row>
    <row r="79" spans="2:3" x14ac:dyDescent="0.25">
      <c r="B79" s="8">
        <v>85.3</v>
      </c>
      <c r="C79" s="8">
        <v>429</v>
      </c>
    </row>
    <row r="80" spans="2:3" x14ac:dyDescent="0.25">
      <c r="B80" s="8">
        <v>79.7</v>
      </c>
      <c r="C80" s="8">
        <v>338</v>
      </c>
    </row>
    <row r="81" spans="2:3" x14ac:dyDescent="0.25">
      <c r="B81" s="8">
        <v>79.599999999999994</v>
      </c>
      <c r="C81" s="8">
        <v>261</v>
      </c>
    </row>
    <row r="82" spans="2:3" x14ac:dyDescent="0.25">
      <c r="B82" s="8">
        <v>78.900000000000006</v>
      </c>
      <c r="C82" s="8">
        <v>256</v>
      </c>
    </row>
    <row r="83" spans="2:3" x14ac:dyDescent="0.25">
      <c r="B83" s="8">
        <v>78.5</v>
      </c>
      <c r="C83" s="8">
        <v>183</v>
      </c>
    </row>
    <row r="84" spans="2:3" x14ac:dyDescent="0.25">
      <c r="B84" s="8">
        <v>72</v>
      </c>
      <c r="C84" s="8">
        <v>274</v>
      </c>
    </row>
    <row r="85" spans="2:3" x14ac:dyDescent="0.25">
      <c r="B85" s="8">
        <v>74.2</v>
      </c>
      <c r="C85" s="8">
        <v>182</v>
      </c>
    </row>
    <row r="86" spans="2:3" x14ac:dyDescent="0.25">
      <c r="B86" s="8">
        <v>71.7</v>
      </c>
      <c r="C86" s="8">
        <v>183</v>
      </c>
    </row>
    <row r="87" spans="2:3" x14ac:dyDescent="0.25">
      <c r="B87" s="8">
        <v>80.7</v>
      </c>
      <c r="C87" s="8">
        <v>309</v>
      </c>
    </row>
    <row r="88" spans="2:3" x14ac:dyDescent="0.25">
      <c r="B88" s="8">
        <v>84.1</v>
      </c>
      <c r="C88" s="8">
        <v>178</v>
      </c>
    </row>
    <row r="89" spans="2:3" x14ac:dyDescent="0.25">
      <c r="B89" s="8">
        <v>87.4</v>
      </c>
      <c r="C89" s="8">
        <v>458</v>
      </c>
    </row>
    <row r="90" spans="2:3" x14ac:dyDescent="0.25">
      <c r="B90" s="8">
        <v>77.400000000000006</v>
      </c>
      <c r="C90" s="8">
        <v>234</v>
      </c>
    </row>
    <row r="91" spans="2:3" x14ac:dyDescent="0.25">
      <c r="B91" s="8">
        <v>84.7</v>
      </c>
      <c r="C91" s="8">
        <v>306</v>
      </c>
    </row>
    <row r="92" spans="2:3" x14ac:dyDescent="0.25">
      <c r="B92" s="8">
        <v>78.8</v>
      </c>
      <c r="C92" s="8">
        <v>400</v>
      </c>
    </row>
    <row r="93" spans="2:3" x14ac:dyDescent="0.25">
      <c r="B93" s="8">
        <v>92.7</v>
      </c>
      <c r="C93" s="8">
        <v>337</v>
      </c>
    </row>
    <row r="94" spans="2:3" x14ac:dyDescent="0.25">
      <c r="B94" s="8">
        <v>88.8</v>
      </c>
      <c r="C94" s="8">
        <v>325</v>
      </c>
    </row>
    <row r="95" spans="2:3" x14ac:dyDescent="0.25">
      <c r="B95" s="8">
        <v>86.6</v>
      </c>
      <c r="C95" s="8">
        <v>329</v>
      </c>
    </row>
    <row r="96" spans="2:3" x14ac:dyDescent="0.25">
      <c r="B96" s="8">
        <v>77.900000000000006</v>
      </c>
      <c r="C96" s="8">
        <v>369</v>
      </c>
    </row>
    <row r="97" spans="2:3" x14ac:dyDescent="0.25">
      <c r="B97" s="8">
        <v>86.1</v>
      </c>
      <c r="C97" s="8">
        <v>457</v>
      </c>
    </row>
    <row r="98" spans="2:3" x14ac:dyDescent="0.25">
      <c r="B98" s="8">
        <v>89.9</v>
      </c>
      <c r="C98" s="8">
        <v>421</v>
      </c>
    </row>
    <row r="99" spans="2:3" x14ac:dyDescent="0.25">
      <c r="B99" s="8">
        <v>83.1</v>
      </c>
      <c r="C99" s="8">
        <v>282</v>
      </c>
    </row>
    <row r="100" spans="2:3" x14ac:dyDescent="0.25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workbookViewId="0">
      <selection activeCell="F10" sqref="F10:G10"/>
    </sheetView>
  </sheetViews>
  <sheetFormatPr defaultRowHeight="15" x14ac:dyDescent="0.25"/>
  <cols>
    <col min="1" max="1" width="2.85546875" customWidth="1"/>
    <col min="2" max="2" width="17.5703125" bestFit="1" customWidth="1"/>
    <col min="3" max="3" width="10.7109375" bestFit="1" customWidth="1"/>
    <col min="5" max="5" width="14.28515625" customWidth="1"/>
    <col min="6" max="7" width="12.85546875" customWidth="1"/>
  </cols>
  <sheetData>
    <row r="1" spans="2:7" ht="25.5" customHeight="1" x14ac:dyDescent="0.3">
      <c r="B1" s="18" t="s">
        <v>126</v>
      </c>
    </row>
    <row r="2" spans="2:7" ht="15" customHeight="1" x14ac:dyDescent="0.25">
      <c r="B2" s="30" t="s">
        <v>290</v>
      </c>
    </row>
    <row r="3" spans="2:7" ht="18" customHeight="1" x14ac:dyDescent="0.25"/>
    <row r="4" spans="2:7" x14ac:dyDescent="0.25">
      <c r="E4" s="3" t="s">
        <v>53</v>
      </c>
    </row>
    <row r="5" spans="2:7" x14ac:dyDescent="0.25">
      <c r="B5" s="7" t="s">
        <v>36</v>
      </c>
      <c r="C5" s="7" t="s">
        <v>77</v>
      </c>
      <c r="E5" s="109" t="s">
        <v>60</v>
      </c>
      <c r="F5" s="109"/>
      <c r="G5" s="109"/>
    </row>
    <row r="6" spans="2:7" x14ac:dyDescent="0.25">
      <c r="B6" s="8" t="s">
        <v>24</v>
      </c>
      <c r="C6" s="8">
        <v>90.2</v>
      </c>
      <c r="F6" s="17" t="s">
        <v>24</v>
      </c>
      <c r="G6" s="17" t="s">
        <v>26</v>
      </c>
    </row>
    <row r="7" spans="2:7" x14ac:dyDescent="0.25">
      <c r="B7" s="8" t="s">
        <v>24</v>
      </c>
      <c r="C7" s="8">
        <v>92.8</v>
      </c>
      <c r="E7" s="20" t="s">
        <v>18</v>
      </c>
      <c r="F7" s="71">
        <f>COUNTIF($B$6:$B$100,F6)</f>
        <v>36</v>
      </c>
      <c r="G7" s="71">
        <f>COUNTIF($B$6:$B$100,G6)</f>
        <v>59</v>
      </c>
    </row>
    <row r="8" spans="2:7" x14ac:dyDescent="0.25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_xlfn.MAXIFS($C$6:$C$100,$B$6:$B$100,F6)-_xlfn.MINIFS($C$6:$C$100,$B$6:$B$100,G6)</f>
        <v>33.499999999999993</v>
      </c>
      <c r="G8" s="72">
        <f>_xlfn.MAXIFS($C$6:$C$100,$B$6:$B$100,G6)-_xlfn.MINIFS($C$6:$C$100,$B$6:$B$100,H6)</f>
        <v>89.9</v>
      </c>
    </row>
    <row r="9" spans="2:7" x14ac:dyDescent="0.25">
      <c r="B9" s="8" t="s">
        <v>26</v>
      </c>
      <c r="C9" s="8">
        <v>80.7</v>
      </c>
      <c r="E9" s="20" t="s">
        <v>67</v>
      </c>
      <c r="F9" s="72" cm="1">
        <f t="array" ref="F9">_xlfn.QUARTILE.INC(_xlfn._xlws.FILTER($C$6:$C$100,$B$6:$B$100=F6),3)-_xlfn.QUARTILE.INC(_xlfn._xlws.FILTER($C$6:$C$100,$B$6:$B$100=F6),1)</f>
        <v>10.424999999999997</v>
      </c>
      <c r="G9" s="72" cm="1">
        <f t="array" ref="G9">_xlfn.QUARTILE.INC(_xlfn._xlws.FILTER($C$6:$C$100,$B$6:$B$100=G6),3)-_xlfn.QUARTILE.INC(_xlfn._xlws.FILTER($C$6:$C$100,$B$6:$B$100=G6),1)</f>
        <v>8.3999999999999773</v>
      </c>
    </row>
    <row r="10" spans="2:7" x14ac:dyDescent="0.25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7" x14ac:dyDescent="0.25">
      <c r="B11" s="8" t="s">
        <v>26</v>
      </c>
      <c r="C11" s="8">
        <v>80.7</v>
      </c>
    </row>
    <row r="12" spans="2:7" x14ac:dyDescent="0.25">
      <c r="B12" s="8" t="s">
        <v>26</v>
      </c>
      <c r="C12" s="8">
        <v>83.3</v>
      </c>
    </row>
    <row r="13" spans="2:7" x14ac:dyDescent="0.25">
      <c r="B13" s="8" t="s">
        <v>24</v>
      </c>
      <c r="C13" s="8">
        <v>88.7</v>
      </c>
    </row>
    <row r="14" spans="2:7" x14ac:dyDescent="0.25">
      <c r="B14" s="8" t="s">
        <v>26</v>
      </c>
      <c r="C14" s="8">
        <v>75.400000000000006</v>
      </c>
    </row>
    <row r="15" spans="2:7" x14ac:dyDescent="0.25">
      <c r="B15" s="8" t="s">
        <v>26</v>
      </c>
      <c r="C15" s="8">
        <v>82.1</v>
      </c>
    </row>
    <row r="16" spans="2:7" x14ac:dyDescent="0.25">
      <c r="B16" s="8" t="s">
        <v>24</v>
      </c>
      <c r="C16" s="8">
        <v>87.5</v>
      </c>
    </row>
    <row r="17" spans="2:3" x14ac:dyDescent="0.25">
      <c r="B17" s="8" t="s">
        <v>26</v>
      </c>
      <c r="C17" s="8">
        <v>66.900000000000006</v>
      </c>
    </row>
    <row r="18" spans="2:3" x14ac:dyDescent="0.25">
      <c r="B18" s="8" t="s">
        <v>24</v>
      </c>
      <c r="C18" s="8">
        <v>71.3</v>
      </c>
    </row>
    <row r="19" spans="2:3" x14ac:dyDescent="0.25">
      <c r="B19" s="8" t="s">
        <v>26</v>
      </c>
      <c r="C19" s="8">
        <v>76.8</v>
      </c>
    </row>
    <row r="20" spans="2:3" x14ac:dyDescent="0.25">
      <c r="B20" s="8" t="s">
        <v>24</v>
      </c>
      <c r="C20" s="8">
        <v>72.3</v>
      </c>
    </row>
    <row r="21" spans="2:3" x14ac:dyDescent="0.25">
      <c r="B21" s="8" t="s">
        <v>26</v>
      </c>
      <c r="C21" s="8">
        <v>72.400000000000006</v>
      </c>
    </row>
    <row r="22" spans="2:3" x14ac:dyDescent="0.25">
      <c r="B22" s="8" t="s">
        <v>26</v>
      </c>
      <c r="C22" s="8">
        <v>72</v>
      </c>
    </row>
    <row r="23" spans="2:3" x14ac:dyDescent="0.25">
      <c r="B23" s="8" t="s">
        <v>26</v>
      </c>
      <c r="C23" s="8">
        <v>81</v>
      </c>
    </row>
    <row r="24" spans="2:3" x14ac:dyDescent="0.25">
      <c r="B24" s="8" t="s">
        <v>24</v>
      </c>
      <c r="C24" s="8">
        <v>96.1</v>
      </c>
    </row>
    <row r="25" spans="2:3" x14ac:dyDescent="0.25">
      <c r="B25" s="8" t="s">
        <v>26</v>
      </c>
      <c r="C25" s="8">
        <v>76.7</v>
      </c>
    </row>
    <row r="26" spans="2:3" x14ac:dyDescent="0.25">
      <c r="B26" s="8" t="s">
        <v>24</v>
      </c>
      <c r="C26" s="8">
        <v>80.3</v>
      </c>
    </row>
    <row r="27" spans="2:3" x14ac:dyDescent="0.25">
      <c r="B27" s="8" t="s">
        <v>26</v>
      </c>
      <c r="C27" s="8">
        <v>77.8</v>
      </c>
    </row>
    <row r="28" spans="2:3" x14ac:dyDescent="0.25">
      <c r="B28" s="8" t="s">
        <v>26</v>
      </c>
      <c r="C28" s="8">
        <v>62.6</v>
      </c>
    </row>
    <row r="29" spans="2:3" x14ac:dyDescent="0.25">
      <c r="B29" s="8" t="s">
        <v>26</v>
      </c>
      <c r="C29" s="8">
        <v>80.2</v>
      </c>
    </row>
    <row r="30" spans="2:3" x14ac:dyDescent="0.25">
      <c r="B30" s="8" t="s">
        <v>24</v>
      </c>
      <c r="C30" s="8">
        <v>79.099999999999994</v>
      </c>
    </row>
    <row r="31" spans="2:3" x14ac:dyDescent="0.25">
      <c r="B31" s="8" t="s">
        <v>26</v>
      </c>
      <c r="C31" s="8">
        <v>77.8</v>
      </c>
    </row>
    <row r="32" spans="2:3" x14ac:dyDescent="0.25">
      <c r="B32" s="8" t="s">
        <v>26</v>
      </c>
      <c r="C32" s="8">
        <v>75.099999999999994</v>
      </c>
    </row>
    <row r="33" spans="2:3" x14ac:dyDescent="0.25">
      <c r="B33" s="8" t="s">
        <v>26</v>
      </c>
      <c r="C33" s="8">
        <v>82.2</v>
      </c>
    </row>
    <row r="34" spans="2:3" x14ac:dyDescent="0.25">
      <c r="B34" s="8" t="s">
        <v>26</v>
      </c>
      <c r="C34" s="8">
        <v>70.5</v>
      </c>
    </row>
    <row r="35" spans="2:3" x14ac:dyDescent="0.25">
      <c r="B35" s="8" t="s">
        <v>26</v>
      </c>
      <c r="C35" s="8">
        <v>70.8</v>
      </c>
    </row>
    <row r="36" spans="2:3" x14ac:dyDescent="0.25">
      <c r="B36" s="8" t="s">
        <v>24</v>
      </c>
      <c r="C36" s="8">
        <v>87.5</v>
      </c>
    </row>
    <row r="37" spans="2:3" x14ac:dyDescent="0.25">
      <c r="B37" s="8" t="s">
        <v>26</v>
      </c>
      <c r="C37" s="8">
        <v>79.5</v>
      </c>
    </row>
    <row r="38" spans="2:3" x14ac:dyDescent="0.25">
      <c r="B38" s="8" t="s">
        <v>24</v>
      </c>
      <c r="C38" s="8">
        <v>80.8</v>
      </c>
    </row>
    <row r="39" spans="2:3" x14ac:dyDescent="0.25">
      <c r="B39" s="8" t="s">
        <v>26</v>
      </c>
      <c r="C39" s="8">
        <v>79.599999999999994</v>
      </c>
    </row>
    <row r="40" spans="2:3" x14ac:dyDescent="0.25">
      <c r="B40" s="8" t="s">
        <v>24</v>
      </c>
      <c r="C40" s="8">
        <v>88.9</v>
      </c>
    </row>
    <row r="41" spans="2:3" x14ac:dyDescent="0.25">
      <c r="B41" s="8" t="s">
        <v>26</v>
      </c>
      <c r="C41" s="8">
        <v>85.9</v>
      </c>
    </row>
    <row r="42" spans="2:3" x14ac:dyDescent="0.25">
      <c r="B42" s="8" t="s">
        <v>24</v>
      </c>
      <c r="C42" s="8">
        <v>82.3</v>
      </c>
    </row>
    <row r="43" spans="2:3" x14ac:dyDescent="0.25">
      <c r="B43" s="8" t="s">
        <v>26</v>
      </c>
      <c r="C43" s="8">
        <v>76.7</v>
      </c>
    </row>
    <row r="44" spans="2:3" x14ac:dyDescent="0.25">
      <c r="B44" s="8" t="s">
        <v>26</v>
      </c>
      <c r="C44" s="8">
        <v>79.900000000000006</v>
      </c>
    </row>
    <row r="45" spans="2:3" x14ac:dyDescent="0.25">
      <c r="B45" s="8" t="s">
        <v>26</v>
      </c>
      <c r="C45" s="8">
        <v>86.2</v>
      </c>
    </row>
    <row r="46" spans="2:3" x14ac:dyDescent="0.25">
      <c r="B46" s="8" t="s">
        <v>26</v>
      </c>
      <c r="C46" s="8">
        <v>79.2</v>
      </c>
    </row>
    <row r="47" spans="2:3" x14ac:dyDescent="0.25">
      <c r="B47" s="8" t="s">
        <v>24</v>
      </c>
      <c r="C47" s="8">
        <v>83.4</v>
      </c>
    </row>
    <row r="48" spans="2:3" x14ac:dyDescent="0.25">
      <c r="B48" s="8" t="s">
        <v>26</v>
      </c>
      <c r="C48" s="8">
        <v>85.2</v>
      </c>
    </row>
    <row r="49" spans="2:3" x14ac:dyDescent="0.25">
      <c r="B49" s="8" t="s">
        <v>24</v>
      </c>
      <c r="C49" s="8">
        <v>77.8</v>
      </c>
    </row>
    <row r="50" spans="2:3" x14ac:dyDescent="0.25">
      <c r="B50" s="8" t="s">
        <v>26</v>
      </c>
      <c r="C50" s="8">
        <v>80.2</v>
      </c>
    </row>
    <row r="51" spans="2:3" x14ac:dyDescent="0.25">
      <c r="B51" s="8" t="s">
        <v>24</v>
      </c>
      <c r="C51" s="8">
        <v>71</v>
      </c>
    </row>
    <row r="52" spans="2:3" x14ac:dyDescent="0.25">
      <c r="B52" s="8" t="s">
        <v>24</v>
      </c>
      <c r="C52" s="8">
        <v>87.2</v>
      </c>
    </row>
    <row r="53" spans="2:3" x14ac:dyDescent="0.25">
      <c r="B53" s="8" t="s">
        <v>24</v>
      </c>
      <c r="C53" s="8">
        <v>82.9</v>
      </c>
    </row>
    <row r="54" spans="2:3" x14ac:dyDescent="0.25">
      <c r="B54" s="8" t="s">
        <v>26</v>
      </c>
      <c r="C54" s="8">
        <v>73.5</v>
      </c>
    </row>
    <row r="55" spans="2:3" x14ac:dyDescent="0.25">
      <c r="B55" s="8" t="s">
        <v>26</v>
      </c>
      <c r="C55" s="8">
        <v>74.599999999999994</v>
      </c>
    </row>
    <row r="56" spans="2:3" x14ac:dyDescent="0.25">
      <c r="B56" s="8" t="s">
        <v>24</v>
      </c>
      <c r="C56" s="8">
        <v>75.099999999999994</v>
      </c>
    </row>
    <row r="57" spans="2:3" x14ac:dyDescent="0.25">
      <c r="B57" s="8" t="s">
        <v>26</v>
      </c>
      <c r="C57" s="8">
        <v>85.1</v>
      </c>
    </row>
    <row r="58" spans="2:3" x14ac:dyDescent="0.25">
      <c r="B58" s="8" t="s">
        <v>24</v>
      </c>
      <c r="C58" s="8">
        <v>74.900000000000006</v>
      </c>
    </row>
    <row r="59" spans="2:3" x14ac:dyDescent="0.25">
      <c r="B59" s="8" t="s">
        <v>26</v>
      </c>
      <c r="C59" s="8">
        <v>84.6</v>
      </c>
    </row>
    <row r="60" spans="2:3" x14ac:dyDescent="0.25">
      <c r="B60" s="8" t="s">
        <v>24</v>
      </c>
      <c r="C60" s="8">
        <v>81.7</v>
      </c>
    </row>
    <row r="61" spans="2:3" x14ac:dyDescent="0.25">
      <c r="B61" s="8" t="s">
        <v>26</v>
      </c>
      <c r="C61" s="8">
        <v>81.400000000000006</v>
      </c>
    </row>
    <row r="62" spans="2:3" x14ac:dyDescent="0.25">
      <c r="B62" s="8" t="s">
        <v>24</v>
      </c>
      <c r="C62" s="8">
        <v>83.8</v>
      </c>
    </row>
    <row r="63" spans="2:3" x14ac:dyDescent="0.25">
      <c r="B63" s="8" t="s">
        <v>26</v>
      </c>
      <c r="C63" s="8">
        <v>88.5</v>
      </c>
    </row>
    <row r="64" spans="2:3" x14ac:dyDescent="0.25">
      <c r="B64" s="8" t="s">
        <v>26</v>
      </c>
      <c r="C64" s="8">
        <v>84.9</v>
      </c>
    </row>
    <row r="65" spans="2:3" x14ac:dyDescent="0.25">
      <c r="B65" s="8" t="s">
        <v>26</v>
      </c>
      <c r="C65" s="8">
        <v>84.3</v>
      </c>
    </row>
    <row r="66" spans="2:3" x14ac:dyDescent="0.25">
      <c r="B66" s="8" t="s">
        <v>26</v>
      </c>
      <c r="C66" s="8">
        <v>78.2</v>
      </c>
    </row>
    <row r="67" spans="2:3" x14ac:dyDescent="0.25">
      <c r="B67" s="8" t="s">
        <v>26</v>
      </c>
      <c r="C67" s="8">
        <v>80</v>
      </c>
    </row>
    <row r="68" spans="2:3" x14ac:dyDescent="0.25">
      <c r="B68" s="8" t="s">
        <v>24</v>
      </c>
      <c r="C68" s="8">
        <v>74.8</v>
      </c>
    </row>
    <row r="69" spans="2:3" x14ac:dyDescent="0.25">
      <c r="B69" s="8" t="s">
        <v>26</v>
      </c>
      <c r="C69" s="8">
        <v>78.5</v>
      </c>
    </row>
    <row r="70" spans="2:3" x14ac:dyDescent="0.25">
      <c r="B70" s="8" t="s">
        <v>26</v>
      </c>
      <c r="C70" s="8">
        <v>71.8</v>
      </c>
    </row>
    <row r="71" spans="2:3" x14ac:dyDescent="0.25">
      <c r="B71" s="8" t="s">
        <v>26</v>
      </c>
      <c r="C71" s="8">
        <v>69.900000000000006</v>
      </c>
    </row>
    <row r="72" spans="2:3" x14ac:dyDescent="0.25">
      <c r="B72" s="8" t="s">
        <v>24</v>
      </c>
      <c r="C72" s="8">
        <v>82.7</v>
      </c>
    </row>
    <row r="73" spans="2:3" x14ac:dyDescent="0.25">
      <c r="B73" s="8" t="s">
        <v>26</v>
      </c>
      <c r="C73" s="8">
        <v>74</v>
      </c>
    </row>
    <row r="74" spans="2:3" x14ac:dyDescent="0.25">
      <c r="B74" s="8" t="s">
        <v>24</v>
      </c>
      <c r="C74" s="8">
        <v>84</v>
      </c>
    </row>
    <row r="75" spans="2:3" x14ac:dyDescent="0.25">
      <c r="B75" s="8" t="s">
        <v>26</v>
      </c>
      <c r="C75" s="8">
        <v>84.7</v>
      </c>
    </row>
    <row r="76" spans="2:3" x14ac:dyDescent="0.25">
      <c r="B76" s="8" t="s">
        <v>26</v>
      </c>
      <c r="C76" s="8">
        <v>78.2</v>
      </c>
    </row>
    <row r="77" spans="2:3" x14ac:dyDescent="0.25">
      <c r="B77" s="8" t="s">
        <v>26</v>
      </c>
      <c r="C77" s="8">
        <v>85</v>
      </c>
    </row>
    <row r="78" spans="2:3" x14ac:dyDescent="0.25">
      <c r="B78" s="8" t="s">
        <v>24</v>
      </c>
      <c r="C78" s="8">
        <v>80.099999999999994</v>
      </c>
    </row>
    <row r="79" spans="2:3" x14ac:dyDescent="0.25">
      <c r="B79" s="8" t="s">
        <v>26</v>
      </c>
      <c r="C79" s="8">
        <v>85.3</v>
      </c>
    </row>
    <row r="80" spans="2:3" x14ac:dyDescent="0.25">
      <c r="B80" s="8" t="s">
        <v>26</v>
      </c>
      <c r="C80" s="8">
        <v>79.7</v>
      </c>
    </row>
    <row r="81" spans="2:3" x14ac:dyDescent="0.25">
      <c r="B81" s="8" t="s">
        <v>24</v>
      </c>
      <c r="C81" s="8">
        <v>79.599999999999994</v>
      </c>
    </row>
    <row r="82" spans="2:3" x14ac:dyDescent="0.25">
      <c r="B82" s="8" t="s">
        <v>24</v>
      </c>
      <c r="C82" s="8">
        <v>78.900000000000006</v>
      </c>
    </row>
    <row r="83" spans="2:3" x14ac:dyDescent="0.25">
      <c r="B83" s="8" t="s">
        <v>26</v>
      </c>
      <c r="C83" s="8">
        <v>78.5</v>
      </c>
    </row>
    <row r="84" spans="2:3" x14ac:dyDescent="0.25">
      <c r="B84" s="8" t="s">
        <v>24</v>
      </c>
      <c r="C84" s="8">
        <v>72</v>
      </c>
    </row>
    <row r="85" spans="2:3" x14ac:dyDescent="0.25">
      <c r="B85" s="8" t="s">
        <v>24</v>
      </c>
      <c r="C85" s="8">
        <v>74.2</v>
      </c>
    </row>
    <row r="86" spans="2:3" x14ac:dyDescent="0.25">
      <c r="B86" s="8" t="s">
        <v>24</v>
      </c>
      <c r="C86" s="8">
        <v>71.7</v>
      </c>
    </row>
    <row r="87" spans="2:3" x14ac:dyDescent="0.25">
      <c r="B87" s="8" t="s">
        <v>26</v>
      </c>
      <c r="C87" s="8">
        <v>80.7</v>
      </c>
    </row>
    <row r="88" spans="2:3" x14ac:dyDescent="0.25">
      <c r="B88" s="8" t="s">
        <v>26</v>
      </c>
      <c r="C88" s="8">
        <v>84.1</v>
      </c>
    </row>
    <row r="89" spans="2:3" x14ac:dyDescent="0.25">
      <c r="B89" s="8" t="s">
        <v>24</v>
      </c>
      <c r="C89" s="8">
        <v>87.4</v>
      </c>
    </row>
    <row r="90" spans="2:3" x14ac:dyDescent="0.25">
      <c r="B90" s="8" t="s">
        <v>24</v>
      </c>
      <c r="C90" s="8">
        <v>77.400000000000006</v>
      </c>
    </row>
    <row r="91" spans="2:3" x14ac:dyDescent="0.25">
      <c r="B91" s="8" t="s">
        <v>26</v>
      </c>
      <c r="C91" s="8">
        <v>84.7</v>
      </c>
    </row>
    <row r="92" spans="2:3" x14ac:dyDescent="0.25">
      <c r="B92" s="8" t="s">
        <v>24</v>
      </c>
      <c r="C92" s="8">
        <v>78.8</v>
      </c>
    </row>
    <row r="93" spans="2:3" x14ac:dyDescent="0.25">
      <c r="B93" s="8" t="s">
        <v>24</v>
      </c>
      <c r="C93" s="8">
        <v>92.7</v>
      </c>
    </row>
    <row r="94" spans="2:3" x14ac:dyDescent="0.25">
      <c r="B94" s="8" t="s">
        <v>26</v>
      </c>
      <c r="C94" s="8">
        <v>88.8</v>
      </c>
    </row>
    <row r="95" spans="2:3" x14ac:dyDescent="0.25">
      <c r="B95" s="8" t="s">
        <v>26</v>
      </c>
      <c r="C95" s="8">
        <v>86.6</v>
      </c>
    </row>
    <row r="96" spans="2:3" x14ac:dyDescent="0.25">
      <c r="B96" s="8" t="s">
        <v>24</v>
      </c>
      <c r="C96" s="8">
        <v>77.900000000000006</v>
      </c>
    </row>
    <row r="97" spans="2:3" x14ac:dyDescent="0.25">
      <c r="B97" s="8" t="s">
        <v>26</v>
      </c>
      <c r="C97" s="8">
        <v>86.1</v>
      </c>
    </row>
    <row r="98" spans="2:3" x14ac:dyDescent="0.25">
      <c r="B98" s="8" t="s">
        <v>26</v>
      </c>
      <c r="C98" s="8">
        <v>89.9</v>
      </c>
    </row>
    <row r="99" spans="2:3" x14ac:dyDescent="0.25">
      <c r="B99" s="8" t="s">
        <v>26</v>
      </c>
      <c r="C99" s="8">
        <v>83.1</v>
      </c>
    </row>
    <row r="100" spans="2:3" x14ac:dyDescent="0.25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topLeftCell="A3" workbookViewId="0">
      <selection activeCell="K8" sqref="K8"/>
    </sheetView>
  </sheetViews>
  <sheetFormatPr defaultRowHeight="15" x14ac:dyDescent="0.25"/>
  <cols>
    <col min="1" max="1" width="2.85546875" customWidth="1"/>
    <col min="2" max="2" width="10.7109375" bestFit="1" customWidth="1"/>
    <col min="4" max="4" width="13.42578125" bestFit="1" customWidth="1"/>
    <col min="5" max="5" width="10.28515625" bestFit="1" customWidth="1"/>
    <col min="7" max="8" width="11.42578125" customWidth="1"/>
    <col min="10" max="11" width="11.42578125" customWidth="1"/>
  </cols>
  <sheetData>
    <row r="1" spans="2:11" ht="25.5" customHeight="1" x14ac:dyDescent="0.3">
      <c r="B1" s="18" t="s">
        <v>127</v>
      </c>
    </row>
    <row r="2" spans="2:11" ht="15" customHeight="1" x14ac:dyDescent="0.25">
      <c r="B2" s="30" t="s">
        <v>84</v>
      </c>
    </row>
    <row r="3" spans="2:11" ht="18" customHeight="1" x14ac:dyDescent="0.25"/>
    <row r="4" spans="2:11" x14ac:dyDescent="0.25">
      <c r="D4" s="3" t="s">
        <v>52</v>
      </c>
      <c r="G4" s="3" t="s">
        <v>54</v>
      </c>
      <c r="J4" s="3" t="s">
        <v>54</v>
      </c>
    </row>
    <row r="5" spans="2:11" x14ac:dyDescent="0.25">
      <c r="B5" s="7" t="s">
        <v>77</v>
      </c>
      <c r="D5" s="9" t="s">
        <v>77</v>
      </c>
      <c r="E5" t="s">
        <v>15</v>
      </c>
      <c r="G5" s="108" t="s">
        <v>85</v>
      </c>
      <c r="H5" s="108"/>
      <c r="J5" s="108" t="s">
        <v>86</v>
      </c>
      <c r="K5" s="108"/>
    </row>
    <row r="6" spans="2:11" x14ac:dyDescent="0.25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AVERAGE(B6:B100)</f>
        <v>80.169473684210516</v>
      </c>
    </row>
    <row r="7" spans="2:11" x14ac:dyDescent="0.25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5">
      <c r="B8" s="8">
        <v>68.7</v>
      </c>
      <c r="D8" t="s">
        <v>40</v>
      </c>
      <c r="E8">
        <v>17</v>
      </c>
    </row>
    <row r="9" spans="2:11" x14ac:dyDescent="0.25">
      <c r="B9" s="8">
        <v>80.7</v>
      </c>
      <c r="D9" t="s">
        <v>41</v>
      </c>
      <c r="E9">
        <v>24</v>
      </c>
    </row>
    <row r="10" spans="2:11" x14ac:dyDescent="0.25">
      <c r="B10" s="8">
        <v>74.900000000000006</v>
      </c>
      <c r="D10" t="s">
        <v>42</v>
      </c>
      <c r="E10">
        <v>29</v>
      </c>
    </row>
    <row r="11" spans="2:11" x14ac:dyDescent="0.25">
      <c r="B11" s="8">
        <v>80.7</v>
      </c>
      <c r="D11" t="s">
        <v>43</v>
      </c>
      <c r="E11">
        <v>17</v>
      </c>
    </row>
    <row r="12" spans="2:11" x14ac:dyDescent="0.25">
      <c r="B12" s="8">
        <v>83.3</v>
      </c>
      <c r="D12" t="s">
        <v>44</v>
      </c>
      <c r="E12">
        <v>3</v>
      </c>
    </row>
    <row r="13" spans="2:11" x14ac:dyDescent="0.25">
      <c r="B13" s="8">
        <v>88.7</v>
      </c>
      <c r="D13" t="s">
        <v>45</v>
      </c>
      <c r="E13">
        <v>1</v>
      </c>
    </row>
    <row r="14" spans="2:11" x14ac:dyDescent="0.25">
      <c r="B14" s="8">
        <v>75.400000000000006</v>
      </c>
      <c r="D14" t="s">
        <v>17</v>
      </c>
      <c r="E14">
        <v>95</v>
      </c>
    </row>
    <row r="15" spans="2:11" x14ac:dyDescent="0.25">
      <c r="B15" s="8">
        <v>82.1</v>
      </c>
    </row>
    <row r="16" spans="2:11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7" sqref="I7"/>
    </sheetView>
  </sheetViews>
  <sheetFormatPr defaultRowHeight="15" x14ac:dyDescent="0.25"/>
  <cols>
    <col min="1" max="1" width="2.85546875" customWidth="1"/>
    <col min="2" max="2" width="10" bestFit="1" customWidth="1"/>
    <col min="3" max="3" width="10.7109375" bestFit="1" customWidth="1"/>
    <col min="5" max="5" width="13.42578125" bestFit="1" customWidth="1"/>
    <col min="6" max="6" width="10.28515625" bestFit="1" customWidth="1"/>
    <col min="8" max="9" width="11.42578125" customWidth="1"/>
  </cols>
  <sheetData>
    <row r="1" spans="2:9" ht="25.5" customHeight="1" x14ac:dyDescent="0.3">
      <c r="B1" s="18" t="s">
        <v>291</v>
      </c>
    </row>
    <row r="2" spans="2:9" ht="15" customHeight="1" x14ac:dyDescent="0.25">
      <c r="B2" s="30" t="s">
        <v>82</v>
      </c>
    </row>
    <row r="3" spans="2:9" ht="18" customHeight="1" x14ac:dyDescent="0.25"/>
    <row r="4" spans="2:9" x14ac:dyDescent="0.25">
      <c r="E4" s="3" t="s">
        <v>54</v>
      </c>
      <c r="H4" s="3" t="s">
        <v>54</v>
      </c>
    </row>
    <row r="5" spans="2:9" x14ac:dyDescent="0.25">
      <c r="B5" s="7" t="s">
        <v>20</v>
      </c>
      <c r="C5" s="7" t="s">
        <v>77</v>
      </c>
      <c r="E5" s="108" t="s">
        <v>86</v>
      </c>
      <c r="F5" s="108"/>
      <c r="H5" s="108" t="s">
        <v>87</v>
      </c>
      <c r="I5" s="108"/>
    </row>
    <row r="6" spans="2:9" x14ac:dyDescent="0.25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70</v>
      </c>
    </row>
    <row r="7" spans="2:9" x14ac:dyDescent="0.25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VLOOKUP(I6,B6:C100,2,FALSE)</f>
        <v>84.7</v>
      </c>
    </row>
    <row r="8" spans="2:9" x14ac:dyDescent="0.25">
      <c r="B8" s="8">
        <v>3</v>
      </c>
      <c r="C8" s="8">
        <v>68.7</v>
      </c>
      <c r="H8" s="20" t="s">
        <v>90</v>
      </c>
      <c r="I8" s="75">
        <f>STANDARDIZE(I7,F6,F7)</f>
        <v>0.73419021349088243</v>
      </c>
    </row>
    <row r="9" spans="2:9" x14ac:dyDescent="0.25">
      <c r="B9" s="8">
        <v>4</v>
      </c>
      <c r="C9" s="8">
        <v>80.7</v>
      </c>
    </row>
    <row r="10" spans="2:9" x14ac:dyDescent="0.25">
      <c r="B10" s="8">
        <v>5</v>
      </c>
      <c r="C10" s="8">
        <v>74.900000000000006</v>
      </c>
    </row>
    <row r="11" spans="2:9" x14ac:dyDescent="0.25">
      <c r="B11" s="8">
        <v>6</v>
      </c>
      <c r="C11" s="8">
        <v>80.7</v>
      </c>
    </row>
    <row r="12" spans="2:9" x14ac:dyDescent="0.25">
      <c r="B12" s="8">
        <v>7</v>
      </c>
      <c r="C12" s="8">
        <v>83.3</v>
      </c>
    </row>
    <row r="13" spans="2:9" x14ac:dyDescent="0.25">
      <c r="B13" s="8">
        <v>8</v>
      </c>
      <c r="C13" s="8">
        <v>88.7</v>
      </c>
    </row>
    <row r="14" spans="2:9" x14ac:dyDescent="0.25">
      <c r="B14" s="8">
        <v>9</v>
      </c>
      <c r="C14" s="8">
        <v>75.400000000000006</v>
      </c>
    </row>
    <row r="15" spans="2:9" x14ac:dyDescent="0.25">
      <c r="B15" s="8">
        <v>10</v>
      </c>
      <c r="C15" s="8">
        <v>82.1</v>
      </c>
    </row>
    <row r="16" spans="2:9" x14ac:dyDescent="0.25">
      <c r="B16" s="8">
        <v>11</v>
      </c>
      <c r="C16" s="8">
        <v>87.5</v>
      </c>
    </row>
    <row r="17" spans="2:3" x14ac:dyDescent="0.25">
      <c r="B17" s="8">
        <v>12</v>
      </c>
      <c r="C17" s="8">
        <v>66.900000000000006</v>
      </c>
    </row>
    <row r="18" spans="2:3" x14ac:dyDescent="0.25">
      <c r="B18" s="8">
        <v>13</v>
      </c>
      <c r="C18" s="8">
        <v>71.3</v>
      </c>
    </row>
    <row r="19" spans="2:3" x14ac:dyDescent="0.25">
      <c r="B19" s="8">
        <v>14</v>
      </c>
      <c r="C19" s="8">
        <v>76.8</v>
      </c>
    </row>
    <row r="20" spans="2:3" x14ac:dyDescent="0.25">
      <c r="B20" s="8">
        <v>15</v>
      </c>
      <c r="C20" s="8">
        <v>72.3</v>
      </c>
    </row>
    <row r="21" spans="2:3" x14ac:dyDescent="0.25">
      <c r="B21" s="8">
        <v>16</v>
      </c>
      <c r="C21" s="8">
        <v>72.400000000000006</v>
      </c>
    </row>
    <row r="22" spans="2:3" x14ac:dyDescent="0.25">
      <c r="B22" s="8">
        <v>17</v>
      </c>
      <c r="C22" s="8">
        <v>72</v>
      </c>
    </row>
    <row r="23" spans="2:3" x14ac:dyDescent="0.25">
      <c r="B23" s="8">
        <v>18</v>
      </c>
      <c r="C23" s="8">
        <v>81</v>
      </c>
    </row>
    <row r="24" spans="2:3" x14ac:dyDescent="0.25">
      <c r="B24" s="8">
        <v>19</v>
      </c>
      <c r="C24" s="8">
        <v>96.1</v>
      </c>
    </row>
    <row r="25" spans="2:3" x14ac:dyDescent="0.25">
      <c r="B25" s="8">
        <v>20</v>
      </c>
      <c r="C25" s="8">
        <v>76.7</v>
      </c>
    </row>
    <row r="26" spans="2:3" x14ac:dyDescent="0.25">
      <c r="B26" s="8">
        <v>21</v>
      </c>
      <c r="C26" s="8">
        <v>80.3</v>
      </c>
    </row>
    <row r="27" spans="2:3" x14ac:dyDescent="0.25">
      <c r="B27" s="8">
        <v>22</v>
      </c>
      <c r="C27" s="8">
        <v>77.8</v>
      </c>
    </row>
    <row r="28" spans="2:3" x14ac:dyDescent="0.25">
      <c r="B28" s="8">
        <v>23</v>
      </c>
      <c r="C28" s="8">
        <v>62.6</v>
      </c>
    </row>
    <row r="29" spans="2:3" x14ac:dyDescent="0.25">
      <c r="B29" s="8">
        <v>24</v>
      </c>
      <c r="C29" s="8">
        <v>80.2</v>
      </c>
    </row>
    <row r="30" spans="2:3" x14ac:dyDescent="0.25">
      <c r="B30" s="8">
        <v>25</v>
      </c>
      <c r="C30" s="8">
        <v>79.099999999999994</v>
      </c>
    </row>
    <row r="31" spans="2:3" x14ac:dyDescent="0.25">
      <c r="B31" s="8">
        <v>26</v>
      </c>
      <c r="C31" s="8">
        <v>77.8</v>
      </c>
    </row>
    <row r="32" spans="2:3" x14ac:dyDescent="0.25">
      <c r="B32" s="8">
        <v>27</v>
      </c>
      <c r="C32" s="8">
        <v>75.099999999999994</v>
      </c>
    </row>
    <row r="33" spans="2:3" x14ac:dyDescent="0.25">
      <c r="B33" s="8">
        <v>28</v>
      </c>
      <c r="C33" s="8">
        <v>82.2</v>
      </c>
    </row>
    <row r="34" spans="2:3" x14ac:dyDescent="0.25">
      <c r="B34" s="8">
        <v>29</v>
      </c>
      <c r="C34" s="8">
        <v>70.5</v>
      </c>
    </row>
    <row r="35" spans="2:3" x14ac:dyDescent="0.25">
      <c r="B35" s="8">
        <v>30</v>
      </c>
      <c r="C35" s="8">
        <v>70.8</v>
      </c>
    </row>
    <row r="36" spans="2:3" x14ac:dyDescent="0.25">
      <c r="B36" s="8">
        <v>31</v>
      </c>
      <c r="C36" s="8">
        <v>87.5</v>
      </c>
    </row>
    <row r="37" spans="2:3" x14ac:dyDescent="0.25">
      <c r="B37" s="8">
        <v>32</v>
      </c>
      <c r="C37" s="8">
        <v>79.5</v>
      </c>
    </row>
    <row r="38" spans="2:3" x14ac:dyDescent="0.25">
      <c r="B38" s="8">
        <v>33</v>
      </c>
      <c r="C38" s="8">
        <v>80.8</v>
      </c>
    </row>
    <row r="39" spans="2:3" x14ac:dyDescent="0.25">
      <c r="B39" s="8">
        <v>34</v>
      </c>
      <c r="C39" s="8">
        <v>79.599999999999994</v>
      </c>
    </row>
    <row r="40" spans="2:3" x14ac:dyDescent="0.25">
      <c r="B40" s="8">
        <v>35</v>
      </c>
      <c r="C40" s="8">
        <v>88.9</v>
      </c>
    </row>
    <row r="41" spans="2:3" x14ac:dyDescent="0.25">
      <c r="B41" s="8">
        <v>36</v>
      </c>
      <c r="C41" s="8">
        <v>85.9</v>
      </c>
    </row>
    <row r="42" spans="2:3" x14ac:dyDescent="0.25">
      <c r="B42" s="8">
        <v>37</v>
      </c>
      <c r="C42" s="8">
        <v>82.3</v>
      </c>
    </row>
    <row r="43" spans="2:3" x14ac:dyDescent="0.25">
      <c r="B43" s="8">
        <v>38</v>
      </c>
      <c r="C43" s="8">
        <v>76.7</v>
      </c>
    </row>
    <row r="44" spans="2:3" x14ac:dyDescent="0.25">
      <c r="B44" s="8">
        <v>39</v>
      </c>
      <c r="C44" s="8">
        <v>79.900000000000006</v>
      </c>
    </row>
    <row r="45" spans="2:3" x14ac:dyDescent="0.25">
      <c r="B45" s="8">
        <v>40</v>
      </c>
      <c r="C45" s="8">
        <v>86.2</v>
      </c>
    </row>
    <row r="46" spans="2:3" x14ac:dyDescent="0.25">
      <c r="B46" s="8">
        <v>41</v>
      </c>
      <c r="C46" s="8">
        <v>79.2</v>
      </c>
    </row>
    <row r="47" spans="2:3" x14ac:dyDescent="0.25">
      <c r="B47" s="8">
        <v>42</v>
      </c>
      <c r="C47" s="8">
        <v>83.4</v>
      </c>
    </row>
    <row r="48" spans="2:3" x14ac:dyDescent="0.25">
      <c r="B48" s="8">
        <v>43</v>
      </c>
      <c r="C48" s="8">
        <v>85.2</v>
      </c>
    </row>
    <row r="49" spans="2:3" x14ac:dyDescent="0.25">
      <c r="B49" s="8">
        <v>44</v>
      </c>
      <c r="C49" s="8">
        <v>77.8</v>
      </c>
    </row>
    <row r="50" spans="2:3" x14ac:dyDescent="0.25">
      <c r="B50" s="8">
        <v>45</v>
      </c>
      <c r="C50" s="8">
        <v>80.2</v>
      </c>
    </row>
    <row r="51" spans="2:3" x14ac:dyDescent="0.25">
      <c r="B51" s="8">
        <v>46</v>
      </c>
      <c r="C51" s="8">
        <v>71</v>
      </c>
    </row>
    <row r="52" spans="2:3" x14ac:dyDescent="0.25">
      <c r="B52" s="8">
        <v>47</v>
      </c>
      <c r="C52" s="8">
        <v>87.2</v>
      </c>
    </row>
    <row r="53" spans="2:3" x14ac:dyDescent="0.25">
      <c r="B53" s="8">
        <v>48</v>
      </c>
      <c r="C53" s="8">
        <v>82.9</v>
      </c>
    </row>
    <row r="54" spans="2:3" x14ac:dyDescent="0.25">
      <c r="B54" s="8">
        <v>49</v>
      </c>
      <c r="C54" s="8">
        <v>73.5</v>
      </c>
    </row>
    <row r="55" spans="2:3" x14ac:dyDescent="0.25">
      <c r="B55" s="8">
        <v>50</v>
      </c>
      <c r="C55" s="8">
        <v>74.599999999999994</v>
      </c>
    </row>
    <row r="56" spans="2:3" x14ac:dyDescent="0.25">
      <c r="B56" s="8">
        <v>51</v>
      </c>
      <c r="C56" s="8">
        <v>75.099999999999994</v>
      </c>
    </row>
    <row r="57" spans="2:3" x14ac:dyDescent="0.25">
      <c r="B57" s="8">
        <v>52</v>
      </c>
      <c r="C57" s="8">
        <v>85.1</v>
      </c>
    </row>
    <row r="58" spans="2:3" x14ac:dyDescent="0.25">
      <c r="B58" s="8">
        <v>53</v>
      </c>
      <c r="C58" s="8">
        <v>74.900000000000006</v>
      </c>
    </row>
    <row r="59" spans="2:3" x14ac:dyDescent="0.25">
      <c r="B59" s="8">
        <v>54</v>
      </c>
      <c r="C59" s="8">
        <v>84.6</v>
      </c>
    </row>
    <row r="60" spans="2:3" x14ac:dyDescent="0.25">
      <c r="B60" s="8">
        <v>55</v>
      </c>
      <c r="C60" s="8">
        <v>81.7</v>
      </c>
    </row>
    <row r="61" spans="2:3" x14ac:dyDescent="0.25">
      <c r="B61" s="8">
        <v>56</v>
      </c>
      <c r="C61" s="8">
        <v>81.400000000000006</v>
      </c>
    </row>
    <row r="62" spans="2:3" x14ac:dyDescent="0.25">
      <c r="B62" s="8">
        <v>57</v>
      </c>
      <c r="C62" s="8">
        <v>83.8</v>
      </c>
    </row>
    <row r="63" spans="2:3" x14ac:dyDescent="0.25">
      <c r="B63" s="8">
        <v>58</v>
      </c>
      <c r="C63" s="8">
        <v>88.5</v>
      </c>
    </row>
    <row r="64" spans="2:3" x14ac:dyDescent="0.25">
      <c r="B64" s="8">
        <v>59</v>
      </c>
      <c r="C64" s="8">
        <v>84.9</v>
      </c>
    </row>
    <row r="65" spans="2:3" x14ac:dyDescent="0.25">
      <c r="B65" s="8">
        <v>60</v>
      </c>
      <c r="C65" s="8">
        <v>84.3</v>
      </c>
    </row>
    <row r="66" spans="2:3" x14ac:dyDescent="0.25">
      <c r="B66" s="8">
        <v>61</v>
      </c>
      <c r="C66" s="8">
        <v>78.2</v>
      </c>
    </row>
    <row r="67" spans="2:3" x14ac:dyDescent="0.25">
      <c r="B67" s="8">
        <v>62</v>
      </c>
      <c r="C67" s="8">
        <v>80</v>
      </c>
    </row>
    <row r="68" spans="2:3" x14ac:dyDescent="0.25">
      <c r="B68" s="8">
        <v>63</v>
      </c>
      <c r="C68" s="8">
        <v>74.8</v>
      </c>
    </row>
    <row r="69" spans="2:3" x14ac:dyDescent="0.25">
      <c r="B69" s="8">
        <v>64</v>
      </c>
      <c r="C69" s="8">
        <v>78.5</v>
      </c>
    </row>
    <row r="70" spans="2:3" x14ac:dyDescent="0.25">
      <c r="B70" s="8">
        <v>65</v>
      </c>
      <c r="C70" s="8">
        <v>71.8</v>
      </c>
    </row>
    <row r="71" spans="2:3" x14ac:dyDescent="0.25">
      <c r="B71" s="8">
        <v>66</v>
      </c>
      <c r="C71" s="8">
        <v>69.900000000000006</v>
      </c>
    </row>
    <row r="72" spans="2:3" x14ac:dyDescent="0.25">
      <c r="B72" s="8">
        <v>67</v>
      </c>
      <c r="C72" s="8">
        <v>82.7</v>
      </c>
    </row>
    <row r="73" spans="2:3" x14ac:dyDescent="0.25">
      <c r="B73" s="8">
        <v>68</v>
      </c>
      <c r="C73" s="8">
        <v>74</v>
      </c>
    </row>
    <row r="74" spans="2:3" x14ac:dyDescent="0.25">
      <c r="B74" s="8">
        <v>69</v>
      </c>
      <c r="C74" s="8">
        <v>84</v>
      </c>
    </row>
    <row r="75" spans="2:3" x14ac:dyDescent="0.25">
      <c r="B75" s="8">
        <v>70</v>
      </c>
      <c r="C75" s="8">
        <v>84.7</v>
      </c>
    </row>
    <row r="76" spans="2:3" x14ac:dyDescent="0.25">
      <c r="B76" s="8">
        <v>71</v>
      </c>
      <c r="C76" s="8">
        <v>78.2</v>
      </c>
    </row>
    <row r="77" spans="2:3" x14ac:dyDescent="0.25">
      <c r="B77" s="8">
        <v>72</v>
      </c>
      <c r="C77" s="8">
        <v>85</v>
      </c>
    </row>
    <row r="78" spans="2:3" x14ac:dyDescent="0.25">
      <c r="B78" s="8">
        <v>73</v>
      </c>
      <c r="C78" s="8">
        <v>80.099999999999994</v>
      </c>
    </row>
    <row r="79" spans="2:3" x14ac:dyDescent="0.25">
      <c r="B79" s="8">
        <v>74</v>
      </c>
      <c r="C79" s="8">
        <v>85.3</v>
      </c>
    </row>
    <row r="80" spans="2:3" x14ac:dyDescent="0.25">
      <c r="B80" s="8">
        <v>75</v>
      </c>
      <c r="C80" s="8">
        <v>79.7</v>
      </c>
    </row>
    <row r="81" spans="2:3" x14ac:dyDescent="0.25">
      <c r="B81" s="8">
        <v>76</v>
      </c>
      <c r="C81" s="8">
        <v>79.599999999999994</v>
      </c>
    </row>
    <row r="82" spans="2:3" x14ac:dyDescent="0.25">
      <c r="B82" s="8">
        <v>77</v>
      </c>
      <c r="C82" s="8">
        <v>78.900000000000006</v>
      </c>
    </row>
    <row r="83" spans="2:3" x14ac:dyDescent="0.25">
      <c r="B83" s="8">
        <v>78</v>
      </c>
      <c r="C83" s="8">
        <v>78.5</v>
      </c>
    </row>
    <row r="84" spans="2:3" x14ac:dyDescent="0.25">
      <c r="B84" s="8">
        <v>79</v>
      </c>
      <c r="C84" s="8">
        <v>72</v>
      </c>
    </row>
    <row r="85" spans="2:3" x14ac:dyDescent="0.25">
      <c r="B85" s="8">
        <v>80</v>
      </c>
      <c r="C85" s="8">
        <v>74.2</v>
      </c>
    </row>
    <row r="86" spans="2:3" x14ac:dyDescent="0.25">
      <c r="B86" s="8">
        <v>81</v>
      </c>
      <c r="C86" s="8">
        <v>71.7</v>
      </c>
    </row>
    <row r="87" spans="2:3" x14ac:dyDescent="0.25">
      <c r="B87" s="8">
        <v>82</v>
      </c>
      <c r="C87" s="8">
        <v>80.7</v>
      </c>
    </row>
    <row r="88" spans="2:3" x14ac:dyDescent="0.25">
      <c r="B88" s="8">
        <v>83</v>
      </c>
      <c r="C88" s="8">
        <v>84.1</v>
      </c>
    </row>
    <row r="89" spans="2:3" x14ac:dyDescent="0.25">
      <c r="B89" s="8">
        <v>84</v>
      </c>
      <c r="C89" s="8">
        <v>87.4</v>
      </c>
    </row>
    <row r="90" spans="2:3" x14ac:dyDescent="0.25">
      <c r="B90" s="8">
        <v>85</v>
      </c>
      <c r="C90" s="8">
        <v>77.400000000000006</v>
      </c>
    </row>
    <row r="91" spans="2:3" x14ac:dyDescent="0.25">
      <c r="B91" s="8">
        <v>86</v>
      </c>
      <c r="C91" s="8">
        <v>84.7</v>
      </c>
    </row>
    <row r="92" spans="2:3" x14ac:dyDescent="0.25">
      <c r="B92" s="8">
        <v>87</v>
      </c>
      <c r="C92" s="8">
        <v>78.8</v>
      </c>
    </row>
    <row r="93" spans="2:3" x14ac:dyDescent="0.25">
      <c r="B93" s="8">
        <v>88</v>
      </c>
      <c r="C93" s="8">
        <v>92.7</v>
      </c>
    </row>
    <row r="94" spans="2:3" x14ac:dyDescent="0.25">
      <c r="B94" s="8">
        <v>89</v>
      </c>
      <c r="C94" s="8">
        <v>88.8</v>
      </c>
    </row>
    <row r="95" spans="2:3" x14ac:dyDescent="0.25">
      <c r="B95" s="8">
        <v>90</v>
      </c>
      <c r="C95" s="8">
        <v>86.6</v>
      </c>
    </row>
    <row r="96" spans="2:3" x14ac:dyDescent="0.25">
      <c r="B96" s="8">
        <v>91</v>
      </c>
      <c r="C96" s="8">
        <v>77.900000000000006</v>
      </c>
    </row>
    <row r="97" spans="2:3" x14ac:dyDescent="0.25">
      <c r="B97" s="8">
        <v>92</v>
      </c>
      <c r="C97" s="8">
        <v>86.1</v>
      </c>
    </row>
    <row r="98" spans="2:3" x14ac:dyDescent="0.25">
      <c r="B98" s="8">
        <v>93</v>
      </c>
      <c r="C98" s="8">
        <v>89.9</v>
      </c>
    </row>
    <row r="99" spans="2:3" x14ac:dyDescent="0.25">
      <c r="B99" s="8">
        <v>94</v>
      </c>
      <c r="C99" s="8">
        <v>83.1</v>
      </c>
    </row>
    <row r="100" spans="2:3" x14ac:dyDescent="0.25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0" sqref="H10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1.7109375" customWidth="1"/>
    <col min="8" max="8" width="9.140625" customWidth="1"/>
  </cols>
  <sheetData>
    <row r="1" spans="2:10" ht="25.5" customHeight="1" x14ac:dyDescent="0.3">
      <c r="B1" s="18" t="s">
        <v>128</v>
      </c>
    </row>
    <row r="2" spans="2:10" ht="15" customHeight="1" x14ac:dyDescent="0.25">
      <c r="B2" s="30" t="s">
        <v>83</v>
      </c>
    </row>
    <row r="3" spans="2:10" ht="18" customHeight="1" x14ac:dyDescent="0.25"/>
    <row r="4" spans="2:10" x14ac:dyDescent="0.25">
      <c r="D4" s="3" t="s">
        <v>54</v>
      </c>
      <c r="G4" s="3" t="s">
        <v>54</v>
      </c>
    </row>
    <row r="5" spans="2:10" x14ac:dyDescent="0.25">
      <c r="B5" s="7" t="s">
        <v>77</v>
      </c>
      <c r="D5" s="108" t="s">
        <v>86</v>
      </c>
      <c r="E5" s="108"/>
      <c r="G5" s="108" t="s">
        <v>96</v>
      </c>
      <c r="H5" s="108"/>
      <c r="I5" s="108"/>
      <c r="J5" s="108"/>
    </row>
    <row r="6" spans="2:10" ht="15" customHeight="1" x14ac:dyDescent="0.25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x14ac:dyDescent="0.25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($E$6-H6*$E$7)</f>
        <v>73.99869364309825</v>
      </c>
      <c r="I7" s="72">
        <f>($E$6-I6*$E$7)</f>
        <v>67.827913601985998</v>
      </c>
      <c r="J7" s="72">
        <f>($E$6-J6*$E$7)</f>
        <v>61.657133560873731</v>
      </c>
    </row>
    <row r="8" spans="2:10" x14ac:dyDescent="0.25">
      <c r="B8" s="8">
        <v>68.7</v>
      </c>
      <c r="G8" s="27" t="s">
        <v>93</v>
      </c>
      <c r="H8" s="72">
        <f>($E$6+H6*$E$7)</f>
        <v>86.340253725322782</v>
      </c>
      <c r="I8" s="72">
        <f>($E$6+I6*$E$7)</f>
        <v>92.511033766435034</v>
      </c>
      <c r="J8" s="72">
        <f>($E$6+J6*$E$7)</f>
        <v>98.6818138075473</v>
      </c>
    </row>
    <row r="9" spans="2:10" x14ac:dyDescent="0.25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x14ac:dyDescent="0.25">
      <c r="B10" s="8">
        <v>74.900000000000006</v>
      </c>
      <c r="G10" s="27" t="s">
        <v>95</v>
      </c>
      <c r="H10" s="79">
        <f>COUNTIFS($B$6:$B$100, "&gt;= "&amp;H7,$B$6:$B$100,"&lt;="&amp;H8)/COUNT($B$6:$B$100)</f>
        <v>0.69473684210526321</v>
      </c>
      <c r="I10" s="79">
        <f>COUNTIFS($B$6:$B$100, "&gt;= "&amp;I7,$B$6:$B$100,"&lt;="&amp;I8)/COUNT($B$6:$B$100)</f>
        <v>0.94736842105263153</v>
      </c>
      <c r="J10" s="79">
        <f>COUNTIFS($B$6:$B$100, "&gt;= "&amp;J7,$B$6:$B$100,"&lt;="&amp;J8)/COUNT($B$6:$B$100)</f>
        <v>1</v>
      </c>
    </row>
    <row r="11" spans="2:10" x14ac:dyDescent="0.25">
      <c r="B11" s="8">
        <v>80.7</v>
      </c>
    </row>
    <row r="12" spans="2:10" x14ac:dyDescent="0.25">
      <c r="B12" s="8">
        <v>83.3</v>
      </c>
    </row>
    <row r="13" spans="2:10" x14ac:dyDescent="0.25">
      <c r="B13" s="8">
        <v>88.7</v>
      </c>
    </row>
    <row r="14" spans="2:10" x14ac:dyDescent="0.25">
      <c r="B14" s="8">
        <v>75.400000000000006</v>
      </c>
    </row>
    <row r="15" spans="2:10" x14ac:dyDescent="0.25">
      <c r="B15" s="8">
        <v>82.1</v>
      </c>
    </row>
    <row r="16" spans="2:10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F28" sqref="F28"/>
    </sheetView>
  </sheetViews>
  <sheetFormatPr defaultRowHeight="15" x14ac:dyDescent="0.25"/>
  <cols>
    <col min="1" max="1" width="2.85546875" customWidth="1"/>
    <col min="2" max="2" width="13.140625" bestFit="1" customWidth="1"/>
    <col min="4" max="5" width="11.42578125" customWidth="1"/>
    <col min="7" max="8" width="11.42578125" customWidth="1"/>
    <col min="11" max="13" width="11.42578125" customWidth="1"/>
  </cols>
  <sheetData>
    <row r="1" spans="2:13" ht="25.5" customHeight="1" x14ac:dyDescent="0.3">
      <c r="B1" s="18" t="s">
        <v>129</v>
      </c>
    </row>
    <row r="2" spans="2:13" ht="15" customHeight="1" x14ac:dyDescent="0.25">
      <c r="B2" s="30" t="s">
        <v>292</v>
      </c>
    </row>
    <row r="3" spans="2:13" ht="18" customHeight="1" x14ac:dyDescent="0.25"/>
    <row r="4" spans="2:13" x14ac:dyDescent="0.25">
      <c r="D4" s="3" t="s">
        <v>54</v>
      </c>
      <c r="G4" s="3" t="s">
        <v>54</v>
      </c>
      <c r="J4" s="3" t="s">
        <v>54</v>
      </c>
    </row>
    <row r="5" spans="2:13" x14ac:dyDescent="0.25">
      <c r="B5" s="7" t="s">
        <v>35</v>
      </c>
      <c r="D5" s="108" t="s">
        <v>85</v>
      </c>
      <c r="E5" s="108"/>
      <c r="G5" s="108" t="s">
        <v>86</v>
      </c>
      <c r="H5" s="108"/>
      <c r="J5" s="108" t="s">
        <v>96</v>
      </c>
      <c r="K5" s="108"/>
      <c r="L5" s="108"/>
      <c r="M5" s="108"/>
    </row>
    <row r="6" spans="2:13" ht="15" customHeight="1" x14ac:dyDescent="0.25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AVERAGE(B6:B58)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x14ac:dyDescent="0.25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>$H$6-L6*$H$7</f>
        <v>28292.876099888745</v>
      </c>
      <c r="M7" s="80">
        <f>$H$6-M6*$H$7</f>
        <v>-17254.082076581995</v>
      </c>
    </row>
    <row r="8" spans="2:13" x14ac:dyDescent="0.25">
      <c r="B8" s="12">
        <v>109000</v>
      </c>
      <c r="J8" s="27" t="s">
        <v>93</v>
      </c>
      <c r="K8" s="80">
        <f>$H$6+K6*$H$7</f>
        <v>164933.75062930092</v>
      </c>
      <c r="L8" s="80">
        <f>$H$6+L6*$H$7</f>
        <v>210480.70880577166</v>
      </c>
      <c r="M8" s="80">
        <f>$H$6+M6*$H$7</f>
        <v>256027.66698224237</v>
      </c>
    </row>
    <row r="9" spans="2:13" ht="15" customHeight="1" x14ac:dyDescent="0.25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x14ac:dyDescent="0.25">
      <c r="B10" s="12">
        <v>255500</v>
      </c>
      <c r="J10" s="27" t="s">
        <v>95</v>
      </c>
      <c r="K10" s="79">
        <f>COUNTIFS($B$6:$B$58, "&gt;= "&amp;K7,$B$6:$B$58,"&lt;="&amp;K8)/COUNT($B$6:$B$58)</f>
        <v>0.8867924528301887</v>
      </c>
      <c r="L10" s="79">
        <f>COUNTIFS($B$6:$B$58, "&gt;= "&amp;L7,$B$6:$B$58,"&lt;="&amp;L8)/COUNT($B$6:$B$58)</f>
        <v>0.96226415094339623</v>
      </c>
      <c r="M10" s="79">
        <f>COUNTIFS($B$6:$B$58, "&gt;= "&amp;M7,$B$6:$B$58,"&lt;="&amp;M8)/COUNT($B$6:$B$58)</f>
        <v>0.98113207547169812</v>
      </c>
    </row>
    <row r="11" spans="2:13" x14ac:dyDescent="0.25">
      <c r="B11" s="12">
        <v>103500</v>
      </c>
    </row>
    <row r="12" spans="2:13" x14ac:dyDescent="0.25">
      <c r="B12" s="12">
        <v>114500</v>
      </c>
    </row>
    <row r="13" spans="2:13" x14ac:dyDescent="0.25">
      <c r="B13" s="12">
        <v>124000</v>
      </c>
    </row>
    <row r="14" spans="2:13" x14ac:dyDescent="0.25">
      <c r="B14" s="12">
        <v>132500</v>
      </c>
    </row>
    <row r="15" spans="2:13" x14ac:dyDescent="0.25">
      <c r="B15" s="12">
        <v>99000</v>
      </c>
    </row>
    <row r="16" spans="2:13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topLeftCell="A3" workbookViewId="0">
      <selection activeCell="H8" sqref="H8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1:8" ht="25.5" customHeight="1" x14ac:dyDescent="0.3">
      <c r="B1" s="18" t="s">
        <v>131</v>
      </c>
    </row>
    <row r="2" spans="1:8" ht="15" customHeight="1" x14ac:dyDescent="0.25">
      <c r="A2" t="s">
        <v>130</v>
      </c>
      <c r="B2" s="30" t="s">
        <v>296</v>
      </c>
    </row>
    <row r="3" spans="1:8" ht="18" customHeight="1" x14ac:dyDescent="0.25"/>
    <row r="4" spans="1:8" x14ac:dyDescent="0.25">
      <c r="D4" s="3" t="s">
        <v>54</v>
      </c>
      <c r="G4" s="3" t="s">
        <v>54</v>
      </c>
    </row>
    <row r="5" spans="1:8" x14ac:dyDescent="0.25">
      <c r="B5" s="7" t="s">
        <v>77</v>
      </c>
      <c r="D5" s="108" t="s">
        <v>86</v>
      </c>
      <c r="E5" s="108"/>
      <c r="G5" s="108" t="s">
        <v>294</v>
      </c>
      <c r="H5" s="108"/>
    </row>
    <row r="6" spans="1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293</v>
      </c>
      <c r="H7" s="81">
        <f>_xlfn.NORM.DIST(H6,E6,E7,TRUE)</f>
        <v>4.9675867098228202E-2</v>
      </c>
    </row>
    <row r="8" spans="1:8" x14ac:dyDescent="0.25">
      <c r="B8" s="8">
        <v>68.7</v>
      </c>
    </row>
    <row r="9" spans="1:8" x14ac:dyDescent="0.25">
      <c r="B9" s="8">
        <v>80.7</v>
      </c>
      <c r="D9" s="20"/>
      <c r="E9" s="29"/>
    </row>
    <row r="10" spans="1:8" x14ac:dyDescent="0.25">
      <c r="B10" s="8">
        <v>74.900000000000006</v>
      </c>
      <c r="D10" s="20"/>
      <c r="E10" s="29"/>
    </row>
    <row r="11" spans="1:8" x14ac:dyDescent="0.25">
      <c r="B11" s="8">
        <v>80.7</v>
      </c>
    </row>
    <row r="12" spans="1:8" x14ac:dyDescent="0.25">
      <c r="B12" s="8">
        <v>83.3</v>
      </c>
    </row>
    <row r="13" spans="1:8" x14ac:dyDescent="0.25">
      <c r="B13" s="8">
        <v>88.7</v>
      </c>
    </row>
    <row r="14" spans="1:8" x14ac:dyDescent="0.25">
      <c r="B14" s="8">
        <v>75.400000000000006</v>
      </c>
    </row>
    <row r="15" spans="1:8" x14ac:dyDescent="0.25">
      <c r="B15" s="8">
        <v>82.1</v>
      </c>
    </row>
    <row r="16" spans="1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E9" sqref="E9"/>
    </sheetView>
  </sheetViews>
  <sheetFormatPr defaultRowHeight="15" x14ac:dyDescent="0.25"/>
  <cols>
    <col min="1" max="1" width="2.85546875" customWidth="1"/>
    <col min="2" max="2" width="10.7109375" bestFit="1" customWidth="1"/>
    <col min="4" max="4" width="17.140625" customWidth="1"/>
    <col min="5" max="5" width="9.140625" customWidth="1"/>
  </cols>
  <sheetData>
    <row r="1" spans="2:5" ht="25.5" customHeight="1" x14ac:dyDescent="0.3">
      <c r="B1" s="18" t="s">
        <v>297</v>
      </c>
    </row>
    <row r="2" spans="2:5" ht="15" customHeight="1" x14ac:dyDescent="0.25">
      <c r="B2" s="30" t="s">
        <v>295</v>
      </c>
    </row>
    <row r="3" spans="2:5" ht="18" customHeight="1" x14ac:dyDescent="0.25"/>
    <row r="4" spans="2:5" x14ac:dyDescent="0.25">
      <c r="D4" s="3" t="s">
        <v>54</v>
      </c>
    </row>
    <row r="5" spans="2:5" x14ac:dyDescent="0.25">
      <c r="B5" s="7" t="s">
        <v>77</v>
      </c>
      <c r="D5" s="108" t="s">
        <v>294</v>
      </c>
      <c r="E5" s="108"/>
    </row>
    <row r="6" spans="2:5" x14ac:dyDescent="0.25">
      <c r="B6" s="8">
        <v>90.2</v>
      </c>
      <c r="D6" s="20" t="s">
        <v>107</v>
      </c>
      <c r="E6" s="71">
        <v>-1</v>
      </c>
    </row>
    <row r="7" spans="2:5" x14ac:dyDescent="0.25">
      <c r="B7" s="8">
        <v>92.8</v>
      </c>
      <c r="D7" s="20" t="s">
        <v>108</v>
      </c>
      <c r="E7" s="71">
        <v>1</v>
      </c>
    </row>
    <row r="8" spans="2:5" x14ac:dyDescent="0.25">
      <c r="B8" s="8">
        <v>68.7</v>
      </c>
      <c r="D8" s="20" t="s">
        <v>132</v>
      </c>
      <c r="E8" s="81">
        <f>_xlfn.NORM.S.DIST(E7,TRUE)-_xlfn.NORM.S.DIST(E6,TRUE)</f>
        <v>0.68268949213708607</v>
      </c>
    </row>
    <row r="9" spans="2:5" x14ac:dyDescent="0.25">
      <c r="B9" s="8">
        <v>80.7</v>
      </c>
      <c r="D9" s="20"/>
      <c r="E9" s="29"/>
    </row>
    <row r="10" spans="2:5" x14ac:dyDescent="0.25">
      <c r="B10" s="8">
        <v>74.900000000000006</v>
      </c>
    </row>
    <row r="11" spans="2:5" x14ac:dyDescent="0.25">
      <c r="B11" s="8">
        <v>80.7</v>
      </c>
    </row>
    <row r="12" spans="2:5" x14ac:dyDescent="0.25">
      <c r="B12" s="8">
        <v>83.3</v>
      </c>
    </row>
    <row r="13" spans="2:5" x14ac:dyDescent="0.25">
      <c r="B13" s="8">
        <v>88.7</v>
      </c>
    </row>
    <row r="14" spans="2:5" x14ac:dyDescent="0.25">
      <c r="B14" s="8">
        <v>75.400000000000006</v>
      </c>
    </row>
    <row r="15" spans="2:5" x14ac:dyDescent="0.25">
      <c r="B15" s="8">
        <v>82.1</v>
      </c>
    </row>
    <row r="16" spans="2:5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8" sqref="H8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133</v>
      </c>
    </row>
    <row r="2" spans="2:8" ht="15" customHeight="1" x14ac:dyDescent="0.25">
      <c r="B2" s="31" t="s">
        <v>296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8" t="s">
        <v>86</v>
      </c>
      <c r="E5" s="108"/>
      <c r="G5" s="108" t="s">
        <v>294</v>
      </c>
      <c r="H5" s="108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1 - _xlfn.NORM.DIST(H6,E6,E7,TRUE)</f>
        <v>5.5571485331932569E-2</v>
      </c>
    </row>
    <row r="8" spans="2:8" x14ac:dyDescent="0.25">
      <c r="B8" s="8">
        <v>68.7</v>
      </c>
      <c r="G8" s="20"/>
      <c r="H8" s="29"/>
    </row>
    <row r="9" spans="2:8" x14ac:dyDescent="0.25">
      <c r="B9" s="8">
        <v>80.7</v>
      </c>
    </row>
    <row r="10" spans="2:8" x14ac:dyDescent="0.25">
      <c r="B10" s="8">
        <v>74.900000000000006</v>
      </c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F1" workbookViewId="0">
      <selection activeCell="R26" sqref="R26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8" max="8" width="18.140625" bestFit="1" customWidth="1"/>
    <col min="9" max="9" width="21.7109375" bestFit="1" customWidth="1"/>
  </cols>
  <sheetData>
    <row r="1" spans="2:9" ht="25.5" customHeight="1" x14ac:dyDescent="0.3">
      <c r="B1" s="18" t="s">
        <v>134</v>
      </c>
    </row>
    <row r="2" spans="2:9" ht="15" customHeight="1" x14ac:dyDescent="0.25">
      <c r="B2" s="30" t="s">
        <v>298</v>
      </c>
    </row>
    <row r="3" spans="2:9" ht="18" customHeight="1" x14ac:dyDescent="0.25"/>
    <row r="4" spans="2:9" x14ac:dyDescent="0.25">
      <c r="D4" s="3" t="s">
        <v>54</v>
      </c>
      <c r="G4" s="3" t="s">
        <v>54</v>
      </c>
    </row>
    <row r="5" spans="2:9" x14ac:dyDescent="0.25">
      <c r="B5" s="7" t="s">
        <v>130</v>
      </c>
      <c r="D5" s="108" t="s">
        <v>86</v>
      </c>
      <c r="E5" s="108"/>
      <c r="G5" s="10" t="s">
        <v>99</v>
      </c>
      <c r="H5" s="10" t="s">
        <v>100</v>
      </c>
      <c r="I5" s="10" t="s">
        <v>105</v>
      </c>
    </row>
    <row r="6" spans="2:9" x14ac:dyDescent="0.25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IF(G6&lt;=74,H6,-100)</f>
        <v>3.0952931395656784E-4</v>
      </c>
    </row>
    <row r="7" spans="2:9" x14ac:dyDescent="0.25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IF(G7&lt;=74,H7,-100)</f>
        <v>8.4716192775783749E-4</v>
      </c>
    </row>
    <row r="8" spans="2:9" x14ac:dyDescent="0.25">
      <c r="B8" s="8">
        <v>68.7</v>
      </c>
      <c r="G8" s="8">
        <v>64</v>
      </c>
      <c r="H8" s="8">
        <f t="shared" si="0"/>
        <v>2.087421445520822E-3</v>
      </c>
      <c r="I8" s="8">
        <f t="shared" si="1"/>
        <v>2.087421445520822E-3</v>
      </c>
    </row>
    <row r="9" spans="2:9" x14ac:dyDescent="0.25">
      <c r="B9" s="8">
        <v>80.7</v>
      </c>
      <c r="G9" s="8">
        <v>66</v>
      </c>
      <c r="H9" s="8">
        <f t="shared" si="0"/>
        <v>4.6305536271465499E-3</v>
      </c>
      <c r="I9" s="8">
        <f t="shared" si="1"/>
        <v>4.6305536271465499E-3</v>
      </c>
    </row>
    <row r="10" spans="2:9" x14ac:dyDescent="0.25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9.2477219127595003E-3</v>
      </c>
    </row>
    <row r="11" spans="2:9" x14ac:dyDescent="0.25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1.6627067938365887E-2</v>
      </c>
    </row>
    <row r="12" spans="2:9" x14ac:dyDescent="0.25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5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5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-100</v>
      </c>
    </row>
    <row r="15" spans="2:9" x14ac:dyDescent="0.25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-100</v>
      </c>
    </row>
    <row r="16" spans="2:9" x14ac:dyDescent="0.25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-100</v>
      </c>
    </row>
    <row r="17" spans="2:9" x14ac:dyDescent="0.25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-100</v>
      </c>
    </row>
    <row r="18" spans="2:9" x14ac:dyDescent="0.25">
      <c r="B18" s="8">
        <v>71.3</v>
      </c>
      <c r="G18" s="8">
        <v>84</v>
      </c>
      <c r="H18" s="8">
        <f t="shared" si="0"/>
        <v>5.332070624163418E-2</v>
      </c>
      <c r="I18" s="8">
        <f t="shared" si="1"/>
        <v>-100</v>
      </c>
    </row>
    <row r="19" spans="2:9" x14ac:dyDescent="0.25">
      <c r="B19" s="8">
        <v>76.8</v>
      </c>
      <c r="G19" s="8">
        <v>86</v>
      </c>
      <c r="H19" s="8">
        <f t="shared" si="0"/>
        <v>4.137226830550346E-2</v>
      </c>
      <c r="I19" s="8">
        <f t="shared" si="1"/>
        <v>-100</v>
      </c>
    </row>
    <row r="20" spans="2:9" x14ac:dyDescent="0.25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5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5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5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5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5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5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5">
      <c r="B27" s="8">
        <v>77.8</v>
      </c>
    </row>
    <row r="28" spans="2:9" x14ac:dyDescent="0.25">
      <c r="B28" s="8">
        <v>62.6</v>
      </c>
    </row>
    <row r="29" spans="2:9" x14ac:dyDescent="0.25">
      <c r="B29" s="8">
        <v>80.2</v>
      </c>
    </row>
    <row r="30" spans="2:9" x14ac:dyDescent="0.25">
      <c r="B30" s="8">
        <v>79.099999999999994</v>
      </c>
    </row>
    <row r="31" spans="2:9" x14ac:dyDescent="0.25">
      <c r="B31" s="8">
        <v>77.8</v>
      </c>
    </row>
    <row r="32" spans="2:9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I15" sqref="I1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135</v>
      </c>
    </row>
    <row r="2" spans="2:8" ht="15" customHeight="1" x14ac:dyDescent="0.25">
      <c r="B2" s="30" t="s">
        <v>300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8" t="s">
        <v>86</v>
      </c>
      <c r="E5" s="108"/>
      <c r="G5" s="108" t="s">
        <v>299</v>
      </c>
      <c r="H5" s="108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5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5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5">
      <c r="B10" s="8">
        <v>74.900000000000006</v>
      </c>
      <c r="D10" s="20"/>
      <c r="E10" s="29"/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8" sqref="H8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136</v>
      </c>
    </row>
    <row r="2" spans="2:8" ht="15" customHeight="1" x14ac:dyDescent="0.25">
      <c r="B2" s="30" t="s">
        <v>301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8" t="s">
        <v>86</v>
      </c>
      <c r="E5" s="108"/>
      <c r="G5" s="108" t="s">
        <v>302</v>
      </c>
      <c r="H5" s="108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1">
        <v>0.2</v>
      </c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5">
      <c r="B8" s="8">
        <v>68.7</v>
      </c>
      <c r="G8" s="20"/>
      <c r="H8" s="29"/>
    </row>
    <row r="9" spans="2:8" x14ac:dyDescent="0.25">
      <c r="B9" s="8">
        <v>80.7</v>
      </c>
      <c r="D9" s="20"/>
      <c r="E9" s="29"/>
      <c r="G9" s="20"/>
      <c r="H9" s="29"/>
    </row>
    <row r="10" spans="2:8" x14ac:dyDescent="0.25">
      <c r="B10" s="8">
        <v>74.900000000000006</v>
      </c>
      <c r="D10" s="20"/>
      <c r="E10" s="29"/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7" sqref="H7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14.28515625" customWidth="1"/>
  </cols>
  <sheetData>
    <row r="1" spans="2:8" ht="25.5" customHeight="1" x14ac:dyDescent="0.3">
      <c r="B1" s="18" t="s">
        <v>137</v>
      </c>
    </row>
    <row r="2" spans="2:8" ht="15" customHeight="1" x14ac:dyDescent="0.25">
      <c r="B2" s="30" t="s">
        <v>303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8" t="s">
        <v>86</v>
      </c>
      <c r="E5" s="108"/>
      <c r="G5" s="108" t="s">
        <v>299</v>
      </c>
      <c r="H5" s="108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v>0.9</v>
      </c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_xlfn.NORM.INV(H6,E6,E7)</f>
        <v>88.077646506529305</v>
      </c>
    </row>
    <row r="8" spans="2:8" x14ac:dyDescent="0.25">
      <c r="B8" s="8">
        <v>68.7</v>
      </c>
      <c r="G8" s="20" t="s">
        <v>90</v>
      </c>
      <c r="H8" s="84">
        <f>_xlfn.NORM.S.INV(H6)</f>
        <v>1.2815515655446006</v>
      </c>
    </row>
    <row r="9" spans="2:8" x14ac:dyDescent="0.25">
      <c r="B9" s="8">
        <v>80.7</v>
      </c>
    </row>
    <row r="10" spans="2:8" x14ac:dyDescent="0.25">
      <c r="B10" s="8">
        <v>74.900000000000006</v>
      </c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defaultRowHeight="15" x14ac:dyDescent="0.25"/>
  <cols>
    <col min="1" max="1" width="2.85546875" customWidth="1"/>
    <col min="2" max="2" width="19.28515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145</v>
      </c>
    </row>
    <row r="2" spans="2:11" ht="15" customHeight="1" x14ac:dyDescent="0.25">
      <c r="B2" s="30" t="s">
        <v>153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23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25">
      <c r="B6" s="8">
        <v>276</v>
      </c>
      <c r="D6" s="20" t="s">
        <v>71</v>
      </c>
      <c r="E6" s="71">
        <f>COUNT(B6:B100)</f>
        <v>95</v>
      </c>
      <c r="G6" s="20" t="s">
        <v>142</v>
      </c>
      <c r="H6" s="82">
        <v>0.9</v>
      </c>
      <c r="J6" s="20" t="s">
        <v>148</v>
      </c>
      <c r="K6" s="75">
        <f>E7-H11</f>
        <v>274.159110498644</v>
      </c>
    </row>
    <row r="7" spans="2:11" x14ac:dyDescent="0.25">
      <c r="B7" s="8">
        <v>410</v>
      </c>
      <c r="D7" s="20" t="s">
        <v>46</v>
      </c>
      <c r="E7" s="72">
        <f>AVERAGE(B6:B100)</f>
        <v>289.34736842105264</v>
      </c>
      <c r="G7" s="20" t="s">
        <v>143</v>
      </c>
      <c r="H7" s="82">
        <f>1-H6</f>
        <v>9.9999999999999978E-2</v>
      </c>
      <c r="J7" s="20" t="s">
        <v>149</v>
      </c>
      <c r="K7" s="75">
        <f>E7+H11</f>
        <v>304.53562634346127</v>
      </c>
    </row>
    <row r="8" spans="2:11" x14ac:dyDescent="0.25">
      <c r="B8" s="8">
        <v>119</v>
      </c>
      <c r="G8" s="20" t="s">
        <v>144</v>
      </c>
      <c r="H8" s="85">
        <f>H7/2</f>
        <v>4.9999999999999989E-2</v>
      </c>
    </row>
    <row r="9" spans="2:11" x14ac:dyDescent="0.25">
      <c r="B9" s="8">
        <v>334</v>
      </c>
      <c r="D9" s="108" t="s">
        <v>140</v>
      </c>
      <c r="E9" s="108"/>
      <c r="G9" s="20" t="s">
        <v>152</v>
      </c>
      <c r="H9" s="86">
        <f>_xlfn.NORM.S.INV(H8)</f>
        <v>-1.6448536269514726</v>
      </c>
    </row>
    <row r="10" spans="2:11" x14ac:dyDescent="0.25">
      <c r="B10" s="8">
        <v>252</v>
      </c>
      <c r="D10" s="20" t="s">
        <v>70</v>
      </c>
      <c r="E10" s="71">
        <v>90</v>
      </c>
      <c r="G10" s="20" t="s">
        <v>146</v>
      </c>
      <c r="H10" s="75">
        <f>E10/SQRT(E6)</f>
        <v>9.2338051687663878</v>
      </c>
    </row>
    <row r="11" spans="2:11" x14ac:dyDescent="0.25">
      <c r="B11" s="8">
        <v>209</v>
      </c>
      <c r="D11" s="20"/>
      <c r="E11" s="1"/>
      <c r="G11" s="20" t="s">
        <v>150</v>
      </c>
      <c r="H11" s="75">
        <f>_xlfn.CONFIDENCE.NORM(H7,E10,E6)</f>
        <v>15.188257922408638</v>
      </c>
    </row>
    <row r="12" spans="2:11" x14ac:dyDescent="0.25">
      <c r="B12" s="8">
        <v>462</v>
      </c>
    </row>
    <row r="13" spans="2:11" x14ac:dyDescent="0.25">
      <c r="B13" s="8">
        <v>342</v>
      </c>
    </row>
    <row r="14" spans="2:11" x14ac:dyDescent="0.25">
      <c r="B14" s="8">
        <v>347</v>
      </c>
    </row>
    <row r="15" spans="2:11" x14ac:dyDescent="0.25">
      <c r="B15" s="8">
        <v>313</v>
      </c>
    </row>
    <row r="16" spans="2:11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H8" sqref="H8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151</v>
      </c>
    </row>
    <row r="2" spans="2:11" ht="15" customHeight="1" x14ac:dyDescent="0.25">
      <c r="B2" s="30" t="s">
        <v>304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35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25">
      <c r="B6" s="12">
        <v>111000</v>
      </c>
      <c r="D6" s="20" t="s">
        <v>71</v>
      </c>
      <c r="E6" s="71">
        <f>COUNT(B6:B58)</f>
        <v>53</v>
      </c>
      <c r="G6" s="20" t="s">
        <v>142</v>
      </c>
      <c r="H6" s="82">
        <v>0.95</v>
      </c>
      <c r="J6" s="20" t="s">
        <v>148</v>
      </c>
      <c r="K6" s="80">
        <f>E7-H8</f>
        <v>98925.93882692905</v>
      </c>
    </row>
    <row r="7" spans="2:11" x14ac:dyDescent="0.25">
      <c r="B7" s="12">
        <v>107000</v>
      </c>
      <c r="D7" s="20" t="s">
        <v>46</v>
      </c>
      <c r="E7" s="80">
        <f>AVERAGE(B6:B58)</f>
        <v>119386.7924528302</v>
      </c>
      <c r="G7" s="20" t="s">
        <v>143</v>
      </c>
      <c r="H7" s="82">
        <f>1-H6</f>
        <v>5.0000000000000044E-2</v>
      </c>
      <c r="J7" s="20" t="s">
        <v>149</v>
      </c>
      <c r="K7" s="80">
        <f>E7+H8</f>
        <v>139847.64607873134</v>
      </c>
    </row>
    <row r="8" spans="2:11" x14ac:dyDescent="0.25">
      <c r="B8" s="12">
        <v>109000</v>
      </c>
      <c r="D8" s="20"/>
      <c r="E8" s="28"/>
      <c r="G8" s="20" t="s">
        <v>150</v>
      </c>
      <c r="H8" s="80">
        <f>_xlfn.CONFIDENCE.NORM(H7,E11,E6)</f>
        <v>20460.853625901145</v>
      </c>
    </row>
    <row r="9" spans="2:11" x14ac:dyDescent="0.25">
      <c r="B9" s="12">
        <v>148000</v>
      </c>
      <c r="D9" s="108" t="s">
        <v>140</v>
      </c>
      <c r="E9" s="108"/>
    </row>
    <row r="10" spans="2:11" x14ac:dyDescent="0.25">
      <c r="B10" s="12">
        <v>255500</v>
      </c>
      <c r="D10" s="20" t="s">
        <v>46</v>
      </c>
      <c r="E10" s="80">
        <v>101000</v>
      </c>
    </row>
    <row r="11" spans="2:11" x14ac:dyDescent="0.25">
      <c r="B11" s="12">
        <v>103500</v>
      </c>
      <c r="D11" s="20" t="s">
        <v>70</v>
      </c>
      <c r="E11" s="80">
        <v>76000</v>
      </c>
      <c r="G11" s="20"/>
    </row>
    <row r="12" spans="2:11" x14ac:dyDescent="0.25">
      <c r="B12" s="12">
        <v>114500</v>
      </c>
    </row>
    <row r="13" spans="2:11" x14ac:dyDescent="0.25">
      <c r="B13" s="12">
        <v>124000</v>
      </c>
    </row>
    <row r="14" spans="2:11" x14ac:dyDescent="0.25">
      <c r="B14" s="12">
        <v>132500</v>
      </c>
    </row>
    <row r="15" spans="2:11" x14ac:dyDescent="0.25">
      <c r="B15" s="12">
        <v>99000</v>
      </c>
    </row>
    <row r="16" spans="2:11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topLeftCell="C1" workbookViewId="0">
      <selection activeCell="H11" sqref="H11"/>
    </sheetView>
  </sheetViews>
  <sheetFormatPr defaultRowHeight="15" x14ac:dyDescent="0.25"/>
  <cols>
    <col min="1" max="1" width="2.85546875" customWidth="1"/>
    <col min="2" max="2" width="19.28515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145</v>
      </c>
    </row>
    <row r="2" spans="2:11" ht="15" customHeight="1" x14ac:dyDescent="0.25">
      <c r="B2" s="30" t="s">
        <v>305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23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25">
      <c r="B6" s="8">
        <v>276</v>
      </c>
      <c r="D6" s="20" t="s">
        <v>71</v>
      </c>
      <c r="E6" s="71">
        <f>COUNT(B6:B100)</f>
        <v>95</v>
      </c>
      <c r="G6" s="20" t="s">
        <v>142</v>
      </c>
      <c r="H6" s="82">
        <v>0.9</v>
      </c>
      <c r="J6" s="20" t="s">
        <v>148</v>
      </c>
      <c r="K6" s="75">
        <f>E7-H11</f>
        <v>273.40781140085119</v>
      </c>
    </row>
    <row r="7" spans="2:11" x14ac:dyDescent="0.25">
      <c r="B7" s="8">
        <v>410</v>
      </c>
      <c r="D7" s="20" t="s">
        <v>46</v>
      </c>
      <c r="E7" s="72">
        <f>AVERAGE(B6:B100)</f>
        <v>289.34736842105264</v>
      </c>
      <c r="G7" s="20" t="s">
        <v>143</v>
      </c>
      <c r="H7" s="82">
        <f>1-H6</f>
        <v>9.9999999999999978E-2</v>
      </c>
      <c r="J7" s="20" t="s">
        <v>149</v>
      </c>
      <c r="K7" s="75">
        <f>E7+H11</f>
        <v>305.28692544125408</v>
      </c>
    </row>
    <row r="8" spans="2:11" x14ac:dyDescent="0.25">
      <c r="B8" s="8">
        <v>119</v>
      </c>
      <c r="D8" s="20" t="s">
        <v>70</v>
      </c>
      <c r="E8" s="75">
        <f>_xlfn.STDEV.S(B6:B100)</f>
        <v>93.521048765238149</v>
      </c>
      <c r="G8" s="20" t="s">
        <v>144</v>
      </c>
      <c r="H8" s="85">
        <f>H7/2</f>
        <v>4.9999999999999989E-2</v>
      </c>
    </row>
    <row r="9" spans="2:11" x14ac:dyDescent="0.25">
      <c r="B9" s="8">
        <v>334</v>
      </c>
      <c r="G9" s="20" t="s">
        <v>156</v>
      </c>
      <c r="H9" s="86">
        <f>_xlfn.T.INV(1-H8,E6-1)</f>
        <v>1.6612258552965111</v>
      </c>
    </row>
    <row r="10" spans="2:11" x14ac:dyDescent="0.25">
      <c r="B10" s="8">
        <v>252</v>
      </c>
      <c r="G10" s="20" t="s">
        <v>146</v>
      </c>
      <c r="H10" s="75">
        <f>E8/SQRT(E6)</f>
        <v>9.5950571497434378</v>
      </c>
    </row>
    <row r="11" spans="2:11" x14ac:dyDescent="0.25">
      <c r="B11" s="8">
        <v>209</v>
      </c>
      <c r="G11" s="20" t="s">
        <v>150</v>
      </c>
      <c r="H11" s="75">
        <f>_xlfn.CONFIDENCE.T(H7,E8,E6)</f>
        <v>15.939557020201446</v>
      </c>
    </row>
    <row r="12" spans="2:11" x14ac:dyDescent="0.25">
      <c r="B12" s="8">
        <v>462</v>
      </c>
    </row>
    <row r="13" spans="2:11" x14ac:dyDescent="0.25">
      <c r="B13" s="8">
        <v>342</v>
      </c>
    </row>
    <row r="14" spans="2:11" x14ac:dyDescent="0.25">
      <c r="B14" s="8">
        <v>347</v>
      </c>
    </row>
    <row r="15" spans="2:11" x14ac:dyDescent="0.25">
      <c r="B15" s="8">
        <v>313</v>
      </c>
    </row>
    <row r="16" spans="2:11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H7" sqref="H7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151</v>
      </c>
    </row>
    <row r="2" spans="2:11" ht="15" customHeight="1" x14ac:dyDescent="0.25">
      <c r="B2" s="30" t="s">
        <v>305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35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25">
      <c r="B6" s="12">
        <v>111000</v>
      </c>
      <c r="D6" s="20" t="s">
        <v>71</v>
      </c>
      <c r="E6" s="71">
        <f>COUNT(B6:B58)</f>
        <v>53</v>
      </c>
      <c r="G6" s="20" t="s">
        <v>142</v>
      </c>
      <c r="H6" s="82">
        <v>0.8</v>
      </c>
      <c r="J6" s="20" t="s">
        <v>148</v>
      </c>
      <c r="K6" s="80">
        <f>E7-H8</f>
        <v>111265.76090747744</v>
      </c>
    </row>
    <row r="7" spans="2:11" x14ac:dyDescent="0.25">
      <c r="B7" s="12">
        <v>107000</v>
      </c>
      <c r="D7" s="20" t="s">
        <v>46</v>
      </c>
      <c r="E7" s="80">
        <f>AVERAGE(B6:B58)</f>
        <v>119386.7924528302</v>
      </c>
      <c r="G7" s="20" t="s">
        <v>143</v>
      </c>
      <c r="H7" s="82">
        <f>1-H6</f>
        <v>0.19999999999999996</v>
      </c>
      <c r="J7" s="20" t="s">
        <v>149</v>
      </c>
      <c r="K7" s="80">
        <f>E7+H8</f>
        <v>127507.82399818295</v>
      </c>
    </row>
    <row r="8" spans="2:11" x14ac:dyDescent="0.25">
      <c r="B8" s="12">
        <v>109000</v>
      </c>
      <c r="D8" s="20" t="s">
        <v>70</v>
      </c>
      <c r="E8" s="80">
        <f>_xlfn.STDEV.S(B6:B58)</f>
        <v>45546.958176470725</v>
      </c>
      <c r="G8" s="20" t="s">
        <v>150</v>
      </c>
      <c r="H8" s="80">
        <f>_xlfn.CONFIDENCE.T(H7,E8,E6)</f>
        <v>8121.0315453527564</v>
      </c>
    </row>
    <row r="9" spans="2:11" x14ac:dyDescent="0.25">
      <c r="B9" s="12">
        <v>148000</v>
      </c>
    </row>
    <row r="10" spans="2:11" x14ac:dyDescent="0.25">
      <c r="B10" s="12">
        <v>255500</v>
      </c>
      <c r="H10" s="98"/>
    </row>
    <row r="11" spans="2:11" x14ac:dyDescent="0.25">
      <c r="B11" s="12">
        <v>103500</v>
      </c>
      <c r="G11" s="20"/>
    </row>
    <row r="12" spans="2:11" x14ac:dyDescent="0.25">
      <c r="B12" s="12">
        <v>114500</v>
      </c>
    </row>
    <row r="13" spans="2:11" x14ac:dyDescent="0.25">
      <c r="B13" s="12">
        <v>124000</v>
      </c>
    </row>
    <row r="14" spans="2:11" x14ac:dyDescent="0.25">
      <c r="B14" s="12">
        <v>132500</v>
      </c>
    </row>
    <row r="15" spans="2:11" x14ac:dyDescent="0.25">
      <c r="B15" s="12">
        <v>99000</v>
      </c>
    </row>
    <row r="16" spans="2:11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topLeftCell="C1" workbookViewId="0">
      <selection activeCell="H9" sqref="H9"/>
    </sheetView>
  </sheetViews>
  <sheetFormatPr defaultRowHeight="15" x14ac:dyDescent="0.25"/>
  <cols>
    <col min="1" max="1" width="2.85546875" customWidth="1"/>
    <col min="2" max="2" width="17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39" t="s">
        <v>160</v>
      </c>
    </row>
    <row r="2" spans="2:11" ht="15" customHeight="1" x14ac:dyDescent="0.25">
      <c r="B2" s="30" t="s">
        <v>161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21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25">
      <c r="B6" s="8" t="s">
        <v>25</v>
      </c>
      <c r="D6" s="20" t="s">
        <v>71</v>
      </c>
      <c r="E6" s="71">
        <f>COUNTA(B6:B100)</f>
        <v>95</v>
      </c>
      <c r="G6" s="20" t="s">
        <v>142</v>
      </c>
      <c r="H6" s="82">
        <v>0.9</v>
      </c>
      <c r="J6" s="20" t="s">
        <v>148</v>
      </c>
      <c r="K6" s="82">
        <f>E7-H11</f>
        <v>0.1698162967729179</v>
      </c>
    </row>
    <row r="7" spans="2:11" x14ac:dyDescent="0.25">
      <c r="B7" s="8" t="s">
        <v>25</v>
      </c>
      <c r="D7" s="20" t="s">
        <v>158</v>
      </c>
      <c r="E7" s="87">
        <f>COUNTIFS(B6:B100,"Yes")/E6</f>
        <v>0.24210526315789474</v>
      </c>
      <c r="G7" s="20" t="s">
        <v>143</v>
      </c>
      <c r="H7" s="82">
        <f>1-H6</f>
        <v>9.9999999999999978E-2</v>
      </c>
      <c r="J7" s="20" t="s">
        <v>149</v>
      </c>
      <c r="K7" s="82">
        <f>E7+H11</f>
        <v>0.31439422954287155</v>
      </c>
    </row>
    <row r="8" spans="2:11" x14ac:dyDescent="0.25">
      <c r="B8" s="8" t="s">
        <v>27</v>
      </c>
      <c r="D8" s="20" t="s">
        <v>159</v>
      </c>
      <c r="E8" s="87">
        <f>1-E7</f>
        <v>0.75789473684210529</v>
      </c>
      <c r="G8" s="20" t="s">
        <v>144</v>
      </c>
      <c r="H8" s="85">
        <f>H7/2</f>
        <v>4.9999999999999989E-2</v>
      </c>
    </row>
    <row r="9" spans="2:11" x14ac:dyDescent="0.25">
      <c r="B9" s="8" t="s">
        <v>25</v>
      </c>
      <c r="G9" s="20" t="s">
        <v>152</v>
      </c>
      <c r="H9" s="86">
        <f>_xlfn.NORM.S.INV(1-H8)</f>
        <v>1.6448536269514715</v>
      </c>
    </row>
    <row r="10" spans="2:11" x14ac:dyDescent="0.25">
      <c r="B10" s="8" t="s">
        <v>25</v>
      </c>
      <c r="D10" s="108" t="s">
        <v>163</v>
      </c>
      <c r="E10" s="108"/>
      <c r="G10" s="20" t="s">
        <v>146</v>
      </c>
      <c r="H10" s="81">
        <f>SQRT((E7*E8)/E6)</f>
        <v>4.394857098558691E-2</v>
      </c>
    </row>
    <row r="11" spans="2:11" x14ac:dyDescent="0.25">
      <c r="B11" s="8" t="s">
        <v>25</v>
      </c>
      <c r="D11" s="20" t="s">
        <v>164</v>
      </c>
      <c r="E11" s="71" t="b">
        <f>(E7*E6)&gt;5</f>
        <v>1</v>
      </c>
      <c r="G11" s="20" t="s">
        <v>150</v>
      </c>
      <c r="H11" s="87">
        <f>H9*H10</f>
        <v>7.2288966384976838E-2</v>
      </c>
    </row>
    <row r="12" spans="2:11" x14ac:dyDescent="0.25">
      <c r="B12" s="8" t="s">
        <v>25</v>
      </c>
      <c r="D12" s="20" t="s">
        <v>165</v>
      </c>
      <c r="E12" s="71" t="b">
        <f>(1-E7)*E6&gt;5</f>
        <v>1</v>
      </c>
    </row>
    <row r="13" spans="2:11" x14ac:dyDescent="0.25">
      <c r="B13" s="8" t="s">
        <v>25</v>
      </c>
    </row>
    <row r="14" spans="2:11" x14ac:dyDescent="0.25">
      <c r="B14" s="8" t="s">
        <v>25</v>
      </c>
    </row>
    <row r="15" spans="2:11" x14ac:dyDescent="0.25">
      <c r="B15" s="8" t="s">
        <v>25</v>
      </c>
    </row>
    <row r="16" spans="2:11" x14ac:dyDescent="0.25">
      <c r="B16" s="8" t="s">
        <v>25</v>
      </c>
    </row>
    <row r="17" spans="2:2" x14ac:dyDescent="0.25">
      <c r="B17" s="8" t="s">
        <v>25</v>
      </c>
    </row>
    <row r="18" spans="2:2" x14ac:dyDescent="0.25">
      <c r="B18" s="8" t="s">
        <v>25</v>
      </c>
    </row>
    <row r="19" spans="2:2" x14ac:dyDescent="0.25">
      <c r="B19" s="8" t="s">
        <v>25</v>
      </c>
    </row>
    <row r="20" spans="2:2" x14ac:dyDescent="0.25">
      <c r="B20" s="8" t="s">
        <v>25</v>
      </c>
    </row>
    <row r="21" spans="2:2" x14ac:dyDescent="0.25">
      <c r="B21" s="8" t="s">
        <v>25</v>
      </c>
    </row>
    <row r="22" spans="2:2" x14ac:dyDescent="0.25">
      <c r="B22" s="8" t="s">
        <v>27</v>
      </c>
    </row>
    <row r="23" spans="2:2" x14ac:dyDescent="0.25">
      <c r="B23" s="8" t="s">
        <v>25</v>
      </c>
    </row>
    <row r="24" spans="2:2" x14ac:dyDescent="0.25">
      <c r="B24" s="8" t="s">
        <v>25</v>
      </c>
    </row>
    <row r="25" spans="2:2" x14ac:dyDescent="0.25">
      <c r="B25" s="8" t="s">
        <v>25</v>
      </c>
    </row>
    <row r="26" spans="2:2" x14ac:dyDescent="0.25">
      <c r="B26" s="8" t="s">
        <v>25</v>
      </c>
    </row>
    <row r="27" spans="2:2" x14ac:dyDescent="0.25">
      <c r="B27" s="8" t="s">
        <v>25</v>
      </c>
    </row>
    <row r="28" spans="2:2" x14ac:dyDescent="0.25">
      <c r="B28" s="8" t="s">
        <v>25</v>
      </c>
    </row>
    <row r="29" spans="2:2" x14ac:dyDescent="0.25">
      <c r="B29" s="8" t="s">
        <v>25</v>
      </c>
    </row>
    <row r="30" spans="2:2" x14ac:dyDescent="0.25">
      <c r="B30" s="8" t="s">
        <v>25</v>
      </c>
    </row>
    <row r="31" spans="2:2" x14ac:dyDescent="0.25">
      <c r="B31" s="8" t="s">
        <v>25</v>
      </c>
    </row>
    <row r="32" spans="2:2" x14ac:dyDescent="0.25">
      <c r="B32" s="8" t="s">
        <v>25</v>
      </c>
    </row>
    <row r="33" spans="2:2" x14ac:dyDescent="0.25">
      <c r="B33" s="8" t="s">
        <v>25</v>
      </c>
    </row>
    <row r="34" spans="2:2" x14ac:dyDescent="0.25">
      <c r="B34" s="8" t="s">
        <v>25</v>
      </c>
    </row>
    <row r="35" spans="2:2" x14ac:dyDescent="0.25">
      <c r="B35" s="8" t="s">
        <v>25</v>
      </c>
    </row>
    <row r="36" spans="2:2" x14ac:dyDescent="0.25">
      <c r="B36" s="8" t="s">
        <v>25</v>
      </c>
    </row>
    <row r="37" spans="2:2" x14ac:dyDescent="0.25">
      <c r="B37" s="8" t="s">
        <v>25</v>
      </c>
    </row>
    <row r="38" spans="2:2" x14ac:dyDescent="0.25">
      <c r="B38" s="8" t="s">
        <v>25</v>
      </c>
    </row>
    <row r="39" spans="2:2" x14ac:dyDescent="0.25">
      <c r="B39" s="8" t="s">
        <v>27</v>
      </c>
    </row>
    <row r="40" spans="2:2" x14ac:dyDescent="0.25">
      <c r="B40" s="8" t="s">
        <v>25</v>
      </c>
    </row>
    <row r="41" spans="2:2" x14ac:dyDescent="0.25">
      <c r="B41" s="8" t="s">
        <v>25</v>
      </c>
    </row>
    <row r="42" spans="2:2" x14ac:dyDescent="0.25">
      <c r="B42" s="8" t="s">
        <v>27</v>
      </c>
    </row>
    <row r="43" spans="2:2" x14ac:dyDescent="0.25">
      <c r="B43" s="8" t="s">
        <v>25</v>
      </c>
    </row>
    <row r="44" spans="2:2" x14ac:dyDescent="0.25">
      <c r="B44" s="8" t="s">
        <v>25</v>
      </c>
    </row>
    <row r="45" spans="2:2" x14ac:dyDescent="0.25">
      <c r="B45" s="8" t="s">
        <v>27</v>
      </c>
    </row>
    <row r="46" spans="2:2" x14ac:dyDescent="0.25">
      <c r="B46" s="8" t="s">
        <v>25</v>
      </c>
    </row>
    <row r="47" spans="2:2" x14ac:dyDescent="0.25">
      <c r="B47" s="8" t="s">
        <v>27</v>
      </c>
    </row>
    <row r="48" spans="2:2" x14ac:dyDescent="0.25">
      <c r="B48" s="8" t="s">
        <v>27</v>
      </c>
    </row>
    <row r="49" spans="2:2" x14ac:dyDescent="0.25">
      <c r="B49" s="8" t="s">
        <v>25</v>
      </c>
    </row>
    <row r="50" spans="2:2" x14ac:dyDescent="0.25">
      <c r="B50" s="8" t="s">
        <v>25</v>
      </c>
    </row>
    <row r="51" spans="2:2" x14ac:dyDescent="0.25">
      <c r="B51" s="8" t="s">
        <v>27</v>
      </c>
    </row>
    <row r="52" spans="2:2" x14ac:dyDescent="0.25">
      <c r="B52" s="8" t="s">
        <v>25</v>
      </c>
    </row>
    <row r="53" spans="2:2" x14ac:dyDescent="0.25">
      <c r="B53" s="8" t="s">
        <v>25</v>
      </c>
    </row>
    <row r="54" spans="2:2" x14ac:dyDescent="0.25">
      <c r="B54" s="8" t="s">
        <v>25</v>
      </c>
    </row>
    <row r="55" spans="2:2" x14ac:dyDescent="0.25">
      <c r="B55" s="8" t="s">
        <v>25</v>
      </c>
    </row>
    <row r="56" spans="2:2" x14ac:dyDescent="0.25">
      <c r="B56" s="8" t="s">
        <v>27</v>
      </c>
    </row>
    <row r="57" spans="2:2" x14ac:dyDescent="0.25">
      <c r="B57" s="8" t="s">
        <v>25</v>
      </c>
    </row>
    <row r="58" spans="2:2" x14ac:dyDescent="0.25">
      <c r="B58" s="8" t="s">
        <v>27</v>
      </c>
    </row>
    <row r="59" spans="2:2" x14ac:dyDescent="0.25">
      <c r="B59" s="8" t="s">
        <v>27</v>
      </c>
    </row>
    <row r="60" spans="2:2" x14ac:dyDescent="0.25">
      <c r="B60" s="8" t="s">
        <v>27</v>
      </c>
    </row>
    <row r="61" spans="2:2" x14ac:dyDescent="0.25">
      <c r="B61" s="8" t="s">
        <v>25</v>
      </c>
    </row>
    <row r="62" spans="2:2" x14ac:dyDescent="0.25">
      <c r="B62" s="8" t="s">
        <v>27</v>
      </c>
    </row>
    <row r="63" spans="2:2" x14ac:dyDescent="0.25">
      <c r="B63" s="8" t="s">
        <v>27</v>
      </c>
    </row>
    <row r="64" spans="2:2" x14ac:dyDescent="0.25">
      <c r="B64" s="8" t="s">
        <v>27</v>
      </c>
    </row>
    <row r="65" spans="2:2" x14ac:dyDescent="0.25">
      <c r="B65" s="8" t="s">
        <v>25</v>
      </c>
    </row>
    <row r="66" spans="2:2" x14ac:dyDescent="0.25">
      <c r="B66" s="8" t="s">
        <v>25</v>
      </c>
    </row>
    <row r="67" spans="2:2" x14ac:dyDescent="0.25">
      <c r="B67" s="8" t="s">
        <v>25</v>
      </c>
    </row>
    <row r="68" spans="2:2" x14ac:dyDescent="0.25">
      <c r="B68" s="8" t="s">
        <v>25</v>
      </c>
    </row>
    <row r="69" spans="2:2" x14ac:dyDescent="0.25">
      <c r="B69" s="8" t="s">
        <v>25</v>
      </c>
    </row>
    <row r="70" spans="2:2" x14ac:dyDescent="0.25">
      <c r="B70" s="8" t="s">
        <v>27</v>
      </c>
    </row>
    <row r="71" spans="2:2" x14ac:dyDescent="0.25">
      <c r="B71" s="8" t="s">
        <v>27</v>
      </c>
    </row>
    <row r="72" spans="2:2" x14ac:dyDescent="0.25">
      <c r="B72" s="8" t="s">
        <v>27</v>
      </c>
    </row>
    <row r="73" spans="2:2" x14ac:dyDescent="0.25">
      <c r="B73" s="8" t="s">
        <v>25</v>
      </c>
    </row>
    <row r="74" spans="2:2" x14ac:dyDescent="0.25">
      <c r="B74" s="8" t="s">
        <v>27</v>
      </c>
    </row>
    <row r="75" spans="2:2" x14ac:dyDescent="0.25">
      <c r="B75" s="8" t="s">
        <v>25</v>
      </c>
    </row>
    <row r="76" spans="2:2" x14ac:dyDescent="0.25">
      <c r="B76" s="8" t="s">
        <v>27</v>
      </c>
    </row>
    <row r="77" spans="2:2" x14ac:dyDescent="0.25">
      <c r="B77" s="8" t="s">
        <v>27</v>
      </c>
    </row>
    <row r="78" spans="2:2" x14ac:dyDescent="0.25">
      <c r="B78" s="8" t="s">
        <v>25</v>
      </c>
    </row>
    <row r="79" spans="2:2" x14ac:dyDescent="0.25">
      <c r="B79" s="8" t="s">
        <v>25</v>
      </c>
    </row>
    <row r="80" spans="2:2" x14ac:dyDescent="0.25">
      <c r="B80" s="8" t="s">
        <v>25</v>
      </c>
    </row>
    <row r="81" spans="2:2" x14ac:dyDescent="0.25">
      <c r="B81" s="8" t="s">
        <v>25</v>
      </c>
    </row>
    <row r="82" spans="2:2" x14ac:dyDescent="0.25">
      <c r="B82" s="8" t="s">
        <v>25</v>
      </c>
    </row>
    <row r="83" spans="2:2" x14ac:dyDescent="0.25">
      <c r="B83" s="8" t="s">
        <v>25</v>
      </c>
    </row>
    <row r="84" spans="2:2" x14ac:dyDescent="0.25">
      <c r="B84" s="8" t="s">
        <v>25</v>
      </c>
    </row>
    <row r="85" spans="2:2" x14ac:dyDescent="0.25">
      <c r="B85" s="8" t="s">
        <v>25</v>
      </c>
    </row>
    <row r="86" spans="2:2" x14ac:dyDescent="0.25">
      <c r="B86" s="8" t="s">
        <v>25</v>
      </c>
    </row>
    <row r="87" spans="2:2" x14ac:dyDescent="0.25">
      <c r="B87" s="8" t="s">
        <v>25</v>
      </c>
    </row>
    <row r="88" spans="2:2" x14ac:dyDescent="0.25">
      <c r="B88" s="8" t="s">
        <v>25</v>
      </c>
    </row>
    <row r="89" spans="2:2" x14ac:dyDescent="0.25">
      <c r="B89" s="8" t="s">
        <v>25</v>
      </c>
    </row>
    <row r="90" spans="2:2" x14ac:dyDescent="0.25">
      <c r="B90" s="8" t="s">
        <v>27</v>
      </c>
    </row>
    <row r="91" spans="2:2" x14ac:dyDescent="0.25">
      <c r="B91" s="8" t="s">
        <v>27</v>
      </c>
    </row>
    <row r="92" spans="2:2" x14ac:dyDescent="0.25">
      <c r="B92" s="8" t="s">
        <v>25</v>
      </c>
    </row>
    <row r="93" spans="2:2" x14ac:dyDescent="0.25">
      <c r="B93" s="8" t="s">
        <v>25</v>
      </c>
    </row>
    <row r="94" spans="2:2" x14ac:dyDescent="0.25">
      <c r="B94" s="8" t="s">
        <v>25</v>
      </c>
    </row>
    <row r="95" spans="2:2" x14ac:dyDescent="0.25">
      <c r="B95" s="8" t="s">
        <v>25</v>
      </c>
    </row>
    <row r="96" spans="2:2" x14ac:dyDescent="0.25">
      <c r="B96" s="8" t="s">
        <v>25</v>
      </c>
    </row>
    <row r="97" spans="2:2" x14ac:dyDescent="0.25">
      <c r="B97" s="8" t="s">
        <v>25</v>
      </c>
    </row>
    <row r="98" spans="2:2" x14ac:dyDescent="0.25">
      <c r="B98" s="8" t="s">
        <v>25</v>
      </c>
    </row>
    <row r="99" spans="2:2" x14ac:dyDescent="0.25">
      <c r="B99" s="8" t="s">
        <v>25</v>
      </c>
    </row>
    <row r="100" spans="2:2" x14ac:dyDescent="0.25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H7" sqref="H7"/>
    </sheetView>
  </sheetViews>
  <sheetFormatPr defaultRowHeight="15" x14ac:dyDescent="0.25"/>
  <cols>
    <col min="1" max="1" width="2.85546875" customWidth="1"/>
    <col min="2" max="2" width="11.42578125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162</v>
      </c>
    </row>
    <row r="2" spans="2:11" ht="15" customHeight="1" x14ac:dyDescent="0.25">
      <c r="B2" s="30" t="s">
        <v>161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12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25">
      <c r="B6" s="8" t="s">
        <v>13</v>
      </c>
      <c r="D6" s="20" t="s">
        <v>71</v>
      </c>
      <c r="E6" s="71">
        <f>COUNTA(B6:B100)</f>
        <v>95</v>
      </c>
      <c r="G6" s="20" t="s">
        <v>142</v>
      </c>
      <c r="H6" s="82">
        <v>0.95</v>
      </c>
      <c r="J6" s="20" t="s">
        <v>148</v>
      </c>
      <c r="K6" s="82">
        <f>E7-H11</f>
        <v>0.45802698737891206</v>
      </c>
    </row>
    <row r="7" spans="2:11" x14ac:dyDescent="0.25">
      <c r="B7" s="8" t="s">
        <v>14</v>
      </c>
      <c r="D7" s="20" t="s">
        <v>158</v>
      </c>
      <c r="E7" s="87">
        <f>COUNTIFS(B6:B100,"Placed")/E6</f>
        <v>0.55789473684210522</v>
      </c>
      <c r="G7" s="20" t="s">
        <v>143</v>
      </c>
      <c r="H7" s="82">
        <f>1-H6</f>
        <v>5.0000000000000044E-2</v>
      </c>
      <c r="J7" s="20" t="s">
        <v>149</v>
      </c>
      <c r="K7" s="82">
        <f>E7+H11</f>
        <v>0.65776248630529843</v>
      </c>
    </row>
    <row r="8" spans="2:11" x14ac:dyDescent="0.25">
      <c r="B8" s="8" t="s">
        <v>13</v>
      </c>
      <c r="D8" s="20" t="s">
        <v>159</v>
      </c>
      <c r="E8" s="87">
        <f>1-E7</f>
        <v>0.44210526315789478</v>
      </c>
      <c r="G8" s="20" t="s">
        <v>144</v>
      </c>
      <c r="H8" s="85">
        <f>H7/2</f>
        <v>2.5000000000000022E-2</v>
      </c>
    </row>
    <row r="9" spans="2:11" x14ac:dyDescent="0.25">
      <c r="B9" s="8" t="s">
        <v>14</v>
      </c>
      <c r="G9" s="20" t="s">
        <v>152</v>
      </c>
      <c r="H9" s="86">
        <f>_xlfn.NORM.S.INV(1-H8)</f>
        <v>1.9599639845400536</v>
      </c>
    </row>
    <row r="10" spans="2:11" x14ac:dyDescent="0.25">
      <c r="B10" s="8" t="s">
        <v>14</v>
      </c>
      <c r="D10" s="108" t="s">
        <v>163</v>
      </c>
      <c r="E10" s="108"/>
      <c r="G10" s="20" t="s">
        <v>146</v>
      </c>
      <c r="H10" s="87">
        <f>SQRT((E7*E8)/E6)</f>
        <v>5.0953869688901053E-2</v>
      </c>
    </row>
    <row r="11" spans="2:11" x14ac:dyDescent="0.25">
      <c r="B11" s="8" t="s">
        <v>14</v>
      </c>
      <c r="D11" s="20" t="s">
        <v>164</v>
      </c>
      <c r="E11" s="71" t="b">
        <f>E7*E6&gt;5</f>
        <v>1</v>
      </c>
      <c r="G11" s="20" t="s">
        <v>150</v>
      </c>
      <c r="H11" s="87">
        <f>H9*H10</f>
        <v>9.986774946319317E-2</v>
      </c>
    </row>
    <row r="12" spans="2:11" x14ac:dyDescent="0.25">
      <c r="B12" s="8" t="s">
        <v>13</v>
      </c>
      <c r="D12" s="20" t="s">
        <v>165</v>
      </c>
      <c r="E12" s="71" t="b">
        <f>E8*E6&gt;5</f>
        <v>1</v>
      </c>
    </row>
    <row r="13" spans="2:11" x14ac:dyDescent="0.25">
      <c r="B13" s="8" t="s">
        <v>13</v>
      </c>
      <c r="D13" s="20"/>
      <c r="E13" s="38"/>
    </row>
    <row r="14" spans="2:11" x14ac:dyDescent="0.25">
      <c r="B14" s="8" t="s">
        <v>13</v>
      </c>
    </row>
    <row r="15" spans="2:11" x14ac:dyDescent="0.25">
      <c r="B15" s="8" t="s">
        <v>13</v>
      </c>
    </row>
    <row r="16" spans="2:11" x14ac:dyDescent="0.25">
      <c r="B16" s="8" t="s">
        <v>14</v>
      </c>
    </row>
    <row r="17" spans="2:2" x14ac:dyDescent="0.25">
      <c r="B17" s="8" t="s">
        <v>13</v>
      </c>
    </row>
    <row r="18" spans="2:2" x14ac:dyDescent="0.25">
      <c r="B18" s="8" t="s">
        <v>14</v>
      </c>
    </row>
    <row r="19" spans="2:2" x14ac:dyDescent="0.25">
      <c r="B19" s="8" t="s">
        <v>13</v>
      </c>
    </row>
    <row r="20" spans="2:2" x14ac:dyDescent="0.25">
      <c r="B20" s="8" t="s">
        <v>13</v>
      </c>
    </row>
    <row r="21" spans="2:2" x14ac:dyDescent="0.25">
      <c r="B21" s="8" t="s">
        <v>13</v>
      </c>
    </row>
    <row r="22" spans="2:2" x14ac:dyDescent="0.25">
      <c r="B22" s="8" t="s">
        <v>14</v>
      </c>
    </row>
    <row r="23" spans="2:2" x14ac:dyDescent="0.25">
      <c r="B23" s="8" t="s">
        <v>13</v>
      </c>
    </row>
    <row r="24" spans="2:2" x14ac:dyDescent="0.25">
      <c r="B24" s="8" t="s">
        <v>14</v>
      </c>
    </row>
    <row r="25" spans="2:2" x14ac:dyDescent="0.25">
      <c r="B25" s="8" t="s">
        <v>14</v>
      </c>
    </row>
    <row r="26" spans="2:2" x14ac:dyDescent="0.25">
      <c r="B26" s="8" t="s">
        <v>14</v>
      </c>
    </row>
    <row r="27" spans="2:2" x14ac:dyDescent="0.25">
      <c r="B27" s="8" t="s">
        <v>13</v>
      </c>
    </row>
    <row r="28" spans="2:2" x14ac:dyDescent="0.25">
      <c r="B28" s="8" t="s">
        <v>14</v>
      </c>
    </row>
    <row r="29" spans="2:2" x14ac:dyDescent="0.25">
      <c r="B29" s="8" t="s">
        <v>14</v>
      </c>
    </row>
    <row r="30" spans="2:2" x14ac:dyDescent="0.25">
      <c r="B30" s="8" t="s">
        <v>13</v>
      </c>
    </row>
    <row r="31" spans="2:2" x14ac:dyDescent="0.25">
      <c r="B31" s="8" t="s">
        <v>13</v>
      </c>
    </row>
    <row r="32" spans="2:2" x14ac:dyDescent="0.25">
      <c r="B32" s="8" t="s">
        <v>13</v>
      </c>
    </row>
    <row r="33" spans="2:2" x14ac:dyDescent="0.25">
      <c r="B33" s="8" t="s">
        <v>14</v>
      </c>
    </row>
    <row r="34" spans="2:2" x14ac:dyDescent="0.25">
      <c r="B34" s="8" t="s">
        <v>14</v>
      </c>
    </row>
    <row r="35" spans="2:2" x14ac:dyDescent="0.25">
      <c r="B35" s="8" t="s">
        <v>13</v>
      </c>
    </row>
    <row r="36" spans="2:2" x14ac:dyDescent="0.25">
      <c r="B36" s="8" t="s">
        <v>14</v>
      </c>
    </row>
    <row r="37" spans="2:2" x14ac:dyDescent="0.25">
      <c r="B37" s="8" t="s">
        <v>14</v>
      </c>
    </row>
    <row r="38" spans="2:2" x14ac:dyDescent="0.25">
      <c r="B38" s="8" t="s">
        <v>14</v>
      </c>
    </row>
    <row r="39" spans="2:2" x14ac:dyDescent="0.25">
      <c r="B39" s="8" t="s">
        <v>13</v>
      </c>
    </row>
    <row r="40" spans="2:2" x14ac:dyDescent="0.25">
      <c r="B40" s="8" t="s">
        <v>14</v>
      </c>
    </row>
    <row r="41" spans="2:2" x14ac:dyDescent="0.25">
      <c r="B41" s="8" t="s">
        <v>13</v>
      </c>
    </row>
    <row r="42" spans="2:2" x14ac:dyDescent="0.25">
      <c r="B42" s="8" t="s">
        <v>13</v>
      </c>
    </row>
    <row r="43" spans="2:2" x14ac:dyDescent="0.25">
      <c r="B43" s="8" t="s">
        <v>14</v>
      </c>
    </row>
    <row r="44" spans="2:2" x14ac:dyDescent="0.25">
      <c r="B44" s="8" t="s">
        <v>14</v>
      </c>
    </row>
    <row r="45" spans="2:2" x14ac:dyDescent="0.25">
      <c r="B45" s="8" t="s">
        <v>14</v>
      </c>
    </row>
    <row r="46" spans="2:2" x14ac:dyDescent="0.25">
      <c r="B46" s="8" t="s">
        <v>13</v>
      </c>
    </row>
    <row r="47" spans="2:2" x14ac:dyDescent="0.25">
      <c r="B47" s="8" t="s">
        <v>13</v>
      </c>
    </row>
    <row r="48" spans="2:2" x14ac:dyDescent="0.25">
      <c r="B48" s="8" t="s">
        <v>13</v>
      </c>
    </row>
    <row r="49" spans="2:2" x14ac:dyDescent="0.25">
      <c r="B49" s="8" t="s">
        <v>14</v>
      </c>
    </row>
    <row r="50" spans="2:2" x14ac:dyDescent="0.25">
      <c r="B50" s="8" t="s">
        <v>13</v>
      </c>
    </row>
    <row r="51" spans="2:2" x14ac:dyDescent="0.25">
      <c r="B51" s="8" t="s">
        <v>14</v>
      </c>
    </row>
    <row r="52" spans="2:2" x14ac:dyDescent="0.25">
      <c r="B52" s="8" t="s">
        <v>13</v>
      </c>
    </row>
    <row r="53" spans="2:2" x14ac:dyDescent="0.25">
      <c r="B53" s="8" t="s">
        <v>14</v>
      </c>
    </row>
    <row r="54" spans="2:2" x14ac:dyDescent="0.25">
      <c r="B54" s="8" t="s">
        <v>13</v>
      </c>
    </row>
    <row r="55" spans="2:2" x14ac:dyDescent="0.25">
      <c r="B55" s="8" t="s">
        <v>13</v>
      </c>
    </row>
    <row r="56" spans="2:2" x14ac:dyDescent="0.25">
      <c r="B56" s="8" t="s">
        <v>13</v>
      </c>
    </row>
    <row r="57" spans="2:2" x14ac:dyDescent="0.25">
      <c r="B57" s="8" t="s">
        <v>14</v>
      </c>
    </row>
    <row r="58" spans="2:2" x14ac:dyDescent="0.25">
      <c r="B58" s="8" t="s">
        <v>13</v>
      </c>
    </row>
    <row r="59" spans="2:2" x14ac:dyDescent="0.25">
      <c r="B59" s="8" t="s">
        <v>13</v>
      </c>
    </row>
    <row r="60" spans="2:2" x14ac:dyDescent="0.25">
      <c r="B60" s="8" t="s">
        <v>13</v>
      </c>
    </row>
    <row r="61" spans="2:2" x14ac:dyDescent="0.25">
      <c r="B61" s="8" t="s">
        <v>13</v>
      </c>
    </row>
    <row r="62" spans="2:2" x14ac:dyDescent="0.25">
      <c r="B62" s="8" t="s">
        <v>13</v>
      </c>
    </row>
    <row r="63" spans="2:2" x14ac:dyDescent="0.25">
      <c r="B63" s="8" t="s">
        <v>13</v>
      </c>
    </row>
    <row r="64" spans="2:2" x14ac:dyDescent="0.25">
      <c r="B64" s="8" t="s">
        <v>13</v>
      </c>
    </row>
    <row r="65" spans="2:2" x14ac:dyDescent="0.25">
      <c r="B65" s="8" t="s">
        <v>13</v>
      </c>
    </row>
    <row r="66" spans="2:2" x14ac:dyDescent="0.25">
      <c r="B66" s="8" t="s">
        <v>13</v>
      </c>
    </row>
    <row r="67" spans="2:2" x14ac:dyDescent="0.25">
      <c r="B67" s="8" t="s">
        <v>14</v>
      </c>
    </row>
    <row r="68" spans="2:2" x14ac:dyDescent="0.25">
      <c r="B68" s="8" t="s">
        <v>13</v>
      </c>
    </row>
    <row r="69" spans="2:2" x14ac:dyDescent="0.25">
      <c r="B69" s="8" t="s">
        <v>13</v>
      </c>
    </row>
    <row r="70" spans="2:2" x14ac:dyDescent="0.25">
      <c r="B70" s="8" t="s">
        <v>14</v>
      </c>
    </row>
    <row r="71" spans="2:2" x14ac:dyDescent="0.25">
      <c r="B71" s="8" t="s">
        <v>14</v>
      </c>
    </row>
    <row r="72" spans="2:2" x14ac:dyDescent="0.25">
      <c r="B72" s="8" t="s">
        <v>13</v>
      </c>
    </row>
    <row r="73" spans="2:2" x14ac:dyDescent="0.25">
      <c r="B73" s="8" t="s">
        <v>14</v>
      </c>
    </row>
    <row r="74" spans="2:2" x14ac:dyDescent="0.25">
      <c r="B74" s="8" t="s">
        <v>13</v>
      </c>
    </row>
    <row r="75" spans="2:2" x14ac:dyDescent="0.25">
      <c r="B75" s="8" t="s">
        <v>14</v>
      </c>
    </row>
    <row r="76" spans="2:2" x14ac:dyDescent="0.25">
      <c r="B76" s="8" t="s">
        <v>13</v>
      </c>
    </row>
    <row r="77" spans="2:2" x14ac:dyDescent="0.25">
      <c r="B77" s="8" t="s">
        <v>14</v>
      </c>
    </row>
    <row r="78" spans="2:2" x14ac:dyDescent="0.25">
      <c r="B78" s="8" t="s">
        <v>14</v>
      </c>
    </row>
    <row r="79" spans="2:2" x14ac:dyDescent="0.25">
      <c r="B79" s="8" t="s">
        <v>14</v>
      </c>
    </row>
    <row r="80" spans="2:2" x14ac:dyDescent="0.25">
      <c r="B80" s="8" t="s">
        <v>13</v>
      </c>
    </row>
    <row r="81" spans="2:2" x14ac:dyDescent="0.25">
      <c r="B81" s="8" t="s">
        <v>14</v>
      </c>
    </row>
    <row r="82" spans="2:2" x14ac:dyDescent="0.25">
      <c r="B82" s="8" t="s">
        <v>14</v>
      </c>
    </row>
    <row r="83" spans="2:2" x14ac:dyDescent="0.25">
      <c r="B83" s="8" t="s">
        <v>13</v>
      </c>
    </row>
    <row r="84" spans="2:2" x14ac:dyDescent="0.25">
      <c r="B84" s="8" t="s">
        <v>13</v>
      </c>
    </row>
    <row r="85" spans="2:2" x14ac:dyDescent="0.25">
      <c r="B85" s="8" t="s">
        <v>14</v>
      </c>
    </row>
    <row r="86" spans="2:2" x14ac:dyDescent="0.25">
      <c r="B86" s="8" t="s">
        <v>14</v>
      </c>
    </row>
    <row r="87" spans="2:2" x14ac:dyDescent="0.25">
      <c r="B87" s="8" t="s">
        <v>13</v>
      </c>
    </row>
    <row r="88" spans="2:2" x14ac:dyDescent="0.25">
      <c r="B88" s="8" t="s">
        <v>14</v>
      </c>
    </row>
    <row r="89" spans="2:2" x14ac:dyDescent="0.25">
      <c r="B89" s="8" t="s">
        <v>13</v>
      </c>
    </row>
    <row r="90" spans="2:2" x14ac:dyDescent="0.25">
      <c r="B90" s="8" t="s">
        <v>13</v>
      </c>
    </row>
    <row r="91" spans="2:2" x14ac:dyDescent="0.25">
      <c r="B91" s="8" t="s">
        <v>13</v>
      </c>
    </row>
    <row r="92" spans="2:2" x14ac:dyDescent="0.25">
      <c r="B92" s="8" t="s">
        <v>13</v>
      </c>
    </row>
    <row r="93" spans="2:2" x14ac:dyDescent="0.25">
      <c r="B93" s="8" t="s">
        <v>14</v>
      </c>
    </row>
    <row r="94" spans="2:2" x14ac:dyDescent="0.25">
      <c r="B94" s="8" t="s">
        <v>13</v>
      </c>
    </row>
    <row r="95" spans="2:2" x14ac:dyDescent="0.25">
      <c r="B95" s="8" t="s">
        <v>14</v>
      </c>
    </row>
    <row r="96" spans="2:2" x14ac:dyDescent="0.25">
      <c r="B96" s="8" t="s">
        <v>13</v>
      </c>
    </row>
    <row r="97" spans="2:2" x14ac:dyDescent="0.25">
      <c r="B97" s="8" t="s">
        <v>13</v>
      </c>
    </row>
    <row r="98" spans="2:2" x14ac:dyDescent="0.25">
      <c r="B98" s="8" t="s">
        <v>14</v>
      </c>
    </row>
    <row r="99" spans="2:2" x14ac:dyDescent="0.25">
      <c r="B99" s="8" t="s">
        <v>13</v>
      </c>
    </row>
    <row r="100" spans="2:2" x14ac:dyDescent="0.25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topLeftCell="D1" workbookViewId="0">
      <selection activeCell="K11" sqref="K11"/>
    </sheetView>
  </sheetViews>
  <sheetFormatPr defaultRowHeight="15" x14ac:dyDescent="0.25"/>
  <cols>
    <col min="1" max="1" width="2.85546875" customWidth="1"/>
    <col min="2" max="2" width="11.42578125" customWidth="1"/>
    <col min="3" max="3" width="17.140625" customWidth="1"/>
    <col min="4" max="4" width="11.42578125" customWidth="1"/>
    <col min="5" max="5" width="11.28515625" customWidth="1"/>
    <col min="7" max="7" width="12.140625" customWidth="1"/>
    <col min="8" max="8" width="11.42578125" customWidth="1"/>
    <col min="10" max="10" width="20" customWidth="1"/>
    <col min="11" max="11" width="9.5703125" bestFit="1" customWidth="1"/>
    <col min="13" max="13" width="14.28515625" customWidth="1"/>
    <col min="14" max="14" width="11.42578125" customWidth="1"/>
  </cols>
  <sheetData>
    <row r="1" spans="2:14" ht="25.5" customHeight="1" x14ac:dyDescent="0.3">
      <c r="B1" s="18" t="s">
        <v>170</v>
      </c>
    </row>
    <row r="2" spans="2:14" ht="15" customHeight="1" x14ac:dyDescent="0.25">
      <c r="B2" s="30" t="s">
        <v>171</v>
      </c>
    </row>
    <row r="3" spans="2:14" ht="18" customHeight="1" x14ac:dyDescent="0.25"/>
    <row r="4" spans="2:14" x14ac:dyDescent="0.25">
      <c r="G4" s="3" t="s">
        <v>54</v>
      </c>
      <c r="J4" s="3" t="s">
        <v>54</v>
      </c>
      <c r="M4" s="3" t="s">
        <v>54</v>
      </c>
    </row>
    <row r="5" spans="2:14" x14ac:dyDescent="0.25">
      <c r="B5" s="40" t="s">
        <v>20</v>
      </c>
      <c r="C5" s="43" t="s">
        <v>76</v>
      </c>
      <c r="D5" s="43" t="s">
        <v>77</v>
      </c>
      <c r="E5" s="42" t="s">
        <v>172</v>
      </c>
      <c r="G5" s="108" t="s">
        <v>139</v>
      </c>
      <c r="H5" s="108"/>
      <c r="J5" s="108" t="s">
        <v>141</v>
      </c>
      <c r="K5" s="108"/>
      <c r="M5" s="108" t="s">
        <v>147</v>
      </c>
      <c r="N5" s="108"/>
    </row>
    <row r="6" spans="2:14" x14ac:dyDescent="0.25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142</v>
      </c>
      <c r="K6" s="82">
        <v>0.95</v>
      </c>
      <c r="M6" s="20" t="s">
        <v>148</v>
      </c>
      <c r="N6" s="75">
        <f>H7-K11</f>
        <v>3.3167348695585517</v>
      </c>
    </row>
    <row r="7" spans="2:14" x14ac:dyDescent="0.25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143</v>
      </c>
      <c r="K7" s="82">
        <f>1-K6</f>
        <v>5.0000000000000044E-2</v>
      </c>
      <c r="M7" s="20" t="s">
        <v>149</v>
      </c>
      <c r="N7" s="75">
        <f>H7+K11</f>
        <v>7.0748440778098711</v>
      </c>
    </row>
    <row r="8" spans="2:14" x14ac:dyDescent="0.25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_xlfn.STDEV.S(E6:E100)</f>
        <v>9.2241463398998604</v>
      </c>
      <c r="J8" s="20" t="s">
        <v>144</v>
      </c>
      <c r="K8" s="85">
        <f>K7/2</f>
        <v>2.5000000000000022E-2</v>
      </c>
    </row>
    <row r="9" spans="2:14" x14ac:dyDescent="0.25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156</v>
      </c>
      <c r="K9" s="86">
        <f>_xlfn.T.INV(1-K8,H6-1)</f>
        <v>1.9855234418666059</v>
      </c>
    </row>
    <row r="10" spans="2:14" x14ac:dyDescent="0.25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146</v>
      </c>
      <c r="K10" s="75">
        <f>H8/SQRT(H6)</f>
        <v>0.94637744612027652</v>
      </c>
    </row>
    <row r="11" spans="2:14" x14ac:dyDescent="0.25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150</v>
      </c>
      <c r="K11" s="75">
        <f>_xlfn.CONFIDENCE.T(K7,H8,H6)</f>
        <v>1.8790546041256597</v>
      </c>
    </row>
    <row r="12" spans="2:14" x14ac:dyDescent="0.25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5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5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5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5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5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5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5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5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5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5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5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5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5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5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5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5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5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5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5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5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5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5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5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5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5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5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5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5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5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5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5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5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5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5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5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5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5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5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5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5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5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5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5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5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5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5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5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5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5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5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5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5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5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5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5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5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5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5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5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5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5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5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5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5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5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5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5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5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5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5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5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5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5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5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5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5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5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5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5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5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5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5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5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5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5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5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5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5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topLeftCell="D1" workbookViewId="0">
      <selection activeCell="N8" sqref="N8"/>
    </sheetView>
  </sheetViews>
  <sheetFormatPr defaultRowHeight="15" x14ac:dyDescent="0.25"/>
  <cols>
    <col min="1" max="1" width="2.85546875" customWidth="1"/>
    <col min="2" max="2" width="11.42578125" customWidth="1"/>
    <col min="3" max="3" width="21.42578125" customWidth="1"/>
    <col min="4" max="4" width="20" customWidth="1"/>
    <col min="5" max="5" width="11.42578125" customWidth="1"/>
    <col min="7" max="7" width="12.140625" customWidth="1"/>
    <col min="8" max="8" width="11.42578125" customWidth="1"/>
    <col min="10" max="10" width="20" customWidth="1"/>
    <col min="11" max="11" width="9.5703125" bestFit="1" customWidth="1"/>
    <col min="13" max="13" width="14.28515625" customWidth="1"/>
    <col min="14" max="14" width="11.42578125" customWidth="1"/>
  </cols>
  <sheetData>
    <row r="1" spans="2:14" ht="25.5" customHeight="1" x14ac:dyDescent="0.3">
      <c r="B1" s="18" t="s">
        <v>173</v>
      </c>
    </row>
    <row r="2" spans="2:14" ht="15" customHeight="1" x14ac:dyDescent="0.25">
      <c r="B2" s="30" t="s">
        <v>306</v>
      </c>
    </row>
    <row r="3" spans="2:14" ht="18" customHeight="1" x14ac:dyDescent="0.25"/>
    <row r="4" spans="2:14" x14ac:dyDescent="0.25">
      <c r="G4" s="3" t="s">
        <v>54</v>
      </c>
      <c r="J4" s="3" t="s">
        <v>54</v>
      </c>
      <c r="M4" s="3" t="s">
        <v>54</v>
      </c>
    </row>
    <row r="5" spans="2:14" x14ac:dyDescent="0.25">
      <c r="B5" s="40" t="s">
        <v>20</v>
      </c>
      <c r="C5" s="43" t="s">
        <v>22</v>
      </c>
      <c r="D5" s="43" t="s">
        <v>23</v>
      </c>
      <c r="E5" s="41" t="s">
        <v>172</v>
      </c>
      <c r="G5" s="108" t="s">
        <v>139</v>
      </c>
      <c r="H5" s="108"/>
      <c r="J5" s="108" t="s">
        <v>141</v>
      </c>
      <c r="K5" s="108"/>
      <c r="M5" s="108" t="s">
        <v>147</v>
      </c>
      <c r="N5" s="108"/>
    </row>
    <row r="6" spans="2:14" x14ac:dyDescent="0.25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COUNT(E6:E100)</f>
        <v>95</v>
      </c>
      <c r="J6" s="20" t="s">
        <v>142</v>
      </c>
      <c r="K6" s="82">
        <v>0.9</v>
      </c>
      <c r="M6" s="20" t="s">
        <v>148</v>
      </c>
      <c r="N6" s="72">
        <f>H7-K8</f>
        <v>44.387759816134697</v>
      </c>
    </row>
    <row r="7" spans="2:14" x14ac:dyDescent="0.25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143</v>
      </c>
      <c r="K7" s="82">
        <f>1-K6</f>
        <v>9.9999999999999978E-2</v>
      </c>
      <c r="M7" s="20" t="s">
        <v>149</v>
      </c>
      <c r="N7" s="72">
        <f>H7+K8</f>
        <v>54.496450710181087</v>
      </c>
    </row>
    <row r="8" spans="2:14" x14ac:dyDescent="0.25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150</v>
      </c>
      <c r="K8" s="75">
        <f>_xlfn.CONFIDENCE.T(K7,H8,H6)</f>
        <v>5.0543454470231923</v>
      </c>
    </row>
    <row r="9" spans="2:14" x14ac:dyDescent="0.25">
      <c r="B9" s="8">
        <v>4</v>
      </c>
      <c r="C9" s="8">
        <v>288</v>
      </c>
      <c r="D9" s="8">
        <v>334</v>
      </c>
      <c r="E9" s="8">
        <f t="shared" si="0"/>
        <v>46</v>
      </c>
    </row>
    <row r="10" spans="2:14" x14ac:dyDescent="0.25">
      <c r="B10" s="8">
        <v>5</v>
      </c>
      <c r="C10" s="8">
        <v>248</v>
      </c>
      <c r="D10" s="8">
        <v>252</v>
      </c>
      <c r="E10" s="8">
        <f t="shared" si="0"/>
        <v>4</v>
      </c>
    </row>
    <row r="11" spans="2:14" x14ac:dyDescent="0.25">
      <c r="B11" s="8">
        <v>6</v>
      </c>
      <c r="C11" s="8">
        <v>145</v>
      </c>
      <c r="D11" s="8">
        <v>209</v>
      </c>
      <c r="E11" s="8">
        <f t="shared" si="0"/>
        <v>64</v>
      </c>
      <c r="J11" s="20"/>
    </row>
    <row r="12" spans="2:14" x14ac:dyDescent="0.25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5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5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5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5">
      <c r="B16" s="8">
        <v>11</v>
      </c>
      <c r="C16" s="8">
        <v>182</v>
      </c>
      <c r="D16" s="8">
        <v>232</v>
      </c>
      <c r="E16" s="8">
        <f t="shared" si="0"/>
        <v>50</v>
      </c>
    </row>
    <row r="17" spans="2:5" x14ac:dyDescent="0.25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5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5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5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5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5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5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5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5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5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5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5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5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5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5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5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5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5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5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5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5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5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5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5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5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5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5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5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5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5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5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5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5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5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5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5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5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5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5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5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5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5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5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5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5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5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5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5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5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5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5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5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5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5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5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5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5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5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5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5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5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5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5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5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5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5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5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5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5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5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5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5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5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5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5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5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5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5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5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5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5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5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5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5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topLeftCell="H1" workbookViewId="0">
      <selection activeCell="Q8" sqref="Q8"/>
    </sheetView>
  </sheetViews>
  <sheetFormatPr defaultRowHeight="15" x14ac:dyDescent="0.25"/>
  <cols>
    <col min="1" max="1" width="2.85546875" customWidth="1"/>
    <col min="2" max="2" width="19.7109375" customWidth="1"/>
    <col min="3" max="3" width="2.85546875" customWidth="1"/>
    <col min="4" max="4" width="17" bestFit="1" customWidth="1"/>
    <col min="6" max="6" width="15.42578125" bestFit="1" customWidth="1"/>
    <col min="7" max="8" width="14.28515625" customWidth="1"/>
    <col min="10" max="11" width="11.42578125" customWidth="1"/>
    <col min="13" max="13" width="19.85546875" bestFit="1" customWidth="1"/>
    <col min="14" max="14" width="12" bestFit="1" customWidth="1"/>
    <col min="16" max="16" width="14.28515625" customWidth="1"/>
    <col min="17" max="17" width="11.42578125" customWidth="1"/>
  </cols>
  <sheetData>
    <row r="1" spans="2:17" ht="25.5" customHeight="1" x14ac:dyDescent="0.3">
      <c r="B1" s="18" t="s">
        <v>174</v>
      </c>
    </row>
    <row r="2" spans="2:17" ht="15" customHeight="1" x14ac:dyDescent="0.25">
      <c r="B2" s="30" t="s">
        <v>175</v>
      </c>
    </row>
    <row r="3" spans="2:17" ht="18" customHeight="1" x14ac:dyDescent="0.25"/>
    <row r="4" spans="2:17" x14ac:dyDescent="0.25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5">
      <c r="B5" s="7" t="s">
        <v>58</v>
      </c>
      <c r="D5" s="7" t="s">
        <v>59</v>
      </c>
      <c r="F5" s="108" t="s">
        <v>139</v>
      </c>
      <c r="G5" s="108"/>
      <c r="H5" s="108"/>
      <c r="J5" s="108" t="s">
        <v>179</v>
      </c>
      <c r="K5" s="108"/>
      <c r="M5" s="108" t="s">
        <v>141</v>
      </c>
      <c r="N5" s="108"/>
      <c r="P5" s="108" t="s">
        <v>147</v>
      </c>
      <c r="Q5" s="108"/>
    </row>
    <row r="6" spans="2:17" ht="18" x14ac:dyDescent="0.35">
      <c r="B6" s="8">
        <v>90.2</v>
      </c>
      <c r="D6" s="8">
        <v>68.7</v>
      </c>
      <c r="G6" s="17" t="s">
        <v>24</v>
      </c>
      <c r="H6" s="17" t="s">
        <v>26</v>
      </c>
      <c r="J6" s="20" t="s">
        <v>180</v>
      </c>
      <c r="K6" s="72">
        <f>G9-H9</f>
        <v>1.8650659133709979</v>
      </c>
      <c r="M6" s="20" t="s">
        <v>142</v>
      </c>
      <c r="N6" s="77">
        <v>0.9</v>
      </c>
      <c r="P6" s="20" t="s">
        <v>148</v>
      </c>
      <c r="Q6" s="72">
        <f>K6-N12</f>
        <v>-0.37180434364131498</v>
      </c>
    </row>
    <row r="7" spans="2:17" x14ac:dyDescent="0.25">
      <c r="B7" s="8">
        <v>92.8</v>
      </c>
      <c r="D7" s="8">
        <v>80.7</v>
      </c>
      <c r="F7" s="20" t="s">
        <v>176</v>
      </c>
      <c r="G7" s="71">
        <f>COUNT(B6:B41)</f>
        <v>36</v>
      </c>
      <c r="H7" s="71">
        <f>COUNT(D6:D64)</f>
        <v>59</v>
      </c>
      <c r="M7" s="20" t="s">
        <v>143</v>
      </c>
      <c r="N7" s="82">
        <f>1-N6</f>
        <v>9.9999999999999978E-2</v>
      </c>
      <c r="P7" s="20" t="s">
        <v>149</v>
      </c>
      <c r="Q7" s="72">
        <f>K6+N12</f>
        <v>4.1019361703833113</v>
      </c>
    </row>
    <row r="8" spans="2:17" x14ac:dyDescent="0.25">
      <c r="B8" s="8">
        <v>88.7</v>
      </c>
      <c r="D8" s="8">
        <v>74.900000000000006</v>
      </c>
      <c r="F8" s="20" t="s">
        <v>184</v>
      </c>
      <c r="G8" s="71">
        <f>G7-1</f>
        <v>35</v>
      </c>
      <c r="H8" s="71">
        <f>H7-1</f>
        <v>58</v>
      </c>
      <c r="M8" s="20" t="s">
        <v>144</v>
      </c>
      <c r="N8" s="71">
        <f>N7/2</f>
        <v>4.9999999999999989E-2</v>
      </c>
    </row>
    <row r="9" spans="2:17" x14ac:dyDescent="0.25">
      <c r="B9" s="8">
        <v>87.5</v>
      </c>
      <c r="D9" s="8">
        <v>80.7</v>
      </c>
      <c r="F9" s="20" t="s">
        <v>177</v>
      </c>
      <c r="G9" s="72">
        <f>AVERAGE(B6:B41)</f>
        <v>81.327777777777783</v>
      </c>
      <c r="H9" s="72">
        <f>AVERAGE(D6:D64)</f>
        <v>79.462711864406785</v>
      </c>
      <c r="M9" s="20" t="s">
        <v>181</v>
      </c>
      <c r="N9" s="75">
        <f>(G11+H11)^2 / ((G11^2 / G8)+(H11^2 / H8))</f>
        <v>66.531119815425654</v>
      </c>
    </row>
    <row r="10" spans="2:17" ht="17.25" x14ac:dyDescent="0.25">
      <c r="B10" s="8">
        <v>71.3</v>
      </c>
      <c r="D10" s="8">
        <v>83.3</v>
      </c>
      <c r="F10" s="20" t="s">
        <v>178</v>
      </c>
      <c r="G10" s="75">
        <f>_xlfn.VAR.S(B6:B41)</f>
        <v>44.135206349206364</v>
      </c>
      <c r="H10" s="75">
        <f>_xlfn.VAR.S(D6:D64)</f>
        <v>33.739275277615427</v>
      </c>
      <c r="M10" s="20" t="s">
        <v>156</v>
      </c>
      <c r="N10" s="70">
        <f>_xlfn.T.INV(1-N8,N9)</f>
        <v>1.6682705142276302</v>
      </c>
    </row>
    <row r="11" spans="2:17" ht="17.25" x14ac:dyDescent="0.25">
      <c r="B11" s="8">
        <v>72.3</v>
      </c>
      <c r="D11" s="8">
        <v>75.400000000000006</v>
      </c>
      <c r="F11" s="20" t="s">
        <v>183</v>
      </c>
      <c r="G11" s="70">
        <f>G10/G7</f>
        <v>1.2259779541446212</v>
      </c>
      <c r="H11" s="70">
        <f>H10/H7</f>
        <v>0.57185212334941404</v>
      </c>
      <c r="M11" s="20" t="s">
        <v>146</v>
      </c>
      <c r="N11" s="75">
        <f>SQRT(G11+H11)</f>
        <v>1.3408318602621416</v>
      </c>
    </row>
    <row r="12" spans="2:17" x14ac:dyDescent="0.25">
      <c r="B12" s="8">
        <v>96.1</v>
      </c>
      <c r="D12" s="8">
        <v>82.1</v>
      </c>
      <c r="M12" s="20" t="s">
        <v>150</v>
      </c>
      <c r="N12" s="75">
        <f>N10*N11</f>
        <v>2.2368702570123129</v>
      </c>
    </row>
    <row r="13" spans="2:17" x14ac:dyDescent="0.25">
      <c r="B13" s="8">
        <v>80.3</v>
      </c>
      <c r="D13" s="8">
        <v>66.900000000000006</v>
      </c>
    </row>
    <row r="14" spans="2:17" x14ac:dyDescent="0.25">
      <c r="B14" s="8">
        <v>79.099999999999994</v>
      </c>
      <c r="D14" s="8">
        <v>76.8</v>
      </c>
    </row>
    <row r="15" spans="2:17" x14ac:dyDescent="0.25">
      <c r="B15" s="8">
        <v>87.5</v>
      </c>
      <c r="D15" s="8">
        <v>72.400000000000006</v>
      </c>
    </row>
    <row r="16" spans="2:17" x14ac:dyDescent="0.25">
      <c r="B16" s="8">
        <v>80.8</v>
      </c>
      <c r="D16" s="8">
        <v>72</v>
      </c>
    </row>
    <row r="17" spans="2:4" x14ac:dyDescent="0.25">
      <c r="B17" s="8">
        <v>88.9</v>
      </c>
      <c r="D17" s="8">
        <v>81</v>
      </c>
    </row>
    <row r="18" spans="2:4" x14ac:dyDescent="0.25">
      <c r="B18" s="8">
        <v>82.3</v>
      </c>
      <c r="D18" s="8">
        <v>76.7</v>
      </c>
    </row>
    <row r="19" spans="2:4" x14ac:dyDescent="0.25">
      <c r="B19" s="8">
        <v>83.4</v>
      </c>
      <c r="D19" s="8">
        <v>77.8</v>
      </c>
    </row>
    <row r="20" spans="2:4" x14ac:dyDescent="0.25">
      <c r="B20" s="8">
        <v>77.8</v>
      </c>
      <c r="D20" s="8">
        <v>62.6</v>
      </c>
    </row>
    <row r="21" spans="2:4" x14ac:dyDescent="0.25">
      <c r="B21" s="8">
        <v>71</v>
      </c>
      <c r="D21" s="8">
        <v>80.2</v>
      </c>
    </row>
    <row r="22" spans="2:4" x14ac:dyDescent="0.25">
      <c r="B22" s="8">
        <v>87.2</v>
      </c>
      <c r="D22" s="8">
        <v>77.8</v>
      </c>
    </row>
    <row r="23" spans="2:4" x14ac:dyDescent="0.25">
      <c r="B23" s="8">
        <v>82.9</v>
      </c>
      <c r="D23" s="8">
        <v>75.099999999999994</v>
      </c>
    </row>
    <row r="24" spans="2:4" x14ac:dyDescent="0.25">
      <c r="B24" s="8">
        <v>75.099999999999994</v>
      </c>
      <c r="D24" s="8">
        <v>82.2</v>
      </c>
    </row>
    <row r="25" spans="2:4" x14ac:dyDescent="0.25">
      <c r="B25" s="8">
        <v>74.900000000000006</v>
      </c>
      <c r="D25" s="8">
        <v>70.5</v>
      </c>
    </row>
    <row r="26" spans="2:4" x14ac:dyDescent="0.25">
      <c r="B26" s="8">
        <v>81.7</v>
      </c>
      <c r="D26" s="8">
        <v>70.8</v>
      </c>
    </row>
    <row r="27" spans="2:4" x14ac:dyDescent="0.25">
      <c r="B27" s="8">
        <v>83.8</v>
      </c>
      <c r="D27" s="8">
        <v>79.5</v>
      </c>
    </row>
    <row r="28" spans="2:4" x14ac:dyDescent="0.25">
      <c r="B28" s="8">
        <v>74.8</v>
      </c>
      <c r="D28" s="8">
        <v>79.599999999999994</v>
      </c>
    </row>
    <row r="29" spans="2:4" x14ac:dyDescent="0.25">
      <c r="B29" s="8">
        <v>82.7</v>
      </c>
      <c r="D29" s="8">
        <v>85.9</v>
      </c>
    </row>
    <row r="30" spans="2:4" x14ac:dyDescent="0.25">
      <c r="B30" s="8">
        <v>84</v>
      </c>
      <c r="D30" s="8">
        <v>76.7</v>
      </c>
    </row>
    <row r="31" spans="2:4" x14ac:dyDescent="0.25">
      <c r="B31" s="8">
        <v>80.099999999999994</v>
      </c>
      <c r="D31" s="8">
        <v>79.900000000000006</v>
      </c>
    </row>
    <row r="32" spans="2:4" x14ac:dyDescent="0.25">
      <c r="B32" s="8">
        <v>79.599999999999994</v>
      </c>
      <c r="D32" s="8">
        <v>86.2</v>
      </c>
    </row>
    <row r="33" spans="2:4" x14ac:dyDescent="0.25">
      <c r="B33" s="8">
        <v>78.900000000000006</v>
      </c>
      <c r="D33" s="8">
        <v>79.2</v>
      </c>
    </row>
    <row r="34" spans="2:4" x14ac:dyDescent="0.25">
      <c r="B34" s="8">
        <v>72</v>
      </c>
      <c r="D34" s="8">
        <v>85.2</v>
      </c>
    </row>
    <row r="35" spans="2:4" x14ac:dyDescent="0.25">
      <c r="B35" s="8">
        <v>74.2</v>
      </c>
      <c r="D35" s="8">
        <v>80.2</v>
      </c>
    </row>
    <row r="36" spans="2:4" x14ac:dyDescent="0.25">
      <c r="B36" s="8">
        <v>71.7</v>
      </c>
      <c r="D36" s="8">
        <v>73.5</v>
      </c>
    </row>
    <row r="37" spans="2:4" x14ac:dyDescent="0.25">
      <c r="B37" s="8">
        <v>87.4</v>
      </c>
      <c r="D37" s="8">
        <v>74.599999999999994</v>
      </c>
    </row>
    <row r="38" spans="2:4" x14ac:dyDescent="0.25">
      <c r="B38" s="8">
        <v>77.400000000000006</v>
      </c>
      <c r="D38" s="8">
        <v>85.1</v>
      </c>
    </row>
    <row r="39" spans="2:4" x14ac:dyDescent="0.25">
      <c r="B39" s="8">
        <v>78.8</v>
      </c>
      <c r="D39" s="8">
        <v>84.6</v>
      </c>
    </row>
    <row r="40" spans="2:4" x14ac:dyDescent="0.25">
      <c r="B40" s="8">
        <v>92.7</v>
      </c>
      <c r="D40" s="8">
        <v>81.400000000000006</v>
      </c>
    </row>
    <row r="41" spans="2:4" x14ac:dyDescent="0.25">
      <c r="B41" s="8">
        <v>77.900000000000006</v>
      </c>
      <c r="D41" s="8">
        <v>88.5</v>
      </c>
    </row>
    <row r="42" spans="2:4" x14ac:dyDescent="0.25">
      <c r="D42" s="8">
        <v>84.9</v>
      </c>
    </row>
    <row r="43" spans="2:4" x14ac:dyDescent="0.25">
      <c r="D43" s="8">
        <v>84.3</v>
      </c>
    </row>
    <row r="44" spans="2:4" x14ac:dyDescent="0.25">
      <c r="D44" s="8">
        <v>78.2</v>
      </c>
    </row>
    <row r="45" spans="2:4" x14ac:dyDescent="0.25">
      <c r="D45" s="8">
        <v>80</v>
      </c>
    </row>
    <row r="46" spans="2:4" x14ac:dyDescent="0.25">
      <c r="D46" s="8">
        <v>78.5</v>
      </c>
    </row>
    <row r="47" spans="2:4" x14ac:dyDescent="0.25">
      <c r="D47" s="8">
        <v>71.8</v>
      </c>
    </row>
    <row r="48" spans="2:4" x14ac:dyDescent="0.25">
      <c r="D48" s="8">
        <v>69.900000000000006</v>
      </c>
    </row>
    <row r="49" spans="4:4" x14ac:dyDescent="0.25">
      <c r="D49" s="8">
        <v>74</v>
      </c>
    </row>
    <row r="50" spans="4:4" x14ac:dyDescent="0.25">
      <c r="D50" s="8">
        <v>84.7</v>
      </c>
    </row>
    <row r="51" spans="4:4" x14ac:dyDescent="0.25">
      <c r="D51" s="8">
        <v>78.2</v>
      </c>
    </row>
    <row r="52" spans="4:4" x14ac:dyDescent="0.25">
      <c r="D52" s="8">
        <v>85</v>
      </c>
    </row>
    <row r="53" spans="4:4" x14ac:dyDescent="0.25">
      <c r="D53" s="8">
        <v>85.3</v>
      </c>
    </row>
    <row r="54" spans="4:4" x14ac:dyDescent="0.25">
      <c r="D54" s="8">
        <v>79.7</v>
      </c>
    </row>
    <row r="55" spans="4:4" x14ac:dyDescent="0.25">
      <c r="D55" s="8">
        <v>78.5</v>
      </c>
    </row>
    <row r="56" spans="4:4" x14ac:dyDescent="0.25">
      <c r="D56" s="8">
        <v>80.7</v>
      </c>
    </row>
    <row r="57" spans="4:4" x14ac:dyDescent="0.25">
      <c r="D57" s="8">
        <v>84.1</v>
      </c>
    </row>
    <row r="58" spans="4:4" x14ac:dyDescent="0.25">
      <c r="D58" s="8">
        <v>84.7</v>
      </c>
    </row>
    <row r="59" spans="4:4" x14ac:dyDescent="0.25">
      <c r="D59" s="8">
        <v>88.8</v>
      </c>
    </row>
    <row r="60" spans="4:4" x14ac:dyDescent="0.25">
      <c r="D60" s="8">
        <v>86.6</v>
      </c>
    </row>
    <row r="61" spans="4:4" x14ac:dyDescent="0.25">
      <c r="D61" s="8">
        <v>86.1</v>
      </c>
    </row>
    <row r="62" spans="4:4" x14ac:dyDescent="0.25">
      <c r="D62" s="8">
        <v>89.9</v>
      </c>
    </row>
    <row r="63" spans="4:4" x14ac:dyDescent="0.25">
      <c r="D63" s="8">
        <v>83.1</v>
      </c>
    </row>
    <row r="64" spans="4:4" x14ac:dyDescent="0.25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topLeftCell="G1" workbookViewId="0">
      <selection activeCell="P8" sqref="P8"/>
    </sheetView>
  </sheetViews>
  <sheetFormatPr defaultRowHeight="15" x14ac:dyDescent="0.25"/>
  <cols>
    <col min="1" max="1" width="2.85546875" customWidth="1"/>
    <col min="2" max="2" width="11.42578125" customWidth="1"/>
    <col min="3" max="3" width="20" customWidth="1"/>
    <col min="5" max="5" width="15.42578125" bestFit="1" customWidth="1"/>
    <col min="6" max="7" width="14.28515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8" t="s">
        <v>182</v>
      </c>
    </row>
    <row r="2" spans="2:16" ht="15" customHeight="1" x14ac:dyDescent="0.25">
      <c r="B2" s="30" t="s">
        <v>175</v>
      </c>
    </row>
    <row r="3" spans="2:16" ht="18" customHeight="1" x14ac:dyDescent="0.25"/>
    <row r="4" spans="2:16" x14ac:dyDescent="0.25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5">
      <c r="B5" s="40" t="s">
        <v>12</v>
      </c>
      <c r="C5" s="41" t="s">
        <v>23</v>
      </c>
      <c r="E5" s="109" t="s">
        <v>139</v>
      </c>
      <c r="F5" s="109"/>
      <c r="G5" s="109"/>
      <c r="I5" s="108" t="s">
        <v>179</v>
      </c>
      <c r="J5" s="108"/>
      <c r="L5" s="108" t="s">
        <v>141</v>
      </c>
      <c r="M5" s="108"/>
      <c r="O5" s="108" t="s">
        <v>147</v>
      </c>
      <c r="P5" s="108"/>
    </row>
    <row r="6" spans="2:16" ht="18" x14ac:dyDescent="0.35">
      <c r="B6" s="8" t="s">
        <v>13</v>
      </c>
      <c r="C6" s="8">
        <v>276</v>
      </c>
      <c r="F6" s="17" t="s">
        <v>13</v>
      </c>
      <c r="G6" s="17" t="s">
        <v>14</v>
      </c>
      <c r="I6" s="20" t="s">
        <v>180</v>
      </c>
      <c r="J6" s="73">
        <f>F9-G9</f>
        <v>70.528301886792462</v>
      </c>
      <c r="L6" s="20" t="s">
        <v>142</v>
      </c>
      <c r="M6" s="77">
        <v>0.9</v>
      </c>
      <c r="O6" s="20" t="s">
        <v>148</v>
      </c>
      <c r="P6" s="73">
        <f>J6-M12</f>
        <v>40.871316864816478</v>
      </c>
    </row>
    <row r="7" spans="2:16" x14ac:dyDescent="0.25">
      <c r="B7" s="8" t="s">
        <v>14</v>
      </c>
      <c r="C7" s="8">
        <v>410</v>
      </c>
      <c r="E7" s="20" t="s">
        <v>176</v>
      </c>
      <c r="F7" s="71">
        <f>COUNTIFS(B6:B100,"Placed")</f>
        <v>53</v>
      </c>
      <c r="G7" s="71">
        <f>COUNTIFS(B6:B100,"Not Placed")</f>
        <v>42</v>
      </c>
      <c r="L7" s="20" t="s">
        <v>143</v>
      </c>
      <c r="M7" s="82">
        <f>1-M6</f>
        <v>9.9999999999999978E-2</v>
      </c>
      <c r="O7" s="20" t="s">
        <v>149</v>
      </c>
      <c r="P7" s="73">
        <f>J6+M12</f>
        <v>100.18528690876845</v>
      </c>
    </row>
    <row r="8" spans="2:16" x14ac:dyDescent="0.25">
      <c r="B8" s="8" t="s">
        <v>13</v>
      </c>
      <c r="C8" s="8">
        <v>119</v>
      </c>
      <c r="E8" s="20" t="s">
        <v>184</v>
      </c>
      <c r="F8" s="71">
        <f>F7-1</f>
        <v>52</v>
      </c>
      <c r="G8" s="71">
        <f>G7-1</f>
        <v>41</v>
      </c>
      <c r="L8" s="20" t="s">
        <v>144</v>
      </c>
      <c r="M8" s="71">
        <f>M7/2</f>
        <v>4.9999999999999989E-2</v>
      </c>
    </row>
    <row r="9" spans="2:16" x14ac:dyDescent="0.25">
      <c r="B9" s="8" t="s">
        <v>14</v>
      </c>
      <c r="C9" s="8">
        <v>334</v>
      </c>
      <c r="E9" s="20" t="s">
        <v>177</v>
      </c>
      <c r="F9" s="73">
        <f>AVERAGEIFS(C6:C100,B6:B100,"Placed")</f>
        <v>320.52830188679246</v>
      </c>
      <c r="G9" s="73">
        <f>AVERAGEIFS(C6:C100,B6:B100,"Not Placed")</f>
        <v>250</v>
      </c>
      <c r="L9" s="20" t="s">
        <v>181</v>
      </c>
      <c r="M9" s="75">
        <f>(F11^2 +G11^2)/((F11 / F8) + (G11 / G8))</f>
        <v>7463.4722467310212</v>
      </c>
    </row>
    <row r="10" spans="2:16" ht="17.25" x14ac:dyDescent="0.25">
      <c r="B10" s="8" t="s">
        <v>14</v>
      </c>
      <c r="C10" s="8">
        <v>252</v>
      </c>
      <c r="E10" s="20" t="s">
        <v>178</v>
      </c>
      <c r="F10" s="74" cm="1">
        <f t="array" ref="F10">_xlfn.VAR.S(IF($B$6:$B$100=F6,$C$6:$C$100))</f>
        <v>7479.7924528301946</v>
      </c>
      <c r="G10" s="74" cm="1">
        <f t="array" ref="G10">_xlfn.VAR.S(IF($B$6:$B$100=G6,$C$6:$C$100))</f>
        <v>7722.8780487804879</v>
      </c>
      <c r="L10" s="20" t="s">
        <v>156</v>
      </c>
      <c r="M10" s="70">
        <f>_xlfn.T.INV(1-M8,M9)</f>
        <v>1.6450578289433246</v>
      </c>
    </row>
    <row r="11" spans="2:16" ht="17.25" x14ac:dyDescent="0.25">
      <c r="B11" s="8" t="s">
        <v>14</v>
      </c>
      <c r="C11" s="8">
        <v>209</v>
      </c>
      <c r="E11" s="20" t="s">
        <v>183</v>
      </c>
      <c r="F11" s="70">
        <f>F10/F7</f>
        <v>141.12815948736215</v>
      </c>
      <c r="G11" s="70">
        <f>G10/G7</f>
        <v>183.8780487804878</v>
      </c>
      <c r="L11" s="20" t="s">
        <v>146</v>
      </c>
      <c r="M11" s="75">
        <f>SQRT(F11+G11)</f>
        <v>18.027928562867391</v>
      </c>
    </row>
    <row r="12" spans="2:16" x14ac:dyDescent="0.25">
      <c r="B12" s="8" t="s">
        <v>13</v>
      </c>
      <c r="C12" s="8">
        <v>462</v>
      </c>
      <c r="L12" s="20" t="s">
        <v>150</v>
      </c>
      <c r="M12" s="75">
        <f>M10*M11</f>
        <v>29.656985021975981</v>
      </c>
    </row>
    <row r="13" spans="2:16" x14ac:dyDescent="0.25">
      <c r="B13" s="8" t="s">
        <v>13</v>
      </c>
      <c r="C13" s="8">
        <v>342</v>
      </c>
    </row>
    <row r="14" spans="2:16" x14ac:dyDescent="0.25">
      <c r="B14" s="8" t="s">
        <v>13</v>
      </c>
      <c r="C14" s="8">
        <v>347</v>
      </c>
    </row>
    <row r="15" spans="2:16" x14ac:dyDescent="0.25">
      <c r="B15" s="8" t="s">
        <v>13</v>
      </c>
      <c r="C15" s="8">
        <v>313</v>
      </c>
    </row>
    <row r="16" spans="2:16" x14ac:dyDescent="0.25">
      <c r="B16" s="8" t="s">
        <v>14</v>
      </c>
      <c r="C16" s="8">
        <v>232</v>
      </c>
    </row>
    <row r="17" spans="2:3" x14ac:dyDescent="0.25">
      <c r="B17" s="8" t="s">
        <v>13</v>
      </c>
      <c r="C17" s="8">
        <v>163</v>
      </c>
    </row>
    <row r="18" spans="2:3" x14ac:dyDescent="0.25">
      <c r="B18" s="8" t="s">
        <v>14</v>
      </c>
      <c r="C18" s="8">
        <v>119</v>
      </c>
    </row>
    <row r="19" spans="2:3" x14ac:dyDescent="0.25">
      <c r="B19" s="8" t="s">
        <v>13</v>
      </c>
      <c r="C19" s="8">
        <v>304</v>
      </c>
    </row>
    <row r="20" spans="2:3" x14ac:dyDescent="0.25">
      <c r="B20" s="8" t="s">
        <v>13</v>
      </c>
      <c r="C20" s="8">
        <v>211</v>
      </c>
    </row>
    <row r="21" spans="2:3" x14ac:dyDescent="0.25">
      <c r="B21" s="8" t="s">
        <v>13</v>
      </c>
      <c r="C21" s="8">
        <v>286</v>
      </c>
    </row>
    <row r="22" spans="2:3" x14ac:dyDescent="0.25">
      <c r="B22" s="8" t="s">
        <v>14</v>
      </c>
      <c r="C22" s="8">
        <v>122</v>
      </c>
    </row>
    <row r="23" spans="2:3" x14ac:dyDescent="0.25">
      <c r="B23" s="8" t="s">
        <v>13</v>
      </c>
      <c r="C23" s="8">
        <v>443</v>
      </c>
    </row>
    <row r="24" spans="2:3" x14ac:dyDescent="0.25">
      <c r="B24" s="8" t="s">
        <v>14</v>
      </c>
      <c r="C24" s="8">
        <v>366</v>
      </c>
    </row>
    <row r="25" spans="2:3" x14ac:dyDescent="0.25">
      <c r="B25" s="8" t="s">
        <v>14</v>
      </c>
      <c r="C25" s="8">
        <v>244</v>
      </c>
    </row>
    <row r="26" spans="2:3" x14ac:dyDescent="0.25">
      <c r="B26" s="8" t="s">
        <v>14</v>
      </c>
      <c r="C26" s="8">
        <v>241</v>
      </c>
    </row>
    <row r="27" spans="2:3" x14ac:dyDescent="0.25">
      <c r="B27" s="8" t="s">
        <v>13</v>
      </c>
      <c r="C27" s="8">
        <v>237</v>
      </c>
    </row>
    <row r="28" spans="2:3" x14ac:dyDescent="0.25">
      <c r="B28" s="8" t="s">
        <v>14</v>
      </c>
      <c r="C28" s="8">
        <v>122</v>
      </c>
    </row>
    <row r="29" spans="2:3" x14ac:dyDescent="0.25">
      <c r="B29" s="8" t="s">
        <v>14</v>
      </c>
      <c r="C29" s="8">
        <v>129</v>
      </c>
    </row>
    <row r="30" spans="2:3" x14ac:dyDescent="0.25">
      <c r="B30" s="8" t="s">
        <v>13</v>
      </c>
      <c r="C30" s="8">
        <v>236</v>
      </c>
    </row>
    <row r="31" spans="2:3" x14ac:dyDescent="0.25">
      <c r="B31" s="8" t="s">
        <v>13</v>
      </c>
      <c r="C31" s="8">
        <v>251</v>
      </c>
    </row>
    <row r="32" spans="2:3" x14ac:dyDescent="0.25">
      <c r="B32" s="8" t="s">
        <v>13</v>
      </c>
      <c r="C32" s="8">
        <v>283</v>
      </c>
    </row>
    <row r="33" spans="2:3" x14ac:dyDescent="0.25">
      <c r="B33" s="8" t="s">
        <v>14</v>
      </c>
      <c r="C33" s="8">
        <v>225</v>
      </c>
    </row>
    <row r="34" spans="2:3" x14ac:dyDescent="0.25">
      <c r="B34" s="8" t="s">
        <v>14</v>
      </c>
      <c r="C34" s="8">
        <v>102</v>
      </c>
    </row>
    <row r="35" spans="2:3" x14ac:dyDescent="0.25">
      <c r="B35" s="8" t="s">
        <v>13</v>
      </c>
      <c r="C35" s="8">
        <v>180</v>
      </c>
    </row>
    <row r="36" spans="2:3" x14ac:dyDescent="0.25">
      <c r="B36" s="8" t="s">
        <v>14</v>
      </c>
      <c r="C36" s="8">
        <v>247</v>
      </c>
    </row>
    <row r="37" spans="2:3" x14ac:dyDescent="0.25">
      <c r="B37" s="8" t="s">
        <v>14</v>
      </c>
      <c r="C37" s="8">
        <v>343</v>
      </c>
    </row>
    <row r="38" spans="2:3" x14ac:dyDescent="0.25">
      <c r="B38" s="8" t="s">
        <v>14</v>
      </c>
      <c r="C38" s="8">
        <v>283</v>
      </c>
    </row>
    <row r="39" spans="2:3" x14ac:dyDescent="0.25">
      <c r="B39" s="8" t="s">
        <v>13</v>
      </c>
      <c r="C39" s="8">
        <v>253</v>
      </c>
    </row>
    <row r="40" spans="2:3" x14ac:dyDescent="0.25">
      <c r="B40" s="8" t="s">
        <v>14</v>
      </c>
      <c r="C40" s="8">
        <v>263</v>
      </c>
    </row>
    <row r="41" spans="2:3" x14ac:dyDescent="0.25">
      <c r="B41" s="8" t="s">
        <v>13</v>
      </c>
      <c r="C41" s="8">
        <v>291</v>
      </c>
    </row>
    <row r="42" spans="2:3" x14ac:dyDescent="0.25">
      <c r="B42" s="8" t="s">
        <v>13</v>
      </c>
      <c r="C42" s="8">
        <v>368</v>
      </c>
    </row>
    <row r="43" spans="2:3" x14ac:dyDescent="0.25">
      <c r="B43" s="8" t="s">
        <v>14</v>
      </c>
      <c r="C43" s="8">
        <v>206</v>
      </c>
    </row>
    <row r="44" spans="2:3" x14ac:dyDescent="0.25">
      <c r="B44" s="8" t="s">
        <v>14</v>
      </c>
      <c r="C44" s="8">
        <v>231</v>
      </c>
    </row>
    <row r="45" spans="2:3" x14ac:dyDescent="0.25">
      <c r="B45" s="8" t="s">
        <v>14</v>
      </c>
      <c r="C45" s="8">
        <v>389</v>
      </c>
    </row>
    <row r="46" spans="2:3" x14ac:dyDescent="0.25">
      <c r="B46" s="8" t="s">
        <v>13</v>
      </c>
      <c r="C46" s="8">
        <v>396</v>
      </c>
    </row>
    <row r="47" spans="2:3" x14ac:dyDescent="0.25">
      <c r="B47" s="8" t="s">
        <v>13</v>
      </c>
      <c r="C47" s="8">
        <v>339</v>
      </c>
    </row>
    <row r="48" spans="2:3" x14ac:dyDescent="0.25">
      <c r="B48" s="8" t="s">
        <v>13</v>
      </c>
      <c r="C48" s="8">
        <v>286</v>
      </c>
    </row>
    <row r="49" spans="2:3" x14ac:dyDescent="0.25">
      <c r="B49" s="8" t="s">
        <v>14</v>
      </c>
      <c r="C49" s="8">
        <v>146</v>
      </c>
    </row>
    <row r="50" spans="2:3" x14ac:dyDescent="0.25">
      <c r="B50" s="8" t="s">
        <v>13</v>
      </c>
      <c r="C50" s="8">
        <v>315</v>
      </c>
    </row>
    <row r="51" spans="2:3" x14ac:dyDescent="0.25">
      <c r="B51" s="8" t="s">
        <v>14</v>
      </c>
      <c r="C51" s="8">
        <v>183</v>
      </c>
    </row>
    <row r="52" spans="2:3" x14ac:dyDescent="0.25">
      <c r="B52" s="8" t="s">
        <v>13</v>
      </c>
      <c r="C52" s="8">
        <v>481</v>
      </c>
    </row>
    <row r="53" spans="2:3" x14ac:dyDescent="0.25">
      <c r="B53" s="8" t="s">
        <v>14</v>
      </c>
      <c r="C53" s="8">
        <v>349</v>
      </c>
    </row>
    <row r="54" spans="2:3" x14ac:dyDescent="0.25">
      <c r="B54" s="8" t="s">
        <v>13</v>
      </c>
      <c r="C54" s="8">
        <v>225</v>
      </c>
    </row>
    <row r="55" spans="2:3" x14ac:dyDescent="0.25">
      <c r="B55" s="8" t="s">
        <v>13</v>
      </c>
      <c r="C55" s="8">
        <v>217</v>
      </c>
    </row>
    <row r="56" spans="2:3" x14ac:dyDescent="0.25">
      <c r="B56" s="8" t="s">
        <v>13</v>
      </c>
      <c r="C56" s="8">
        <v>353</v>
      </c>
    </row>
    <row r="57" spans="2:3" x14ac:dyDescent="0.25">
      <c r="B57" s="8" t="s">
        <v>14</v>
      </c>
      <c r="C57" s="8">
        <v>314</v>
      </c>
    </row>
    <row r="58" spans="2:3" x14ac:dyDescent="0.25">
      <c r="B58" s="8" t="s">
        <v>13</v>
      </c>
      <c r="C58" s="8">
        <v>247</v>
      </c>
    </row>
    <row r="59" spans="2:3" x14ac:dyDescent="0.25">
      <c r="B59" s="8" t="s">
        <v>13</v>
      </c>
      <c r="C59" s="8">
        <v>410</v>
      </c>
    </row>
    <row r="60" spans="2:3" x14ac:dyDescent="0.25">
      <c r="B60" s="8" t="s">
        <v>13</v>
      </c>
      <c r="C60" s="8">
        <v>395</v>
      </c>
    </row>
    <row r="61" spans="2:3" x14ac:dyDescent="0.25">
      <c r="B61" s="8" t="s">
        <v>13</v>
      </c>
      <c r="C61" s="8">
        <v>416</v>
      </c>
    </row>
    <row r="62" spans="2:3" x14ac:dyDescent="0.25">
      <c r="B62" s="8" t="s">
        <v>13</v>
      </c>
      <c r="C62" s="8">
        <v>342</v>
      </c>
    </row>
    <row r="63" spans="2:3" x14ac:dyDescent="0.25">
      <c r="B63" s="8" t="s">
        <v>13</v>
      </c>
      <c r="C63" s="8">
        <v>446</v>
      </c>
    </row>
    <row r="64" spans="2:3" x14ac:dyDescent="0.25">
      <c r="B64" s="8" t="s">
        <v>13</v>
      </c>
      <c r="C64" s="8">
        <v>477</v>
      </c>
    </row>
    <row r="65" spans="2:3" x14ac:dyDescent="0.25">
      <c r="B65" s="8" t="s">
        <v>13</v>
      </c>
      <c r="C65" s="8">
        <v>444</v>
      </c>
    </row>
    <row r="66" spans="2:3" x14ac:dyDescent="0.25">
      <c r="B66" s="8" t="s">
        <v>13</v>
      </c>
      <c r="C66" s="8">
        <v>351</v>
      </c>
    </row>
    <row r="67" spans="2:3" x14ac:dyDescent="0.25">
      <c r="B67" s="8" t="s">
        <v>14</v>
      </c>
      <c r="C67" s="8">
        <v>165</v>
      </c>
    </row>
    <row r="68" spans="2:3" x14ac:dyDescent="0.25">
      <c r="B68" s="8" t="s">
        <v>13</v>
      </c>
      <c r="C68" s="8">
        <v>317</v>
      </c>
    </row>
    <row r="69" spans="2:3" x14ac:dyDescent="0.25">
      <c r="B69" s="8" t="s">
        <v>13</v>
      </c>
      <c r="C69" s="8">
        <v>250</v>
      </c>
    </row>
    <row r="70" spans="2:3" x14ac:dyDescent="0.25">
      <c r="B70" s="8" t="s">
        <v>14</v>
      </c>
      <c r="C70" s="8">
        <v>217</v>
      </c>
    </row>
    <row r="71" spans="2:3" x14ac:dyDescent="0.25">
      <c r="B71" s="8" t="s">
        <v>14</v>
      </c>
      <c r="C71" s="8">
        <v>138</v>
      </c>
    </row>
    <row r="72" spans="2:3" x14ac:dyDescent="0.25">
      <c r="B72" s="8" t="s">
        <v>13</v>
      </c>
      <c r="C72" s="8">
        <v>302</v>
      </c>
    </row>
    <row r="73" spans="2:3" x14ac:dyDescent="0.25">
      <c r="B73" s="8" t="s">
        <v>14</v>
      </c>
      <c r="C73" s="8">
        <v>311</v>
      </c>
    </row>
    <row r="74" spans="2:3" x14ac:dyDescent="0.25">
      <c r="B74" s="8" t="s">
        <v>13</v>
      </c>
      <c r="C74" s="8">
        <v>373</v>
      </c>
    </row>
    <row r="75" spans="2:3" x14ac:dyDescent="0.25">
      <c r="B75" s="8" t="s">
        <v>14</v>
      </c>
      <c r="C75" s="8">
        <v>196</v>
      </c>
    </row>
    <row r="76" spans="2:3" x14ac:dyDescent="0.25">
      <c r="B76" s="8" t="s">
        <v>13</v>
      </c>
      <c r="C76" s="8">
        <v>306</v>
      </c>
    </row>
    <row r="77" spans="2:3" x14ac:dyDescent="0.25">
      <c r="B77" s="8" t="s">
        <v>14</v>
      </c>
      <c r="C77" s="8">
        <v>302</v>
      </c>
    </row>
    <row r="78" spans="2:3" x14ac:dyDescent="0.25">
      <c r="B78" s="8" t="s">
        <v>14</v>
      </c>
      <c r="C78" s="8">
        <v>278</v>
      </c>
    </row>
    <row r="79" spans="2:3" x14ac:dyDescent="0.25">
      <c r="B79" s="8" t="s">
        <v>14</v>
      </c>
      <c r="C79" s="8">
        <v>429</v>
      </c>
    </row>
    <row r="80" spans="2:3" x14ac:dyDescent="0.25">
      <c r="B80" s="8" t="s">
        <v>13</v>
      </c>
      <c r="C80" s="8">
        <v>338</v>
      </c>
    </row>
    <row r="81" spans="2:3" x14ac:dyDescent="0.25">
      <c r="B81" s="8" t="s">
        <v>14</v>
      </c>
      <c r="C81" s="8">
        <v>261</v>
      </c>
    </row>
    <row r="82" spans="2:3" x14ac:dyDescent="0.25">
      <c r="B82" s="8" t="s">
        <v>14</v>
      </c>
      <c r="C82" s="8">
        <v>256</v>
      </c>
    </row>
    <row r="83" spans="2:3" x14ac:dyDescent="0.25">
      <c r="B83" s="8" t="s">
        <v>13</v>
      </c>
      <c r="C83" s="8">
        <v>183</v>
      </c>
    </row>
    <row r="84" spans="2:3" x14ac:dyDescent="0.25">
      <c r="B84" s="8" t="s">
        <v>13</v>
      </c>
      <c r="C84" s="8">
        <v>274</v>
      </c>
    </row>
    <row r="85" spans="2:3" x14ac:dyDescent="0.25">
      <c r="B85" s="8" t="s">
        <v>14</v>
      </c>
      <c r="C85" s="8">
        <v>182</v>
      </c>
    </row>
    <row r="86" spans="2:3" x14ac:dyDescent="0.25">
      <c r="B86" s="8" t="s">
        <v>14</v>
      </c>
      <c r="C86" s="8">
        <v>183</v>
      </c>
    </row>
    <row r="87" spans="2:3" x14ac:dyDescent="0.25">
      <c r="B87" s="8" t="s">
        <v>13</v>
      </c>
      <c r="C87" s="8">
        <v>309</v>
      </c>
    </row>
    <row r="88" spans="2:3" x14ac:dyDescent="0.25">
      <c r="B88" s="8" t="s">
        <v>14</v>
      </c>
      <c r="C88" s="8">
        <v>178</v>
      </c>
    </row>
    <row r="89" spans="2:3" x14ac:dyDescent="0.25">
      <c r="B89" s="8" t="s">
        <v>13</v>
      </c>
      <c r="C89" s="8">
        <v>458</v>
      </c>
    </row>
    <row r="90" spans="2:3" x14ac:dyDescent="0.25">
      <c r="B90" s="8" t="s">
        <v>13</v>
      </c>
      <c r="C90" s="8">
        <v>234</v>
      </c>
    </row>
    <row r="91" spans="2:3" x14ac:dyDescent="0.25">
      <c r="B91" s="8" t="s">
        <v>13</v>
      </c>
      <c r="C91" s="8">
        <v>306</v>
      </c>
    </row>
    <row r="92" spans="2:3" x14ac:dyDescent="0.25">
      <c r="B92" s="8" t="s">
        <v>13</v>
      </c>
      <c r="C92" s="8">
        <v>400</v>
      </c>
    </row>
    <row r="93" spans="2:3" x14ac:dyDescent="0.25">
      <c r="B93" s="8" t="s">
        <v>14</v>
      </c>
      <c r="C93" s="8">
        <v>337</v>
      </c>
    </row>
    <row r="94" spans="2:3" x14ac:dyDescent="0.25">
      <c r="B94" s="8" t="s">
        <v>13</v>
      </c>
      <c r="C94" s="8">
        <v>325</v>
      </c>
    </row>
    <row r="95" spans="2:3" x14ac:dyDescent="0.25">
      <c r="B95" s="8" t="s">
        <v>14</v>
      </c>
      <c r="C95" s="8">
        <v>329</v>
      </c>
    </row>
    <row r="96" spans="2:3" x14ac:dyDescent="0.25">
      <c r="B96" s="8" t="s">
        <v>13</v>
      </c>
      <c r="C96" s="8">
        <v>369</v>
      </c>
    </row>
    <row r="97" spans="2:3" x14ac:dyDescent="0.25">
      <c r="B97" s="8" t="s">
        <v>13</v>
      </c>
      <c r="C97" s="8">
        <v>457</v>
      </c>
    </row>
    <row r="98" spans="2:3" x14ac:dyDescent="0.25">
      <c r="B98" s="8" t="s">
        <v>14</v>
      </c>
      <c r="C98" s="8">
        <v>421</v>
      </c>
    </row>
    <row r="99" spans="2:3" x14ac:dyDescent="0.25">
      <c r="B99" s="8" t="s">
        <v>13</v>
      </c>
      <c r="C99" s="8">
        <v>282</v>
      </c>
    </row>
    <row r="100" spans="2:3" x14ac:dyDescent="0.25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topLeftCell="L1" workbookViewId="0">
      <selection activeCell="P7" sqref="P7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5" max="5" width="15.42578125" bestFit="1" customWidth="1"/>
    <col min="6" max="7" width="9.140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8" t="s">
        <v>187</v>
      </c>
    </row>
    <row r="2" spans="2:16" ht="15" customHeight="1" x14ac:dyDescent="0.25">
      <c r="B2" s="30" t="s">
        <v>186</v>
      </c>
    </row>
    <row r="3" spans="2:16" ht="18" customHeight="1" x14ac:dyDescent="0.25"/>
    <row r="4" spans="2:16" x14ac:dyDescent="0.25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5">
      <c r="B5" s="40" t="s">
        <v>21</v>
      </c>
      <c r="C5" s="41" t="s">
        <v>12</v>
      </c>
      <c r="E5" s="108" t="s">
        <v>139</v>
      </c>
      <c r="F5" s="108"/>
      <c r="G5" s="108"/>
      <c r="I5" s="108" t="s">
        <v>179</v>
      </c>
      <c r="J5" s="108"/>
      <c r="L5" s="108" t="s">
        <v>141</v>
      </c>
      <c r="M5" s="108"/>
      <c r="O5" s="108" t="s">
        <v>147</v>
      </c>
      <c r="P5" s="108"/>
    </row>
    <row r="6" spans="2:16" ht="18" x14ac:dyDescent="0.3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307</v>
      </c>
      <c r="J6" s="70">
        <f>F8-G8</f>
        <v>0.23913043478260865</v>
      </c>
      <c r="L6" s="20" t="s">
        <v>142</v>
      </c>
      <c r="M6" s="77">
        <v>0.99</v>
      </c>
      <c r="O6" s="20" t="s">
        <v>148</v>
      </c>
      <c r="P6" s="88">
        <f>J6-M11</f>
        <v>-4.1334137258359216E-2</v>
      </c>
    </row>
    <row r="7" spans="2:16" x14ac:dyDescent="0.25">
      <c r="B7" s="8" t="s">
        <v>25</v>
      </c>
      <c r="C7" s="8" t="s">
        <v>14</v>
      </c>
      <c r="E7" s="20" t="s">
        <v>176</v>
      </c>
      <c r="F7" s="71">
        <f>COUNTIFS($B$6:$B$100,F6)</f>
        <v>23</v>
      </c>
      <c r="G7" s="71">
        <f>COUNTIFS($B$6:$B$100,G6)</f>
        <v>72</v>
      </c>
      <c r="L7" s="20" t="s">
        <v>143</v>
      </c>
      <c r="M7" s="82">
        <f>1-M6</f>
        <v>1.0000000000000009E-2</v>
      </c>
      <c r="O7" s="20" t="s">
        <v>149</v>
      </c>
      <c r="P7" s="88">
        <f>J6+M11</f>
        <v>0.51959500682357651</v>
      </c>
    </row>
    <row r="8" spans="2:16" x14ac:dyDescent="0.25">
      <c r="B8" s="8" t="s">
        <v>27</v>
      </c>
      <c r="C8" s="8" t="s">
        <v>13</v>
      </c>
      <c r="E8" s="20" t="s">
        <v>188</v>
      </c>
      <c r="F8" s="70">
        <f>COUNTIFS(B6:B100,F6,C6:C100,"Placed")/F7</f>
        <v>0.73913043478260865</v>
      </c>
      <c r="G8" s="70">
        <f>COUNTIFS(B6:B100,G6,C6:C100,"Placed")/G7</f>
        <v>0.5</v>
      </c>
      <c r="L8" s="20" t="s">
        <v>144</v>
      </c>
      <c r="M8" s="71">
        <f>M7/2</f>
        <v>5.0000000000000044E-3</v>
      </c>
    </row>
    <row r="9" spans="2:16" x14ac:dyDescent="0.25">
      <c r="B9" s="8" t="s">
        <v>25</v>
      </c>
      <c r="C9" s="8" t="s">
        <v>14</v>
      </c>
      <c r="E9" s="20" t="s">
        <v>159</v>
      </c>
      <c r="F9" s="70">
        <f>1-F8</f>
        <v>0.26086956521739135</v>
      </c>
      <c r="G9" s="70">
        <f>1-G8</f>
        <v>0.5</v>
      </c>
      <c r="L9" s="20" t="s">
        <v>152</v>
      </c>
      <c r="M9" s="70">
        <f>_xlfn.NORM.S.INV(1-M8)</f>
        <v>2.5758293035488999</v>
      </c>
    </row>
    <row r="10" spans="2:16" x14ac:dyDescent="0.25">
      <c r="B10" s="8" t="s">
        <v>25</v>
      </c>
      <c r="C10" s="8" t="s">
        <v>14</v>
      </c>
      <c r="E10" s="20"/>
      <c r="F10" s="44"/>
      <c r="G10" s="44"/>
      <c r="L10" s="20" t="s">
        <v>146</v>
      </c>
      <c r="M10" s="70">
        <f>SQRT((F8*F9/F7)+(G8*G9/G7))</f>
        <v>0.10888321351673119</v>
      </c>
    </row>
    <row r="11" spans="2:16" x14ac:dyDescent="0.25">
      <c r="B11" s="8" t="s">
        <v>25</v>
      </c>
      <c r="C11" s="8" t="s">
        <v>14</v>
      </c>
      <c r="E11" s="108" t="s">
        <v>163</v>
      </c>
      <c r="F11" s="108"/>
      <c r="G11" s="108"/>
      <c r="L11" s="20" t="s">
        <v>150</v>
      </c>
      <c r="M11" s="70">
        <f>M9*M10</f>
        <v>0.28046457204096786</v>
      </c>
    </row>
    <row r="12" spans="2:16" x14ac:dyDescent="0.25">
      <c r="B12" s="8" t="s">
        <v>25</v>
      </c>
      <c r="C12" s="8" t="s">
        <v>13</v>
      </c>
      <c r="E12" s="20" t="s">
        <v>308</v>
      </c>
      <c r="F12" s="71" t="b">
        <f>F8*F7&gt;5</f>
        <v>1</v>
      </c>
      <c r="G12" s="71" t="b">
        <f>G8*G7&gt;5</f>
        <v>1</v>
      </c>
    </row>
    <row r="13" spans="2:16" x14ac:dyDescent="0.25">
      <c r="B13" s="8" t="s">
        <v>25</v>
      </c>
      <c r="C13" s="8" t="s">
        <v>13</v>
      </c>
      <c r="E13" s="20" t="s">
        <v>165</v>
      </c>
      <c r="F13" s="71" t="b">
        <f>F9*F7&gt;5</f>
        <v>1</v>
      </c>
      <c r="G13" s="71" t="b">
        <f>G9*G7&gt;5</f>
        <v>1</v>
      </c>
    </row>
    <row r="14" spans="2:16" x14ac:dyDescent="0.25">
      <c r="B14" s="8" t="s">
        <v>25</v>
      </c>
      <c r="C14" s="8" t="s">
        <v>13</v>
      </c>
    </row>
    <row r="15" spans="2:16" x14ac:dyDescent="0.25">
      <c r="B15" s="8" t="s">
        <v>25</v>
      </c>
      <c r="C15" s="8" t="s">
        <v>13</v>
      </c>
    </row>
    <row r="16" spans="2:16" x14ac:dyDescent="0.25">
      <c r="B16" s="8" t="s">
        <v>25</v>
      </c>
      <c r="C16" s="8" t="s">
        <v>14</v>
      </c>
    </row>
    <row r="17" spans="2:3" x14ac:dyDescent="0.25">
      <c r="B17" s="8" t="s">
        <v>25</v>
      </c>
      <c r="C17" s="8" t="s">
        <v>13</v>
      </c>
    </row>
    <row r="18" spans="2:3" x14ac:dyDescent="0.25">
      <c r="B18" s="8" t="s">
        <v>25</v>
      </c>
      <c r="C18" s="8" t="s">
        <v>14</v>
      </c>
    </row>
    <row r="19" spans="2:3" x14ac:dyDescent="0.25">
      <c r="B19" s="8" t="s">
        <v>25</v>
      </c>
      <c r="C19" s="8" t="s">
        <v>13</v>
      </c>
    </row>
    <row r="20" spans="2:3" x14ac:dyDescent="0.25">
      <c r="B20" s="8" t="s">
        <v>25</v>
      </c>
      <c r="C20" s="8" t="s">
        <v>13</v>
      </c>
    </row>
    <row r="21" spans="2:3" x14ac:dyDescent="0.25">
      <c r="B21" s="8" t="s">
        <v>25</v>
      </c>
      <c r="C21" s="8" t="s">
        <v>13</v>
      </c>
    </row>
    <row r="22" spans="2:3" x14ac:dyDescent="0.25">
      <c r="B22" s="8" t="s">
        <v>27</v>
      </c>
      <c r="C22" s="8" t="s">
        <v>14</v>
      </c>
    </row>
    <row r="23" spans="2:3" x14ac:dyDescent="0.25">
      <c r="B23" s="8" t="s">
        <v>25</v>
      </c>
      <c r="C23" s="8" t="s">
        <v>13</v>
      </c>
    </row>
    <row r="24" spans="2:3" x14ac:dyDescent="0.25">
      <c r="B24" s="8" t="s">
        <v>25</v>
      </c>
      <c r="C24" s="8" t="s">
        <v>14</v>
      </c>
    </row>
    <row r="25" spans="2:3" x14ac:dyDescent="0.25">
      <c r="B25" s="8" t="s">
        <v>25</v>
      </c>
      <c r="C25" s="8" t="s">
        <v>14</v>
      </c>
    </row>
    <row r="26" spans="2:3" x14ac:dyDescent="0.25">
      <c r="B26" s="8" t="s">
        <v>25</v>
      </c>
      <c r="C26" s="8" t="s">
        <v>14</v>
      </c>
    </row>
    <row r="27" spans="2:3" x14ac:dyDescent="0.25">
      <c r="B27" s="8" t="s">
        <v>25</v>
      </c>
      <c r="C27" s="8" t="s">
        <v>13</v>
      </c>
    </row>
    <row r="28" spans="2:3" x14ac:dyDescent="0.25">
      <c r="B28" s="8" t="s">
        <v>25</v>
      </c>
      <c r="C28" s="8" t="s">
        <v>14</v>
      </c>
    </row>
    <row r="29" spans="2:3" x14ac:dyDescent="0.25">
      <c r="B29" s="8" t="s">
        <v>25</v>
      </c>
      <c r="C29" s="8" t="s">
        <v>14</v>
      </c>
    </row>
    <row r="30" spans="2:3" x14ac:dyDescent="0.25">
      <c r="B30" s="8" t="s">
        <v>25</v>
      </c>
      <c r="C30" s="8" t="s">
        <v>13</v>
      </c>
    </row>
    <row r="31" spans="2:3" x14ac:dyDescent="0.25">
      <c r="B31" s="8" t="s">
        <v>25</v>
      </c>
      <c r="C31" s="8" t="s">
        <v>13</v>
      </c>
    </row>
    <row r="32" spans="2:3" x14ac:dyDescent="0.25">
      <c r="B32" s="8" t="s">
        <v>25</v>
      </c>
      <c r="C32" s="8" t="s">
        <v>13</v>
      </c>
    </row>
    <row r="33" spans="2:3" x14ac:dyDescent="0.25">
      <c r="B33" s="8" t="s">
        <v>25</v>
      </c>
      <c r="C33" s="8" t="s">
        <v>14</v>
      </c>
    </row>
    <row r="34" spans="2:3" x14ac:dyDescent="0.25">
      <c r="B34" s="8" t="s">
        <v>25</v>
      </c>
      <c r="C34" s="8" t="s">
        <v>14</v>
      </c>
    </row>
    <row r="35" spans="2:3" x14ac:dyDescent="0.25">
      <c r="B35" s="8" t="s">
        <v>25</v>
      </c>
      <c r="C35" s="8" t="s">
        <v>13</v>
      </c>
    </row>
    <row r="36" spans="2:3" x14ac:dyDescent="0.25">
      <c r="B36" s="8" t="s">
        <v>25</v>
      </c>
      <c r="C36" s="8" t="s">
        <v>14</v>
      </c>
    </row>
    <row r="37" spans="2:3" x14ac:dyDescent="0.25">
      <c r="B37" s="8" t="s">
        <v>25</v>
      </c>
      <c r="C37" s="8" t="s">
        <v>14</v>
      </c>
    </row>
    <row r="38" spans="2:3" x14ac:dyDescent="0.25">
      <c r="B38" s="8" t="s">
        <v>25</v>
      </c>
      <c r="C38" s="8" t="s">
        <v>14</v>
      </c>
    </row>
    <row r="39" spans="2:3" x14ac:dyDescent="0.25">
      <c r="B39" s="8" t="s">
        <v>27</v>
      </c>
      <c r="C39" s="8" t="s">
        <v>13</v>
      </c>
    </row>
    <row r="40" spans="2:3" x14ac:dyDescent="0.25">
      <c r="B40" s="8" t="s">
        <v>25</v>
      </c>
      <c r="C40" s="8" t="s">
        <v>14</v>
      </c>
    </row>
    <row r="41" spans="2:3" x14ac:dyDescent="0.25">
      <c r="B41" s="8" t="s">
        <v>25</v>
      </c>
      <c r="C41" s="8" t="s">
        <v>13</v>
      </c>
    </row>
    <row r="42" spans="2:3" x14ac:dyDescent="0.25">
      <c r="B42" s="8" t="s">
        <v>27</v>
      </c>
      <c r="C42" s="8" t="s">
        <v>13</v>
      </c>
    </row>
    <row r="43" spans="2:3" x14ac:dyDescent="0.25">
      <c r="B43" s="8" t="s">
        <v>25</v>
      </c>
      <c r="C43" s="8" t="s">
        <v>14</v>
      </c>
    </row>
    <row r="44" spans="2:3" x14ac:dyDescent="0.25">
      <c r="B44" s="8" t="s">
        <v>25</v>
      </c>
      <c r="C44" s="8" t="s">
        <v>14</v>
      </c>
    </row>
    <row r="45" spans="2:3" x14ac:dyDescent="0.25">
      <c r="B45" s="8" t="s">
        <v>27</v>
      </c>
      <c r="C45" s="8" t="s">
        <v>14</v>
      </c>
    </row>
    <row r="46" spans="2:3" x14ac:dyDescent="0.25">
      <c r="B46" s="8" t="s">
        <v>25</v>
      </c>
      <c r="C46" s="8" t="s">
        <v>13</v>
      </c>
    </row>
    <row r="47" spans="2:3" x14ac:dyDescent="0.25">
      <c r="B47" s="8" t="s">
        <v>27</v>
      </c>
      <c r="C47" s="8" t="s">
        <v>13</v>
      </c>
    </row>
    <row r="48" spans="2:3" x14ac:dyDescent="0.25">
      <c r="B48" s="8" t="s">
        <v>27</v>
      </c>
      <c r="C48" s="8" t="s">
        <v>13</v>
      </c>
    </row>
    <row r="49" spans="2:3" x14ac:dyDescent="0.25">
      <c r="B49" s="8" t="s">
        <v>25</v>
      </c>
      <c r="C49" s="8" t="s">
        <v>14</v>
      </c>
    </row>
    <row r="50" spans="2:3" x14ac:dyDescent="0.25">
      <c r="B50" s="8" t="s">
        <v>25</v>
      </c>
      <c r="C50" s="8" t="s">
        <v>13</v>
      </c>
    </row>
    <row r="51" spans="2:3" x14ac:dyDescent="0.25">
      <c r="B51" s="8" t="s">
        <v>27</v>
      </c>
      <c r="C51" s="8" t="s">
        <v>14</v>
      </c>
    </row>
    <row r="52" spans="2:3" x14ac:dyDescent="0.25">
      <c r="B52" s="8" t="s">
        <v>25</v>
      </c>
      <c r="C52" s="8" t="s">
        <v>13</v>
      </c>
    </row>
    <row r="53" spans="2:3" x14ac:dyDescent="0.25">
      <c r="B53" s="8" t="s">
        <v>25</v>
      </c>
      <c r="C53" s="8" t="s">
        <v>14</v>
      </c>
    </row>
    <row r="54" spans="2:3" x14ac:dyDescent="0.25">
      <c r="B54" s="8" t="s">
        <v>25</v>
      </c>
      <c r="C54" s="8" t="s">
        <v>13</v>
      </c>
    </row>
    <row r="55" spans="2:3" x14ac:dyDescent="0.25">
      <c r="B55" s="8" t="s">
        <v>25</v>
      </c>
      <c r="C55" s="8" t="s">
        <v>13</v>
      </c>
    </row>
    <row r="56" spans="2:3" x14ac:dyDescent="0.25">
      <c r="B56" s="8" t="s">
        <v>27</v>
      </c>
      <c r="C56" s="8" t="s">
        <v>13</v>
      </c>
    </row>
    <row r="57" spans="2:3" x14ac:dyDescent="0.25">
      <c r="B57" s="8" t="s">
        <v>25</v>
      </c>
      <c r="C57" s="8" t="s">
        <v>14</v>
      </c>
    </row>
    <row r="58" spans="2:3" x14ac:dyDescent="0.25">
      <c r="B58" s="8" t="s">
        <v>27</v>
      </c>
      <c r="C58" s="8" t="s">
        <v>13</v>
      </c>
    </row>
    <row r="59" spans="2:3" x14ac:dyDescent="0.25">
      <c r="B59" s="8" t="s">
        <v>27</v>
      </c>
      <c r="C59" s="8" t="s">
        <v>13</v>
      </c>
    </row>
    <row r="60" spans="2:3" x14ac:dyDescent="0.25">
      <c r="B60" s="8" t="s">
        <v>27</v>
      </c>
      <c r="C60" s="8" t="s">
        <v>13</v>
      </c>
    </row>
    <row r="61" spans="2:3" x14ac:dyDescent="0.25">
      <c r="B61" s="8" t="s">
        <v>25</v>
      </c>
      <c r="C61" s="8" t="s">
        <v>13</v>
      </c>
    </row>
    <row r="62" spans="2:3" x14ac:dyDescent="0.25">
      <c r="B62" s="8" t="s">
        <v>27</v>
      </c>
      <c r="C62" s="8" t="s">
        <v>13</v>
      </c>
    </row>
    <row r="63" spans="2:3" x14ac:dyDescent="0.25">
      <c r="B63" s="8" t="s">
        <v>27</v>
      </c>
      <c r="C63" s="8" t="s">
        <v>13</v>
      </c>
    </row>
    <row r="64" spans="2:3" x14ac:dyDescent="0.25">
      <c r="B64" s="8" t="s">
        <v>27</v>
      </c>
      <c r="C64" s="8" t="s">
        <v>13</v>
      </c>
    </row>
    <row r="65" spans="2:3" x14ac:dyDescent="0.25">
      <c r="B65" s="8" t="s">
        <v>25</v>
      </c>
      <c r="C65" s="8" t="s">
        <v>13</v>
      </c>
    </row>
    <row r="66" spans="2:3" x14ac:dyDescent="0.25">
      <c r="B66" s="8" t="s">
        <v>25</v>
      </c>
      <c r="C66" s="8" t="s">
        <v>13</v>
      </c>
    </row>
    <row r="67" spans="2:3" x14ac:dyDescent="0.25">
      <c r="B67" s="8" t="s">
        <v>25</v>
      </c>
      <c r="C67" s="8" t="s">
        <v>14</v>
      </c>
    </row>
    <row r="68" spans="2:3" x14ac:dyDescent="0.25">
      <c r="B68" s="8" t="s">
        <v>25</v>
      </c>
      <c r="C68" s="8" t="s">
        <v>13</v>
      </c>
    </row>
    <row r="69" spans="2:3" x14ac:dyDescent="0.25">
      <c r="B69" s="8" t="s">
        <v>25</v>
      </c>
      <c r="C69" s="8" t="s">
        <v>13</v>
      </c>
    </row>
    <row r="70" spans="2:3" x14ac:dyDescent="0.25">
      <c r="B70" s="8" t="s">
        <v>27</v>
      </c>
      <c r="C70" s="8" t="s">
        <v>14</v>
      </c>
    </row>
    <row r="71" spans="2:3" x14ac:dyDescent="0.25">
      <c r="B71" s="8" t="s">
        <v>27</v>
      </c>
      <c r="C71" s="8" t="s">
        <v>14</v>
      </c>
    </row>
    <row r="72" spans="2:3" x14ac:dyDescent="0.25">
      <c r="B72" s="8" t="s">
        <v>27</v>
      </c>
      <c r="C72" s="8" t="s">
        <v>13</v>
      </c>
    </row>
    <row r="73" spans="2:3" x14ac:dyDescent="0.25">
      <c r="B73" s="8" t="s">
        <v>25</v>
      </c>
      <c r="C73" s="8" t="s">
        <v>14</v>
      </c>
    </row>
    <row r="74" spans="2:3" x14ac:dyDescent="0.25">
      <c r="B74" s="8" t="s">
        <v>27</v>
      </c>
      <c r="C74" s="8" t="s">
        <v>13</v>
      </c>
    </row>
    <row r="75" spans="2:3" x14ac:dyDescent="0.25">
      <c r="B75" s="8" t="s">
        <v>25</v>
      </c>
      <c r="C75" s="8" t="s">
        <v>14</v>
      </c>
    </row>
    <row r="76" spans="2:3" x14ac:dyDescent="0.25">
      <c r="B76" s="8" t="s">
        <v>27</v>
      </c>
      <c r="C76" s="8" t="s">
        <v>13</v>
      </c>
    </row>
    <row r="77" spans="2:3" x14ac:dyDescent="0.25">
      <c r="B77" s="8" t="s">
        <v>27</v>
      </c>
      <c r="C77" s="8" t="s">
        <v>14</v>
      </c>
    </row>
    <row r="78" spans="2:3" x14ac:dyDescent="0.25">
      <c r="B78" s="8" t="s">
        <v>25</v>
      </c>
      <c r="C78" s="8" t="s">
        <v>14</v>
      </c>
    </row>
    <row r="79" spans="2:3" x14ac:dyDescent="0.25">
      <c r="B79" s="8" t="s">
        <v>25</v>
      </c>
      <c r="C79" s="8" t="s">
        <v>14</v>
      </c>
    </row>
    <row r="80" spans="2:3" x14ac:dyDescent="0.25">
      <c r="B80" s="8" t="s">
        <v>25</v>
      </c>
      <c r="C80" s="8" t="s">
        <v>13</v>
      </c>
    </row>
    <row r="81" spans="2:3" x14ac:dyDescent="0.25">
      <c r="B81" s="8" t="s">
        <v>25</v>
      </c>
      <c r="C81" s="8" t="s">
        <v>14</v>
      </c>
    </row>
    <row r="82" spans="2:3" x14ac:dyDescent="0.25">
      <c r="B82" s="8" t="s">
        <v>25</v>
      </c>
      <c r="C82" s="8" t="s">
        <v>14</v>
      </c>
    </row>
    <row r="83" spans="2:3" x14ac:dyDescent="0.25">
      <c r="B83" s="8" t="s">
        <v>25</v>
      </c>
      <c r="C83" s="8" t="s">
        <v>13</v>
      </c>
    </row>
    <row r="84" spans="2:3" x14ac:dyDescent="0.25">
      <c r="B84" s="8" t="s">
        <v>25</v>
      </c>
      <c r="C84" s="8" t="s">
        <v>13</v>
      </c>
    </row>
    <row r="85" spans="2:3" x14ac:dyDescent="0.25">
      <c r="B85" s="8" t="s">
        <v>25</v>
      </c>
      <c r="C85" s="8" t="s">
        <v>14</v>
      </c>
    </row>
    <row r="86" spans="2:3" x14ac:dyDescent="0.25">
      <c r="B86" s="8" t="s">
        <v>25</v>
      </c>
      <c r="C86" s="8" t="s">
        <v>14</v>
      </c>
    </row>
    <row r="87" spans="2:3" x14ac:dyDescent="0.25">
      <c r="B87" s="8" t="s">
        <v>25</v>
      </c>
      <c r="C87" s="8" t="s">
        <v>13</v>
      </c>
    </row>
    <row r="88" spans="2:3" x14ac:dyDescent="0.25">
      <c r="B88" s="8" t="s">
        <v>25</v>
      </c>
      <c r="C88" s="8" t="s">
        <v>14</v>
      </c>
    </row>
    <row r="89" spans="2:3" x14ac:dyDescent="0.25">
      <c r="B89" s="8" t="s">
        <v>25</v>
      </c>
      <c r="C89" s="8" t="s">
        <v>13</v>
      </c>
    </row>
    <row r="90" spans="2:3" x14ac:dyDescent="0.25">
      <c r="B90" s="8" t="s">
        <v>27</v>
      </c>
      <c r="C90" s="8" t="s">
        <v>13</v>
      </c>
    </row>
    <row r="91" spans="2:3" x14ac:dyDescent="0.25">
      <c r="B91" s="8" t="s">
        <v>27</v>
      </c>
      <c r="C91" s="8" t="s">
        <v>13</v>
      </c>
    </row>
    <row r="92" spans="2:3" x14ac:dyDescent="0.25">
      <c r="B92" s="8" t="s">
        <v>25</v>
      </c>
      <c r="C92" s="8" t="s">
        <v>13</v>
      </c>
    </row>
    <row r="93" spans="2:3" x14ac:dyDescent="0.25">
      <c r="B93" s="8" t="s">
        <v>25</v>
      </c>
      <c r="C93" s="8" t="s">
        <v>14</v>
      </c>
    </row>
    <row r="94" spans="2:3" x14ac:dyDescent="0.25">
      <c r="B94" s="8" t="s">
        <v>25</v>
      </c>
      <c r="C94" s="8" t="s">
        <v>13</v>
      </c>
    </row>
    <row r="95" spans="2:3" x14ac:dyDescent="0.25">
      <c r="B95" s="8" t="s">
        <v>25</v>
      </c>
      <c r="C95" s="8" t="s">
        <v>14</v>
      </c>
    </row>
    <row r="96" spans="2:3" x14ac:dyDescent="0.25">
      <c r="B96" s="8" t="s">
        <v>25</v>
      </c>
      <c r="C96" s="8" t="s">
        <v>13</v>
      </c>
    </row>
    <row r="97" spans="2:3" x14ac:dyDescent="0.25">
      <c r="B97" s="8" t="s">
        <v>25</v>
      </c>
      <c r="C97" s="8" t="s">
        <v>13</v>
      </c>
    </row>
    <row r="98" spans="2:3" x14ac:dyDescent="0.25">
      <c r="B98" s="8" t="s">
        <v>25</v>
      </c>
      <c r="C98" s="8" t="s">
        <v>14</v>
      </c>
    </row>
    <row r="99" spans="2:3" x14ac:dyDescent="0.25">
      <c r="B99" s="8" t="s">
        <v>25</v>
      </c>
      <c r="C99" s="8" t="s">
        <v>13</v>
      </c>
    </row>
    <row r="100" spans="2:3" x14ac:dyDescent="0.25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G13" sqref="G13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</cols>
  <sheetData>
    <row r="1" spans="2:7" ht="25.5" customHeight="1" x14ac:dyDescent="0.3">
      <c r="B1" s="18" t="s">
        <v>205</v>
      </c>
    </row>
    <row r="2" spans="2:7" ht="15" customHeight="1" x14ac:dyDescent="0.25">
      <c r="B2" s="30" t="s">
        <v>191</v>
      </c>
    </row>
    <row r="3" spans="2:7" ht="18" customHeight="1" x14ac:dyDescent="0.25"/>
    <row r="4" spans="2:7" x14ac:dyDescent="0.25">
      <c r="D4" s="3"/>
    </row>
    <row r="5" spans="2:7" x14ac:dyDescent="0.25">
      <c r="B5" s="7" t="s">
        <v>23</v>
      </c>
      <c r="D5" s="110" t="s">
        <v>199</v>
      </c>
      <c r="E5" s="110"/>
      <c r="F5" s="110"/>
      <c r="G5" s="110"/>
    </row>
    <row r="6" spans="2:7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</row>
    <row r="7" spans="2:7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</row>
    <row r="8" spans="2:7" x14ac:dyDescent="0.25">
      <c r="B8" s="8">
        <v>119</v>
      </c>
      <c r="D8" s="20"/>
      <c r="E8" s="36"/>
      <c r="F8" s="36"/>
      <c r="G8" s="36"/>
    </row>
    <row r="9" spans="2:7" x14ac:dyDescent="0.25">
      <c r="B9" s="8">
        <v>334</v>
      </c>
      <c r="D9" s="20"/>
      <c r="E9" s="37"/>
      <c r="F9" s="37"/>
      <c r="G9" s="37"/>
    </row>
    <row r="10" spans="2:7" x14ac:dyDescent="0.25">
      <c r="B10" s="8">
        <v>252</v>
      </c>
      <c r="D10" s="20"/>
      <c r="E10" s="22"/>
      <c r="F10" s="22"/>
      <c r="G10" s="22"/>
    </row>
    <row r="11" spans="2:7" x14ac:dyDescent="0.25">
      <c r="B11" s="8">
        <v>209</v>
      </c>
      <c r="D11" s="20"/>
      <c r="E11" s="22"/>
      <c r="F11" s="22"/>
      <c r="G11" s="22"/>
    </row>
    <row r="12" spans="2:7" x14ac:dyDescent="0.25">
      <c r="B12" s="8">
        <v>462</v>
      </c>
    </row>
    <row r="13" spans="2:7" x14ac:dyDescent="0.25">
      <c r="B13" s="8">
        <v>342</v>
      </c>
    </row>
    <row r="14" spans="2:7" x14ac:dyDescent="0.25">
      <c r="B14" s="8">
        <v>347</v>
      </c>
    </row>
    <row r="15" spans="2:7" x14ac:dyDescent="0.25">
      <c r="B15" s="8">
        <v>313</v>
      </c>
    </row>
    <row r="16" spans="2:7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topLeftCell="B1" workbookViewId="0">
      <selection activeCell="J7" sqref="J7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</cols>
  <sheetData>
    <row r="1" spans="2:10" ht="25.5" customHeight="1" x14ac:dyDescent="0.3">
      <c r="B1" s="18" t="s">
        <v>205</v>
      </c>
    </row>
    <row r="2" spans="2:10" ht="15" customHeight="1" x14ac:dyDescent="0.25">
      <c r="B2" s="30" t="s">
        <v>192</v>
      </c>
    </row>
    <row r="3" spans="2:10" ht="18" customHeight="1" x14ac:dyDescent="0.25"/>
    <row r="4" spans="2:10" x14ac:dyDescent="0.25">
      <c r="D4" s="3"/>
    </row>
    <row r="5" spans="2:10" x14ac:dyDescent="0.25">
      <c r="B5" s="7" t="s">
        <v>23</v>
      </c>
      <c r="D5" s="110" t="s">
        <v>199</v>
      </c>
      <c r="E5" s="110"/>
      <c r="F5" s="110"/>
      <c r="G5" s="110"/>
      <c r="I5" s="110" t="s">
        <v>201</v>
      </c>
      <c r="J5" s="110"/>
    </row>
    <row r="6" spans="2:10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</row>
    <row r="7" spans="2:10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</row>
    <row r="8" spans="2:10" x14ac:dyDescent="0.25">
      <c r="B8" s="8">
        <v>119</v>
      </c>
      <c r="D8" s="20"/>
      <c r="E8" s="36"/>
      <c r="F8" s="36"/>
      <c r="G8" s="36"/>
    </row>
    <row r="9" spans="2:10" x14ac:dyDescent="0.25">
      <c r="B9" s="8">
        <v>334</v>
      </c>
      <c r="D9" s="20"/>
      <c r="E9" s="37"/>
      <c r="F9" s="37"/>
      <c r="G9" s="37"/>
    </row>
    <row r="10" spans="2:10" x14ac:dyDescent="0.25">
      <c r="B10" s="8">
        <v>252</v>
      </c>
      <c r="D10" s="20"/>
      <c r="E10" s="22"/>
      <c r="F10" s="22"/>
      <c r="G10" s="22"/>
    </row>
    <row r="11" spans="2:10" x14ac:dyDescent="0.25">
      <c r="B11" s="8">
        <v>209</v>
      </c>
      <c r="D11" s="20"/>
      <c r="E11" s="22"/>
      <c r="F11" s="22"/>
      <c r="G11" s="22"/>
    </row>
    <row r="12" spans="2:10" x14ac:dyDescent="0.25">
      <c r="B12" s="8">
        <v>462</v>
      </c>
    </row>
    <row r="13" spans="2:10" x14ac:dyDescent="0.25">
      <c r="B13" s="8">
        <v>342</v>
      </c>
    </row>
    <row r="14" spans="2:10" x14ac:dyDescent="0.25">
      <c r="B14" s="8">
        <v>347</v>
      </c>
    </row>
    <row r="15" spans="2:10" x14ac:dyDescent="0.25">
      <c r="B15" s="8">
        <v>313</v>
      </c>
    </row>
    <row r="16" spans="2:10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topLeftCell="J3" workbookViewId="0">
      <selection activeCell="P8" sqref="P8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</cols>
  <sheetData>
    <row r="1" spans="2:16" ht="25.5" customHeight="1" x14ac:dyDescent="0.3">
      <c r="B1" s="18" t="s">
        <v>205</v>
      </c>
    </row>
    <row r="2" spans="2:16" ht="15" customHeight="1" x14ac:dyDescent="0.25">
      <c r="B2" s="30" t="s">
        <v>193</v>
      </c>
    </row>
    <row r="3" spans="2:16" ht="18" customHeight="1" x14ac:dyDescent="0.25"/>
    <row r="4" spans="2:16" x14ac:dyDescent="0.25">
      <c r="D4" s="3"/>
      <c r="L4" s="3" t="s">
        <v>54</v>
      </c>
      <c r="O4" s="3" t="s">
        <v>54</v>
      </c>
    </row>
    <row r="5" spans="2:16" x14ac:dyDescent="0.25">
      <c r="B5" s="7" t="s">
        <v>23</v>
      </c>
      <c r="D5" s="110" t="s">
        <v>199</v>
      </c>
      <c r="E5" s="110"/>
      <c r="F5" s="110"/>
      <c r="G5" s="110"/>
      <c r="I5" s="110" t="s">
        <v>201</v>
      </c>
      <c r="J5" s="110"/>
      <c r="L5" s="108" t="s">
        <v>139</v>
      </c>
      <c r="M5" s="108"/>
      <c r="O5" s="108" t="s">
        <v>204</v>
      </c>
      <c r="P5" s="108"/>
    </row>
    <row r="6" spans="2:16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AVERAGE(B5:B100)</f>
        <v>289.34736842105264</v>
      </c>
      <c r="O7" s="20" t="s">
        <v>202</v>
      </c>
      <c r="P7" s="91">
        <f>(M7-G6)/P6</f>
        <v>-1.1102207535295614</v>
      </c>
    </row>
    <row r="8" spans="2:16" x14ac:dyDescent="0.2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</row>
    <row r="9" spans="2:16" x14ac:dyDescent="0.25">
      <c r="B9" s="8">
        <v>334</v>
      </c>
      <c r="D9" s="20"/>
      <c r="E9" s="37"/>
      <c r="F9" s="37"/>
      <c r="G9" s="37"/>
    </row>
    <row r="10" spans="2:16" x14ac:dyDescent="0.25">
      <c r="B10" s="8">
        <v>252</v>
      </c>
      <c r="D10" s="20"/>
      <c r="E10" s="22"/>
      <c r="F10" s="22"/>
      <c r="G10" s="22"/>
    </row>
    <row r="11" spans="2:16" x14ac:dyDescent="0.25">
      <c r="B11" s="8">
        <v>209</v>
      </c>
      <c r="D11" s="20"/>
      <c r="E11" s="22"/>
      <c r="F11" s="22"/>
      <c r="G11" s="22"/>
    </row>
    <row r="12" spans="2:16" x14ac:dyDescent="0.25">
      <c r="B12" s="8">
        <v>462</v>
      </c>
    </row>
    <row r="13" spans="2:16" x14ac:dyDescent="0.25">
      <c r="B13" s="8">
        <v>342</v>
      </c>
    </row>
    <row r="14" spans="2:16" x14ac:dyDescent="0.25">
      <c r="B14" s="8">
        <v>347</v>
      </c>
    </row>
    <row r="15" spans="2:16" x14ac:dyDescent="0.25">
      <c r="B15" s="8">
        <v>313</v>
      </c>
    </row>
    <row r="16" spans="2:16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topLeftCell="J1" workbookViewId="0">
      <selection activeCell="P9" sqref="P9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</cols>
  <sheetData>
    <row r="1" spans="2:16" ht="25.5" customHeight="1" x14ac:dyDescent="0.3">
      <c r="B1" s="18" t="s">
        <v>205</v>
      </c>
    </row>
    <row r="2" spans="2:16" ht="15" customHeight="1" x14ac:dyDescent="0.25">
      <c r="B2" s="30" t="s">
        <v>194</v>
      </c>
    </row>
    <row r="3" spans="2:16" ht="18" customHeight="1" x14ac:dyDescent="0.25"/>
    <row r="4" spans="2:16" x14ac:dyDescent="0.25">
      <c r="D4" s="3"/>
      <c r="L4" s="3" t="s">
        <v>54</v>
      </c>
      <c r="O4" s="3" t="s">
        <v>54</v>
      </c>
    </row>
    <row r="5" spans="2:16" x14ac:dyDescent="0.25">
      <c r="B5" s="7" t="s">
        <v>23</v>
      </c>
      <c r="D5" s="110" t="s">
        <v>199</v>
      </c>
      <c r="E5" s="110"/>
      <c r="F5" s="110"/>
      <c r="G5" s="110"/>
      <c r="I5" s="110" t="s">
        <v>201</v>
      </c>
      <c r="J5" s="110"/>
      <c r="L5" s="108" t="s">
        <v>139</v>
      </c>
      <c r="M5" s="108"/>
      <c r="O5" s="108" t="s">
        <v>204</v>
      </c>
      <c r="P5" s="108"/>
    </row>
    <row r="6" spans="2:16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6" x14ac:dyDescent="0.2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</row>
    <row r="9" spans="2:16" x14ac:dyDescent="0.25">
      <c r="B9" s="8">
        <v>334</v>
      </c>
      <c r="D9" s="20"/>
      <c r="E9" s="37"/>
      <c r="F9" s="37"/>
      <c r="G9" s="37"/>
    </row>
    <row r="10" spans="2:16" x14ac:dyDescent="0.25">
      <c r="B10" s="8">
        <v>252</v>
      </c>
      <c r="D10" s="20"/>
      <c r="E10" s="22"/>
      <c r="F10" s="22"/>
      <c r="G10" s="22"/>
    </row>
    <row r="11" spans="2:16" x14ac:dyDescent="0.25">
      <c r="B11" s="8">
        <v>209</v>
      </c>
      <c r="D11" s="20"/>
      <c r="E11" s="22"/>
      <c r="F11" s="22"/>
      <c r="G11" s="22"/>
    </row>
    <row r="12" spans="2:16" x14ac:dyDescent="0.25">
      <c r="B12" s="8">
        <v>462</v>
      </c>
    </row>
    <row r="13" spans="2:16" x14ac:dyDescent="0.25">
      <c r="B13" s="8">
        <v>342</v>
      </c>
    </row>
    <row r="14" spans="2:16" x14ac:dyDescent="0.25">
      <c r="B14" s="8">
        <v>347</v>
      </c>
    </row>
    <row r="15" spans="2:16" x14ac:dyDescent="0.25">
      <c r="B15" s="8">
        <v>313</v>
      </c>
    </row>
    <row r="16" spans="2:16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topLeftCell="P1" workbookViewId="0">
      <selection activeCell="R6" sqref="R6:R11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  <col min="18" max="18" width="57.140625" customWidth="1"/>
  </cols>
  <sheetData>
    <row r="1" spans="2:18" ht="25.5" customHeight="1" x14ac:dyDescent="0.3">
      <c r="B1" s="18" t="s">
        <v>205</v>
      </c>
    </row>
    <row r="2" spans="2:18" ht="15" customHeight="1" x14ac:dyDescent="0.25">
      <c r="B2" s="30" t="s">
        <v>309</v>
      </c>
    </row>
    <row r="3" spans="2:18" ht="18" customHeight="1" x14ac:dyDescent="0.25"/>
    <row r="4" spans="2:18" x14ac:dyDescent="0.25">
      <c r="D4" s="3"/>
      <c r="L4" s="3" t="s">
        <v>54</v>
      </c>
      <c r="O4" s="3" t="s">
        <v>54</v>
      </c>
    </row>
    <row r="5" spans="2:18" x14ac:dyDescent="0.25">
      <c r="B5" s="7" t="s">
        <v>23</v>
      </c>
      <c r="D5" s="110" t="s">
        <v>199</v>
      </c>
      <c r="E5" s="110"/>
      <c r="F5" s="110"/>
      <c r="G5" s="110"/>
      <c r="I5" s="110" t="s">
        <v>201</v>
      </c>
      <c r="J5" s="110"/>
      <c r="L5" s="108" t="s">
        <v>139</v>
      </c>
      <c r="M5" s="108"/>
      <c r="O5" s="108" t="s">
        <v>204</v>
      </c>
      <c r="P5" s="108"/>
      <c r="R5" s="50" t="s">
        <v>203</v>
      </c>
    </row>
    <row r="6" spans="2:18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  <c r="R6" s="111" t="s">
        <v>337</v>
      </c>
    </row>
    <row r="7" spans="2:18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  <c r="R7" s="111"/>
    </row>
    <row r="8" spans="2:18" x14ac:dyDescent="0.2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  <c r="R8" s="111"/>
    </row>
    <row r="9" spans="2:18" x14ac:dyDescent="0.25">
      <c r="B9" s="8">
        <v>334</v>
      </c>
      <c r="D9" s="20"/>
      <c r="E9" s="37"/>
      <c r="F9" s="37"/>
      <c r="G9" s="37"/>
      <c r="R9" s="111"/>
    </row>
    <row r="10" spans="2:18" x14ac:dyDescent="0.25">
      <c r="B10" s="8">
        <v>252</v>
      </c>
      <c r="D10" s="20"/>
      <c r="E10" s="22"/>
      <c r="F10" s="22"/>
      <c r="G10" s="22"/>
      <c r="R10" s="111"/>
    </row>
    <row r="11" spans="2:18" x14ac:dyDescent="0.25">
      <c r="B11" s="8">
        <v>209</v>
      </c>
      <c r="D11" s="20"/>
      <c r="E11" s="22"/>
      <c r="F11" s="22"/>
      <c r="G11" s="22"/>
      <c r="R11" s="111"/>
    </row>
    <row r="12" spans="2:18" x14ac:dyDescent="0.25">
      <c r="B12" s="8">
        <v>462</v>
      </c>
    </row>
    <row r="13" spans="2:18" x14ac:dyDescent="0.25">
      <c r="B13" s="8">
        <v>342</v>
      </c>
    </row>
    <row r="14" spans="2:18" x14ac:dyDescent="0.25">
      <c r="B14" s="8">
        <v>347</v>
      </c>
    </row>
    <row r="15" spans="2:18" x14ac:dyDescent="0.25">
      <c r="B15" s="8">
        <v>313</v>
      </c>
    </row>
    <row r="16" spans="2:18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topLeftCell="P1" workbookViewId="0">
      <selection activeCell="R12" sqref="R12"/>
    </sheetView>
  </sheetViews>
  <sheetFormatPr defaultRowHeight="15" x14ac:dyDescent="0.25"/>
  <cols>
    <col min="1" max="1" width="2.85546875" customWidth="1"/>
    <col min="2" max="2" width="12.85546875" customWidth="1"/>
    <col min="4" max="4" width="6.5703125" customWidth="1"/>
    <col min="5" max="6" width="2.8554687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  <col min="18" max="18" width="57.140625" customWidth="1"/>
  </cols>
  <sheetData>
    <row r="1" spans="2:18" ht="25.5" customHeight="1" x14ac:dyDescent="0.3">
      <c r="B1" s="18" t="s">
        <v>310</v>
      </c>
    </row>
    <row r="2" spans="2:18" ht="15" customHeight="1" x14ac:dyDescent="0.25">
      <c r="B2" s="30" t="s">
        <v>206</v>
      </c>
    </row>
    <row r="3" spans="2:18" ht="18" customHeight="1" x14ac:dyDescent="0.25"/>
    <row r="4" spans="2:18" x14ac:dyDescent="0.25">
      <c r="D4" s="3"/>
      <c r="L4" s="3" t="s">
        <v>54</v>
      </c>
      <c r="O4" s="3" t="s">
        <v>54</v>
      </c>
    </row>
    <row r="5" spans="2:18" x14ac:dyDescent="0.25">
      <c r="B5" s="7" t="s">
        <v>77</v>
      </c>
      <c r="D5" s="110" t="s">
        <v>199</v>
      </c>
      <c r="E5" s="110"/>
      <c r="F5" s="110"/>
      <c r="G5" s="110"/>
      <c r="I5" s="110" t="s">
        <v>201</v>
      </c>
      <c r="J5" s="110"/>
      <c r="L5" s="108" t="s">
        <v>139</v>
      </c>
      <c r="M5" s="108"/>
      <c r="O5" s="108" t="s">
        <v>204</v>
      </c>
      <c r="P5" s="108"/>
      <c r="R5" s="50" t="s">
        <v>203</v>
      </c>
    </row>
    <row r="6" spans="2:18" x14ac:dyDescent="0.25">
      <c r="B6" s="8">
        <v>90.2</v>
      </c>
      <c r="D6" s="20" t="s">
        <v>195</v>
      </c>
      <c r="E6" s="89" t="s">
        <v>197</v>
      </c>
      <c r="F6" s="89" t="s">
        <v>198</v>
      </c>
      <c r="G6" s="90">
        <v>80</v>
      </c>
      <c r="I6" s="20" t="s">
        <v>143</v>
      </c>
      <c r="J6" s="71">
        <v>0.2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0.63310867376603175</v>
      </c>
      <c r="R6" s="111" t="s">
        <v>338</v>
      </c>
    </row>
    <row r="7" spans="2:18" x14ac:dyDescent="0.25">
      <c r="B7" s="8">
        <v>92.8</v>
      </c>
      <c r="D7" s="20" t="s">
        <v>196</v>
      </c>
      <c r="E7" s="89" t="s">
        <v>197</v>
      </c>
      <c r="F7" s="89" t="s">
        <v>200</v>
      </c>
      <c r="G7" s="90">
        <v>80</v>
      </c>
      <c r="I7" s="20"/>
      <c r="J7" s="1"/>
      <c r="L7" s="20" t="s">
        <v>46</v>
      </c>
      <c r="M7" s="72">
        <f>AVERAGE(B6:B100)</f>
        <v>80.169473684210516</v>
      </c>
      <c r="O7" s="20" t="s">
        <v>202</v>
      </c>
      <c r="P7" s="91">
        <f>(M7-G6)/P6</f>
        <v>0.26768498242553784</v>
      </c>
      <c r="R7" s="111"/>
    </row>
    <row r="8" spans="2:18" x14ac:dyDescent="0.25">
      <c r="B8" s="8">
        <v>68.7</v>
      </c>
      <c r="D8" s="20"/>
      <c r="E8" s="36"/>
      <c r="F8" s="36"/>
      <c r="G8" s="36"/>
      <c r="L8" s="20" t="s">
        <v>70</v>
      </c>
      <c r="M8" s="75">
        <f>_xlfn.STDEV.S(B6:B100)</f>
        <v>6.1707800411122609</v>
      </c>
      <c r="O8" s="20" t="s">
        <v>207</v>
      </c>
      <c r="P8" s="70">
        <f>(1-_xlfn.T.DIST(P7,M6-1,TRUE))*2</f>
        <v>0.78952829198210606</v>
      </c>
      <c r="R8" s="111"/>
    </row>
    <row r="9" spans="2:18" x14ac:dyDescent="0.25">
      <c r="B9" s="8">
        <v>80.7</v>
      </c>
      <c r="D9" s="20"/>
      <c r="E9" s="37"/>
      <c r="F9" s="37"/>
      <c r="G9" s="37"/>
      <c r="R9" s="111"/>
    </row>
    <row r="10" spans="2:18" x14ac:dyDescent="0.25">
      <c r="B10" s="8">
        <v>74.900000000000006</v>
      </c>
      <c r="D10" s="20"/>
      <c r="E10" s="22"/>
      <c r="F10" s="22"/>
      <c r="G10" s="22"/>
      <c r="R10" s="111"/>
    </row>
    <row r="11" spans="2:18" x14ac:dyDescent="0.25">
      <c r="B11" s="8">
        <v>80.7</v>
      </c>
      <c r="D11" s="20"/>
      <c r="E11" s="22"/>
      <c r="F11" s="22"/>
      <c r="G11" s="22"/>
      <c r="R11" s="111"/>
    </row>
    <row r="12" spans="2:18" x14ac:dyDescent="0.25">
      <c r="B12" s="8">
        <v>83.3</v>
      </c>
      <c r="R12" t="s">
        <v>130</v>
      </c>
    </row>
    <row r="13" spans="2:18" x14ac:dyDescent="0.25">
      <c r="B13" s="8">
        <v>88.7</v>
      </c>
    </row>
    <row r="14" spans="2:18" x14ac:dyDescent="0.25">
      <c r="B14" s="8">
        <v>75.400000000000006</v>
      </c>
    </row>
    <row r="15" spans="2:18" x14ac:dyDescent="0.25">
      <c r="B15" s="8">
        <v>82.1</v>
      </c>
    </row>
    <row r="16" spans="2:1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topLeftCell="C16" workbookViewId="0">
      <selection activeCell="S12" sqref="S12"/>
    </sheetView>
  </sheetViews>
  <sheetFormatPr defaultRowHeight="15" x14ac:dyDescent="0.25"/>
  <cols>
    <col min="1" max="1" width="2.85546875" customWidth="1"/>
    <col min="2" max="2" width="19.28515625" bestFit="1" customWidth="1"/>
    <col min="3" max="3" width="10.28515625" bestFit="1" customWidth="1"/>
    <col min="5" max="5" width="6.5703125" customWidth="1"/>
    <col min="6" max="7" width="2.85546875" customWidth="1"/>
    <col min="10" max="10" width="11.42578125" customWidth="1"/>
    <col min="13" max="13" width="12.140625" customWidth="1"/>
    <col min="14" max="14" width="11.42578125" customWidth="1"/>
    <col min="16" max="16" width="15.7109375" bestFit="1" customWidth="1"/>
    <col min="19" max="19" width="59" customWidth="1"/>
    <col min="21" max="22" width="0" hidden="1" customWidth="1"/>
  </cols>
  <sheetData>
    <row r="1" spans="2:22" ht="25.5" customHeight="1" x14ac:dyDescent="0.3">
      <c r="B1" s="18" t="s">
        <v>313</v>
      </c>
    </row>
    <row r="2" spans="2:22" ht="15" customHeight="1" x14ac:dyDescent="0.25">
      <c r="B2" s="30" t="s">
        <v>211</v>
      </c>
    </row>
    <row r="3" spans="2:22" ht="18" customHeight="1" x14ac:dyDescent="0.25"/>
    <row r="4" spans="2:22" x14ac:dyDescent="0.25">
      <c r="E4" s="3"/>
      <c r="M4" s="3" t="s">
        <v>54</v>
      </c>
      <c r="P4" s="3" t="s">
        <v>54</v>
      </c>
    </row>
    <row r="5" spans="2:22" x14ac:dyDescent="0.25">
      <c r="B5" s="40" t="s">
        <v>23</v>
      </c>
      <c r="C5" s="41" t="s">
        <v>12</v>
      </c>
      <c r="E5" s="110" t="s">
        <v>199</v>
      </c>
      <c r="F5" s="110"/>
      <c r="G5" s="110"/>
      <c r="H5" s="110"/>
      <c r="J5" s="110" t="s">
        <v>201</v>
      </c>
      <c r="K5" s="110"/>
      <c r="M5" s="108" t="s">
        <v>139</v>
      </c>
      <c r="N5" s="108"/>
      <c r="P5" s="108" t="s">
        <v>204</v>
      </c>
      <c r="Q5" s="108"/>
      <c r="S5" s="50" t="s">
        <v>203</v>
      </c>
      <c r="U5" s="92" t="s">
        <v>209</v>
      </c>
      <c r="V5" t="s">
        <v>210</v>
      </c>
    </row>
    <row r="6" spans="2:22" x14ac:dyDescent="0.25">
      <c r="B6" s="51">
        <v>276</v>
      </c>
      <c r="C6" s="51" t="s">
        <v>13</v>
      </c>
      <c r="E6" s="20" t="s">
        <v>195</v>
      </c>
      <c r="F6" s="89" t="s">
        <v>197</v>
      </c>
      <c r="G6" s="89" t="s">
        <v>209</v>
      </c>
      <c r="H6" s="90">
        <v>300</v>
      </c>
      <c r="J6" s="20" t="s">
        <v>143</v>
      </c>
      <c r="K6" s="71">
        <v>0.15</v>
      </c>
      <c r="M6" s="20" t="s">
        <v>71</v>
      </c>
      <c r="N6" s="71">
        <f>COUNTIF(C6:C100,"Placed")</f>
        <v>53</v>
      </c>
      <c r="P6" s="20" t="s">
        <v>146</v>
      </c>
      <c r="Q6" s="75">
        <f>N8/SQRT(N6)</f>
        <v>11.879737349258281</v>
      </c>
      <c r="S6" s="111" t="s">
        <v>339</v>
      </c>
      <c r="U6" s="92" t="s">
        <v>311</v>
      </c>
      <c r="V6" t="s">
        <v>312</v>
      </c>
    </row>
    <row r="7" spans="2:22" x14ac:dyDescent="0.25">
      <c r="B7" s="8">
        <v>410</v>
      </c>
      <c r="C7" s="8" t="s">
        <v>14</v>
      </c>
      <c r="E7" s="20" t="s">
        <v>196</v>
      </c>
      <c r="F7" s="89" t="s">
        <v>197</v>
      </c>
      <c r="G7" s="89" t="s">
        <v>210</v>
      </c>
      <c r="H7" s="90">
        <v>300</v>
      </c>
      <c r="J7" s="20"/>
      <c r="K7" s="1"/>
      <c r="M7" s="20" t="s">
        <v>46</v>
      </c>
      <c r="N7" s="72">
        <f>AVERAGEIFS(B6:B100,C6:C100,"Placed")</f>
        <v>320.52830188679246</v>
      </c>
      <c r="P7" s="20" t="s">
        <v>202</v>
      </c>
      <c r="Q7" s="91">
        <f>(N7-H6)/Q6</f>
        <v>1.728009743251955</v>
      </c>
      <c r="S7" s="111"/>
    </row>
    <row r="8" spans="2:22" x14ac:dyDescent="0.25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 cm="1">
        <f t="array" ref="N8">_xlfn.STDEV.S(IF(C6:C100="Placed",B6:B100))</f>
        <v>86.485793358390339</v>
      </c>
      <c r="P8" s="20" t="s">
        <v>207</v>
      </c>
      <c r="Q8" s="70">
        <f>_xlfn.T.DIST.RT(Q7,N6-1)</f>
        <v>4.4960734951048485E-2</v>
      </c>
      <c r="S8" s="111"/>
    </row>
    <row r="9" spans="2:22" x14ac:dyDescent="0.25">
      <c r="B9" s="8">
        <v>334</v>
      </c>
      <c r="C9" s="8" t="s">
        <v>14</v>
      </c>
      <c r="E9" s="20"/>
      <c r="F9" s="37"/>
      <c r="G9" s="37"/>
      <c r="H9" s="37"/>
      <c r="S9" s="111"/>
    </row>
    <row r="10" spans="2:22" x14ac:dyDescent="0.25">
      <c r="B10" s="8">
        <v>252</v>
      </c>
      <c r="C10" s="8" t="s">
        <v>14</v>
      </c>
      <c r="E10" s="20"/>
      <c r="F10" s="22"/>
      <c r="G10" s="22"/>
      <c r="H10" s="22"/>
      <c r="S10" s="111"/>
    </row>
    <row r="11" spans="2:22" x14ac:dyDescent="0.25">
      <c r="B11" s="8">
        <v>209</v>
      </c>
      <c r="C11" s="8" t="s">
        <v>14</v>
      </c>
      <c r="E11" s="20"/>
      <c r="F11" s="22"/>
      <c r="G11" s="22"/>
      <c r="H11" s="22"/>
      <c r="S11" s="111"/>
    </row>
    <row r="12" spans="2:22" x14ac:dyDescent="0.25">
      <c r="B12" s="8">
        <v>462</v>
      </c>
      <c r="C12" s="8" t="s">
        <v>13</v>
      </c>
    </row>
    <row r="13" spans="2:22" x14ac:dyDescent="0.25">
      <c r="B13" s="8">
        <v>342</v>
      </c>
      <c r="C13" s="8" t="s">
        <v>13</v>
      </c>
    </row>
    <row r="14" spans="2:22" x14ac:dyDescent="0.25">
      <c r="B14" s="8">
        <v>347</v>
      </c>
      <c r="C14" s="8" t="s">
        <v>13</v>
      </c>
    </row>
    <row r="15" spans="2:22" x14ac:dyDescent="0.25">
      <c r="B15" s="8">
        <v>313</v>
      </c>
      <c r="C15" s="8" t="s">
        <v>13</v>
      </c>
    </row>
    <row r="16" spans="2:22" x14ac:dyDescent="0.25">
      <c r="B16" s="8">
        <v>232</v>
      </c>
      <c r="C16" s="8" t="s">
        <v>14</v>
      </c>
    </row>
    <row r="17" spans="2:3" x14ac:dyDescent="0.25">
      <c r="B17" s="8">
        <v>163</v>
      </c>
      <c r="C17" s="8" t="s">
        <v>13</v>
      </c>
    </row>
    <row r="18" spans="2:3" x14ac:dyDescent="0.25">
      <c r="B18" s="8">
        <v>119</v>
      </c>
      <c r="C18" s="8" t="s">
        <v>14</v>
      </c>
    </row>
    <row r="19" spans="2:3" x14ac:dyDescent="0.25">
      <c r="B19" s="8">
        <v>304</v>
      </c>
      <c r="C19" s="8" t="s">
        <v>13</v>
      </c>
    </row>
    <row r="20" spans="2:3" x14ac:dyDescent="0.25">
      <c r="B20" s="8">
        <v>211</v>
      </c>
      <c r="C20" s="8" t="s">
        <v>13</v>
      </c>
    </row>
    <row r="21" spans="2:3" x14ac:dyDescent="0.25">
      <c r="B21" s="8">
        <v>286</v>
      </c>
      <c r="C21" s="8" t="s">
        <v>13</v>
      </c>
    </row>
    <row r="22" spans="2:3" x14ac:dyDescent="0.25">
      <c r="B22" s="8">
        <v>122</v>
      </c>
      <c r="C22" s="8" t="s">
        <v>14</v>
      </c>
    </row>
    <row r="23" spans="2:3" x14ac:dyDescent="0.25">
      <c r="B23" s="8">
        <v>443</v>
      </c>
      <c r="C23" s="8" t="s">
        <v>13</v>
      </c>
    </row>
    <row r="24" spans="2:3" x14ac:dyDescent="0.25">
      <c r="B24" s="8">
        <v>366</v>
      </c>
      <c r="C24" s="8" t="s">
        <v>14</v>
      </c>
    </row>
    <row r="25" spans="2:3" x14ac:dyDescent="0.25">
      <c r="B25" s="8">
        <v>244</v>
      </c>
      <c r="C25" s="8" t="s">
        <v>14</v>
      </c>
    </row>
    <row r="26" spans="2:3" x14ac:dyDescent="0.25">
      <c r="B26" s="8">
        <v>241</v>
      </c>
      <c r="C26" s="8" t="s">
        <v>14</v>
      </c>
    </row>
    <row r="27" spans="2:3" x14ac:dyDescent="0.25">
      <c r="B27" s="8">
        <v>237</v>
      </c>
      <c r="C27" s="8" t="s">
        <v>13</v>
      </c>
    </row>
    <row r="28" spans="2:3" x14ac:dyDescent="0.25">
      <c r="B28" s="8">
        <v>122</v>
      </c>
      <c r="C28" s="8" t="s">
        <v>14</v>
      </c>
    </row>
    <row r="29" spans="2:3" x14ac:dyDescent="0.25">
      <c r="B29" s="8">
        <v>129</v>
      </c>
      <c r="C29" s="8" t="s">
        <v>14</v>
      </c>
    </row>
    <row r="30" spans="2:3" x14ac:dyDescent="0.25">
      <c r="B30" s="8">
        <v>236</v>
      </c>
      <c r="C30" s="8" t="s">
        <v>13</v>
      </c>
    </row>
    <row r="31" spans="2:3" x14ac:dyDescent="0.25">
      <c r="B31" s="8">
        <v>251</v>
      </c>
      <c r="C31" s="8" t="s">
        <v>13</v>
      </c>
    </row>
    <row r="32" spans="2:3" x14ac:dyDescent="0.25">
      <c r="B32" s="8">
        <v>283</v>
      </c>
      <c r="C32" s="8" t="s">
        <v>13</v>
      </c>
    </row>
    <row r="33" spans="2:3" x14ac:dyDescent="0.25">
      <c r="B33" s="8">
        <v>225</v>
      </c>
      <c r="C33" s="8" t="s">
        <v>14</v>
      </c>
    </row>
    <row r="34" spans="2:3" x14ac:dyDescent="0.25">
      <c r="B34" s="8">
        <v>102</v>
      </c>
      <c r="C34" s="8" t="s">
        <v>14</v>
      </c>
    </row>
    <row r="35" spans="2:3" x14ac:dyDescent="0.25">
      <c r="B35" s="8">
        <v>180</v>
      </c>
      <c r="C35" s="8" t="s">
        <v>13</v>
      </c>
    </row>
    <row r="36" spans="2:3" x14ac:dyDescent="0.25">
      <c r="B36" s="8">
        <v>247</v>
      </c>
      <c r="C36" s="8" t="s">
        <v>14</v>
      </c>
    </row>
    <row r="37" spans="2:3" x14ac:dyDescent="0.25">
      <c r="B37" s="8">
        <v>343</v>
      </c>
      <c r="C37" s="8" t="s">
        <v>14</v>
      </c>
    </row>
    <row r="38" spans="2:3" x14ac:dyDescent="0.25">
      <c r="B38" s="8">
        <v>283</v>
      </c>
      <c r="C38" s="8" t="s">
        <v>14</v>
      </c>
    </row>
    <row r="39" spans="2:3" x14ac:dyDescent="0.25">
      <c r="B39" s="8">
        <v>253</v>
      </c>
      <c r="C39" s="8" t="s">
        <v>13</v>
      </c>
    </row>
    <row r="40" spans="2:3" x14ac:dyDescent="0.25">
      <c r="B40" s="8">
        <v>263</v>
      </c>
      <c r="C40" s="8" t="s">
        <v>14</v>
      </c>
    </row>
    <row r="41" spans="2:3" x14ac:dyDescent="0.25">
      <c r="B41" s="8">
        <v>291</v>
      </c>
      <c r="C41" s="8" t="s">
        <v>13</v>
      </c>
    </row>
    <row r="42" spans="2:3" x14ac:dyDescent="0.25">
      <c r="B42" s="8">
        <v>368</v>
      </c>
      <c r="C42" s="8" t="s">
        <v>13</v>
      </c>
    </row>
    <row r="43" spans="2:3" x14ac:dyDescent="0.25">
      <c r="B43" s="8">
        <v>206</v>
      </c>
      <c r="C43" s="8" t="s">
        <v>14</v>
      </c>
    </row>
    <row r="44" spans="2:3" x14ac:dyDescent="0.25">
      <c r="B44" s="8">
        <v>231</v>
      </c>
      <c r="C44" s="8" t="s">
        <v>14</v>
      </c>
    </row>
    <row r="45" spans="2:3" x14ac:dyDescent="0.25">
      <c r="B45" s="8">
        <v>389</v>
      </c>
      <c r="C45" s="8" t="s">
        <v>14</v>
      </c>
    </row>
    <row r="46" spans="2:3" x14ac:dyDescent="0.25">
      <c r="B46" s="8">
        <v>396</v>
      </c>
      <c r="C46" s="8" t="s">
        <v>13</v>
      </c>
    </row>
    <row r="47" spans="2:3" x14ac:dyDescent="0.25">
      <c r="B47" s="8">
        <v>339</v>
      </c>
      <c r="C47" s="8" t="s">
        <v>13</v>
      </c>
    </row>
    <row r="48" spans="2:3" x14ac:dyDescent="0.25">
      <c r="B48" s="8">
        <v>286</v>
      </c>
      <c r="C48" s="8" t="s">
        <v>13</v>
      </c>
    </row>
    <row r="49" spans="2:3" x14ac:dyDescent="0.25">
      <c r="B49" s="8">
        <v>146</v>
      </c>
      <c r="C49" s="8" t="s">
        <v>14</v>
      </c>
    </row>
    <row r="50" spans="2:3" x14ac:dyDescent="0.25">
      <c r="B50" s="8">
        <v>315</v>
      </c>
      <c r="C50" s="8" t="s">
        <v>13</v>
      </c>
    </row>
    <row r="51" spans="2:3" x14ac:dyDescent="0.25">
      <c r="B51" s="8">
        <v>183</v>
      </c>
      <c r="C51" s="8" t="s">
        <v>14</v>
      </c>
    </row>
    <row r="52" spans="2:3" x14ac:dyDescent="0.25">
      <c r="B52" s="8">
        <v>481</v>
      </c>
      <c r="C52" s="8" t="s">
        <v>13</v>
      </c>
    </row>
    <row r="53" spans="2:3" x14ac:dyDescent="0.25">
      <c r="B53" s="8">
        <v>349</v>
      </c>
      <c r="C53" s="8" t="s">
        <v>14</v>
      </c>
    </row>
    <row r="54" spans="2:3" x14ac:dyDescent="0.25">
      <c r="B54" s="8">
        <v>225</v>
      </c>
      <c r="C54" s="8" t="s">
        <v>13</v>
      </c>
    </row>
    <row r="55" spans="2:3" x14ac:dyDescent="0.25">
      <c r="B55" s="8">
        <v>217</v>
      </c>
      <c r="C55" s="8" t="s">
        <v>13</v>
      </c>
    </row>
    <row r="56" spans="2:3" x14ac:dyDescent="0.25">
      <c r="B56" s="8">
        <v>353</v>
      </c>
      <c r="C56" s="8" t="s">
        <v>13</v>
      </c>
    </row>
    <row r="57" spans="2:3" x14ac:dyDescent="0.25">
      <c r="B57" s="8">
        <v>314</v>
      </c>
      <c r="C57" s="8" t="s">
        <v>14</v>
      </c>
    </row>
    <row r="58" spans="2:3" x14ac:dyDescent="0.25">
      <c r="B58" s="8">
        <v>247</v>
      </c>
      <c r="C58" s="8" t="s">
        <v>13</v>
      </c>
    </row>
    <row r="59" spans="2:3" x14ac:dyDescent="0.25">
      <c r="B59" s="8">
        <v>410</v>
      </c>
      <c r="C59" s="8" t="s">
        <v>13</v>
      </c>
    </row>
    <row r="60" spans="2:3" x14ac:dyDescent="0.25">
      <c r="B60" s="8">
        <v>395</v>
      </c>
      <c r="C60" s="8" t="s">
        <v>13</v>
      </c>
    </row>
    <row r="61" spans="2:3" x14ac:dyDescent="0.25">
      <c r="B61" s="8">
        <v>416</v>
      </c>
      <c r="C61" s="8" t="s">
        <v>13</v>
      </c>
    </row>
    <row r="62" spans="2:3" x14ac:dyDescent="0.25">
      <c r="B62" s="8">
        <v>342</v>
      </c>
      <c r="C62" s="8" t="s">
        <v>13</v>
      </c>
    </row>
    <row r="63" spans="2:3" x14ac:dyDescent="0.25">
      <c r="B63" s="8">
        <v>446</v>
      </c>
      <c r="C63" s="8" t="s">
        <v>13</v>
      </c>
    </row>
    <row r="64" spans="2:3" x14ac:dyDescent="0.25">
      <c r="B64" s="8">
        <v>477</v>
      </c>
      <c r="C64" s="8" t="s">
        <v>13</v>
      </c>
    </row>
    <row r="65" spans="2:3" x14ac:dyDescent="0.25">
      <c r="B65" s="8">
        <v>444</v>
      </c>
      <c r="C65" s="8" t="s">
        <v>13</v>
      </c>
    </row>
    <row r="66" spans="2:3" x14ac:dyDescent="0.25">
      <c r="B66" s="8">
        <v>351</v>
      </c>
      <c r="C66" s="8" t="s">
        <v>13</v>
      </c>
    </row>
    <row r="67" spans="2:3" x14ac:dyDescent="0.25">
      <c r="B67" s="8">
        <v>165</v>
      </c>
      <c r="C67" s="8" t="s">
        <v>14</v>
      </c>
    </row>
    <row r="68" spans="2:3" x14ac:dyDescent="0.25">
      <c r="B68" s="8">
        <v>317</v>
      </c>
      <c r="C68" s="8" t="s">
        <v>13</v>
      </c>
    </row>
    <row r="69" spans="2:3" x14ac:dyDescent="0.25">
      <c r="B69" s="8">
        <v>250</v>
      </c>
      <c r="C69" s="8" t="s">
        <v>13</v>
      </c>
    </row>
    <row r="70" spans="2:3" x14ac:dyDescent="0.25">
      <c r="B70" s="8">
        <v>217</v>
      </c>
      <c r="C70" s="8" t="s">
        <v>14</v>
      </c>
    </row>
    <row r="71" spans="2:3" x14ac:dyDescent="0.25">
      <c r="B71" s="8">
        <v>138</v>
      </c>
      <c r="C71" s="8" t="s">
        <v>14</v>
      </c>
    </row>
    <row r="72" spans="2:3" x14ac:dyDescent="0.25">
      <c r="B72" s="8">
        <v>302</v>
      </c>
      <c r="C72" s="8" t="s">
        <v>13</v>
      </c>
    </row>
    <row r="73" spans="2:3" x14ac:dyDescent="0.25">
      <c r="B73" s="8">
        <v>311</v>
      </c>
      <c r="C73" s="8" t="s">
        <v>14</v>
      </c>
    </row>
    <row r="74" spans="2:3" x14ac:dyDescent="0.25">
      <c r="B74" s="8">
        <v>373</v>
      </c>
      <c r="C74" s="8" t="s">
        <v>13</v>
      </c>
    </row>
    <row r="75" spans="2:3" x14ac:dyDescent="0.25">
      <c r="B75" s="8">
        <v>196</v>
      </c>
      <c r="C75" s="8" t="s">
        <v>14</v>
      </c>
    </row>
    <row r="76" spans="2:3" x14ac:dyDescent="0.25">
      <c r="B76" s="8">
        <v>306</v>
      </c>
      <c r="C76" s="8" t="s">
        <v>13</v>
      </c>
    </row>
    <row r="77" spans="2:3" x14ac:dyDescent="0.25">
      <c r="B77" s="8">
        <v>302</v>
      </c>
      <c r="C77" s="8" t="s">
        <v>14</v>
      </c>
    </row>
    <row r="78" spans="2:3" x14ac:dyDescent="0.25">
      <c r="B78" s="8">
        <v>278</v>
      </c>
      <c r="C78" s="8" t="s">
        <v>14</v>
      </c>
    </row>
    <row r="79" spans="2:3" x14ac:dyDescent="0.25">
      <c r="B79" s="8">
        <v>429</v>
      </c>
      <c r="C79" s="8" t="s">
        <v>14</v>
      </c>
    </row>
    <row r="80" spans="2:3" x14ac:dyDescent="0.25">
      <c r="B80" s="8">
        <v>338</v>
      </c>
      <c r="C80" s="8" t="s">
        <v>13</v>
      </c>
    </row>
    <row r="81" spans="2:3" x14ac:dyDescent="0.25">
      <c r="B81" s="8">
        <v>261</v>
      </c>
      <c r="C81" s="8" t="s">
        <v>14</v>
      </c>
    </row>
    <row r="82" spans="2:3" x14ac:dyDescent="0.25">
      <c r="B82" s="8">
        <v>256</v>
      </c>
      <c r="C82" s="8" t="s">
        <v>14</v>
      </c>
    </row>
    <row r="83" spans="2:3" x14ac:dyDescent="0.25">
      <c r="B83" s="8">
        <v>183</v>
      </c>
      <c r="C83" s="8" t="s">
        <v>13</v>
      </c>
    </row>
    <row r="84" spans="2:3" x14ac:dyDescent="0.25">
      <c r="B84" s="8">
        <v>274</v>
      </c>
      <c r="C84" s="8" t="s">
        <v>13</v>
      </c>
    </row>
    <row r="85" spans="2:3" x14ac:dyDescent="0.25">
      <c r="B85" s="8">
        <v>182</v>
      </c>
      <c r="C85" s="8" t="s">
        <v>14</v>
      </c>
    </row>
    <row r="86" spans="2:3" x14ac:dyDescent="0.25">
      <c r="B86" s="8">
        <v>183</v>
      </c>
      <c r="C86" s="8" t="s">
        <v>14</v>
      </c>
    </row>
    <row r="87" spans="2:3" x14ac:dyDescent="0.25">
      <c r="B87" s="8">
        <v>309</v>
      </c>
      <c r="C87" s="8" t="s">
        <v>13</v>
      </c>
    </row>
    <row r="88" spans="2:3" x14ac:dyDescent="0.25">
      <c r="B88" s="8">
        <v>178</v>
      </c>
      <c r="C88" s="8" t="s">
        <v>14</v>
      </c>
    </row>
    <row r="89" spans="2:3" x14ac:dyDescent="0.25">
      <c r="B89" s="8">
        <v>458</v>
      </c>
      <c r="C89" s="8" t="s">
        <v>13</v>
      </c>
    </row>
    <row r="90" spans="2:3" x14ac:dyDescent="0.25">
      <c r="B90" s="8">
        <v>234</v>
      </c>
      <c r="C90" s="8" t="s">
        <v>13</v>
      </c>
    </row>
    <row r="91" spans="2:3" x14ac:dyDescent="0.25">
      <c r="B91" s="8">
        <v>306</v>
      </c>
      <c r="C91" s="8" t="s">
        <v>13</v>
      </c>
    </row>
    <row r="92" spans="2:3" x14ac:dyDescent="0.25">
      <c r="B92" s="8">
        <v>400</v>
      </c>
      <c r="C92" s="8" t="s">
        <v>13</v>
      </c>
    </row>
    <row r="93" spans="2:3" x14ac:dyDescent="0.25">
      <c r="B93" s="8">
        <v>337</v>
      </c>
      <c r="C93" s="8" t="s">
        <v>14</v>
      </c>
    </row>
    <row r="94" spans="2:3" x14ac:dyDescent="0.25">
      <c r="B94" s="8">
        <v>325</v>
      </c>
      <c r="C94" s="8" t="s">
        <v>13</v>
      </c>
    </row>
    <row r="95" spans="2:3" x14ac:dyDescent="0.25">
      <c r="B95" s="8">
        <v>329</v>
      </c>
      <c r="C95" s="8" t="s">
        <v>14</v>
      </c>
    </row>
    <row r="96" spans="2:3" x14ac:dyDescent="0.25">
      <c r="B96" s="8">
        <v>369</v>
      </c>
      <c r="C96" s="8" t="s">
        <v>13</v>
      </c>
    </row>
    <row r="97" spans="2:3" x14ac:dyDescent="0.25">
      <c r="B97" s="8">
        <v>457</v>
      </c>
      <c r="C97" s="8" t="s">
        <v>13</v>
      </c>
    </row>
    <row r="98" spans="2:3" x14ac:dyDescent="0.25">
      <c r="B98" s="8">
        <v>421</v>
      </c>
      <c r="C98" s="8" t="s">
        <v>14</v>
      </c>
    </row>
    <row r="99" spans="2:3" x14ac:dyDescent="0.25">
      <c r="B99" s="8">
        <v>282</v>
      </c>
      <c r="C99" s="8" t="s">
        <v>13</v>
      </c>
    </row>
    <row r="100" spans="2:3" x14ac:dyDescent="0.25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topLeftCell="P3" workbookViewId="0">
      <selection activeCell="R6" sqref="R6:R11"/>
    </sheetView>
  </sheetViews>
  <sheetFormatPr defaultRowHeight="15" x14ac:dyDescent="0.25"/>
  <cols>
    <col min="1" max="1" width="2.85546875" customWidth="1"/>
    <col min="2" max="2" width="13.140625" bestFit="1" customWidth="1"/>
    <col min="4" max="4" width="13.5703125" customWidth="1"/>
    <col min="5" max="5" width="11.42578125" customWidth="1"/>
    <col min="7" max="7" width="6.5703125" customWidth="1"/>
    <col min="8" max="9" width="2.85546875" customWidth="1"/>
    <col min="12" max="12" width="11.42578125" customWidth="1"/>
    <col min="15" max="15" width="15.7109375" bestFit="1" customWidth="1"/>
    <col min="18" max="18" width="60.7109375" customWidth="1"/>
    <col min="21" max="22" width="9.140625" hidden="1" customWidth="1"/>
  </cols>
  <sheetData>
    <row r="1" spans="2:22" ht="25.5" customHeight="1" x14ac:dyDescent="0.3">
      <c r="B1" s="18" t="s">
        <v>214</v>
      </c>
    </row>
    <row r="2" spans="2:22" ht="15" customHeight="1" x14ac:dyDescent="0.25">
      <c r="B2" s="30" t="s">
        <v>211</v>
      </c>
    </row>
    <row r="3" spans="2:22" ht="18" customHeight="1" x14ac:dyDescent="0.25"/>
    <row r="4" spans="2:22" x14ac:dyDescent="0.25">
      <c r="D4" s="3" t="s">
        <v>54</v>
      </c>
      <c r="G4" s="3"/>
      <c r="O4" s="3" t="s">
        <v>54</v>
      </c>
    </row>
    <row r="5" spans="2:22" x14ac:dyDescent="0.25">
      <c r="B5" s="7" t="s">
        <v>35</v>
      </c>
      <c r="D5" s="108" t="s">
        <v>139</v>
      </c>
      <c r="E5" s="108"/>
      <c r="G5" s="110" t="s">
        <v>199</v>
      </c>
      <c r="H5" s="110"/>
      <c r="I5" s="110"/>
      <c r="J5" s="110"/>
      <c r="L5" s="110" t="s">
        <v>201</v>
      </c>
      <c r="M5" s="110"/>
      <c r="O5" s="108" t="s">
        <v>204</v>
      </c>
      <c r="P5" s="108"/>
      <c r="R5" s="50" t="s">
        <v>203</v>
      </c>
      <c r="U5" t="s">
        <v>198</v>
      </c>
      <c r="V5" s="92" t="s">
        <v>200</v>
      </c>
    </row>
    <row r="6" spans="2:22" x14ac:dyDescent="0.25">
      <c r="B6" s="53">
        <v>111000</v>
      </c>
      <c r="D6" s="20" t="s">
        <v>71</v>
      </c>
      <c r="E6" s="71">
        <f>COUNT(B6:B58)</f>
        <v>53</v>
      </c>
      <c r="G6" s="20" t="s">
        <v>195</v>
      </c>
      <c r="H6" s="89" t="s">
        <v>213</v>
      </c>
      <c r="I6" s="89" t="s">
        <v>209</v>
      </c>
      <c r="J6" s="93">
        <v>0.5</v>
      </c>
      <c r="L6" s="20" t="s">
        <v>143</v>
      </c>
      <c r="M6" s="71">
        <v>0.05</v>
      </c>
      <c r="O6" s="20" t="s">
        <v>146</v>
      </c>
      <c r="P6" s="94">
        <f>SQRT(E7*E8/E6)</f>
        <v>6.5872243431592162E-2</v>
      </c>
      <c r="R6" s="111" t="s">
        <v>340</v>
      </c>
      <c r="U6" t="s">
        <v>209</v>
      </c>
      <c r="V6" s="92" t="s">
        <v>210</v>
      </c>
    </row>
    <row r="7" spans="2:22" x14ac:dyDescent="0.25">
      <c r="B7" s="53">
        <v>107000</v>
      </c>
      <c r="D7" s="20" t="s">
        <v>158</v>
      </c>
      <c r="E7" s="87">
        <f>COUNTIF(B6:B58,"&gt;=100000")/E6</f>
        <v>0.64150943396226412</v>
      </c>
      <c r="G7" s="20" t="s">
        <v>196</v>
      </c>
      <c r="H7" s="89" t="s">
        <v>213</v>
      </c>
      <c r="I7" s="89" t="s">
        <v>210</v>
      </c>
      <c r="J7" s="93">
        <v>0.5</v>
      </c>
      <c r="L7" s="20"/>
      <c r="M7" s="1"/>
      <c r="O7" s="20" t="s">
        <v>212</v>
      </c>
      <c r="P7" s="91">
        <f>(E7-0.5)/P6</f>
        <v>2.14824069426481</v>
      </c>
      <c r="R7" s="111"/>
      <c r="U7" t="s">
        <v>311</v>
      </c>
      <c r="V7" t="s">
        <v>312</v>
      </c>
    </row>
    <row r="8" spans="2:22" x14ac:dyDescent="0.25">
      <c r="B8" s="53">
        <v>109000</v>
      </c>
      <c r="D8" s="20" t="s">
        <v>159</v>
      </c>
      <c r="E8" s="87">
        <f>1-E7</f>
        <v>0.35849056603773588</v>
      </c>
      <c r="G8" s="20"/>
      <c r="H8" s="36"/>
      <c r="I8" s="36"/>
      <c r="J8" s="36"/>
      <c r="O8" s="20" t="s">
        <v>207</v>
      </c>
      <c r="P8" s="70">
        <f>_xlfn.T.DIST.RT(P7,E6-1)</f>
        <v>1.818673698377481E-2</v>
      </c>
      <c r="R8" s="111"/>
    </row>
    <row r="9" spans="2:22" x14ac:dyDescent="0.25">
      <c r="B9" s="53">
        <v>148000</v>
      </c>
      <c r="G9" s="20"/>
      <c r="H9" s="37"/>
      <c r="I9" s="37"/>
      <c r="J9" s="37"/>
      <c r="R9" s="111"/>
    </row>
    <row r="10" spans="2:22" x14ac:dyDescent="0.25">
      <c r="B10" s="53">
        <v>255500</v>
      </c>
      <c r="D10" s="108" t="s">
        <v>163</v>
      </c>
      <c r="E10" s="108"/>
      <c r="G10" s="20"/>
      <c r="H10" s="22"/>
      <c r="I10" s="22"/>
      <c r="J10" s="22"/>
      <c r="R10" s="111"/>
    </row>
    <row r="11" spans="2:22" x14ac:dyDescent="0.25">
      <c r="B11" s="53">
        <v>103500</v>
      </c>
      <c r="D11" s="20" t="s">
        <v>164</v>
      </c>
      <c r="E11" s="71" t="b">
        <f>E7*E6&gt;5</f>
        <v>1</v>
      </c>
      <c r="G11" s="20"/>
      <c r="H11" s="22"/>
      <c r="I11" s="22"/>
      <c r="J11" s="22"/>
      <c r="R11" s="111"/>
    </row>
    <row r="12" spans="2:22" x14ac:dyDescent="0.25">
      <c r="B12" s="53">
        <v>114500</v>
      </c>
      <c r="D12" s="20" t="s">
        <v>165</v>
      </c>
      <c r="E12" s="71" t="b">
        <f>E8*E6&gt;5</f>
        <v>1</v>
      </c>
    </row>
    <row r="13" spans="2:22" x14ac:dyDescent="0.25">
      <c r="B13" s="53">
        <v>124000</v>
      </c>
    </row>
    <row r="14" spans="2:22" x14ac:dyDescent="0.25">
      <c r="B14" s="53">
        <v>132500</v>
      </c>
    </row>
    <row r="15" spans="2:22" x14ac:dyDescent="0.25">
      <c r="B15" s="53">
        <v>99000</v>
      </c>
    </row>
    <row r="16" spans="2:22" x14ac:dyDescent="0.25">
      <c r="B16" s="53">
        <v>124000</v>
      </c>
    </row>
    <row r="17" spans="2:2" x14ac:dyDescent="0.25">
      <c r="B17" s="53">
        <v>82000</v>
      </c>
    </row>
    <row r="18" spans="2:2" x14ac:dyDescent="0.25">
      <c r="B18" s="53">
        <v>185000</v>
      </c>
    </row>
    <row r="19" spans="2:2" x14ac:dyDescent="0.25">
      <c r="B19" s="53">
        <v>89500</v>
      </c>
    </row>
    <row r="20" spans="2:2" x14ac:dyDescent="0.25">
      <c r="B20" s="53">
        <v>91500</v>
      </c>
    </row>
    <row r="21" spans="2:2" x14ac:dyDescent="0.25">
      <c r="B21" s="53">
        <v>113500</v>
      </c>
    </row>
    <row r="22" spans="2:2" x14ac:dyDescent="0.25">
      <c r="B22" s="53">
        <v>99000</v>
      </c>
    </row>
    <row r="23" spans="2:2" x14ac:dyDescent="0.25">
      <c r="B23" s="53">
        <v>75500</v>
      </c>
    </row>
    <row r="24" spans="2:2" x14ac:dyDescent="0.25">
      <c r="B24" s="53">
        <v>86000</v>
      </c>
    </row>
    <row r="25" spans="2:2" x14ac:dyDescent="0.25">
      <c r="B25" s="53">
        <v>156500</v>
      </c>
    </row>
    <row r="26" spans="2:2" x14ac:dyDescent="0.25">
      <c r="B26" s="53">
        <v>99500</v>
      </c>
    </row>
    <row r="27" spans="2:2" x14ac:dyDescent="0.25">
      <c r="B27" s="53">
        <v>148000</v>
      </c>
    </row>
    <row r="28" spans="2:2" x14ac:dyDescent="0.25">
      <c r="B28" s="53">
        <v>82000</v>
      </c>
    </row>
    <row r="29" spans="2:2" x14ac:dyDescent="0.25">
      <c r="B29" s="53">
        <v>103500</v>
      </c>
    </row>
    <row r="30" spans="2:2" x14ac:dyDescent="0.25">
      <c r="B30" s="53">
        <v>205500</v>
      </c>
    </row>
    <row r="31" spans="2:2" x14ac:dyDescent="0.25">
      <c r="B31" s="53">
        <v>103500</v>
      </c>
    </row>
    <row r="32" spans="2:2" x14ac:dyDescent="0.25">
      <c r="B32" s="53">
        <v>340000</v>
      </c>
    </row>
    <row r="33" spans="2:2" x14ac:dyDescent="0.25">
      <c r="B33" s="53">
        <v>103500</v>
      </c>
    </row>
    <row r="34" spans="2:2" x14ac:dyDescent="0.25">
      <c r="B34" s="53">
        <v>99500</v>
      </c>
    </row>
    <row r="35" spans="2:2" x14ac:dyDescent="0.25">
      <c r="B35" s="53">
        <v>103000</v>
      </c>
    </row>
    <row r="36" spans="2:2" x14ac:dyDescent="0.25">
      <c r="B36" s="53">
        <v>103500</v>
      </c>
    </row>
    <row r="37" spans="2:2" x14ac:dyDescent="0.25">
      <c r="B37" s="53">
        <v>165000</v>
      </c>
    </row>
    <row r="38" spans="2:2" x14ac:dyDescent="0.25">
      <c r="B38" s="53">
        <v>124500</v>
      </c>
    </row>
    <row r="39" spans="2:2" x14ac:dyDescent="0.25">
      <c r="B39" s="53">
        <v>103500</v>
      </c>
    </row>
    <row r="40" spans="2:2" x14ac:dyDescent="0.25">
      <c r="B40" s="53">
        <v>82500</v>
      </c>
    </row>
    <row r="41" spans="2:2" x14ac:dyDescent="0.25">
      <c r="B41" s="53">
        <v>93000</v>
      </c>
    </row>
    <row r="42" spans="2:2" x14ac:dyDescent="0.25">
      <c r="B42" s="53">
        <v>168000</v>
      </c>
    </row>
    <row r="43" spans="2:2" x14ac:dyDescent="0.25">
      <c r="B43" s="53">
        <v>96000</v>
      </c>
    </row>
    <row r="44" spans="2:2" x14ac:dyDescent="0.25">
      <c r="B44" s="53">
        <v>80000</v>
      </c>
    </row>
    <row r="45" spans="2:2" x14ac:dyDescent="0.25">
      <c r="B45" s="53">
        <v>124500</v>
      </c>
    </row>
    <row r="46" spans="2:2" x14ac:dyDescent="0.25">
      <c r="B46" s="53">
        <v>99000</v>
      </c>
    </row>
    <row r="47" spans="2:2" x14ac:dyDescent="0.25">
      <c r="B47" s="53">
        <v>124000</v>
      </c>
    </row>
    <row r="48" spans="2:2" x14ac:dyDescent="0.25">
      <c r="B48" s="53">
        <v>91500</v>
      </c>
    </row>
    <row r="49" spans="2:2" x14ac:dyDescent="0.25">
      <c r="B49" s="53">
        <v>144500</v>
      </c>
    </row>
    <row r="50" spans="2:2" x14ac:dyDescent="0.25">
      <c r="B50" s="53">
        <v>114500</v>
      </c>
    </row>
    <row r="51" spans="2:2" x14ac:dyDescent="0.25">
      <c r="B51" s="53">
        <v>104500</v>
      </c>
    </row>
    <row r="52" spans="2:2" x14ac:dyDescent="0.25">
      <c r="B52" s="53">
        <v>124000</v>
      </c>
    </row>
    <row r="53" spans="2:2" x14ac:dyDescent="0.25">
      <c r="B53" s="53">
        <v>113000</v>
      </c>
    </row>
    <row r="54" spans="2:2" x14ac:dyDescent="0.25">
      <c r="B54" s="53">
        <v>78000</v>
      </c>
    </row>
    <row r="55" spans="2:2" x14ac:dyDescent="0.25">
      <c r="B55" s="53">
        <v>109000</v>
      </c>
    </row>
    <row r="56" spans="2:2" x14ac:dyDescent="0.25">
      <c r="B56" s="53">
        <v>99500</v>
      </c>
    </row>
    <row r="57" spans="2:2" x14ac:dyDescent="0.25">
      <c r="B57" s="53">
        <v>107000</v>
      </c>
    </row>
    <row r="58" spans="2:2" x14ac:dyDescent="0.25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topLeftCell="J1" workbookViewId="0">
      <selection activeCell="S9" sqref="S9"/>
    </sheetView>
  </sheetViews>
  <sheetFormatPr defaultRowHeight="15" x14ac:dyDescent="0.25"/>
  <cols>
    <col min="1" max="1" width="2.85546875" customWidth="1"/>
    <col min="2" max="2" width="11.42578125" customWidth="1"/>
    <col min="3" max="3" width="21.42578125" customWidth="1"/>
    <col min="4" max="4" width="20" customWidth="1"/>
    <col min="5" max="5" width="11.42578125" customWidth="1"/>
    <col min="7" max="7" width="6.5703125" customWidth="1"/>
    <col min="8" max="8" width="5.42578125" bestFit="1" customWidth="1"/>
    <col min="9" max="9" width="2.85546875" customWidth="1"/>
    <col min="12" max="12" width="11.42578125" customWidth="1"/>
    <col min="15" max="15" width="12.140625" customWidth="1"/>
    <col min="16" max="16" width="11.42578125" customWidth="1"/>
    <col min="18" max="18" width="15.7109375" bestFit="1" customWidth="1"/>
    <col min="21" max="21" width="57.140625" customWidth="1"/>
    <col min="23" max="24" width="0" hidden="1" customWidth="1"/>
  </cols>
  <sheetData>
    <row r="1" spans="2:24" ht="25.5" customHeight="1" x14ac:dyDescent="0.3">
      <c r="B1" s="18" t="s">
        <v>314</v>
      </c>
    </row>
    <row r="2" spans="2:24" ht="15" customHeight="1" x14ac:dyDescent="0.25">
      <c r="B2" s="30" t="s">
        <v>215</v>
      </c>
    </row>
    <row r="3" spans="2:24" ht="18" customHeight="1" x14ac:dyDescent="0.25"/>
    <row r="4" spans="2:24" x14ac:dyDescent="0.25">
      <c r="G4" s="3"/>
      <c r="O4" s="3" t="s">
        <v>54</v>
      </c>
      <c r="R4" s="3" t="s">
        <v>54</v>
      </c>
    </row>
    <row r="5" spans="2:24" x14ac:dyDescent="0.25">
      <c r="B5" s="40" t="s">
        <v>20</v>
      </c>
      <c r="C5" s="43" t="s">
        <v>22</v>
      </c>
      <c r="D5" s="43" t="s">
        <v>23</v>
      </c>
      <c r="E5" s="41" t="s">
        <v>172</v>
      </c>
      <c r="G5" s="110" t="s">
        <v>199</v>
      </c>
      <c r="H5" s="110"/>
      <c r="I5" s="110"/>
      <c r="J5" s="110"/>
      <c r="L5" s="110" t="s">
        <v>201</v>
      </c>
      <c r="M5" s="110"/>
      <c r="O5" s="108" t="s">
        <v>139</v>
      </c>
      <c r="P5" s="108"/>
      <c r="R5" s="108" t="s">
        <v>204</v>
      </c>
      <c r="S5" s="108"/>
      <c r="U5" s="50" t="s">
        <v>203</v>
      </c>
      <c r="W5" t="s">
        <v>198</v>
      </c>
      <c r="X5" s="92" t="s">
        <v>200</v>
      </c>
    </row>
    <row r="6" spans="2:24" ht="18" x14ac:dyDescent="0.35">
      <c r="B6" s="8">
        <v>1</v>
      </c>
      <c r="C6" s="8">
        <v>252</v>
      </c>
      <c r="D6" s="8">
        <v>276</v>
      </c>
      <c r="E6" s="8">
        <f>D6-C6</f>
        <v>24</v>
      </c>
      <c r="G6" s="20" t="s">
        <v>195</v>
      </c>
      <c r="H6" s="89" t="s">
        <v>216</v>
      </c>
      <c r="I6" s="89" t="s">
        <v>311</v>
      </c>
      <c r="J6" s="90">
        <v>50</v>
      </c>
      <c r="L6" s="20" t="s">
        <v>143</v>
      </c>
      <c r="M6" s="71">
        <v>0.02</v>
      </c>
      <c r="O6" s="20" t="s">
        <v>71</v>
      </c>
      <c r="P6" s="71">
        <f>COUNT(E6:E100)</f>
        <v>95</v>
      </c>
      <c r="R6" s="20" t="s">
        <v>146</v>
      </c>
      <c r="S6" s="75">
        <f>P8/SQRT(P6)</f>
        <v>3.0425395986393706</v>
      </c>
      <c r="U6" s="111"/>
      <c r="W6" t="s">
        <v>209</v>
      </c>
      <c r="X6" s="92" t="s">
        <v>210</v>
      </c>
    </row>
    <row r="7" spans="2:24" ht="18" x14ac:dyDescent="0.35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196</v>
      </c>
      <c r="H7" s="89" t="s">
        <v>216</v>
      </c>
      <c r="I7" s="89" t="s">
        <v>312</v>
      </c>
      <c r="J7" s="90">
        <v>50</v>
      </c>
      <c r="L7" s="20"/>
      <c r="M7" s="1"/>
      <c r="O7" s="20" t="s">
        <v>46</v>
      </c>
      <c r="P7" s="72">
        <f>AVERAGE(E6:E100)</f>
        <v>49.442105263157892</v>
      </c>
      <c r="R7" s="20" t="s">
        <v>202</v>
      </c>
      <c r="S7" s="91">
        <f>(P7-J6)/S6</f>
        <v>-0.18336482361366796</v>
      </c>
      <c r="U7" s="111"/>
      <c r="W7" t="s">
        <v>311</v>
      </c>
      <c r="X7" t="s">
        <v>312</v>
      </c>
    </row>
    <row r="8" spans="2:24" x14ac:dyDescent="0.25">
      <c r="B8" s="8">
        <v>3</v>
      </c>
      <c r="C8" s="8">
        <v>101</v>
      </c>
      <c r="D8" s="8">
        <v>119</v>
      </c>
      <c r="E8" s="8">
        <f t="shared" si="0"/>
        <v>18</v>
      </c>
      <c r="G8" s="20"/>
      <c r="H8" s="36"/>
      <c r="I8" s="36"/>
      <c r="J8" s="36"/>
      <c r="O8" s="20" t="s">
        <v>70</v>
      </c>
      <c r="P8" s="75">
        <f>_xlfn.STDEV.S(E6:E100)</f>
        <v>29.655007753875548</v>
      </c>
      <c r="R8" s="20" t="s">
        <v>207</v>
      </c>
      <c r="S8" s="70">
        <f>_xlfn.T.DIST(S7,P6-1,TRUE)</f>
        <v>0.42745335670268647</v>
      </c>
      <c r="U8" s="111"/>
    </row>
    <row r="9" spans="2:24" x14ac:dyDescent="0.25">
      <c r="B9" s="8">
        <v>4</v>
      </c>
      <c r="C9" s="8">
        <v>288</v>
      </c>
      <c r="D9" s="8">
        <v>334</v>
      </c>
      <c r="E9" s="8">
        <f t="shared" si="0"/>
        <v>46</v>
      </c>
      <c r="G9" s="20"/>
      <c r="H9" s="37"/>
      <c r="I9" s="37"/>
      <c r="J9" s="37"/>
      <c r="U9" s="111"/>
    </row>
    <row r="10" spans="2:24" x14ac:dyDescent="0.25">
      <c r="B10" s="8">
        <v>5</v>
      </c>
      <c r="C10" s="8">
        <v>248</v>
      </c>
      <c r="D10" s="8">
        <v>252</v>
      </c>
      <c r="E10" s="8">
        <f t="shared" si="0"/>
        <v>4</v>
      </c>
      <c r="G10" s="20"/>
      <c r="H10" s="22"/>
      <c r="I10" s="22"/>
      <c r="J10" s="22"/>
      <c r="U10" s="111"/>
    </row>
    <row r="11" spans="2:24" x14ac:dyDescent="0.25">
      <c r="B11" s="8">
        <v>6</v>
      </c>
      <c r="C11" s="8">
        <v>145</v>
      </c>
      <c r="D11" s="8">
        <v>209</v>
      </c>
      <c r="E11" s="8">
        <f t="shared" si="0"/>
        <v>64</v>
      </c>
      <c r="G11" s="20"/>
      <c r="H11" s="22"/>
      <c r="I11" s="22"/>
      <c r="J11" s="22"/>
      <c r="U11" s="111"/>
    </row>
    <row r="12" spans="2:24" x14ac:dyDescent="0.25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24" x14ac:dyDescent="0.25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24" x14ac:dyDescent="0.25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24" x14ac:dyDescent="0.25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24" x14ac:dyDescent="0.25">
      <c r="B16" s="8">
        <v>11</v>
      </c>
      <c r="C16" s="8">
        <v>182</v>
      </c>
      <c r="D16" s="8">
        <v>232</v>
      </c>
      <c r="E16" s="8">
        <f t="shared" si="0"/>
        <v>50</v>
      </c>
    </row>
    <row r="17" spans="2:5" x14ac:dyDescent="0.25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5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5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5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5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5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5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5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5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5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5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5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5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5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5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5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5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5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5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5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5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5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5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5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5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5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5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5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5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5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5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5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5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5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5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5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5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5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5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5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5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5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5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5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5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5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5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5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5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5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5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5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5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5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5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5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5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5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5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5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5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5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5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5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5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5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5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5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5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5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5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5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5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5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5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5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5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5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5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5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5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5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5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5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topLeftCell="C1" workbookViewId="0">
      <selection activeCell="W12" sqref="W12"/>
    </sheetView>
  </sheetViews>
  <sheetFormatPr defaultRowHeight="15" x14ac:dyDescent="0.25"/>
  <cols>
    <col min="1" max="1" width="2.85546875" customWidth="1"/>
    <col min="2" max="2" width="15.7109375" bestFit="1" customWidth="1"/>
    <col min="3" max="3" width="12.7109375" bestFit="1" customWidth="1"/>
    <col min="5" max="5" width="15.42578125" bestFit="1" customWidth="1"/>
    <col min="6" max="7" width="14.28515625" customWidth="1"/>
    <col min="9" max="10" width="11.42578125" customWidth="1"/>
    <col min="12" max="12" width="6.5703125" customWidth="1"/>
    <col min="13" max="13" width="5.42578125" bestFit="1" customWidth="1"/>
    <col min="14" max="14" width="2.85546875" customWidth="1"/>
    <col min="15" max="15" width="9.140625" customWidth="1"/>
    <col min="17" max="17" width="11.42578125" customWidth="1"/>
    <col min="20" max="20" width="21.140625" bestFit="1" customWidth="1"/>
    <col min="23" max="23" width="57.140625" customWidth="1"/>
    <col min="25" max="26" width="0" hidden="1" customWidth="1"/>
  </cols>
  <sheetData>
    <row r="1" spans="2:26" ht="25.5" customHeight="1" x14ac:dyDescent="0.3">
      <c r="B1" s="18" t="s">
        <v>218</v>
      </c>
    </row>
    <row r="2" spans="2:26" ht="15" customHeight="1" x14ac:dyDescent="0.25">
      <c r="B2" s="30" t="s">
        <v>217</v>
      </c>
    </row>
    <row r="3" spans="2:26" ht="18" customHeight="1" x14ac:dyDescent="0.25"/>
    <row r="4" spans="2:26" x14ac:dyDescent="0.25">
      <c r="E4" s="3" t="s">
        <v>53</v>
      </c>
      <c r="I4" s="3" t="s">
        <v>54</v>
      </c>
      <c r="L4" s="3"/>
      <c r="T4" s="3" t="s">
        <v>54</v>
      </c>
    </row>
    <row r="5" spans="2:26" x14ac:dyDescent="0.25">
      <c r="B5" s="43" t="s">
        <v>21</v>
      </c>
      <c r="C5" s="41" t="s">
        <v>35</v>
      </c>
      <c r="E5" s="109" t="s">
        <v>139</v>
      </c>
      <c r="F5" s="109"/>
      <c r="G5" s="109"/>
      <c r="I5" s="108" t="s">
        <v>179</v>
      </c>
      <c r="J5" s="108"/>
      <c r="L5" s="110" t="s">
        <v>199</v>
      </c>
      <c r="M5" s="110"/>
      <c r="N5" s="110"/>
      <c r="O5" s="110"/>
      <c r="Q5" s="110" t="s">
        <v>201</v>
      </c>
      <c r="R5" s="110"/>
      <c r="T5" s="108" t="s">
        <v>204</v>
      </c>
      <c r="U5" s="108"/>
      <c r="W5" s="50" t="s">
        <v>203</v>
      </c>
    </row>
    <row r="6" spans="2:26" ht="18" x14ac:dyDescent="0.3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180</v>
      </c>
      <c r="J6" s="80">
        <f>F9-G9</f>
        <v>7744.2810457516316</v>
      </c>
      <c r="L6" s="20" t="s">
        <v>195</v>
      </c>
      <c r="M6" s="89" t="s">
        <v>216</v>
      </c>
      <c r="N6" s="89" t="s">
        <v>209</v>
      </c>
      <c r="O6" s="90">
        <v>0</v>
      </c>
      <c r="Q6" s="20" t="s">
        <v>143</v>
      </c>
      <c r="R6" s="71">
        <v>0.01</v>
      </c>
      <c r="T6" s="20" t="s">
        <v>146</v>
      </c>
      <c r="U6" s="80">
        <f>SQRT(F11+G11)</f>
        <v>15739.713009442165</v>
      </c>
      <c r="W6" s="111" t="s">
        <v>341</v>
      </c>
      <c r="Y6" s="95" t="s">
        <v>198</v>
      </c>
      <c r="Z6" s="92" t="s">
        <v>200</v>
      </c>
    </row>
    <row r="7" spans="2:26" ht="18" x14ac:dyDescent="0.35">
      <c r="B7" s="8" t="s">
        <v>27</v>
      </c>
      <c r="C7" s="12">
        <v>107000</v>
      </c>
      <c r="E7" s="20" t="s">
        <v>176</v>
      </c>
      <c r="F7" s="71">
        <f>COUNTIF($B$6:$B$58,F6)</f>
        <v>17</v>
      </c>
      <c r="G7" s="71">
        <f>COUNTIF($B$6:$B$58,G6)</f>
        <v>36</v>
      </c>
      <c r="L7" s="20" t="s">
        <v>196</v>
      </c>
      <c r="M7" s="89" t="s">
        <v>216</v>
      </c>
      <c r="N7" s="89" t="s">
        <v>210</v>
      </c>
      <c r="O7" s="90">
        <v>0</v>
      </c>
      <c r="Q7" s="20"/>
      <c r="R7" s="1"/>
      <c r="T7" s="20" t="s">
        <v>202</v>
      </c>
      <c r="U7" s="91">
        <f>J6/U6</f>
        <v>0.49202174404996341</v>
      </c>
      <c r="W7" s="111"/>
      <c r="Y7" s="92" t="s">
        <v>311</v>
      </c>
      <c r="Z7" t="s">
        <v>312</v>
      </c>
    </row>
    <row r="8" spans="2:26" x14ac:dyDescent="0.25">
      <c r="B8" s="8" t="s">
        <v>25</v>
      </c>
      <c r="C8" s="12">
        <v>109000</v>
      </c>
      <c r="E8" s="20" t="s">
        <v>184</v>
      </c>
      <c r="F8" s="71">
        <f>F7-1</f>
        <v>16</v>
      </c>
      <c r="G8" s="71">
        <f>G7-1</f>
        <v>35</v>
      </c>
      <c r="L8" s="20"/>
      <c r="M8" s="36"/>
      <c r="N8" s="36"/>
      <c r="O8" s="36"/>
      <c r="T8" s="20" t="s">
        <v>181</v>
      </c>
      <c r="U8" s="75">
        <f>(F11+G11)^2/(((F11^2)/F8)+(G11^2)/G8)</f>
        <v>22.429970730290126</v>
      </c>
      <c r="W8" s="111"/>
      <c r="Y8" s="92" t="s">
        <v>209</v>
      </c>
      <c r="Z8" t="s">
        <v>210</v>
      </c>
    </row>
    <row r="9" spans="2:26" x14ac:dyDescent="0.25">
      <c r="B9" s="8" t="s">
        <v>25</v>
      </c>
      <c r="C9" s="12">
        <v>148000</v>
      </c>
      <c r="E9" s="20" t="s">
        <v>177</v>
      </c>
      <c r="F9" s="80">
        <f>AVERAGEIF($B$6:$B$58,F6,$C$6:$C$58)</f>
        <v>124647.05882352941</v>
      </c>
      <c r="G9" s="80">
        <f>AVERAGEIF($B$6:$B$58,G6,$C$6:$C$58)</f>
        <v>116902.77777777778</v>
      </c>
      <c r="L9" s="20"/>
      <c r="M9" s="37"/>
      <c r="N9" s="37"/>
      <c r="O9" s="37"/>
      <c r="T9" s="20" t="s">
        <v>207</v>
      </c>
      <c r="U9" s="70">
        <f>_xlfn.T.DIST.RT(U7,U8)</f>
        <v>0.31378889492074447</v>
      </c>
      <c r="W9" s="111"/>
    </row>
    <row r="10" spans="2:26" ht="17.25" x14ac:dyDescent="0.25">
      <c r="B10" s="8" t="s">
        <v>25</v>
      </c>
      <c r="C10" s="12">
        <v>255500</v>
      </c>
      <c r="E10" s="20" t="s">
        <v>178</v>
      </c>
      <c r="F10" s="74" cm="1">
        <f t="array" ref="F10">_xlfn.VAR.S(_xlfn._xlws.FILTER($C$6:$C$58,$B$6:$B$58=F6))</f>
        <v>3526773897.0588226</v>
      </c>
      <c r="G10" s="74" cm="1">
        <f t="array" ref="G10">_xlfn.VAR.S(_xlfn._xlws.FILTER($C$6:$C$58,$B$6:$B$58=G6))</f>
        <v>1450125992.0634923</v>
      </c>
      <c r="L10" s="20"/>
      <c r="M10" s="22"/>
      <c r="N10" s="22"/>
      <c r="O10" s="22"/>
      <c r="W10" s="111"/>
    </row>
    <row r="11" spans="2:26" ht="17.25" x14ac:dyDescent="0.25">
      <c r="B11" s="8" t="s">
        <v>25</v>
      </c>
      <c r="C11" s="12">
        <v>103500</v>
      </c>
      <c r="E11" s="20" t="s">
        <v>183</v>
      </c>
      <c r="F11" s="74">
        <f>F10/F7</f>
        <v>207457288.06228369</v>
      </c>
      <c r="G11" s="74">
        <f>G10/G7</f>
        <v>40281277.557319231</v>
      </c>
      <c r="L11" s="20"/>
      <c r="M11" s="22"/>
      <c r="N11" s="22"/>
      <c r="O11" s="22"/>
      <c r="W11" s="111"/>
    </row>
    <row r="12" spans="2:26" x14ac:dyDescent="0.25">
      <c r="B12" s="8" t="s">
        <v>25</v>
      </c>
      <c r="C12" s="12">
        <v>114500</v>
      </c>
    </row>
    <row r="13" spans="2:26" x14ac:dyDescent="0.25">
      <c r="B13" s="8" t="s">
        <v>25</v>
      </c>
      <c r="C13" s="12">
        <v>124000</v>
      </c>
    </row>
    <row r="14" spans="2:26" x14ac:dyDescent="0.25">
      <c r="B14" s="8" t="s">
        <v>25</v>
      </c>
      <c r="C14" s="12">
        <v>132500</v>
      </c>
    </row>
    <row r="15" spans="2:26" x14ac:dyDescent="0.25">
      <c r="B15" s="8" t="s">
        <v>25</v>
      </c>
      <c r="C15" s="12">
        <v>99000</v>
      </c>
    </row>
    <row r="16" spans="2:26" x14ac:dyDescent="0.25">
      <c r="B16" s="8" t="s">
        <v>25</v>
      </c>
      <c r="C16" s="12">
        <v>124000</v>
      </c>
    </row>
    <row r="17" spans="2:3" x14ac:dyDescent="0.25">
      <c r="B17" s="8" t="s">
        <v>25</v>
      </c>
      <c r="C17" s="12">
        <v>82000</v>
      </c>
    </row>
    <row r="18" spans="2:3" x14ac:dyDescent="0.25">
      <c r="B18" s="8" t="s">
        <v>25</v>
      </c>
      <c r="C18" s="12">
        <v>185000</v>
      </c>
    </row>
    <row r="19" spans="2:3" x14ac:dyDescent="0.25">
      <c r="B19" s="8" t="s">
        <v>25</v>
      </c>
      <c r="C19" s="12">
        <v>89500</v>
      </c>
    </row>
    <row r="20" spans="2:3" x14ac:dyDescent="0.25">
      <c r="B20" s="8" t="s">
        <v>25</v>
      </c>
      <c r="C20" s="12">
        <v>91500</v>
      </c>
    </row>
    <row r="21" spans="2:3" x14ac:dyDescent="0.25">
      <c r="B21" s="8" t="s">
        <v>25</v>
      </c>
      <c r="C21" s="12">
        <v>113500</v>
      </c>
    </row>
    <row r="22" spans="2:3" x14ac:dyDescent="0.25">
      <c r="B22" s="8" t="s">
        <v>27</v>
      </c>
      <c r="C22" s="12">
        <v>99000</v>
      </c>
    </row>
    <row r="23" spans="2:3" x14ac:dyDescent="0.25">
      <c r="B23" s="8" t="s">
        <v>25</v>
      </c>
      <c r="C23" s="12">
        <v>75500</v>
      </c>
    </row>
    <row r="24" spans="2:3" x14ac:dyDescent="0.25">
      <c r="B24" s="8" t="s">
        <v>27</v>
      </c>
      <c r="C24" s="12">
        <v>86000</v>
      </c>
    </row>
    <row r="25" spans="2:3" x14ac:dyDescent="0.25">
      <c r="B25" s="8" t="s">
        <v>25</v>
      </c>
      <c r="C25" s="12">
        <v>156500</v>
      </c>
    </row>
    <row r="26" spans="2:3" x14ac:dyDescent="0.25">
      <c r="B26" s="8" t="s">
        <v>27</v>
      </c>
      <c r="C26" s="12">
        <v>99500</v>
      </c>
    </row>
    <row r="27" spans="2:3" x14ac:dyDescent="0.25">
      <c r="B27" s="8" t="s">
        <v>27</v>
      </c>
      <c r="C27" s="12">
        <v>148000</v>
      </c>
    </row>
    <row r="28" spans="2:3" x14ac:dyDescent="0.25">
      <c r="B28" s="8" t="s">
        <v>25</v>
      </c>
      <c r="C28" s="12">
        <v>82000</v>
      </c>
    </row>
    <row r="29" spans="2:3" x14ac:dyDescent="0.25">
      <c r="B29" s="8" t="s">
        <v>25</v>
      </c>
      <c r="C29" s="12">
        <v>103500</v>
      </c>
    </row>
    <row r="30" spans="2:3" x14ac:dyDescent="0.25">
      <c r="B30" s="8" t="s">
        <v>25</v>
      </c>
      <c r="C30" s="12">
        <v>205500</v>
      </c>
    </row>
    <row r="31" spans="2:3" x14ac:dyDescent="0.25">
      <c r="B31" s="8" t="s">
        <v>25</v>
      </c>
      <c r="C31" s="12">
        <v>103500</v>
      </c>
    </row>
    <row r="32" spans="2:3" x14ac:dyDescent="0.25">
      <c r="B32" s="8" t="s">
        <v>27</v>
      </c>
      <c r="C32" s="12">
        <v>340000</v>
      </c>
    </row>
    <row r="33" spans="2:3" x14ac:dyDescent="0.25">
      <c r="B33" s="8" t="s">
        <v>27</v>
      </c>
      <c r="C33" s="12">
        <v>103500</v>
      </c>
    </row>
    <row r="34" spans="2:3" x14ac:dyDescent="0.25">
      <c r="B34" s="8" t="s">
        <v>27</v>
      </c>
      <c r="C34" s="12">
        <v>99500</v>
      </c>
    </row>
    <row r="35" spans="2:3" x14ac:dyDescent="0.25">
      <c r="B35" s="8" t="s">
        <v>27</v>
      </c>
      <c r="C35" s="12">
        <v>103000</v>
      </c>
    </row>
    <row r="36" spans="2:3" x14ac:dyDescent="0.25">
      <c r="B36" s="8" t="s">
        <v>25</v>
      </c>
      <c r="C36" s="12">
        <v>103500</v>
      </c>
    </row>
    <row r="37" spans="2:3" x14ac:dyDescent="0.25">
      <c r="B37" s="8" t="s">
        <v>27</v>
      </c>
      <c r="C37" s="12">
        <v>165000</v>
      </c>
    </row>
    <row r="38" spans="2:3" x14ac:dyDescent="0.25">
      <c r="B38" s="8" t="s">
        <v>27</v>
      </c>
      <c r="C38" s="12">
        <v>124500</v>
      </c>
    </row>
    <row r="39" spans="2:3" x14ac:dyDescent="0.25">
      <c r="B39" s="8" t="s">
        <v>27</v>
      </c>
      <c r="C39" s="12">
        <v>103500</v>
      </c>
    </row>
    <row r="40" spans="2:3" x14ac:dyDescent="0.25">
      <c r="B40" s="8" t="s">
        <v>25</v>
      </c>
      <c r="C40" s="12">
        <v>82500</v>
      </c>
    </row>
    <row r="41" spans="2:3" x14ac:dyDescent="0.25">
      <c r="B41" s="8" t="s">
        <v>25</v>
      </c>
      <c r="C41" s="12">
        <v>93000</v>
      </c>
    </row>
    <row r="42" spans="2:3" x14ac:dyDescent="0.25">
      <c r="B42" s="8" t="s">
        <v>25</v>
      </c>
      <c r="C42" s="12">
        <v>168000</v>
      </c>
    </row>
    <row r="43" spans="2:3" x14ac:dyDescent="0.25">
      <c r="B43" s="8" t="s">
        <v>25</v>
      </c>
      <c r="C43" s="12">
        <v>96000</v>
      </c>
    </row>
    <row r="44" spans="2:3" x14ac:dyDescent="0.25">
      <c r="B44" s="8" t="s">
        <v>27</v>
      </c>
      <c r="C44" s="12">
        <v>80000</v>
      </c>
    </row>
    <row r="45" spans="2:3" x14ac:dyDescent="0.25">
      <c r="B45" s="8" t="s">
        <v>27</v>
      </c>
      <c r="C45" s="12">
        <v>124500</v>
      </c>
    </row>
    <row r="46" spans="2:3" x14ac:dyDescent="0.25">
      <c r="B46" s="8" t="s">
        <v>27</v>
      </c>
      <c r="C46" s="12">
        <v>99000</v>
      </c>
    </row>
    <row r="47" spans="2:3" x14ac:dyDescent="0.25">
      <c r="B47" s="8" t="s">
        <v>25</v>
      </c>
      <c r="C47" s="12">
        <v>124000</v>
      </c>
    </row>
    <row r="48" spans="2:3" x14ac:dyDescent="0.25">
      <c r="B48" s="8" t="s">
        <v>25</v>
      </c>
      <c r="C48" s="12">
        <v>91500</v>
      </c>
    </row>
    <row r="49" spans="2:3" x14ac:dyDescent="0.25">
      <c r="B49" s="8" t="s">
        <v>25</v>
      </c>
      <c r="C49" s="12">
        <v>144500</v>
      </c>
    </row>
    <row r="50" spans="2:3" x14ac:dyDescent="0.25">
      <c r="B50" s="8" t="s">
        <v>25</v>
      </c>
      <c r="C50" s="12">
        <v>114500</v>
      </c>
    </row>
    <row r="51" spans="2:3" x14ac:dyDescent="0.25">
      <c r="B51" s="8" t="s">
        <v>25</v>
      </c>
      <c r="C51" s="12">
        <v>104500</v>
      </c>
    </row>
    <row r="52" spans="2:3" x14ac:dyDescent="0.25">
      <c r="B52" s="8" t="s">
        <v>27</v>
      </c>
      <c r="C52" s="12">
        <v>124000</v>
      </c>
    </row>
    <row r="53" spans="2:3" x14ac:dyDescent="0.25">
      <c r="B53" s="8" t="s">
        <v>27</v>
      </c>
      <c r="C53" s="12">
        <v>113000</v>
      </c>
    </row>
    <row r="54" spans="2:3" x14ac:dyDescent="0.25">
      <c r="B54" s="8" t="s">
        <v>25</v>
      </c>
      <c r="C54" s="12">
        <v>78000</v>
      </c>
    </row>
    <row r="55" spans="2:3" x14ac:dyDescent="0.25">
      <c r="B55" s="8" t="s">
        <v>25</v>
      </c>
      <c r="C55" s="12">
        <v>109000</v>
      </c>
    </row>
    <row r="56" spans="2:3" x14ac:dyDescent="0.25">
      <c r="B56" s="8" t="s">
        <v>25</v>
      </c>
      <c r="C56" s="12">
        <v>99500</v>
      </c>
    </row>
    <row r="57" spans="2:3" x14ac:dyDescent="0.25">
      <c r="B57" s="8" t="s">
        <v>25</v>
      </c>
      <c r="C57" s="12">
        <v>107000</v>
      </c>
    </row>
    <row r="58" spans="2:3" x14ac:dyDescent="0.25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L26" sqref="L26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</cols>
  <sheetData>
    <row r="1" spans="2:3" ht="25.5" customHeight="1" x14ac:dyDescent="0.3">
      <c r="B1" s="18" t="s">
        <v>225</v>
      </c>
    </row>
    <row r="2" spans="2:3" ht="15" customHeight="1" x14ac:dyDescent="0.25">
      <c r="B2" s="30" t="s">
        <v>226</v>
      </c>
    </row>
    <row r="3" spans="2:3" ht="18" customHeight="1" x14ac:dyDescent="0.25"/>
    <row r="5" spans="2:3" x14ac:dyDescent="0.25">
      <c r="B5" s="43" t="s">
        <v>76</v>
      </c>
      <c r="C5" s="43" t="s">
        <v>77</v>
      </c>
    </row>
    <row r="6" spans="2:3" x14ac:dyDescent="0.25">
      <c r="B6" s="51">
        <v>68.400000000000006</v>
      </c>
      <c r="C6" s="51">
        <v>90.2</v>
      </c>
    </row>
    <row r="7" spans="2:3" x14ac:dyDescent="0.25">
      <c r="B7" s="8">
        <v>62.1</v>
      </c>
      <c r="C7" s="8">
        <v>92.8</v>
      </c>
    </row>
    <row r="8" spans="2:3" x14ac:dyDescent="0.25">
      <c r="B8" s="8">
        <v>70.2</v>
      </c>
      <c r="C8" s="8">
        <v>68.7</v>
      </c>
    </row>
    <row r="9" spans="2:3" x14ac:dyDescent="0.25">
      <c r="B9" s="8">
        <v>75.099999999999994</v>
      </c>
      <c r="C9" s="8">
        <v>80.7</v>
      </c>
    </row>
    <row r="10" spans="2:3" x14ac:dyDescent="0.25">
      <c r="B10" s="8">
        <v>60.9</v>
      </c>
      <c r="C10" s="8">
        <v>74.900000000000006</v>
      </c>
    </row>
    <row r="11" spans="2:3" x14ac:dyDescent="0.25">
      <c r="B11" s="8">
        <v>74.5</v>
      </c>
      <c r="C11" s="8">
        <v>80.7</v>
      </c>
    </row>
    <row r="12" spans="2:3" x14ac:dyDescent="0.25">
      <c r="B12" s="8">
        <v>76.400000000000006</v>
      </c>
      <c r="C12" s="8">
        <v>83.3</v>
      </c>
    </row>
    <row r="13" spans="2:3" x14ac:dyDescent="0.25">
      <c r="B13" s="8">
        <v>82.6</v>
      </c>
      <c r="C13" s="8">
        <v>88.7</v>
      </c>
    </row>
    <row r="14" spans="2:3" x14ac:dyDescent="0.25">
      <c r="B14" s="8">
        <v>76.900000000000006</v>
      </c>
      <c r="C14" s="8">
        <v>75.400000000000006</v>
      </c>
    </row>
    <row r="15" spans="2:3" x14ac:dyDescent="0.25">
      <c r="B15" s="8">
        <v>83.3</v>
      </c>
      <c r="C15" s="8">
        <v>82.1</v>
      </c>
    </row>
    <row r="16" spans="2:3" x14ac:dyDescent="0.25">
      <c r="B16" s="8">
        <v>75.8</v>
      </c>
      <c r="C16" s="8">
        <v>87.5</v>
      </c>
    </row>
    <row r="17" spans="2:3" x14ac:dyDescent="0.25">
      <c r="B17" s="8">
        <v>76</v>
      </c>
      <c r="C17" s="8">
        <v>66.900000000000006</v>
      </c>
    </row>
    <row r="18" spans="2:3" x14ac:dyDescent="0.25">
      <c r="B18" s="8">
        <v>62.8</v>
      </c>
      <c r="C18" s="8">
        <v>71.3</v>
      </c>
    </row>
    <row r="19" spans="2:3" x14ac:dyDescent="0.25">
      <c r="B19" s="8">
        <v>82.8</v>
      </c>
      <c r="C19" s="8">
        <v>76.8</v>
      </c>
    </row>
    <row r="20" spans="2:3" x14ac:dyDescent="0.25">
      <c r="B20" s="8">
        <v>76</v>
      </c>
      <c r="C20" s="8">
        <v>72.3</v>
      </c>
    </row>
    <row r="21" spans="2:3" x14ac:dyDescent="0.25">
      <c r="B21" s="8">
        <v>76.900000000000006</v>
      </c>
      <c r="C21" s="8">
        <v>72.400000000000006</v>
      </c>
    </row>
    <row r="22" spans="2:3" x14ac:dyDescent="0.25">
      <c r="B22" s="8">
        <v>75.8</v>
      </c>
      <c r="C22" s="8">
        <v>72</v>
      </c>
    </row>
    <row r="23" spans="2:3" x14ac:dyDescent="0.25">
      <c r="B23" s="8">
        <v>78</v>
      </c>
      <c r="C23" s="8">
        <v>81</v>
      </c>
    </row>
    <row r="24" spans="2:3" x14ac:dyDescent="0.25">
      <c r="B24" s="8">
        <v>82.4</v>
      </c>
      <c r="C24" s="8">
        <v>96.1</v>
      </c>
    </row>
    <row r="25" spans="2:3" x14ac:dyDescent="0.25">
      <c r="B25" s="8">
        <v>76.2</v>
      </c>
      <c r="C25" s="8">
        <v>76.7</v>
      </c>
    </row>
    <row r="26" spans="2:3" x14ac:dyDescent="0.25">
      <c r="B26" s="8">
        <v>62.5</v>
      </c>
      <c r="C26" s="8">
        <v>80.3</v>
      </c>
    </row>
    <row r="27" spans="2:3" x14ac:dyDescent="0.25">
      <c r="B27" s="8">
        <v>78</v>
      </c>
      <c r="C27" s="8">
        <v>77.8</v>
      </c>
    </row>
    <row r="28" spans="2:3" x14ac:dyDescent="0.25">
      <c r="B28" s="8">
        <v>66.5</v>
      </c>
      <c r="C28" s="8">
        <v>62.6</v>
      </c>
    </row>
    <row r="29" spans="2:3" x14ac:dyDescent="0.25">
      <c r="B29" s="8">
        <v>63.5</v>
      </c>
      <c r="C29" s="8">
        <v>80.2</v>
      </c>
    </row>
    <row r="30" spans="2:3" x14ac:dyDescent="0.25">
      <c r="B30" s="8">
        <v>82.6</v>
      </c>
      <c r="C30" s="8">
        <v>79.099999999999994</v>
      </c>
    </row>
    <row r="31" spans="2:3" x14ac:dyDescent="0.25">
      <c r="B31" s="8">
        <v>79.2</v>
      </c>
      <c r="C31" s="8">
        <v>77.8</v>
      </c>
    </row>
    <row r="32" spans="2:3" x14ac:dyDescent="0.25">
      <c r="B32" s="8">
        <v>75</v>
      </c>
      <c r="C32" s="8">
        <v>75.099999999999994</v>
      </c>
    </row>
    <row r="33" spans="2:3" x14ac:dyDescent="0.25">
      <c r="B33" s="8">
        <v>74.400000000000006</v>
      </c>
      <c r="C33" s="8">
        <v>82.2</v>
      </c>
    </row>
    <row r="34" spans="2:3" x14ac:dyDescent="0.25">
      <c r="B34" s="8">
        <v>67.900000000000006</v>
      </c>
      <c r="C34" s="8">
        <v>70.5</v>
      </c>
    </row>
    <row r="35" spans="2:3" x14ac:dyDescent="0.25">
      <c r="B35" s="8">
        <v>76.8</v>
      </c>
      <c r="C35" s="8">
        <v>70.8</v>
      </c>
    </row>
    <row r="36" spans="2:3" x14ac:dyDescent="0.25">
      <c r="B36" s="8">
        <v>83</v>
      </c>
      <c r="C36" s="8">
        <v>87.5</v>
      </c>
    </row>
    <row r="37" spans="2:3" x14ac:dyDescent="0.25">
      <c r="B37" s="8">
        <v>88.9</v>
      </c>
      <c r="C37" s="8">
        <v>79.5</v>
      </c>
    </row>
    <row r="38" spans="2:3" x14ac:dyDescent="0.25">
      <c r="B38" s="8">
        <v>76.5</v>
      </c>
      <c r="C38" s="8">
        <v>80.8</v>
      </c>
    </row>
    <row r="39" spans="2:3" x14ac:dyDescent="0.25">
      <c r="B39" s="8">
        <v>79.900000000000006</v>
      </c>
      <c r="C39" s="8">
        <v>79.599999999999994</v>
      </c>
    </row>
    <row r="40" spans="2:3" x14ac:dyDescent="0.25">
      <c r="B40" s="8">
        <v>70.400000000000006</v>
      </c>
      <c r="C40" s="8">
        <v>88.9</v>
      </c>
    </row>
    <row r="41" spans="2:3" x14ac:dyDescent="0.25">
      <c r="B41" s="8">
        <v>83.4</v>
      </c>
      <c r="C41" s="8">
        <v>85.9</v>
      </c>
    </row>
    <row r="42" spans="2:3" x14ac:dyDescent="0.25">
      <c r="B42" s="8">
        <v>79.2</v>
      </c>
      <c r="C42" s="8">
        <v>82.3</v>
      </c>
    </row>
    <row r="43" spans="2:3" x14ac:dyDescent="0.25">
      <c r="B43" s="8">
        <v>61.2</v>
      </c>
      <c r="C43" s="8">
        <v>76.7</v>
      </c>
    </row>
    <row r="44" spans="2:3" x14ac:dyDescent="0.25">
      <c r="B44" s="8">
        <v>64</v>
      </c>
      <c r="C44" s="8">
        <v>79.900000000000006</v>
      </c>
    </row>
    <row r="45" spans="2:3" x14ac:dyDescent="0.25">
      <c r="B45" s="8">
        <v>68</v>
      </c>
      <c r="C45" s="8">
        <v>86.2</v>
      </c>
    </row>
    <row r="46" spans="2:3" x14ac:dyDescent="0.25">
      <c r="B46" s="8">
        <v>78.5</v>
      </c>
      <c r="C46" s="8">
        <v>79.2</v>
      </c>
    </row>
    <row r="47" spans="2:3" x14ac:dyDescent="0.25">
      <c r="B47" s="8">
        <v>83</v>
      </c>
      <c r="C47" s="8">
        <v>83.4</v>
      </c>
    </row>
    <row r="48" spans="2:3" x14ac:dyDescent="0.25">
      <c r="B48" s="8">
        <v>75.2</v>
      </c>
      <c r="C48" s="8">
        <v>85.2</v>
      </c>
    </row>
    <row r="49" spans="2:3" x14ac:dyDescent="0.25">
      <c r="B49" s="8">
        <v>68.099999999999994</v>
      </c>
      <c r="C49" s="8">
        <v>77.8</v>
      </c>
    </row>
    <row r="50" spans="2:3" x14ac:dyDescent="0.25">
      <c r="B50" s="8">
        <v>93.6</v>
      </c>
      <c r="C50" s="8">
        <v>80.2</v>
      </c>
    </row>
    <row r="51" spans="2:3" x14ac:dyDescent="0.25">
      <c r="B51" s="8">
        <v>75.599999999999994</v>
      </c>
      <c r="C51" s="8">
        <v>71</v>
      </c>
    </row>
    <row r="52" spans="2:3" x14ac:dyDescent="0.25">
      <c r="B52" s="8">
        <v>82.3</v>
      </c>
      <c r="C52" s="8">
        <v>87.2</v>
      </c>
    </row>
    <row r="53" spans="2:3" x14ac:dyDescent="0.25">
      <c r="B53" s="8">
        <v>71.400000000000006</v>
      </c>
      <c r="C53" s="8">
        <v>82.9</v>
      </c>
    </row>
    <row r="54" spans="2:3" x14ac:dyDescent="0.25">
      <c r="B54" s="8">
        <v>71.900000000000006</v>
      </c>
      <c r="C54" s="8">
        <v>73.5</v>
      </c>
    </row>
    <row r="55" spans="2:3" x14ac:dyDescent="0.25">
      <c r="B55" s="8">
        <v>79.099999999999994</v>
      </c>
      <c r="C55" s="8">
        <v>74.599999999999994</v>
      </c>
    </row>
    <row r="56" spans="2:3" x14ac:dyDescent="0.25">
      <c r="B56" s="8">
        <v>88.7</v>
      </c>
      <c r="C56" s="8">
        <v>75.099999999999994</v>
      </c>
    </row>
    <row r="57" spans="2:3" x14ac:dyDescent="0.25">
      <c r="B57" s="8">
        <v>69.400000000000006</v>
      </c>
      <c r="C57" s="8">
        <v>85.1</v>
      </c>
    </row>
    <row r="58" spans="2:3" x14ac:dyDescent="0.25">
      <c r="B58" s="8">
        <v>80.3</v>
      </c>
      <c r="C58" s="8">
        <v>74.900000000000006</v>
      </c>
    </row>
    <row r="59" spans="2:3" x14ac:dyDescent="0.25">
      <c r="B59" s="8">
        <v>83</v>
      </c>
      <c r="C59" s="8">
        <v>84.6</v>
      </c>
    </row>
    <row r="60" spans="2:3" x14ac:dyDescent="0.25">
      <c r="B60" s="8">
        <v>74.099999999999994</v>
      </c>
      <c r="C60" s="8">
        <v>81.7</v>
      </c>
    </row>
    <row r="61" spans="2:3" x14ac:dyDescent="0.25">
      <c r="B61" s="8">
        <v>79.400000000000006</v>
      </c>
      <c r="C61" s="8">
        <v>81.400000000000006</v>
      </c>
    </row>
    <row r="62" spans="2:3" x14ac:dyDescent="0.25">
      <c r="B62" s="8">
        <v>88.1</v>
      </c>
      <c r="C62" s="8">
        <v>83.8</v>
      </c>
    </row>
    <row r="63" spans="2:3" x14ac:dyDescent="0.25">
      <c r="B63" s="8">
        <v>74.599999999999994</v>
      </c>
      <c r="C63" s="8">
        <v>88.5</v>
      </c>
    </row>
    <row r="64" spans="2:3" x14ac:dyDescent="0.25">
      <c r="B64" s="8">
        <v>87.1</v>
      </c>
      <c r="C64" s="8">
        <v>84.9</v>
      </c>
    </row>
    <row r="65" spans="2:3" x14ac:dyDescent="0.25">
      <c r="B65" s="8">
        <v>79.7</v>
      </c>
      <c r="C65" s="8">
        <v>84.3</v>
      </c>
    </row>
    <row r="66" spans="2:3" x14ac:dyDescent="0.25">
      <c r="B66" s="8">
        <v>82.1</v>
      </c>
      <c r="C66" s="8">
        <v>78.2</v>
      </c>
    </row>
    <row r="67" spans="2:3" x14ac:dyDescent="0.25">
      <c r="B67" s="8">
        <v>70.2</v>
      </c>
      <c r="C67" s="8">
        <v>80</v>
      </c>
    </row>
    <row r="68" spans="2:3" x14ac:dyDescent="0.25">
      <c r="B68" s="8">
        <v>81.7</v>
      </c>
      <c r="C68" s="8">
        <v>74.8</v>
      </c>
    </row>
    <row r="69" spans="2:3" x14ac:dyDescent="0.25">
      <c r="B69" s="8">
        <v>76.099999999999994</v>
      </c>
      <c r="C69" s="8">
        <v>78.5</v>
      </c>
    </row>
    <row r="70" spans="2:3" x14ac:dyDescent="0.25">
      <c r="B70" s="8">
        <v>65.400000000000006</v>
      </c>
      <c r="C70" s="8">
        <v>71.8</v>
      </c>
    </row>
    <row r="71" spans="2:3" x14ac:dyDescent="0.25">
      <c r="B71" s="8">
        <v>70.099999999999994</v>
      </c>
      <c r="C71" s="8">
        <v>69.900000000000006</v>
      </c>
    </row>
    <row r="72" spans="2:3" x14ac:dyDescent="0.25">
      <c r="B72" s="8">
        <v>75.3</v>
      </c>
      <c r="C72" s="8">
        <v>82.7</v>
      </c>
    </row>
    <row r="73" spans="2:3" x14ac:dyDescent="0.25">
      <c r="B73" s="8">
        <v>68.7</v>
      </c>
      <c r="C73" s="8">
        <v>74</v>
      </c>
    </row>
    <row r="74" spans="2:3" x14ac:dyDescent="0.25">
      <c r="B74" s="8">
        <v>75.7</v>
      </c>
      <c r="C74" s="8">
        <v>84</v>
      </c>
    </row>
    <row r="75" spans="2:3" x14ac:dyDescent="0.25">
      <c r="B75" s="8">
        <v>68.7</v>
      </c>
      <c r="C75" s="8">
        <v>84.7</v>
      </c>
    </row>
    <row r="76" spans="2:3" x14ac:dyDescent="0.25">
      <c r="B76" s="8">
        <v>70.400000000000006</v>
      </c>
      <c r="C76" s="8">
        <v>78.2</v>
      </c>
    </row>
    <row r="77" spans="2:3" x14ac:dyDescent="0.25">
      <c r="B77" s="8">
        <v>68.3</v>
      </c>
      <c r="C77" s="8">
        <v>85</v>
      </c>
    </row>
    <row r="78" spans="2:3" x14ac:dyDescent="0.25">
      <c r="B78" s="8">
        <v>71.7</v>
      </c>
      <c r="C78" s="8">
        <v>80.099999999999994</v>
      </c>
    </row>
    <row r="79" spans="2:3" x14ac:dyDescent="0.25">
      <c r="B79" s="8">
        <v>70.900000000000006</v>
      </c>
      <c r="C79" s="8">
        <v>85.3</v>
      </c>
    </row>
    <row r="80" spans="2:3" x14ac:dyDescent="0.25">
      <c r="B80" s="8">
        <v>66.3</v>
      </c>
      <c r="C80" s="8">
        <v>79.7</v>
      </c>
    </row>
    <row r="81" spans="2:3" x14ac:dyDescent="0.25">
      <c r="B81" s="8">
        <v>65.3</v>
      </c>
      <c r="C81" s="8">
        <v>79.599999999999994</v>
      </c>
    </row>
    <row r="82" spans="2:3" x14ac:dyDescent="0.25">
      <c r="B82" s="8">
        <v>75.7</v>
      </c>
      <c r="C82" s="8">
        <v>78.900000000000006</v>
      </c>
    </row>
    <row r="83" spans="2:3" x14ac:dyDescent="0.25">
      <c r="B83" s="8">
        <v>66</v>
      </c>
      <c r="C83" s="8">
        <v>78.5</v>
      </c>
    </row>
    <row r="84" spans="2:3" x14ac:dyDescent="0.25">
      <c r="B84" s="8">
        <v>78.900000000000006</v>
      </c>
      <c r="C84" s="8">
        <v>72</v>
      </c>
    </row>
    <row r="85" spans="2:3" x14ac:dyDescent="0.25">
      <c r="B85" s="8">
        <v>74</v>
      </c>
      <c r="C85" s="8">
        <v>74.2</v>
      </c>
    </row>
    <row r="86" spans="2:3" x14ac:dyDescent="0.25">
      <c r="B86" s="8">
        <v>74.599999999999994</v>
      </c>
      <c r="C86" s="8">
        <v>71.7</v>
      </c>
    </row>
    <row r="87" spans="2:3" x14ac:dyDescent="0.25">
      <c r="B87" s="8">
        <v>79.3</v>
      </c>
      <c r="C87" s="8">
        <v>80.7</v>
      </c>
    </row>
    <row r="88" spans="2:3" x14ac:dyDescent="0.25">
      <c r="B88" s="8">
        <v>70.099999999999994</v>
      </c>
      <c r="C88" s="8">
        <v>84.1</v>
      </c>
    </row>
    <row r="89" spans="2:3" x14ac:dyDescent="0.25">
      <c r="B89" s="8">
        <v>88.8</v>
      </c>
      <c r="C89" s="8">
        <v>87.4</v>
      </c>
    </row>
    <row r="90" spans="2:3" x14ac:dyDescent="0.25">
      <c r="B90" s="8">
        <v>66</v>
      </c>
      <c r="C90" s="8">
        <v>77.400000000000006</v>
      </c>
    </row>
    <row r="91" spans="2:3" x14ac:dyDescent="0.25">
      <c r="B91" s="8">
        <v>82.9</v>
      </c>
      <c r="C91" s="8">
        <v>84.7</v>
      </c>
    </row>
    <row r="92" spans="2:3" x14ac:dyDescent="0.25">
      <c r="B92" s="8">
        <v>100</v>
      </c>
      <c r="C92" s="8">
        <v>78.8</v>
      </c>
    </row>
    <row r="93" spans="2:3" x14ac:dyDescent="0.25">
      <c r="B93" s="8">
        <v>75.599999999999994</v>
      </c>
      <c r="C93" s="8">
        <v>92.7</v>
      </c>
    </row>
    <row r="94" spans="2:3" x14ac:dyDescent="0.25">
      <c r="B94" s="8">
        <v>67.5</v>
      </c>
      <c r="C94" s="8">
        <v>88.8</v>
      </c>
    </row>
    <row r="95" spans="2:3" x14ac:dyDescent="0.25">
      <c r="B95" s="8">
        <v>68.7</v>
      </c>
      <c r="C95" s="8">
        <v>86.6</v>
      </c>
    </row>
    <row r="96" spans="2:3" x14ac:dyDescent="0.25">
      <c r="B96" s="8">
        <v>76</v>
      </c>
      <c r="C96" s="8">
        <v>77.900000000000006</v>
      </c>
    </row>
    <row r="97" spans="2:3" x14ac:dyDescent="0.25">
      <c r="B97" s="8">
        <v>67.7</v>
      </c>
      <c r="C97" s="8">
        <v>86.1</v>
      </c>
    </row>
    <row r="98" spans="2:3" x14ac:dyDescent="0.25">
      <c r="B98" s="8">
        <v>75.3</v>
      </c>
      <c r="C98" s="8">
        <v>89.9</v>
      </c>
    </row>
    <row r="99" spans="2:3" x14ac:dyDescent="0.25">
      <c r="B99" s="8">
        <v>68.099999999999994</v>
      </c>
      <c r="C99" s="8">
        <v>83.1</v>
      </c>
    </row>
    <row r="100" spans="2:3" x14ac:dyDescent="0.25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F7" sqref="F7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5" max="5" width="14.28515625" customWidth="1"/>
    <col min="6" max="6" width="9.140625" customWidth="1"/>
  </cols>
  <sheetData>
    <row r="1" spans="2:6" ht="25.5" customHeight="1" x14ac:dyDescent="0.3">
      <c r="B1" s="18" t="s">
        <v>225</v>
      </c>
    </row>
    <row r="2" spans="2:6" ht="15" customHeight="1" x14ac:dyDescent="0.25">
      <c r="B2" s="30" t="s">
        <v>226</v>
      </c>
    </row>
    <row r="3" spans="2:6" ht="18" customHeight="1" x14ac:dyDescent="0.25"/>
    <row r="4" spans="2:6" x14ac:dyDescent="0.25">
      <c r="E4" s="3" t="s">
        <v>54</v>
      </c>
    </row>
    <row r="5" spans="2:6" x14ac:dyDescent="0.25">
      <c r="B5" s="43" t="s">
        <v>76</v>
      </c>
      <c r="C5" s="43" t="s">
        <v>77</v>
      </c>
      <c r="E5" s="108" t="s">
        <v>229</v>
      </c>
      <c r="F5" s="108"/>
    </row>
    <row r="6" spans="2:6" x14ac:dyDescent="0.25">
      <c r="B6" s="51">
        <v>68.400000000000006</v>
      </c>
      <c r="C6" s="51">
        <v>90.2</v>
      </c>
      <c r="E6" s="20" t="s">
        <v>230</v>
      </c>
      <c r="F6" s="87">
        <f>PEARSON(B6:B100,C6:C100)</f>
        <v>0.10605610621279929</v>
      </c>
    </row>
    <row r="7" spans="2:6" x14ac:dyDescent="0.25">
      <c r="B7" s="8">
        <v>62.1</v>
      </c>
      <c r="C7" s="8">
        <v>92.8</v>
      </c>
    </row>
    <row r="8" spans="2:6" x14ac:dyDescent="0.25">
      <c r="B8" s="8">
        <v>70.2</v>
      </c>
      <c r="C8" s="8">
        <v>68.7</v>
      </c>
    </row>
    <row r="9" spans="2:6" x14ac:dyDescent="0.25">
      <c r="B9" s="8">
        <v>75.099999999999994</v>
      </c>
      <c r="C9" s="8">
        <v>80.7</v>
      </c>
    </row>
    <row r="10" spans="2:6" x14ac:dyDescent="0.25">
      <c r="B10" s="8">
        <v>60.9</v>
      </c>
      <c r="C10" s="8">
        <v>74.900000000000006</v>
      </c>
    </row>
    <row r="11" spans="2:6" x14ac:dyDescent="0.25">
      <c r="B11" s="8">
        <v>74.5</v>
      </c>
      <c r="C11" s="8">
        <v>80.7</v>
      </c>
    </row>
    <row r="12" spans="2:6" x14ac:dyDescent="0.25">
      <c r="B12" s="8">
        <v>76.400000000000006</v>
      </c>
      <c r="C12" s="8">
        <v>83.3</v>
      </c>
    </row>
    <row r="13" spans="2:6" x14ac:dyDescent="0.25">
      <c r="B13" s="8">
        <v>82.6</v>
      </c>
      <c r="C13" s="8">
        <v>88.7</v>
      </c>
    </row>
    <row r="14" spans="2:6" x14ac:dyDescent="0.25">
      <c r="B14" s="8">
        <v>76.900000000000006</v>
      </c>
      <c r="C14" s="8">
        <v>75.400000000000006</v>
      </c>
    </row>
    <row r="15" spans="2:6" x14ac:dyDescent="0.25">
      <c r="B15" s="8">
        <v>83.3</v>
      </c>
      <c r="C15" s="8">
        <v>82.1</v>
      </c>
    </row>
    <row r="16" spans="2:6" x14ac:dyDescent="0.25">
      <c r="B16" s="8">
        <v>75.8</v>
      </c>
      <c r="C16" s="8">
        <v>87.5</v>
      </c>
    </row>
    <row r="17" spans="2:3" x14ac:dyDescent="0.25">
      <c r="B17" s="8">
        <v>76</v>
      </c>
      <c r="C17" s="8">
        <v>66.900000000000006</v>
      </c>
    </row>
    <row r="18" spans="2:3" x14ac:dyDescent="0.25">
      <c r="B18" s="8">
        <v>62.8</v>
      </c>
      <c r="C18" s="8">
        <v>71.3</v>
      </c>
    </row>
    <row r="19" spans="2:3" x14ac:dyDescent="0.25">
      <c r="B19" s="8">
        <v>82.8</v>
      </c>
      <c r="C19" s="8">
        <v>76.8</v>
      </c>
    </row>
    <row r="20" spans="2:3" x14ac:dyDescent="0.25">
      <c r="B20" s="8">
        <v>76</v>
      </c>
      <c r="C20" s="8">
        <v>72.3</v>
      </c>
    </row>
    <row r="21" spans="2:3" x14ac:dyDescent="0.25">
      <c r="B21" s="8">
        <v>76.900000000000006</v>
      </c>
      <c r="C21" s="8">
        <v>72.400000000000006</v>
      </c>
    </row>
    <row r="22" spans="2:3" x14ac:dyDescent="0.25">
      <c r="B22" s="8">
        <v>75.8</v>
      </c>
      <c r="C22" s="8">
        <v>72</v>
      </c>
    </row>
    <row r="23" spans="2:3" x14ac:dyDescent="0.25">
      <c r="B23" s="8">
        <v>78</v>
      </c>
      <c r="C23" s="8">
        <v>81</v>
      </c>
    </row>
    <row r="24" spans="2:3" x14ac:dyDescent="0.25">
      <c r="B24" s="8">
        <v>82.4</v>
      </c>
      <c r="C24" s="8">
        <v>96.1</v>
      </c>
    </row>
    <row r="25" spans="2:3" x14ac:dyDescent="0.25">
      <c r="B25" s="8">
        <v>76.2</v>
      </c>
      <c r="C25" s="8">
        <v>76.7</v>
      </c>
    </row>
    <row r="26" spans="2:3" x14ac:dyDescent="0.25">
      <c r="B26" s="8">
        <v>62.5</v>
      </c>
      <c r="C26" s="8">
        <v>80.3</v>
      </c>
    </row>
    <row r="27" spans="2:3" x14ac:dyDescent="0.25">
      <c r="B27" s="8">
        <v>78</v>
      </c>
      <c r="C27" s="8">
        <v>77.8</v>
      </c>
    </row>
    <row r="28" spans="2:3" x14ac:dyDescent="0.25">
      <c r="B28" s="8">
        <v>66.5</v>
      </c>
      <c r="C28" s="8">
        <v>62.6</v>
      </c>
    </row>
    <row r="29" spans="2:3" x14ac:dyDescent="0.25">
      <c r="B29" s="8">
        <v>63.5</v>
      </c>
      <c r="C29" s="8">
        <v>80.2</v>
      </c>
    </row>
    <row r="30" spans="2:3" x14ac:dyDescent="0.25">
      <c r="B30" s="8">
        <v>82.6</v>
      </c>
      <c r="C30" s="8">
        <v>79.099999999999994</v>
      </c>
    </row>
    <row r="31" spans="2:3" x14ac:dyDescent="0.25">
      <c r="B31" s="8">
        <v>79.2</v>
      </c>
      <c r="C31" s="8">
        <v>77.8</v>
      </c>
    </row>
    <row r="32" spans="2:3" x14ac:dyDescent="0.25">
      <c r="B32" s="8">
        <v>75</v>
      </c>
      <c r="C32" s="8">
        <v>75.099999999999994</v>
      </c>
    </row>
    <row r="33" spans="2:3" x14ac:dyDescent="0.25">
      <c r="B33" s="8">
        <v>74.400000000000006</v>
      </c>
      <c r="C33" s="8">
        <v>82.2</v>
      </c>
    </row>
    <row r="34" spans="2:3" x14ac:dyDescent="0.25">
      <c r="B34" s="8">
        <v>67.900000000000006</v>
      </c>
      <c r="C34" s="8">
        <v>70.5</v>
      </c>
    </row>
    <row r="35" spans="2:3" x14ac:dyDescent="0.25">
      <c r="B35" s="8">
        <v>76.8</v>
      </c>
      <c r="C35" s="8">
        <v>70.8</v>
      </c>
    </row>
    <row r="36" spans="2:3" x14ac:dyDescent="0.25">
      <c r="B36" s="8">
        <v>83</v>
      </c>
      <c r="C36" s="8">
        <v>87.5</v>
      </c>
    </row>
    <row r="37" spans="2:3" x14ac:dyDescent="0.25">
      <c r="B37" s="8">
        <v>88.9</v>
      </c>
      <c r="C37" s="8">
        <v>79.5</v>
      </c>
    </row>
    <row r="38" spans="2:3" x14ac:dyDescent="0.25">
      <c r="B38" s="8">
        <v>76.5</v>
      </c>
      <c r="C38" s="8">
        <v>80.8</v>
      </c>
    </row>
    <row r="39" spans="2:3" x14ac:dyDescent="0.25">
      <c r="B39" s="8">
        <v>79.900000000000006</v>
      </c>
      <c r="C39" s="8">
        <v>79.599999999999994</v>
      </c>
    </row>
    <row r="40" spans="2:3" x14ac:dyDescent="0.25">
      <c r="B40" s="8">
        <v>70.400000000000006</v>
      </c>
      <c r="C40" s="8">
        <v>88.9</v>
      </c>
    </row>
    <row r="41" spans="2:3" x14ac:dyDescent="0.25">
      <c r="B41" s="8">
        <v>83.4</v>
      </c>
      <c r="C41" s="8">
        <v>85.9</v>
      </c>
    </row>
    <row r="42" spans="2:3" x14ac:dyDescent="0.25">
      <c r="B42" s="8">
        <v>79.2</v>
      </c>
      <c r="C42" s="8">
        <v>82.3</v>
      </c>
    </row>
    <row r="43" spans="2:3" x14ac:dyDescent="0.25">
      <c r="B43" s="8">
        <v>61.2</v>
      </c>
      <c r="C43" s="8">
        <v>76.7</v>
      </c>
    </row>
    <row r="44" spans="2:3" x14ac:dyDescent="0.25">
      <c r="B44" s="8">
        <v>64</v>
      </c>
      <c r="C44" s="8">
        <v>79.900000000000006</v>
      </c>
    </row>
    <row r="45" spans="2:3" x14ac:dyDescent="0.25">
      <c r="B45" s="8">
        <v>68</v>
      </c>
      <c r="C45" s="8">
        <v>86.2</v>
      </c>
    </row>
    <row r="46" spans="2:3" x14ac:dyDescent="0.25">
      <c r="B46" s="8">
        <v>78.5</v>
      </c>
      <c r="C46" s="8">
        <v>79.2</v>
      </c>
    </row>
    <row r="47" spans="2:3" x14ac:dyDescent="0.25">
      <c r="B47" s="8">
        <v>83</v>
      </c>
      <c r="C47" s="8">
        <v>83.4</v>
      </c>
    </row>
    <row r="48" spans="2:3" x14ac:dyDescent="0.25">
      <c r="B48" s="8">
        <v>75.2</v>
      </c>
      <c r="C48" s="8">
        <v>85.2</v>
      </c>
    </row>
    <row r="49" spans="2:3" x14ac:dyDescent="0.25">
      <c r="B49" s="8">
        <v>68.099999999999994</v>
      </c>
      <c r="C49" s="8">
        <v>77.8</v>
      </c>
    </row>
    <row r="50" spans="2:3" x14ac:dyDescent="0.25">
      <c r="B50" s="8">
        <v>93.6</v>
      </c>
      <c r="C50" s="8">
        <v>80.2</v>
      </c>
    </row>
    <row r="51" spans="2:3" x14ac:dyDescent="0.25">
      <c r="B51" s="8">
        <v>75.599999999999994</v>
      </c>
      <c r="C51" s="8">
        <v>71</v>
      </c>
    </row>
    <row r="52" spans="2:3" x14ac:dyDescent="0.25">
      <c r="B52" s="8">
        <v>82.3</v>
      </c>
      <c r="C52" s="8">
        <v>87.2</v>
      </c>
    </row>
    <row r="53" spans="2:3" x14ac:dyDescent="0.25">
      <c r="B53" s="8">
        <v>71.400000000000006</v>
      </c>
      <c r="C53" s="8">
        <v>82.9</v>
      </c>
    </row>
    <row r="54" spans="2:3" x14ac:dyDescent="0.25">
      <c r="B54" s="8">
        <v>71.900000000000006</v>
      </c>
      <c r="C54" s="8">
        <v>73.5</v>
      </c>
    </row>
    <row r="55" spans="2:3" x14ac:dyDescent="0.25">
      <c r="B55" s="8">
        <v>79.099999999999994</v>
      </c>
      <c r="C55" s="8">
        <v>74.599999999999994</v>
      </c>
    </row>
    <row r="56" spans="2:3" x14ac:dyDescent="0.25">
      <c r="B56" s="8">
        <v>88.7</v>
      </c>
      <c r="C56" s="8">
        <v>75.099999999999994</v>
      </c>
    </row>
    <row r="57" spans="2:3" x14ac:dyDescent="0.25">
      <c r="B57" s="8">
        <v>69.400000000000006</v>
      </c>
      <c r="C57" s="8">
        <v>85.1</v>
      </c>
    </row>
    <row r="58" spans="2:3" x14ac:dyDescent="0.25">
      <c r="B58" s="8">
        <v>80.3</v>
      </c>
      <c r="C58" s="8">
        <v>74.900000000000006</v>
      </c>
    </row>
    <row r="59" spans="2:3" x14ac:dyDescent="0.25">
      <c r="B59" s="8">
        <v>83</v>
      </c>
      <c r="C59" s="8">
        <v>84.6</v>
      </c>
    </row>
    <row r="60" spans="2:3" x14ac:dyDescent="0.25">
      <c r="B60" s="8">
        <v>74.099999999999994</v>
      </c>
      <c r="C60" s="8">
        <v>81.7</v>
      </c>
    </row>
    <row r="61" spans="2:3" x14ac:dyDescent="0.25">
      <c r="B61" s="8">
        <v>79.400000000000006</v>
      </c>
      <c r="C61" s="8">
        <v>81.400000000000006</v>
      </c>
    </row>
    <row r="62" spans="2:3" x14ac:dyDescent="0.25">
      <c r="B62" s="8">
        <v>88.1</v>
      </c>
      <c r="C62" s="8">
        <v>83.8</v>
      </c>
    </row>
    <row r="63" spans="2:3" x14ac:dyDescent="0.25">
      <c r="B63" s="8">
        <v>74.599999999999994</v>
      </c>
      <c r="C63" s="8">
        <v>88.5</v>
      </c>
    </row>
    <row r="64" spans="2:3" x14ac:dyDescent="0.25">
      <c r="B64" s="8">
        <v>87.1</v>
      </c>
      <c r="C64" s="8">
        <v>84.9</v>
      </c>
    </row>
    <row r="65" spans="2:3" x14ac:dyDescent="0.25">
      <c r="B65" s="8">
        <v>79.7</v>
      </c>
      <c r="C65" s="8">
        <v>84.3</v>
      </c>
    </row>
    <row r="66" spans="2:3" x14ac:dyDescent="0.25">
      <c r="B66" s="8">
        <v>82.1</v>
      </c>
      <c r="C66" s="8">
        <v>78.2</v>
      </c>
    </row>
    <row r="67" spans="2:3" x14ac:dyDescent="0.25">
      <c r="B67" s="8">
        <v>70.2</v>
      </c>
      <c r="C67" s="8">
        <v>80</v>
      </c>
    </row>
    <row r="68" spans="2:3" x14ac:dyDescent="0.25">
      <c r="B68" s="8">
        <v>81.7</v>
      </c>
      <c r="C68" s="8">
        <v>74.8</v>
      </c>
    </row>
    <row r="69" spans="2:3" x14ac:dyDescent="0.25">
      <c r="B69" s="8">
        <v>76.099999999999994</v>
      </c>
      <c r="C69" s="8">
        <v>78.5</v>
      </c>
    </row>
    <row r="70" spans="2:3" x14ac:dyDescent="0.25">
      <c r="B70" s="8">
        <v>65.400000000000006</v>
      </c>
      <c r="C70" s="8">
        <v>71.8</v>
      </c>
    </row>
    <row r="71" spans="2:3" x14ac:dyDescent="0.25">
      <c r="B71" s="8">
        <v>70.099999999999994</v>
      </c>
      <c r="C71" s="8">
        <v>69.900000000000006</v>
      </c>
    </row>
    <row r="72" spans="2:3" x14ac:dyDescent="0.25">
      <c r="B72" s="8">
        <v>75.3</v>
      </c>
      <c r="C72" s="8">
        <v>82.7</v>
      </c>
    </row>
    <row r="73" spans="2:3" x14ac:dyDescent="0.25">
      <c r="B73" s="8">
        <v>68.7</v>
      </c>
      <c r="C73" s="8">
        <v>74</v>
      </c>
    </row>
    <row r="74" spans="2:3" x14ac:dyDescent="0.25">
      <c r="B74" s="8">
        <v>75.7</v>
      </c>
      <c r="C74" s="8">
        <v>84</v>
      </c>
    </row>
    <row r="75" spans="2:3" x14ac:dyDescent="0.25">
      <c r="B75" s="8">
        <v>68.7</v>
      </c>
      <c r="C75" s="8">
        <v>84.7</v>
      </c>
    </row>
    <row r="76" spans="2:3" x14ac:dyDescent="0.25">
      <c r="B76" s="8">
        <v>70.400000000000006</v>
      </c>
      <c r="C76" s="8">
        <v>78.2</v>
      </c>
    </row>
    <row r="77" spans="2:3" x14ac:dyDescent="0.25">
      <c r="B77" s="8">
        <v>68.3</v>
      </c>
      <c r="C77" s="8">
        <v>85</v>
      </c>
    </row>
    <row r="78" spans="2:3" x14ac:dyDescent="0.25">
      <c r="B78" s="8">
        <v>71.7</v>
      </c>
      <c r="C78" s="8">
        <v>80.099999999999994</v>
      </c>
    </row>
    <row r="79" spans="2:3" x14ac:dyDescent="0.25">
      <c r="B79" s="8">
        <v>70.900000000000006</v>
      </c>
      <c r="C79" s="8">
        <v>85.3</v>
      </c>
    </row>
    <row r="80" spans="2:3" x14ac:dyDescent="0.25">
      <c r="B80" s="8">
        <v>66.3</v>
      </c>
      <c r="C80" s="8">
        <v>79.7</v>
      </c>
    </row>
    <row r="81" spans="2:3" x14ac:dyDescent="0.25">
      <c r="B81" s="8">
        <v>65.3</v>
      </c>
      <c r="C81" s="8">
        <v>79.599999999999994</v>
      </c>
    </row>
    <row r="82" spans="2:3" x14ac:dyDescent="0.25">
      <c r="B82" s="8">
        <v>75.7</v>
      </c>
      <c r="C82" s="8">
        <v>78.900000000000006</v>
      </c>
    </row>
    <row r="83" spans="2:3" x14ac:dyDescent="0.25">
      <c r="B83" s="8">
        <v>66</v>
      </c>
      <c r="C83" s="8">
        <v>78.5</v>
      </c>
    </row>
    <row r="84" spans="2:3" x14ac:dyDescent="0.25">
      <c r="B84" s="8">
        <v>78.900000000000006</v>
      </c>
      <c r="C84" s="8">
        <v>72</v>
      </c>
    </row>
    <row r="85" spans="2:3" x14ac:dyDescent="0.25">
      <c r="B85" s="8">
        <v>74</v>
      </c>
      <c r="C85" s="8">
        <v>74.2</v>
      </c>
    </row>
    <row r="86" spans="2:3" x14ac:dyDescent="0.25">
      <c r="B86" s="8">
        <v>74.599999999999994</v>
      </c>
      <c r="C86" s="8">
        <v>71.7</v>
      </c>
    </row>
    <row r="87" spans="2:3" x14ac:dyDescent="0.25">
      <c r="B87" s="8">
        <v>79.3</v>
      </c>
      <c r="C87" s="8">
        <v>80.7</v>
      </c>
    </row>
    <row r="88" spans="2:3" x14ac:dyDescent="0.25">
      <c r="B88" s="8">
        <v>70.099999999999994</v>
      </c>
      <c r="C88" s="8">
        <v>84.1</v>
      </c>
    </row>
    <row r="89" spans="2:3" x14ac:dyDescent="0.25">
      <c r="B89" s="8">
        <v>88.8</v>
      </c>
      <c r="C89" s="8">
        <v>87.4</v>
      </c>
    </row>
    <row r="90" spans="2:3" x14ac:dyDescent="0.25">
      <c r="B90" s="8">
        <v>66</v>
      </c>
      <c r="C90" s="8">
        <v>77.400000000000006</v>
      </c>
    </row>
    <row r="91" spans="2:3" x14ac:dyDescent="0.25">
      <c r="B91" s="8">
        <v>82.9</v>
      </c>
      <c r="C91" s="8">
        <v>84.7</v>
      </c>
    </row>
    <row r="92" spans="2:3" x14ac:dyDescent="0.25">
      <c r="B92" s="8">
        <v>100</v>
      </c>
      <c r="C92" s="8">
        <v>78.8</v>
      </c>
    </row>
    <row r="93" spans="2:3" x14ac:dyDescent="0.25">
      <c r="B93" s="8">
        <v>75.599999999999994</v>
      </c>
      <c r="C93" s="8">
        <v>92.7</v>
      </c>
    </row>
    <row r="94" spans="2:3" x14ac:dyDescent="0.25">
      <c r="B94" s="8">
        <v>67.5</v>
      </c>
      <c r="C94" s="8">
        <v>88.8</v>
      </c>
    </row>
    <row r="95" spans="2:3" x14ac:dyDescent="0.25">
      <c r="B95" s="8">
        <v>68.7</v>
      </c>
      <c r="C95" s="8">
        <v>86.6</v>
      </c>
    </row>
    <row r="96" spans="2:3" x14ac:dyDescent="0.25">
      <c r="B96" s="8">
        <v>76</v>
      </c>
      <c r="C96" s="8">
        <v>77.900000000000006</v>
      </c>
    </row>
    <row r="97" spans="2:3" x14ac:dyDescent="0.25">
      <c r="B97" s="8">
        <v>67.7</v>
      </c>
      <c r="C97" s="8">
        <v>86.1</v>
      </c>
    </row>
    <row r="98" spans="2:3" x14ac:dyDescent="0.25">
      <c r="B98" s="8">
        <v>75.3</v>
      </c>
      <c r="C98" s="8">
        <v>89.9</v>
      </c>
    </row>
    <row r="99" spans="2:3" x14ac:dyDescent="0.25">
      <c r="B99" s="8">
        <v>68.099999999999994</v>
      </c>
      <c r="C99" s="8">
        <v>83.1</v>
      </c>
    </row>
    <row r="100" spans="2:3" x14ac:dyDescent="0.25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topLeftCell="E1" workbookViewId="0">
      <selection activeCell="L16" sqref="L16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4" max="4" width="20.7109375" bestFit="1" customWidth="1"/>
    <col min="5" max="5" width="19.28515625" bestFit="1" customWidth="1"/>
    <col min="6" max="6" width="12.7109375" bestFit="1" customWidth="1"/>
    <col min="8" max="8" width="14.28515625" customWidth="1"/>
    <col min="9" max="9" width="17" bestFit="1" customWidth="1"/>
    <col min="10" max="10" width="11.5703125" bestFit="1" customWidth="1"/>
    <col min="11" max="11" width="21.140625" bestFit="1" customWidth="1"/>
    <col min="12" max="12" width="19.85546875" bestFit="1" customWidth="1"/>
  </cols>
  <sheetData>
    <row r="1" spans="2:13" ht="25.5" customHeight="1" x14ac:dyDescent="0.3">
      <c r="B1" s="18" t="s">
        <v>234</v>
      </c>
    </row>
    <row r="2" spans="2:13" ht="15" customHeight="1" x14ac:dyDescent="0.25">
      <c r="B2" s="30" t="s">
        <v>233</v>
      </c>
    </row>
    <row r="3" spans="2:13" ht="18" customHeight="1" x14ac:dyDescent="0.25"/>
    <row r="4" spans="2:13" x14ac:dyDescent="0.25">
      <c r="H4" s="3" t="s">
        <v>54</v>
      </c>
    </row>
    <row r="5" spans="2:13" x14ac:dyDescent="0.2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08" t="s">
        <v>232</v>
      </c>
      <c r="I5" s="108"/>
      <c r="J5" s="108"/>
      <c r="K5" s="108"/>
      <c r="L5" s="108"/>
    </row>
    <row r="6" spans="2:13" x14ac:dyDescent="0.2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5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230</v>
      </c>
      <c r="I7" s="87">
        <f>PEARSON(B6:B58,$F$6:$F$58)</f>
        <v>8.8131115330406282E-2</v>
      </c>
      <c r="J7" s="87">
        <f t="shared" ref="J7:L7" si="0">PEARSON(C6:C58,$F$6:$F$58)</f>
        <v>-0.21594890460773236</v>
      </c>
      <c r="K7" s="87">
        <f t="shared" si="0"/>
        <v>-3.3036156159711241E-2</v>
      </c>
      <c r="L7" s="87">
        <f t="shared" si="0"/>
        <v>-1.1767089174847936E-2</v>
      </c>
    </row>
    <row r="8" spans="2:13" x14ac:dyDescent="0.25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5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5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5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5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5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5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5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5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5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5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5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5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5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5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5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5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5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5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5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5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5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5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5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5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5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5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5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5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5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5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5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5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5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5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5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5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5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5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5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5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5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5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5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5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5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5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5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5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5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5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topLeftCell="C1" workbookViewId="0">
      <selection activeCell="L24" sqref="L24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</cols>
  <sheetData>
    <row r="1" spans="2:6" ht="25.5" customHeight="1" x14ac:dyDescent="0.3">
      <c r="B1" s="18" t="s">
        <v>244</v>
      </c>
    </row>
    <row r="2" spans="2:6" ht="15" customHeight="1" x14ac:dyDescent="0.25">
      <c r="B2" s="30" t="s">
        <v>237</v>
      </c>
    </row>
    <row r="3" spans="2:6" ht="18" customHeight="1" x14ac:dyDescent="0.25"/>
    <row r="4" spans="2:6" x14ac:dyDescent="0.25">
      <c r="E4" s="3" t="s">
        <v>54</v>
      </c>
    </row>
    <row r="5" spans="2:6" x14ac:dyDescent="0.25">
      <c r="B5" s="43" t="s">
        <v>22</v>
      </c>
      <c r="C5" s="43" t="s">
        <v>23</v>
      </c>
      <c r="E5" s="108" t="s">
        <v>229</v>
      </c>
      <c r="F5" s="108"/>
    </row>
    <row r="6" spans="2:6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</row>
    <row r="7" spans="2:6" x14ac:dyDescent="0.25">
      <c r="B7" s="8">
        <v>423</v>
      </c>
      <c r="C7" s="8">
        <v>410</v>
      </c>
    </row>
    <row r="8" spans="2:6" x14ac:dyDescent="0.25">
      <c r="B8" s="8">
        <v>101</v>
      </c>
      <c r="C8" s="8">
        <v>119</v>
      </c>
    </row>
    <row r="9" spans="2:6" x14ac:dyDescent="0.25">
      <c r="B9" s="8">
        <v>288</v>
      </c>
      <c r="C9" s="8">
        <v>334</v>
      </c>
    </row>
    <row r="10" spans="2:6" x14ac:dyDescent="0.25">
      <c r="B10" s="8">
        <v>248</v>
      </c>
      <c r="C10" s="8">
        <v>252</v>
      </c>
    </row>
    <row r="11" spans="2:6" x14ac:dyDescent="0.25">
      <c r="B11" s="8">
        <v>145</v>
      </c>
      <c r="C11" s="8">
        <v>209</v>
      </c>
    </row>
    <row r="12" spans="2:6" x14ac:dyDescent="0.25">
      <c r="B12" s="8">
        <v>401</v>
      </c>
      <c r="C12" s="8">
        <v>462</v>
      </c>
    </row>
    <row r="13" spans="2:6" x14ac:dyDescent="0.25">
      <c r="B13" s="8">
        <v>287</v>
      </c>
      <c r="C13" s="8">
        <v>342</v>
      </c>
    </row>
    <row r="14" spans="2:6" x14ac:dyDescent="0.25">
      <c r="B14" s="8">
        <v>275</v>
      </c>
      <c r="C14" s="8">
        <v>347</v>
      </c>
    </row>
    <row r="15" spans="2:6" x14ac:dyDescent="0.25">
      <c r="B15" s="8">
        <v>254</v>
      </c>
      <c r="C15" s="8">
        <v>313</v>
      </c>
    </row>
    <row r="16" spans="2:6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topLeftCell="E1" workbookViewId="0">
      <selection activeCell="L7" sqref="L7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</cols>
  <sheetData>
    <row r="1" spans="2:14" ht="25.5" customHeight="1" x14ac:dyDescent="0.3">
      <c r="B1" s="18" t="s">
        <v>245</v>
      </c>
    </row>
    <row r="2" spans="2:14" ht="15" customHeight="1" x14ac:dyDescent="0.25">
      <c r="B2" s="30" t="s">
        <v>237</v>
      </c>
    </row>
    <row r="3" spans="2:14" ht="18" customHeight="1" x14ac:dyDescent="0.25"/>
    <row r="4" spans="2:14" x14ac:dyDescent="0.25">
      <c r="E4" s="3" t="s">
        <v>54</v>
      </c>
    </row>
    <row r="5" spans="2:14" x14ac:dyDescent="0.2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</row>
    <row r="6" spans="2:14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200</v>
      </c>
      <c r="N6" s="99"/>
    </row>
    <row r="7" spans="2:14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248.14268623603792</v>
      </c>
    </row>
    <row r="8" spans="2:14" x14ac:dyDescent="0.25">
      <c r="B8" s="8">
        <v>101</v>
      </c>
      <c r="C8" s="8">
        <v>119</v>
      </c>
    </row>
    <row r="9" spans="2:14" x14ac:dyDescent="0.25">
      <c r="B9" s="8">
        <v>288</v>
      </c>
      <c r="C9" s="8">
        <v>334</v>
      </c>
    </row>
    <row r="10" spans="2:14" x14ac:dyDescent="0.25">
      <c r="B10" s="8">
        <v>248</v>
      </c>
      <c r="C10" s="8">
        <v>252</v>
      </c>
    </row>
    <row r="11" spans="2:14" x14ac:dyDescent="0.25">
      <c r="B11" s="8">
        <v>145</v>
      </c>
      <c r="C11" s="8">
        <v>209</v>
      </c>
    </row>
    <row r="12" spans="2:14" x14ac:dyDescent="0.25">
      <c r="B12" s="8">
        <v>401</v>
      </c>
      <c r="C12" s="8">
        <v>462</v>
      </c>
    </row>
    <row r="13" spans="2:14" x14ac:dyDescent="0.25">
      <c r="B13" s="8">
        <v>287</v>
      </c>
      <c r="C13" s="8">
        <v>342</v>
      </c>
    </row>
    <row r="14" spans="2:14" x14ac:dyDescent="0.25">
      <c r="B14" s="8">
        <v>275</v>
      </c>
      <c r="C14" s="8">
        <v>347</v>
      </c>
    </row>
    <row r="15" spans="2:14" x14ac:dyDescent="0.25">
      <c r="B15" s="8">
        <v>254</v>
      </c>
      <c r="C15" s="8">
        <v>313</v>
      </c>
    </row>
    <row r="16" spans="2:14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topLeftCell="K1" workbookViewId="0">
      <selection activeCell="Q7" sqref="Q7"/>
    </sheetView>
  </sheetViews>
  <sheetFormatPr defaultRowHeight="15" x14ac:dyDescent="0.25"/>
  <cols>
    <col min="1" max="1" width="2.85546875" customWidth="1"/>
    <col min="2" max="2" width="16" bestFit="1" customWidth="1"/>
    <col min="3" max="3" width="10.7109375" customWidth="1"/>
    <col min="4" max="4" width="20.7109375" bestFit="1" customWidth="1"/>
    <col min="5" max="5" width="19.28515625" customWidth="1"/>
    <col min="6" max="6" width="12.7109375" customWidth="1"/>
    <col min="7" max="7" width="26.28515625" bestFit="1" customWidth="1"/>
    <col min="9" max="9" width="14.28515625" customWidth="1"/>
    <col min="10" max="10" width="17" bestFit="1" customWidth="1"/>
    <col min="11" max="11" width="21.140625" bestFit="1" customWidth="1"/>
    <col min="13" max="13" width="11.42578125" customWidth="1"/>
    <col min="16" max="16" width="14.140625" bestFit="1" customWidth="1"/>
  </cols>
  <sheetData>
    <row r="1" spans="2:17" ht="25.5" customHeight="1" x14ac:dyDescent="0.3">
      <c r="B1" s="18" t="s">
        <v>246</v>
      </c>
    </row>
    <row r="2" spans="2:17" ht="15" customHeight="1" x14ac:dyDescent="0.25">
      <c r="B2" s="30" t="s">
        <v>247</v>
      </c>
    </row>
    <row r="3" spans="2:17" ht="18" customHeight="1" x14ac:dyDescent="0.25"/>
    <row r="4" spans="2:17" x14ac:dyDescent="0.25">
      <c r="I4" s="3" t="s">
        <v>54</v>
      </c>
    </row>
    <row r="5" spans="2:17" x14ac:dyDescent="0.2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243</v>
      </c>
      <c r="I5" s="108" t="s">
        <v>229</v>
      </c>
      <c r="J5" s="108"/>
      <c r="K5" s="108"/>
      <c r="M5" s="108" t="s">
        <v>242</v>
      </c>
      <c r="N5" s="108"/>
      <c r="P5" s="108" t="s">
        <v>241</v>
      </c>
      <c r="Q5" s="108"/>
    </row>
    <row r="6" spans="2:17" x14ac:dyDescent="0.2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 t="s">
        <v>76</v>
      </c>
      <c r="K6" s="17" t="s">
        <v>22</v>
      </c>
      <c r="M6" s="20" t="s">
        <v>239</v>
      </c>
      <c r="N6" s="75">
        <f>INTERCEPT(G6:G100,B6:B100)</f>
        <v>-223.4190539652177</v>
      </c>
      <c r="P6" s="20" t="s">
        <v>315</v>
      </c>
      <c r="Q6" s="71">
        <v>80</v>
      </c>
    </row>
    <row r="7" spans="2:17" x14ac:dyDescent="0.25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230</v>
      </c>
      <c r="J7" s="87">
        <f>CORREL(B6:B100,G6:G100)</f>
        <v>0.92556272300776632</v>
      </c>
      <c r="K7" s="87">
        <f>CORREL(D6:D100,G6:G100)</f>
        <v>9.4366710749681004E-2</v>
      </c>
      <c r="M7" s="20" t="s">
        <v>240</v>
      </c>
      <c r="N7" s="87">
        <f>SLOPE(G6:G100,B6:B100)</f>
        <v>3.6394257812138537</v>
      </c>
      <c r="P7" s="20" t="s">
        <v>255</v>
      </c>
      <c r="Q7" s="72">
        <f>_xlfn.FORECAST.LINEAR(Q6,G6:G100,B6:B100)</f>
        <v>67.735008531890571</v>
      </c>
    </row>
    <row r="8" spans="2:17" x14ac:dyDescent="0.25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5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5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5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5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5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5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5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5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5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5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5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5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5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5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5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5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5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5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5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5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5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5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5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5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5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5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5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5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5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5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5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5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5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5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5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5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5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5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5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5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5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5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5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5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5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5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5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5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5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5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5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5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5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5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5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5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5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5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5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5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5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5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5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5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5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5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5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5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5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5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5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5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5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5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5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5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5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5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5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5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5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5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5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5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5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5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5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5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5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5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5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5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topLeftCell="D1" workbookViewId="0">
      <selection activeCell="O9" sqref="O9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5" width="11.42578125" customWidth="1"/>
  </cols>
  <sheetData>
    <row r="1" spans="2:15" ht="25.5" customHeight="1" x14ac:dyDescent="0.3">
      <c r="B1" s="18" t="s">
        <v>263</v>
      </c>
    </row>
    <row r="2" spans="2:15" ht="15" customHeight="1" x14ac:dyDescent="0.25">
      <c r="B2" s="30" t="s">
        <v>257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1-(O6/O7)</f>
        <v>0.90034649029559821</v>
      </c>
    </row>
    <row r="9" spans="2:15" x14ac:dyDescent="0.25">
      <c r="B9" s="8">
        <v>288</v>
      </c>
      <c r="C9" s="8">
        <v>334</v>
      </c>
    </row>
    <row r="10" spans="2:15" x14ac:dyDescent="0.25">
      <c r="B10" s="8">
        <v>248</v>
      </c>
      <c r="C10" s="8">
        <v>252</v>
      </c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topLeftCell="I1" workbookViewId="0">
      <selection activeCell="O6" sqref="O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5.140625" bestFit="1" customWidth="1"/>
    <col min="15" max="15" width="11.42578125" customWidth="1"/>
  </cols>
  <sheetData>
    <row r="1" spans="2:15" ht="25.5" customHeight="1" x14ac:dyDescent="0.3">
      <c r="B1" s="18" t="s">
        <v>264</v>
      </c>
    </row>
    <row r="2" spans="2:15" ht="15" customHeight="1" x14ac:dyDescent="0.25">
      <c r="B2" s="30" t="s">
        <v>258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>
        <f>O6/(COUNT(B6:B100)-1-1)</f>
        <v>880.96010344179012</v>
      </c>
    </row>
    <row r="10" spans="2:15" x14ac:dyDescent="0.25">
      <c r="B10" s="8">
        <v>248</v>
      </c>
      <c r="C10" s="8">
        <v>252</v>
      </c>
      <c r="N10" s="20" t="s">
        <v>146</v>
      </c>
      <c r="O10" s="75">
        <f>SQRT(O9)</f>
        <v>29.680972077103373</v>
      </c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topLeftCell="A3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5.140625" bestFit="1" customWidth="1"/>
    <col min="15" max="15" width="11.42578125" customWidth="1"/>
  </cols>
  <sheetData>
    <row r="1" spans="2:15" ht="25.5" customHeight="1" x14ac:dyDescent="0.3">
      <c r="B1" s="18" t="s">
        <v>265</v>
      </c>
    </row>
    <row r="2" spans="2:15" ht="15" customHeight="1" x14ac:dyDescent="0.25">
      <c r="B2" s="30" t="s">
        <v>259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topLeftCell="J1" workbookViewId="0">
      <selection activeCell="O14" sqref="O14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6" bestFit="1" customWidth="1"/>
    <col min="15" max="15" width="11.42578125" customWidth="1"/>
  </cols>
  <sheetData>
    <row r="1" spans="2:15" ht="25.5" customHeight="1" x14ac:dyDescent="0.3">
      <c r="B1" s="18" t="s">
        <v>316</v>
      </c>
    </row>
    <row r="2" spans="2:15" ht="15" customHeight="1" x14ac:dyDescent="0.25">
      <c r="B2" s="30" t="s">
        <v>237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5">
      <c r="B11" s="8">
        <v>145</v>
      </c>
      <c r="C11" s="8">
        <v>209</v>
      </c>
      <c r="N11" s="20" t="s">
        <v>143</v>
      </c>
      <c r="O11" s="71">
        <v>0.05</v>
      </c>
    </row>
    <row r="12" spans="2:15" x14ac:dyDescent="0.25">
      <c r="B12" s="8">
        <v>401</v>
      </c>
      <c r="C12" s="8">
        <v>462</v>
      </c>
      <c r="N12" s="58" t="s">
        <v>253</v>
      </c>
      <c r="O12" s="97">
        <f>(O7-O6)/1</f>
        <v>740212.24722201866</v>
      </c>
    </row>
    <row r="13" spans="2:15" x14ac:dyDescent="0.25">
      <c r="B13" s="8">
        <v>287</v>
      </c>
      <c r="C13" s="8">
        <v>342</v>
      </c>
      <c r="N13" s="20" t="s">
        <v>252</v>
      </c>
      <c r="O13" s="75">
        <f>O12/O9</f>
        <v>840.23356373360275</v>
      </c>
    </row>
    <row r="14" spans="2:15" x14ac:dyDescent="0.25">
      <c r="B14" s="8">
        <v>275</v>
      </c>
      <c r="C14" s="8">
        <v>347</v>
      </c>
      <c r="N14" s="20" t="s">
        <v>207</v>
      </c>
      <c r="O14" s="87">
        <f>_xlfn.F.DIST.RT(O13,1,COUNT(C6:C100)-1-1)</f>
        <v>2.3373706863266021E-48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topLeftCell="E1" workbookViewId="0">
      <selection activeCell="O15" sqref="O15"/>
    </sheetView>
  </sheetViews>
  <sheetFormatPr defaultRowHeight="15" x14ac:dyDescent="0.25"/>
  <cols>
    <col min="1" max="1" width="2.85546875" customWidth="1"/>
    <col min="2" max="2" width="16" bestFit="1" customWidth="1"/>
    <col min="3" max="3" width="26.28515625" bestFit="1" customWidth="1"/>
    <col min="5" max="5" width="12.85546875" customWidth="1"/>
    <col min="6" max="6" width="11.42578125" customWidth="1"/>
    <col min="8" max="8" width="11.42578125" customWidth="1"/>
    <col min="11" max="11" width="18.5703125" customWidth="1"/>
    <col min="14" max="14" width="16" bestFit="1" customWidth="1"/>
    <col min="15" max="15" width="11.42578125" customWidth="1"/>
  </cols>
  <sheetData>
    <row r="1" spans="2:15" ht="25.5" customHeight="1" x14ac:dyDescent="0.3">
      <c r="B1" s="18" t="s">
        <v>246</v>
      </c>
    </row>
    <row r="2" spans="2:15" ht="15" customHeight="1" x14ac:dyDescent="0.25">
      <c r="B2" s="30" t="s">
        <v>247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76</v>
      </c>
      <c r="C5" s="42" t="s">
        <v>243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25">
      <c r="B6" s="51">
        <v>68.400000000000006</v>
      </c>
      <c r="C6" s="51">
        <v>24</v>
      </c>
      <c r="E6" s="20" t="s">
        <v>230</v>
      </c>
      <c r="F6" s="87">
        <f>PEARSON(C6:C100,B6:B100)</f>
        <v>0.92556272300776632</v>
      </c>
      <c r="H6" s="20" t="s">
        <v>239</v>
      </c>
      <c r="I6" s="75">
        <f>INTERCEPT(C6:C100,B6:B100)</f>
        <v>-223.4190539652177</v>
      </c>
      <c r="K6" s="20" t="s">
        <v>231</v>
      </c>
      <c r="L6" s="71">
        <v>90</v>
      </c>
      <c r="N6" s="58" t="s">
        <v>249</v>
      </c>
      <c r="O6" s="97" cm="1">
        <f t="array" ref="O6">SUMSQ(C6:C100-_xlfn.FORECAST.LINEAR(B6:B100,C6:C100,B6:B100))</f>
        <v>11848.737688059424</v>
      </c>
    </row>
    <row r="7" spans="2:15" x14ac:dyDescent="0.25">
      <c r="B7" s="8">
        <v>62.1</v>
      </c>
      <c r="C7" s="51">
        <v>-13</v>
      </c>
      <c r="H7" s="20" t="s">
        <v>240</v>
      </c>
      <c r="I7" s="87">
        <f>SLOPE(C6:C100,B6:B100)</f>
        <v>3.6394257812138537</v>
      </c>
      <c r="K7" s="20" t="s">
        <v>255</v>
      </c>
      <c r="L7" s="72">
        <f>_xlfn.FORECAST.LINEAR(L6,C6:C100,B6:B100)</f>
        <v>104.12926634402913</v>
      </c>
      <c r="N7" s="58" t="s">
        <v>250</v>
      </c>
      <c r="O7" s="97" cm="1">
        <f t="array" ref="O7">SUMSQ(C6:C100-AVERAGE(C6:C100))</f>
        <v>82665.431578947362</v>
      </c>
    </row>
    <row r="8" spans="2:15" x14ac:dyDescent="0.25">
      <c r="B8" s="8">
        <v>70.2</v>
      </c>
      <c r="C8" s="51">
        <v>18</v>
      </c>
      <c r="N8" s="20" t="s">
        <v>251</v>
      </c>
      <c r="O8" s="87">
        <f>RSQ(C6:C100,B6:B100)</f>
        <v>0.85666635422155113</v>
      </c>
    </row>
    <row r="9" spans="2:15" x14ac:dyDescent="0.25">
      <c r="B9" s="8">
        <v>75.099999999999994</v>
      </c>
      <c r="C9" s="51">
        <v>46</v>
      </c>
      <c r="K9" s="20"/>
      <c r="L9" s="21"/>
      <c r="N9" s="58" t="s">
        <v>254</v>
      </c>
      <c r="O9" s="97">
        <f>O6/(COUNT(C6:C100)-1-1)</f>
        <v>127.40578159203682</v>
      </c>
    </row>
    <row r="10" spans="2:15" x14ac:dyDescent="0.25">
      <c r="B10" s="8">
        <v>60.9</v>
      </c>
      <c r="C10" s="51">
        <v>4</v>
      </c>
      <c r="N10" s="20" t="s">
        <v>146</v>
      </c>
      <c r="O10" s="75">
        <f>STEYX(C6:C100,B6:B100)</f>
        <v>11.287416958367267</v>
      </c>
    </row>
    <row r="11" spans="2:15" x14ac:dyDescent="0.25">
      <c r="B11" s="8">
        <v>74.5</v>
      </c>
      <c r="C11" s="51">
        <v>64</v>
      </c>
      <c r="N11" s="20" t="s">
        <v>143</v>
      </c>
      <c r="O11" s="71">
        <v>0.05</v>
      </c>
    </row>
    <row r="12" spans="2:15" x14ac:dyDescent="0.25">
      <c r="B12" s="8">
        <v>76.400000000000006</v>
      </c>
      <c r="C12" s="51">
        <v>61</v>
      </c>
      <c r="N12" s="58" t="s">
        <v>253</v>
      </c>
      <c r="O12" s="97">
        <f>(O7-O6)/1</f>
        <v>70816.693890887938</v>
      </c>
    </row>
    <row r="13" spans="2:15" x14ac:dyDescent="0.25">
      <c r="B13" s="8">
        <v>82.6</v>
      </c>
      <c r="C13" s="51">
        <v>55</v>
      </c>
      <c r="N13" s="20" t="s">
        <v>252</v>
      </c>
      <c r="O13" s="75">
        <f>O12/O9</f>
        <v>555.83579493785044</v>
      </c>
    </row>
    <row r="14" spans="2:15" x14ac:dyDescent="0.25">
      <c r="B14" s="8">
        <v>76.900000000000006</v>
      </c>
      <c r="C14" s="51">
        <v>72</v>
      </c>
      <c r="N14" s="20" t="s">
        <v>207</v>
      </c>
      <c r="O14" s="87">
        <f>_xlfn.F.DIST.RT(O13,1,COUNT(C6:C100)-1-1)</f>
        <v>5.2426700789330636E-41</v>
      </c>
    </row>
    <row r="15" spans="2:15" x14ac:dyDescent="0.25">
      <c r="B15" s="8">
        <v>83.3</v>
      </c>
      <c r="C15" s="51">
        <v>59</v>
      </c>
    </row>
    <row r="16" spans="2:15" x14ac:dyDescent="0.25">
      <c r="B16" s="8">
        <v>75.8</v>
      </c>
      <c r="C16" s="51">
        <v>50</v>
      </c>
    </row>
    <row r="17" spans="2:3" x14ac:dyDescent="0.25">
      <c r="B17" s="8">
        <v>76</v>
      </c>
      <c r="C17" s="51">
        <v>46</v>
      </c>
    </row>
    <row r="18" spans="2:3" x14ac:dyDescent="0.25">
      <c r="B18" s="8">
        <v>62.8</v>
      </c>
      <c r="C18" s="51">
        <v>-11</v>
      </c>
    </row>
    <row r="19" spans="2:3" x14ac:dyDescent="0.25">
      <c r="B19" s="8">
        <v>82.8</v>
      </c>
      <c r="C19" s="51">
        <v>85</v>
      </c>
    </row>
    <row r="20" spans="2:3" x14ac:dyDescent="0.25">
      <c r="B20" s="8">
        <v>76</v>
      </c>
      <c r="C20" s="51">
        <v>59</v>
      </c>
    </row>
    <row r="21" spans="2:3" x14ac:dyDescent="0.25">
      <c r="B21" s="8">
        <v>76.900000000000006</v>
      </c>
      <c r="C21" s="51">
        <v>58</v>
      </c>
    </row>
    <row r="22" spans="2:3" x14ac:dyDescent="0.25">
      <c r="B22" s="8">
        <v>75.8</v>
      </c>
      <c r="C22" s="51">
        <v>60</v>
      </c>
    </row>
    <row r="23" spans="2:3" x14ac:dyDescent="0.25">
      <c r="B23" s="8">
        <v>78</v>
      </c>
      <c r="C23" s="51">
        <v>50</v>
      </c>
    </row>
    <row r="24" spans="2:3" x14ac:dyDescent="0.25">
      <c r="B24" s="8">
        <v>82.4</v>
      </c>
      <c r="C24" s="51">
        <v>89</v>
      </c>
    </row>
    <row r="25" spans="2:3" x14ac:dyDescent="0.25">
      <c r="B25" s="8">
        <v>76.2</v>
      </c>
      <c r="C25" s="51">
        <v>38</v>
      </c>
    </row>
    <row r="26" spans="2:3" x14ac:dyDescent="0.25">
      <c r="B26" s="8">
        <v>62.5</v>
      </c>
      <c r="C26" s="51">
        <v>12</v>
      </c>
    </row>
    <row r="27" spans="2:3" x14ac:dyDescent="0.25">
      <c r="B27" s="8">
        <v>78</v>
      </c>
      <c r="C27" s="51">
        <v>55</v>
      </c>
    </row>
    <row r="28" spans="2:3" x14ac:dyDescent="0.25">
      <c r="B28" s="8">
        <v>66.5</v>
      </c>
      <c r="C28" s="51">
        <v>24</v>
      </c>
    </row>
    <row r="29" spans="2:3" x14ac:dyDescent="0.25">
      <c r="B29" s="8">
        <v>63.5</v>
      </c>
      <c r="C29" s="51">
        <v>4</v>
      </c>
    </row>
    <row r="30" spans="2:3" x14ac:dyDescent="0.25">
      <c r="B30" s="8">
        <v>82.6</v>
      </c>
      <c r="C30" s="51">
        <v>72</v>
      </c>
    </row>
    <row r="31" spans="2:3" x14ac:dyDescent="0.25">
      <c r="B31" s="8">
        <v>79.2</v>
      </c>
      <c r="C31" s="51">
        <v>65</v>
      </c>
    </row>
    <row r="32" spans="2:3" x14ac:dyDescent="0.25">
      <c r="B32" s="8">
        <v>75</v>
      </c>
      <c r="C32" s="51">
        <v>48</v>
      </c>
    </row>
    <row r="33" spans="2:3" x14ac:dyDescent="0.25">
      <c r="B33" s="8">
        <v>74.400000000000006</v>
      </c>
      <c r="C33" s="51">
        <v>41</v>
      </c>
    </row>
    <row r="34" spans="2:3" x14ac:dyDescent="0.25">
      <c r="B34" s="8">
        <v>67.900000000000006</v>
      </c>
      <c r="C34" s="51">
        <v>26</v>
      </c>
    </row>
    <row r="35" spans="2:3" x14ac:dyDescent="0.25">
      <c r="B35" s="8">
        <v>76.8</v>
      </c>
      <c r="C35" s="51">
        <v>54</v>
      </c>
    </row>
    <row r="36" spans="2:3" x14ac:dyDescent="0.25">
      <c r="B36" s="8">
        <v>83</v>
      </c>
      <c r="C36" s="51">
        <v>64</v>
      </c>
    </row>
    <row r="37" spans="2:3" x14ac:dyDescent="0.25">
      <c r="B37" s="8">
        <v>88.9</v>
      </c>
      <c r="C37" s="51">
        <v>101</v>
      </c>
    </row>
    <row r="38" spans="2:3" x14ac:dyDescent="0.25">
      <c r="B38" s="8">
        <v>76.5</v>
      </c>
      <c r="C38" s="51">
        <v>76</v>
      </c>
    </row>
    <row r="39" spans="2:3" x14ac:dyDescent="0.25">
      <c r="B39" s="8">
        <v>79.900000000000006</v>
      </c>
      <c r="C39" s="51">
        <v>72</v>
      </c>
    </row>
    <row r="40" spans="2:3" x14ac:dyDescent="0.25">
      <c r="B40" s="8">
        <v>70.400000000000006</v>
      </c>
      <c r="C40" s="51">
        <v>24</v>
      </c>
    </row>
    <row r="41" spans="2:3" x14ac:dyDescent="0.25">
      <c r="B41" s="8">
        <v>83.4</v>
      </c>
      <c r="C41" s="51">
        <v>75</v>
      </c>
    </row>
    <row r="42" spans="2:3" x14ac:dyDescent="0.25">
      <c r="B42" s="8">
        <v>79.2</v>
      </c>
      <c r="C42" s="51">
        <v>79</v>
      </c>
    </row>
    <row r="43" spans="2:3" x14ac:dyDescent="0.25">
      <c r="B43" s="8">
        <v>61.2</v>
      </c>
      <c r="C43" s="51">
        <v>-7</v>
      </c>
    </row>
    <row r="44" spans="2:3" x14ac:dyDescent="0.25">
      <c r="B44" s="8">
        <v>64</v>
      </c>
      <c r="C44" s="51">
        <v>22</v>
      </c>
    </row>
    <row r="45" spans="2:3" x14ac:dyDescent="0.25">
      <c r="B45" s="8">
        <v>68</v>
      </c>
      <c r="C45" s="51">
        <v>13</v>
      </c>
    </row>
    <row r="46" spans="2:3" x14ac:dyDescent="0.25">
      <c r="B46" s="8">
        <v>78.5</v>
      </c>
      <c r="C46" s="51">
        <v>64</v>
      </c>
    </row>
    <row r="47" spans="2:3" x14ac:dyDescent="0.25">
      <c r="B47" s="8">
        <v>83</v>
      </c>
      <c r="C47" s="51">
        <v>90</v>
      </c>
    </row>
    <row r="48" spans="2:3" x14ac:dyDescent="0.25">
      <c r="B48" s="8">
        <v>75.2</v>
      </c>
      <c r="C48" s="51">
        <v>58</v>
      </c>
    </row>
    <row r="49" spans="2:3" x14ac:dyDescent="0.25">
      <c r="B49" s="8">
        <v>68.099999999999994</v>
      </c>
      <c r="C49" s="51">
        <v>22</v>
      </c>
    </row>
    <row r="50" spans="2:3" x14ac:dyDescent="0.25">
      <c r="B50" s="8">
        <v>93.6</v>
      </c>
      <c r="C50" s="51">
        <v>121</v>
      </c>
    </row>
    <row r="51" spans="2:3" x14ac:dyDescent="0.25">
      <c r="B51" s="8">
        <v>75.599999999999994</v>
      </c>
      <c r="C51" s="51">
        <v>26</v>
      </c>
    </row>
    <row r="52" spans="2:3" x14ac:dyDescent="0.25">
      <c r="B52" s="8">
        <v>82.3</v>
      </c>
      <c r="C52" s="51">
        <v>79</v>
      </c>
    </row>
    <row r="53" spans="2:3" x14ac:dyDescent="0.25">
      <c r="B53" s="8">
        <v>71.400000000000006</v>
      </c>
      <c r="C53" s="51">
        <v>26</v>
      </c>
    </row>
    <row r="54" spans="2:3" x14ac:dyDescent="0.25">
      <c r="B54" s="8">
        <v>71.900000000000006</v>
      </c>
      <c r="C54" s="51">
        <v>44</v>
      </c>
    </row>
    <row r="55" spans="2:3" x14ac:dyDescent="0.25">
      <c r="B55" s="8">
        <v>79.099999999999994</v>
      </c>
      <c r="C55" s="51">
        <v>60</v>
      </c>
    </row>
    <row r="56" spans="2:3" x14ac:dyDescent="0.25">
      <c r="B56" s="8">
        <v>88.7</v>
      </c>
      <c r="C56" s="51">
        <v>87</v>
      </c>
    </row>
    <row r="57" spans="2:3" x14ac:dyDescent="0.25">
      <c r="B57" s="8">
        <v>69.400000000000006</v>
      </c>
      <c r="C57" s="51">
        <v>46</v>
      </c>
    </row>
    <row r="58" spans="2:3" x14ac:dyDescent="0.25">
      <c r="B58" s="8">
        <v>80.3</v>
      </c>
      <c r="C58" s="51">
        <v>80</v>
      </c>
    </row>
    <row r="59" spans="2:3" x14ac:dyDescent="0.25">
      <c r="B59" s="8">
        <v>83</v>
      </c>
      <c r="C59" s="51">
        <v>68</v>
      </c>
    </row>
    <row r="60" spans="2:3" x14ac:dyDescent="0.25">
      <c r="B60" s="8">
        <v>74.099999999999994</v>
      </c>
      <c r="C60" s="51">
        <v>46</v>
      </c>
    </row>
    <row r="61" spans="2:3" x14ac:dyDescent="0.25">
      <c r="B61" s="8">
        <v>79.400000000000006</v>
      </c>
      <c r="C61" s="51">
        <v>76</v>
      </c>
    </row>
    <row r="62" spans="2:3" x14ac:dyDescent="0.25">
      <c r="B62" s="8">
        <v>88.1</v>
      </c>
      <c r="C62" s="51">
        <v>115</v>
      </c>
    </row>
    <row r="63" spans="2:3" x14ac:dyDescent="0.25">
      <c r="B63" s="8">
        <v>74.599999999999994</v>
      </c>
      <c r="C63" s="51">
        <v>37</v>
      </c>
    </row>
    <row r="64" spans="2:3" x14ac:dyDescent="0.25">
      <c r="B64" s="8">
        <v>87.1</v>
      </c>
      <c r="C64" s="51">
        <v>77</v>
      </c>
    </row>
    <row r="65" spans="2:3" x14ac:dyDescent="0.25">
      <c r="B65" s="8">
        <v>79.7</v>
      </c>
      <c r="C65" s="51">
        <v>70</v>
      </c>
    </row>
    <row r="66" spans="2:3" x14ac:dyDescent="0.25">
      <c r="B66" s="8">
        <v>82.1</v>
      </c>
      <c r="C66" s="51">
        <v>96</v>
      </c>
    </row>
    <row r="67" spans="2:3" x14ac:dyDescent="0.25">
      <c r="B67" s="8">
        <v>70.2</v>
      </c>
      <c r="C67" s="51">
        <v>19</v>
      </c>
    </row>
    <row r="68" spans="2:3" x14ac:dyDescent="0.25">
      <c r="B68" s="8">
        <v>81.7</v>
      </c>
      <c r="C68" s="51">
        <v>69</v>
      </c>
    </row>
    <row r="69" spans="2:3" x14ac:dyDescent="0.25">
      <c r="B69" s="8">
        <v>76.099999999999994</v>
      </c>
      <c r="C69" s="51">
        <v>52</v>
      </c>
    </row>
    <row r="70" spans="2:3" x14ac:dyDescent="0.25">
      <c r="B70" s="8">
        <v>65.400000000000006</v>
      </c>
      <c r="C70" s="51">
        <v>7</v>
      </c>
    </row>
    <row r="71" spans="2:3" x14ac:dyDescent="0.25">
      <c r="B71" s="8">
        <v>70.099999999999994</v>
      </c>
      <c r="C71" s="51">
        <v>31</v>
      </c>
    </row>
    <row r="72" spans="2:3" x14ac:dyDescent="0.25">
      <c r="B72" s="8">
        <v>75.3</v>
      </c>
      <c r="C72" s="51">
        <v>63</v>
      </c>
    </row>
    <row r="73" spans="2:3" x14ac:dyDescent="0.25">
      <c r="B73" s="8">
        <v>68.7</v>
      </c>
      <c r="C73" s="51">
        <v>24</v>
      </c>
    </row>
    <row r="74" spans="2:3" x14ac:dyDescent="0.25">
      <c r="B74" s="8">
        <v>75.7</v>
      </c>
      <c r="C74" s="51">
        <v>33</v>
      </c>
    </row>
    <row r="75" spans="2:3" x14ac:dyDescent="0.25">
      <c r="B75" s="8">
        <v>68.7</v>
      </c>
      <c r="C75" s="51">
        <v>41</v>
      </c>
    </row>
    <row r="76" spans="2:3" x14ac:dyDescent="0.25">
      <c r="B76" s="8">
        <v>70.400000000000006</v>
      </c>
      <c r="C76" s="51">
        <v>43</v>
      </c>
    </row>
    <row r="77" spans="2:3" x14ac:dyDescent="0.25">
      <c r="B77" s="8">
        <v>68.3</v>
      </c>
      <c r="C77" s="51">
        <v>37</v>
      </c>
    </row>
    <row r="78" spans="2:3" x14ac:dyDescent="0.25">
      <c r="B78" s="8">
        <v>71.7</v>
      </c>
      <c r="C78" s="51">
        <v>29</v>
      </c>
    </row>
    <row r="79" spans="2:3" x14ac:dyDescent="0.25">
      <c r="B79" s="8">
        <v>70.900000000000006</v>
      </c>
      <c r="C79" s="51">
        <v>52</v>
      </c>
    </row>
    <row r="80" spans="2:3" x14ac:dyDescent="0.25">
      <c r="B80" s="8">
        <v>66.3</v>
      </c>
      <c r="C80" s="51">
        <v>37</v>
      </c>
    </row>
    <row r="81" spans="2:3" x14ac:dyDescent="0.25">
      <c r="B81" s="8">
        <v>65.3</v>
      </c>
      <c r="C81" s="51">
        <v>19</v>
      </c>
    </row>
    <row r="82" spans="2:3" x14ac:dyDescent="0.25">
      <c r="B82" s="8">
        <v>75.7</v>
      </c>
      <c r="C82" s="51">
        <v>45</v>
      </c>
    </row>
    <row r="83" spans="2:3" x14ac:dyDescent="0.25">
      <c r="B83" s="8">
        <v>66</v>
      </c>
      <c r="C83" s="51">
        <v>23</v>
      </c>
    </row>
    <row r="84" spans="2:3" x14ac:dyDescent="0.25">
      <c r="B84" s="8">
        <v>78.900000000000006</v>
      </c>
      <c r="C84" s="51">
        <v>56</v>
      </c>
    </row>
    <row r="85" spans="2:3" x14ac:dyDescent="0.25">
      <c r="B85" s="8">
        <v>74</v>
      </c>
      <c r="C85" s="51">
        <v>49</v>
      </c>
    </row>
    <row r="86" spans="2:3" x14ac:dyDescent="0.25">
      <c r="B86" s="8">
        <v>74.599999999999994</v>
      </c>
      <c r="C86" s="51">
        <v>61</v>
      </c>
    </row>
    <row r="87" spans="2:3" x14ac:dyDescent="0.25">
      <c r="B87" s="8">
        <v>79.3</v>
      </c>
      <c r="C87" s="51">
        <v>73</v>
      </c>
    </row>
    <row r="88" spans="2:3" x14ac:dyDescent="0.25">
      <c r="B88" s="8">
        <v>70.099999999999994</v>
      </c>
      <c r="C88" s="51">
        <v>35</v>
      </c>
    </row>
    <row r="89" spans="2:3" x14ac:dyDescent="0.25">
      <c r="B89" s="8">
        <v>88.8</v>
      </c>
      <c r="C89" s="51">
        <v>104</v>
      </c>
    </row>
    <row r="90" spans="2:3" x14ac:dyDescent="0.25">
      <c r="B90" s="8">
        <v>66</v>
      </c>
      <c r="C90" s="51">
        <v>20</v>
      </c>
    </row>
    <row r="91" spans="2:3" x14ac:dyDescent="0.25">
      <c r="B91" s="8">
        <v>82.9</v>
      </c>
      <c r="C91" s="51">
        <v>81</v>
      </c>
    </row>
    <row r="92" spans="2:3" x14ac:dyDescent="0.25">
      <c r="B92" s="8">
        <v>100</v>
      </c>
      <c r="C92" s="51">
        <v>139</v>
      </c>
    </row>
    <row r="93" spans="2:3" x14ac:dyDescent="0.25">
      <c r="B93" s="8">
        <v>75.599999999999994</v>
      </c>
      <c r="C93" s="51">
        <v>60</v>
      </c>
    </row>
    <row r="94" spans="2:3" x14ac:dyDescent="0.25">
      <c r="B94" s="8">
        <v>67.5</v>
      </c>
      <c r="C94" s="51">
        <v>43</v>
      </c>
    </row>
    <row r="95" spans="2:3" x14ac:dyDescent="0.25">
      <c r="B95" s="8">
        <v>68.7</v>
      </c>
      <c r="C95" s="51">
        <v>7</v>
      </c>
    </row>
    <row r="96" spans="2:3" x14ac:dyDescent="0.25">
      <c r="B96" s="8">
        <v>76</v>
      </c>
      <c r="C96" s="51">
        <v>43</v>
      </c>
    </row>
    <row r="97" spans="2:3" x14ac:dyDescent="0.25">
      <c r="B97" s="8">
        <v>67.7</v>
      </c>
      <c r="C97" s="51">
        <v>36</v>
      </c>
    </row>
    <row r="98" spans="2:3" x14ac:dyDescent="0.25">
      <c r="B98" s="8">
        <v>75.3</v>
      </c>
      <c r="C98" s="51">
        <v>53</v>
      </c>
    </row>
    <row r="99" spans="2:3" x14ac:dyDescent="0.25">
      <c r="B99" s="8">
        <v>68.099999999999994</v>
      </c>
      <c r="C99" s="51">
        <v>3</v>
      </c>
    </row>
    <row r="100" spans="2:3" x14ac:dyDescent="0.25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M144"/>
  <sheetViews>
    <sheetView showGridLines="0" topLeftCell="C1" zoomScale="55" zoomScaleNormal="55" workbookViewId="0">
      <selection activeCell="S51" sqref="S5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8" max="8" width="11.42578125" customWidth="1"/>
    <col min="11" max="11" width="16" bestFit="1" customWidth="1"/>
    <col min="12" max="12" width="11.42578125" customWidth="1"/>
  </cols>
  <sheetData>
    <row r="1" spans="2:12" ht="25.5" customHeight="1" x14ac:dyDescent="0.3">
      <c r="B1" s="18" t="s">
        <v>245</v>
      </c>
    </row>
    <row r="2" spans="2:12" ht="15" customHeight="1" x14ac:dyDescent="0.25">
      <c r="B2" s="30" t="s">
        <v>266</v>
      </c>
    </row>
    <row r="3" spans="2:12" ht="18" customHeight="1" x14ac:dyDescent="0.25"/>
    <row r="4" spans="2:12" x14ac:dyDescent="0.25">
      <c r="E4" s="3" t="s">
        <v>54</v>
      </c>
    </row>
    <row r="5" spans="2:12" x14ac:dyDescent="0.2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248</v>
      </c>
      <c r="L5" s="108"/>
    </row>
    <row r="6" spans="2:12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58" t="s">
        <v>249</v>
      </c>
      <c r="L6" s="97" cm="1">
        <f t="array" ref="L6">SUMSQ(C6:C100-_xlfn.FORECAST.LINEAR(B6:B100,C6:C100,B6:B100))</f>
        <v>81929.289620086478</v>
      </c>
    </row>
    <row r="7" spans="2:12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58" t="s">
        <v>250</v>
      </c>
      <c r="L7" s="97" cm="1">
        <f t="array" ref="L7">SUMSQ(C6:C100-AVERAGE(C6:C100))</f>
        <v>822141.5368421051</v>
      </c>
    </row>
    <row r="8" spans="2:12" x14ac:dyDescent="0.25">
      <c r="B8" s="8">
        <v>101</v>
      </c>
      <c r="C8" s="8">
        <v>119</v>
      </c>
      <c r="K8" s="20" t="s">
        <v>251</v>
      </c>
      <c r="L8" s="87">
        <f>RSQ(C6:C100,B6:B100)</f>
        <v>0.90034649029559788</v>
      </c>
    </row>
    <row r="9" spans="2:12" x14ac:dyDescent="0.25">
      <c r="B9" s="8">
        <v>288</v>
      </c>
      <c r="C9" s="8">
        <v>334</v>
      </c>
      <c r="K9" s="58" t="s">
        <v>254</v>
      </c>
      <c r="L9" s="97">
        <f>L6/(COUNT(C6:C100)-1-1)</f>
        <v>880.96010344179012</v>
      </c>
    </row>
    <row r="10" spans="2:12" x14ac:dyDescent="0.25">
      <c r="B10" s="8">
        <v>248</v>
      </c>
      <c r="C10" s="8">
        <v>252</v>
      </c>
      <c r="K10" s="20" t="s">
        <v>146</v>
      </c>
      <c r="L10" s="75">
        <f>STEYX(C6:C100,B6:B100)</f>
        <v>29.680972077103387</v>
      </c>
    </row>
    <row r="11" spans="2:12" x14ac:dyDescent="0.25">
      <c r="B11" s="8">
        <v>145</v>
      </c>
      <c r="C11" s="8">
        <v>209</v>
      </c>
      <c r="K11" s="20" t="s">
        <v>143</v>
      </c>
      <c r="L11" s="71">
        <v>0.05</v>
      </c>
    </row>
    <row r="12" spans="2:12" x14ac:dyDescent="0.25">
      <c r="B12" s="8">
        <v>401</v>
      </c>
      <c r="C12" s="8">
        <v>462</v>
      </c>
      <c r="K12" s="58" t="s">
        <v>253</v>
      </c>
      <c r="L12" s="97">
        <f>(L7-L6)/1</f>
        <v>740212.24722201866</v>
      </c>
    </row>
    <row r="13" spans="2:12" x14ac:dyDescent="0.25">
      <c r="B13" s="8">
        <v>287</v>
      </c>
      <c r="C13" s="8">
        <v>342</v>
      </c>
      <c r="K13" s="20" t="s">
        <v>252</v>
      </c>
      <c r="L13" s="75">
        <f>L12/L9</f>
        <v>840.23356373360275</v>
      </c>
    </row>
    <row r="14" spans="2:12" x14ac:dyDescent="0.25">
      <c r="B14" s="8">
        <v>275</v>
      </c>
      <c r="C14" s="8">
        <v>347</v>
      </c>
      <c r="K14" s="20" t="s">
        <v>207</v>
      </c>
      <c r="L14" s="87">
        <f>_xlfn.F.DIST.RT(L13,1,COUNT(C6:C100)-1-1)</f>
        <v>2.3373706863266021E-48</v>
      </c>
    </row>
    <row r="15" spans="2:12" x14ac:dyDescent="0.25">
      <c r="B15" s="8">
        <v>254</v>
      </c>
      <c r="C15" s="8">
        <v>313</v>
      </c>
    </row>
    <row r="16" spans="2:12" x14ac:dyDescent="0.25">
      <c r="B16" s="8">
        <v>182</v>
      </c>
      <c r="C16" s="8">
        <v>232</v>
      </c>
    </row>
    <row r="17" spans="2:6" x14ac:dyDescent="0.25">
      <c r="B17" s="8">
        <v>117</v>
      </c>
      <c r="C17" s="8">
        <v>163</v>
      </c>
    </row>
    <row r="18" spans="2:6" x14ac:dyDescent="0.25">
      <c r="B18" s="8">
        <v>130</v>
      </c>
      <c r="C18" s="8">
        <v>119</v>
      </c>
    </row>
    <row r="19" spans="2:6" x14ac:dyDescent="0.25">
      <c r="B19" s="8">
        <v>219</v>
      </c>
      <c r="C19" s="8">
        <v>304</v>
      </c>
    </row>
    <row r="20" spans="2:6" x14ac:dyDescent="0.25">
      <c r="B20" s="8">
        <v>152</v>
      </c>
      <c r="C20" s="8">
        <v>211</v>
      </c>
    </row>
    <row r="21" spans="2:6" x14ac:dyDescent="0.25">
      <c r="B21" s="8">
        <v>228</v>
      </c>
      <c r="C21" s="8">
        <v>286</v>
      </c>
    </row>
    <row r="22" spans="2:6" x14ac:dyDescent="0.25">
      <c r="B22" s="8">
        <v>62</v>
      </c>
      <c r="C22" s="8">
        <v>122</v>
      </c>
    </row>
    <row r="23" spans="2:6" x14ac:dyDescent="0.25">
      <c r="B23" s="8">
        <v>393</v>
      </c>
      <c r="C23" s="8">
        <v>443</v>
      </c>
    </row>
    <row r="24" spans="2:6" x14ac:dyDescent="0.25">
      <c r="B24" s="8">
        <v>277</v>
      </c>
      <c r="C24" s="8">
        <v>366</v>
      </c>
    </row>
    <row r="25" spans="2:6" x14ac:dyDescent="0.25">
      <c r="B25" s="8">
        <v>206</v>
      </c>
      <c r="C25" s="8">
        <v>244</v>
      </c>
    </row>
    <row r="26" spans="2:6" x14ac:dyDescent="0.25">
      <c r="B26" s="8">
        <v>229</v>
      </c>
      <c r="C26" s="8">
        <v>241</v>
      </c>
      <c r="E26" t="s">
        <v>342</v>
      </c>
    </row>
    <row r="27" spans="2:6" ht="15.75" thickBot="1" x14ac:dyDescent="0.3">
      <c r="B27" s="8">
        <v>182</v>
      </c>
      <c r="C27" s="8">
        <v>237</v>
      </c>
    </row>
    <row r="28" spans="2:6" x14ac:dyDescent="0.25">
      <c r="B28" s="8">
        <v>98</v>
      </c>
      <c r="C28" s="8">
        <v>122</v>
      </c>
      <c r="E28" s="115" t="s">
        <v>343</v>
      </c>
      <c r="F28" s="115"/>
    </row>
    <row r="29" spans="2:6" x14ac:dyDescent="0.25">
      <c r="B29" s="8">
        <v>125</v>
      </c>
      <c r="C29" s="8">
        <v>129</v>
      </c>
      <c r="E29" s="112" t="s">
        <v>344</v>
      </c>
      <c r="F29" s="112">
        <v>0.94886589689776413</v>
      </c>
    </row>
    <row r="30" spans="2:6" x14ac:dyDescent="0.25">
      <c r="B30" s="8">
        <v>164</v>
      </c>
      <c r="C30" s="8">
        <v>236</v>
      </c>
      <c r="E30" s="112" t="s">
        <v>345</v>
      </c>
      <c r="F30" s="112">
        <v>0.90034649029559832</v>
      </c>
    </row>
    <row r="31" spans="2:6" x14ac:dyDescent="0.25">
      <c r="B31" s="8">
        <v>186</v>
      </c>
      <c r="C31" s="8">
        <v>251</v>
      </c>
      <c r="E31" s="112" t="s">
        <v>346</v>
      </c>
      <c r="F31" s="112">
        <v>0.89927494718049727</v>
      </c>
    </row>
    <row r="32" spans="2:6" x14ac:dyDescent="0.25">
      <c r="B32" s="8">
        <v>235</v>
      </c>
      <c r="C32" s="8">
        <v>283</v>
      </c>
      <c r="E32" s="112" t="s">
        <v>258</v>
      </c>
      <c r="F32" s="112">
        <v>29.68097207710337</v>
      </c>
    </row>
    <row r="33" spans="2:13" ht="15.75" thickBot="1" x14ac:dyDescent="0.3">
      <c r="B33" s="8">
        <v>184</v>
      </c>
      <c r="C33" s="8">
        <v>225</v>
      </c>
      <c r="E33" s="113" t="s">
        <v>347</v>
      </c>
      <c r="F33" s="113">
        <v>95</v>
      </c>
    </row>
    <row r="34" spans="2:13" x14ac:dyDescent="0.25">
      <c r="B34" s="8">
        <v>76</v>
      </c>
      <c r="C34" s="8">
        <v>102</v>
      </c>
    </row>
    <row r="35" spans="2:13" ht="15.75" thickBot="1" x14ac:dyDescent="0.3">
      <c r="B35" s="8">
        <v>126</v>
      </c>
      <c r="C35" s="8">
        <v>180</v>
      </c>
      <c r="E35" t="s">
        <v>348</v>
      </c>
    </row>
    <row r="36" spans="2:13" x14ac:dyDescent="0.25">
      <c r="B36" s="8">
        <v>183</v>
      </c>
      <c r="C36" s="8">
        <v>247</v>
      </c>
      <c r="E36" s="114"/>
      <c r="F36" s="114" t="s">
        <v>353</v>
      </c>
      <c r="G36" s="114" t="s">
        <v>354</v>
      </c>
      <c r="H36" s="114" t="s">
        <v>355</v>
      </c>
      <c r="I36" s="114" t="s">
        <v>356</v>
      </c>
      <c r="J36" s="114" t="s">
        <v>357</v>
      </c>
    </row>
    <row r="37" spans="2:13" x14ac:dyDescent="0.25">
      <c r="B37" s="8">
        <v>242</v>
      </c>
      <c r="C37" s="8">
        <v>343</v>
      </c>
      <c r="E37" s="112" t="s">
        <v>349</v>
      </c>
      <c r="F37" s="112">
        <v>1</v>
      </c>
      <c r="G37" s="112">
        <v>740212.24722201866</v>
      </c>
      <c r="H37" s="112">
        <v>740212.24722201866</v>
      </c>
      <c r="I37" s="112">
        <v>840.23356373360298</v>
      </c>
      <c r="J37" s="112">
        <v>2.3373706863265356E-48</v>
      </c>
    </row>
    <row r="38" spans="2:13" x14ac:dyDescent="0.25">
      <c r="B38" s="8">
        <v>207</v>
      </c>
      <c r="C38" s="8">
        <v>283</v>
      </c>
      <c r="E38" s="112" t="s">
        <v>350</v>
      </c>
      <c r="F38" s="112">
        <v>93</v>
      </c>
      <c r="G38" s="112">
        <v>81929.289620086463</v>
      </c>
      <c r="H38" s="112">
        <v>880.9601034417899</v>
      </c>
      <c r="I38" s="112"/>
      <c r="J38" s="112"/>
    </row>
    <row r="39" spans="2:13" ht="15.75" thickBot="1" x14ac:dyDescent="0.3">
      <c r="B39" s="8">
        <v>181</v>
      </c>
      <c r="C39" s="8">
        <v>253</v>
      </c>
      <c r="E39" s="113" t="s">
        <v>351</v>
      </c>
      <c r="F39" s="113">
        <v>94</v>
      </c>
      <c r="G39" s="113">
        <v>822141.5368421051</v>
      </c>
      <c r="H39" s="113"/>
      <c r="I39" s="113"/>
      <c r="J39" s="113"/>
    </row>
    <row r="40" spans="2:13" ht="15.75" thickBot="1" x14ac:dyDescent="0.3">
      <c r="B40" s="8">
        <v>239</v>
      </c>
      <c r="C40" s="8">
        <v>263</v>
      </c>
    </row>
    <row r="41" spans="2:13" x14ac:dyDescent="0.25">
      <c r="B41" s="8">
        <v>216</v>
      </c>
      <c r="C41" s="8">
        <v>291</v>
      </c>
      <c r="E41" s="114"/>
      <c r="F41" s="114" t="s">
        <v>358</v>
      </c>
      <c r="G41" s="114" t="s">
        <v>258</v>
      </c>
      <c r="H41" s="114" t="s">
        <v>359</v>
      </c>
      <c r="I41" s="114" t="s">
        <v>360</v>
      </c>
      <c r="J41" s="114" t="s">
        <v>361</v>
      </c>
      <c r="K41" s="114" t="s">
        <v>362</v>
      </c>
      <c r="L41" s="114" t="s">
        <v>363</v>
      </c>
      <c r="M41" s="114" t="s">
        <v>364</v>
      </c>
    </row>
    <row r="42" spans="2:13" x14ac:dyDescent="0.25">
      <c r="B42" s="8">
        <v>289</v>
      </c>
      <c r="C42" s="8">
        <v>368</v>
      </c>
      <c r="E42" s="112" t="s">
        <v>352</v>
      </c>
      <c r="F42" s="112">
        <v>41.630166712091665</v>
      </c>
      <c r="G42" s="112">
        <v>9.072216639810847</v>
      </c>
      <c r="H42" s="112">
        <v>4.5887535940675734</v>
      </c>
      <c r="I42" s="112">
        <v>1.391405700577328E-5</v>
      </c>
      <c r="J42" s="112">
        <v>23.61454244861693</v>
      </c>
      <c r="K42" s="112">
        <v>59.645790975566399</v>
      </c>
      <c r="L42" s="112">
        <v>23.61454244861693</v>
      </c>
      <c r="M42" s="112">
        <v>59.645790975566399</v>
      </c>
    </row>
    <row r="43" spans="2:13" ht="15.75" thickBot="1" x14ac:dyDescent="0.3">
      <c r="B43" s="8">
        <v>213</v>
      </c>
      <c r="C43" s="8">
        <v>206</v>
      </c>
      <c r="E43" s="113" t="s">
        <v>22</v>
      </c>
      <c r="F43" s="113">
        <v>1.0325625976197312</v>
      </c>
      <c r="G43" s="113">
        <v>3.562184230494371E-2</v>
      </c>
      <c r="H43" s="113">
        <v>28.98678256953681</v>
      </c>
      <c r="I43" s="113">
        <v>2.3373706863265356E-48</v>
      </c>
      <c r="J43" s="113">
        <v>0.96182467854023324</v>
      </c>
      <c r="K43" s="113">
        <v>1.1033005166992291</v>
      </c>
      <c r="L43" s="113">
        <v>0.96182467854023324</v>
      </c>
      <c r="M43" s="113">
        <v>1.1033005166992291</v>
      </c>
    </row>
    <row r="44" spans="2:13" x14ac:dyDescent="0.25">
      <c r="B44" s="8">
        <v>209</v>
      </c>
      <c r="C44" s="8">
        <v>231</v>
      </c>
    </row>
    <row r="45" spans="2:13" x14ac:dyDescent="0.25">
      <c r="B45" s="8">
        <v>376</v>
      </c>
      <c r="C45" s="8">
        <v>389</v>
      </c>
    </row>
    <row r="46" spans="2:13" x14ac:dyDescent="0.25">
      <c r="B46" s="8">
        <v>332</v>
      </c>
      <c r="C46" s="8">
        <v>396</v>
      </c>
    </row>
    <row r="47" spans="2:13" x14ac:dyDescent="0.25">
      <c r="B47" s="8">
        <v>249</v>
      </c>
      <c r="C47" s="8">
        <v>339</v>
      </c>
      <c r="E47" t="s">
        <v>365</v>
      </c>
    </row>
    <row r="48" spans="2:13" ht="15.75" thickBot="1" x14ac:dyDescent="0.3">
      <c r="B48" s="8">
        <v>228</v>
      </c>
      <c r="C48" s="8">
        <v>286</v>
      </c>
    </row>
    <row r="49" spans="2:7" x14ac:dyDescent="0.25">
      <c r="B49" s="8">
        <v>124</v>
      </c>
      <c r="C49" s="8">
        <v>146</v>
      </c>
      <c r="E49" s="114" t="s">
        <v>366</v>
      </c>
      <c r="F49" s="114" t="s">
        <v>367</v>
      </c>
      <c r="G49" s="114" t="s">
        <v>368</v>
      </c>
    </row>
    <row r="50" spans="2:7" x14ac:dyDescent="0.25">
      <c r="B50" s="8">
        <v>194</v>
      </c>
      <c r="C50" s="8">
        <v>315</v>
      </c>
      <c r="E50" s="112">
        <v>1</v>
      </c>
      <c r="F50" s="112">
        <v>301.83594131226391</v>
      </c>
      <c r="G50" s="112">
        <v>-25.835941312263913</v>
      </c>
    </row>
    <row r="51" spans="2:7" x14ac:dyDescent="0.25">
      <c r="B51" s="8">
        <v>157</v>
      </c>
      <c r="C51" s="8">
        <v>183</v>
      </c>
      <c r="E51" s="112">
        <v>2</v>
      </c>
      <c r="F51" s="112">
        <v>478.40414550523803</v>
      </c>
      <c r="G51" s="112">
        <v>-68.404145505238034</v>
      </c>
    </row>
    <row r="52" spans="2:7" x14ac:dyDescent="0.25">
      <c r="B52" s="8">
        <v>402</v>
      </c>
      <c r="C52" s="8">
        <v>481</v>
      </c>
      <c r="E52" s="112">
        <v>3</v>
      </c>
      <c r="F52" s="112">
        <v>145.91898907168451</v>
      </c>
      <c r="G52" s="112">
        <v>-26.918989071684507</v>
      </c>
    </row>
    <row r="53" spans="2:7" x14ac:dyDescent="0.25">
      <c r="B53" s="8">
        <v>323</v>
      </c>
      <c r="C53" s="8">
        <v>349</v>
      </c>
      <c r="E53" s="112">
        <v>4</v>
      </c>
      <c r="F53" s="112">
        <v>339.00819482657425</v>
      </c>
      <c r="G53" s="112">
        <v>-5.008194826574254</v>
      </c>
    </row>
    <row r="54" spans="2:7" x14ac:dyDescent="0.25">
      <c r="B54" s="8">
        <v>181</v>
      </c>
      <c r="C54" s="8">
        <v>225</v>
      </c>
      <c r="E54" s="112">
        <v>5</v>
      </c>
      <c r="F54" s="112">
        <v>297.70569092178505</v>
      </c>
      <c r="G54" s="112">
        <v>-45.705690921785049</v>
      </c>
    </row>
    <row r="55" spans="2:7" x14ac:dyDescent="0.25">
      <c r="B55" s="8">
        <v>157</v>
      </c>
      <c r="C55" s="8">
        <v>217</v>
      </c>
      <c r="E55" s="112">
        <v>6</v>
      </c>
      <c r="F55" s="112">
        <v>191.35174336695269</v>
      </c>
      <c r="G55" s="112">
        <v>17.648256633047311</v>
      </c>
    </row>
    <row r="56" spans="2:7" x14ac:dyDescent="0.25">
      <c r="B56" s="8">
        <v>266</v>
      </c>
      <c r="C56" s="8">
        <v>353</v>
      </c>
      <c r="E56" s="112">
        <v>7</v>
      </c>
      <c r="F56" s="112">
        <v>455.68776835760389</v>
      </c>
      <c r="G56" s="112">
        <v>6.3122316423961138</v>
      </c>
    </row>
    <row r="57" spans="2:7" x14ac:dyDescent="0.25">
      <c r="B57" s="8">
        <v>268</v>
      </c>
      <c r="C57" s="8">
        <v>314</v>
      </c>
      <c r="E57" s="112">
        <v>8</v>
      </c>
      <c r="F57" s="112">
        <v>337.97563222895451</v>
      </c>
      <c r="G57" s="112">
        <v>4.0243677710454904</v>
      </c>
    </row>
    <row r="58" spans="2:7" x14ac:dyDescent="0.25">
      <c r="B58" s="8">
        <v>167</v>
      </c>
      <c r="C58" s="8">
        <v>247</v>
      </c>
      <c r="E58" s="112">
        <v>9</v>
      </c>
      <c r="F58" s="112">
        <v>325.5848810575178</v>
      </c>
      <c r="G58" s="112">
        <v>21.415118942482195</v>
      </c>
    </row>
    <row r="59" spans="2:7" x14ac:dyDescent="0.25">
      <c r="B59" s="8">
        <v>342</v>
      </c>
      <c r="C59" s="8">
        <v>410</v>
      </c>
      <c r="E59" s="112">
        <v>10</v>
      </c>
      <c r="F59" s="112">
        <v>303.9010665075034</v>
      </c>
      <c r="G59" s="112">
        <v>9.0989334924965988</v>
      </c>
    </row>
    <row r="60" spans="2:7" x14ac:dyDescent="0.25">
      <c r="B60" s="8">
        <v>349</v>
      </c>
      <c r="C60" s="8">
        <v>395</v>
      </c>
      <c r="E60" s="112">
        <v>11</v>
      </c>
      <c r="F60" s="112">
        <v>229.55655947888275</v>
      </c>
      <c r="G60" s="112">
        <v>2.4434405211172532</v>
      </c>
    </row>
    <row r="61" spans="2:7" x14ac:dyDescent="0.25">
      <c r="B61" s="8">
        <v>340</v>
      </c>
      <c r="C61" s="8">
        <v>416</v>
      </c>
      <c r="E61" s="112">
        <v>12</v>
      </c>
      <c r="F61" s="112">
        <v>162.43999063360022</v>
      </c>
      <c r="G61" s="112">
        <v>0.56000936639978249</v>
      </c>
    </row>
    <row r="62" spans="2:7" x14ac:dyDescent="0.25">
      <c r="B62" s="8">
        <v>227</v>
      </c>
      <c r="C62" s="8">
        <v>342</v>
      </c>
      <c r="E62" s="112">
        <v>13</v>
      </c>
      <c r="F62" s="112">
        <v>175.86330440265672</v>
      </c>
      <c r="G62" s="112">
        <v>-56.863304402656723</v>
      </c>
    </row>
    <row r="63" spans="2:7" x14ac:dyDescent="0.25">
      <c r="B63" s="8">
        <v>409</v>
      </c>
      <c r="C63" s="8">
        <v>446</v>
      </c>
      <c r="E63" s="112">
        <v>14</v>
      </c>
      <c r="F63" s="112">
        <v>267.7613755908128</v>
      </c>
      <c r="G63" s="112">
        <v>36.238624409187196</v>
      </c>
    </row>
    <row r="64" spans="2:7" x14ac:dyDescent="0.25">
      <c r="B64" s="8">
        <v>400</v>
      </c>
      <c r="C64" s="8">
        <v>477</v>
      </c>
      <c r="E64" s="112">
        <v>15</v>
      </c>
      <c r="F64" s="112">
        <v>198.57968155029081</v>
      </c>
      <c r="G64" s="112">
        <v>12.420318449709185</v>
      </c>
    </row>
    <row r="65" spans="2:7" x14ac:dyDescent="0.25">
      <c r="B65" s="8">
        <v>374</v>
      </c>
      <c r="C65" s="8">
        <v>444</v>
      </c>
      <c r="E65" s="112">
        <v>16</v>
      </c>
      <c r="F65" s="112">
        <v>277.05443896939039</v>
      </c>
      <c r="G65" s="112">
        <v>8.9455610306096105</v>
      </c>
    </row>
    <row r="66" spans="2:7" x14ac:dyDescent="0.25">
      <c r="B66" s="8">
        <v>255</v>
      </c>
      <c r="C66" s="8">
        <v>351</v>
      </c>
      <c r="E66" s="112">
        <v>17</v>
      </c>
      <c r="F66" s="112">
        <v>105.649047764515</v>
      </c>
      <c r="G66" s="112">
        <v>16.350952235484996</v>
      </c>
    </row>
    <row r="67" spans="2:7" x14ac:dyDescent="0.25">
      <c r="B67" s="8">
        <v>146</v>
      </c>
      <c r="C67" s="8">
        <v>165</v>
      </c>
      <c r="E67" s="112">
        <v>18</v>
      </c>
      <c r="F67" s="112">
        <v>447.42726757664605</v>
      </c>
      <c r="G67" s="112">
        <v>-4.4272675766460452</v>
      </c>
    </row>
    <row r="68" spans="2:7" x14ac:dyDescent="0.25">
      <c r="B68" s="8">
        <v>248</v>
      </c>
      <c r="C68" s="8">
        <v>317</v>
      </c>
      <c r="E68" s="112">
        <v>19</v>
      </c>
      <c r="F68" s="112">
        <v>327.65000625275718</v>
      </c>
      <c r="G68" s="112">
        <v>38.34999374724282</v>
      </c>
    </row>
    <row r="69" spans="2:7" x14ac:dyDescent="0.25">
      <c r="B69" s="8">
        <v>198</v>
      </c>
      <c r="C69" s="8">
        <v>250</v>
      </c>
      <c r="E69" s="112">
        <v>20</v>
      </c>
      <c r="F69" s="112">
        <v>254.3380618217563</v>
      </c>
      <c r="G69" s="112">
        <v>-10.338061821756298</v>
      </c>
    </row>
    <row r="70" spans="2:7" x14ac:dyDescent="0.25">
      <c r="B70" s="8">
        <v>210</v>
      </c>
      <c r="C70" s="8">
        <v>217</v>
      </c>
      <c r="E70" s="112">
        <v>21</v>
      </c>
      <c r="F70" s="112">
        <v>278.08700156701013</v>
      </c>
      <c r="G70" s="112">
        <v>-37.087001567010134</v>
      </c>
    </row>
    <row r="71" spans="2:7" x14ac:dyDescent="0.25">
      <c r="B71" s="8">
        <v>107</v>
      </c>
      <c r="C71" s="8">
        <v>138</v>
      </c>
      <c r="E71" s="112">
        <v>22</v>
      </c>
      <c r="F71" s="112">
        <v>229.55655947888275</v>
      </c>
      <c r="G71" s="112">
        <v>7.4434405211172532</v>
      </c>
    </row>
    <row r="72" spans="2:7" x14ac:dyDescent="0.25">
      <c r="B72" s="8">
        <v>239</v>
      </c>
      <c r="C72" s="8">
        <v>302</v>
      </c>
      <c r="E72" s="112">
        <v>23</v>
      </c>
      <c r="F72" s="112">
        <v>142.82130127882533</v>
      </c>
      <c r="G72" s="112">
        <v>-20.821301278825331</v>
      </c>
    </row>
    <row r="73" spans="2:7" x14ac:dyDescent="0.25">
      <c r="B73" s="8">
        <v>287</v>
      </c>
      <c r="C73" s="8">
        <v>311</v>
      </c>
      <c r="E73" s="112">
        <v>24</v>
      </c>
      <c r="F73" s="112">
        <v>170.70049141455806</v>
      </c>
      <c r="G73" s="112">
        <v>-41.700491414558059</v>
      </c>
    </row>
    <row r="74" spans="2:7" x14ac:dyDescent="0.25">
      <c r="B74" s="8">
        <v>340</v>
      </c>
      <c r="C74" s="8">
        <v>373</v>
      </c>
      <c r="E74" s="112">
        <v>25</v>
      </c>
      <c r="F74" s="112">
        <v>210.97043272172758</v>
      </c>
      <c r="G74" s="112">
        <v>25.029567278272424</v>
      </c>
    </row>
    <row r="75" spans="2:7" x14ac:dyDescent="0.25">
      <c r="B75" s="8">
        <v>155</v>
      </c>
      <c r="C75" s="8">
        <v>196</v>
      </c>
      <c r="E75" s="112">
        <v>26</v>
      </c>
      <c r="F75" s="112">
        <v>233.68680986936167</v>
      </c>
      <c r="G75" s="112">
        <v>17.313190130638333</v>
      </c>
    </row>
    <row r="76" spans="2:7" x14ac:dyDescent="0.25">
      <c r="B76" s="8">
        <v>263</v>
      </c>
      <c r="C76" s="8">
        <v>306</v>
      </c>
      <c r="E76" s="112">
        <v>27</v>
      </c>
      <c r="F76" s="112">
        <v>284.28237715272849</v>
      </c>
      <c r="G76" s="112">
        <v>-1.2823771527284862</v>
      </c>
    </row>
    <row r="77" spans="2:7" x14ac:dyDescent="0.25">
      <c r="B77" s="8">
        <v>265</v>
      </c>
      <c r="C77" s="8">
        <v>302</v>
      </c>
      <c r="E77" s="112">
        <v>28</v>
      </c>
      <c r="F77" s="112">
        <v>231.62168467412221</v>
      </c>
      <c r="G77" s="112">
        <v>-6.6216846741222071</v>
      </c>
    </row>
    <row r="78" spans="2:7" x14ac:dyDescent="0.25">
      <c r="B78" s="8">
        <v>249</v>
      </c>
      <c r="C78" s="8">
        <v>278</v>
      </c>
      <c r="E78" s="112">
        <v>29</v>
      </c>
      <c r="F78" s="112">
        <v>120.10492413119124</v>
      </c>
      <c r="G78" s="112">
        <v>-18.10492413119124</v>
      </c>
    </row>
    <row r="79" spans="2:7" x14ac:dyDescent="0.25">
      <c r="B79" s="8">
        <v>377</v>
      </c>
      <c r="C79" s="8">
        <v>429</v>
      </c>
      <c r="E79" s="112">
        <v>30</v>
      </c>
      <c r="F79" s="112">
        <v>171.7330540121778</v>
      </c>
      <c r="G79" s="112">
        <v>8.2669459878221971</v>
      </c>
    </row>
    <row r="80" spans="2:7" x14ac:dyDescent="0.25">
      <c r="B80" s="8">
        <v>301</v>
      </c>
      <c r="C80" s="8">
        <v>338</v>
      </c>
      <c r="E80" s="112">
        <v>31</v>
      </c>
      <c r="F80" s="112">
        <v>230.58912207650249</v>
      </c>
      <c r="G80" s="112">
        <v>16.410877923497509</v>
      </c>
    </row>
    <row r="81" spans="2:7" x14ac:dyDescent="0.25">
      <c r="B81" s="8">
        <v>242</v>
      </c>
      <c r="C81" s="8">
        <v>261</v>
      </c>
      <c r="E81" s="112">
        <v>32</v>
      </c>
      <c r="F81" s="112">
        <v>291.51031533606658</v>
      </c>
      <c r="G81" s="112">
        <v>51.489684663933417</v>
      </c>
    </row>
    <row r="82" spans="2:7" x14ac:dyDescent="0.25">
      <c r="B82" s="8">
        <v>211</v>
      </c>
      <c r="C82" s="8">
        <v>256</v>
      </c>
      <c r="E82" s="112">
        <v>33</v>
      </c>
      <c r="F82" s="112">
        <v>255.37062441937604</v>
      </c>
      <c r="G82" s="112">
        <v>27.629375580623957</v>
      </c>
    </row>
    <row r="83" spans="2:7" x14ac:dyDescent="0.25">
      <c r="B83" s="8">
        <v>160</v>
      </c>
      <c r="C83" s="8">
        <v>183</v>
      </c>
      <c r="E83" s="112">
        <v>34</v>
      </c>
      <c r="F83" s="112">
        <v>228.52399688126303</v>
      </c>
      <c r="G83" s="112">
        <v>24.476003118736969</v>
      </c>
    </row>
    <row r="84" spans="2:7" x14ac:dyDescent="0.25">
      <c r="B84" s="8">
        <v>218</v>
      </c>
      <c r="C84" s="8">
        <v>274</v>
      </c>
      <c r="E84" s="112">
        <v>35</v>
      </c>
      <c r="F84" s="112">
        <v>288.41262754320746</v>
      </c>
      <c r="G84" s="112">
        <v>-25.412627543207464</v>
      </c>
    </row>
    <row r="85" spans="2:7" x14ac:dyDescent="0.25">
      <c r="B85" s="8">
        <v>133</v>
      </c>
      <c r="C85" s="8">
        <v>182</v>
      </c>
      <c r="E85" s="112">
        <v>36</v>
      </c>
      <c r="F85" s="112">
        <v>264.66368779795357</v>
      </c>
      <c r="G85" s="112">
        <v>26.336312202046429</v>
      </c>
    </row>
    <row r="86" spans="2:7" x14ac:dyDescent="0.25">
      <c r="B86" s="8">
        <v>122</v>
      </c>
      <c r="C86" s="8">
        <v>183</v>
      </c>
      <c r="E86" s="112">
        <v>37</v>
      </c>
      <c r="F86" s="112">
        <v>340.040757424194</v>
      </c>
      <c r="G86" s="112">
        <v>27.959242575806002</v>
      </c>
    </row>
    <row r="87" spans="2:7" x14ac:dyDescent="0.25">
      <c r="B87" s="8">
        <v>236</v>
      </c>
      <c r="C87" s="8">
        <v>309</v>
      </c>
      <c r="E87" s="112">
        <v>38</v>
      </c>
      <c r="F87" s="112">
        <v>261.56600000509445</v>
      </c>
      <c r="G87" s="112">
        <v>-55.566000005094452</v>
      </c>
    </row>
    <row r="88" spans="2:7" x14ac:dyDescent="0.25">
      <c r="B88" s="8">
        <v>143</v>
      </c>
      <c r="C88" s="8">
        <v>178</v>
      </c>
      <c r="E88" s="112">
        <v>39</v>
      </c>
      <c r="F88" s="112">
        <v>257.43574961461547</v>
      </c>
      <c r="G88" s="112">
        <v>-26.435749614615474</v>
      </c>
    </row>
    <row r="89" spans="2:7" x14ac:dyDescent="0.25">
      <c r="B89" s="8">
        <v>354</v>
      </c>
      <c r="C89" s="8">
        <v>458</v>
      </c>
      <c r="E89" s="112">
        <v>40</v>
      </c>
      <c r="F89" s="112">
        <v>429.87370341711062</v>
      </c>
      <c r="G89" s="112">
        <v>-40.873703417110619</v>
      </c>
    </row>
    <row r="90" spans="2:7" x14ac:dyDescent="0.25">
      <c r="B90" s="8">
        <v>214</v>
      </c>
      <c r="C90" s="8">
        <v>234</v>
      </c>
      <c r="E90" s="112">
        <v>41</v>
      </c>
      <c r="F90" s="112">
        <v>384.44094912184244</v>
      </c>
      <c r="G90" s="112">
        <v>11.559050878157564</v>
      </c>
    </row>
    <row r="91" spans="2:7" x14ac:dyDescent="0.25">
      <c r="B91" s="8">
        <v>225</v>
      </c>
      <c r="C91" s="8">
        <v>306</v>
      </c>
      <c r="E91" s="112">
        <v>42</v>
      </c>
      <c r="F91" s="112">
        <v>298.73825351940479</v>
      </c>
      <c r="G91" s="112">
        <v>40.261746480595207</v>
      </c>
    </row>
    <row r="92" spans="2:7" x14ac:dyDescent="0.25">
      <c r="B92" s="8">
        <v>261</v>
      </c>
      <c r="C92" s="8">
        <v>400</v>
      </c>
      <c r="E92" s="112">
        <v>43</v>
      </c>
      <c r="F92" s="112">
        <v>277.05443896939039</v>
      </c>
      <c r="G92" s="112">
        <v>8.9455610306096105</v>
      </c>
    </row>
    <row r="93" spans="2:7" x14ac:dyDescent="0.25">
      <c r="B93" s="8">
        <v>277</v>
      </c>
      <c r="C93" s="8">
        <v>337</v>
      </c>
      <c r="E93" s="112">
        <v>44</v>
      </c>
      <c r="F93" s="112">
        <v>169.66792881693834</v>
      </c>
      <c r="G93" s="112">
        <v>-23.667928816938343</v>
      </c>
    </row>
    <row r="94" spans="2:7" x14ac:dyDescent="0.25">
      <c r="B94" s="8">
        <v>282</v>
      </c>
      <c r="C94" s="8">
        <v>325</v>
      </c>
      <c r="E94" s="112">
        <v>45</v>
      </c>
      <c r="F94" s="112">
        <v>241.94731065031954</v>
      </c>
      <c r="G94" s="112">
        <v>73.052689349680463</v>
      </c>
    </row>
    <row r="95" spans="2:7" x14ac:dyDescent="0.25">
      <c r="B95" s="8">
        <v>322</v>
      </c>
      <c r="C95" s="8">
        <v>329</v>
      </c>
      <c r="E95" s="112">
        <v>46</v>
      </c>
      <c r="F95" s="112">
        <v>203.74249453838948</v>
      </c>
      <c r="G95" s="112">
        <v>-20.742494538389479</v>
      </c>
    </row>
    <row r="96" spans="2:7" x14ac:dyDescent="0.25">
      <c r="B96" s="8">
        <v>326</v>
      </c>
      <c r="C96" s="8">
        <v>369</v>
      </c>
      <c r="E96" s="112">
        <v>47</v>
      </c>
      <c r="F96" s="112">
        <v>456.72033095522363</v>
      </c>
      <c r="G96" s="112">
        <v>24.279669044776369</v>
      </c>
    </row>
    <row r="97" spans="2:7" x14ac:dyDescent="0.25">
      <c r="B97" s="8">
        <v>421</v>
      </c>
      <c r="C97" s="8">
        <v>457</v>
      </c>
      <c r="E97" s="112">
        <v>48</v>
      </c>
      <c r="F97" s="112">
        <v>375.14788574326485</v>
      </c>
      <c r="G97" s="112">
        <v>-26.147885743264851</v>
      </c>
    </row>
    <row r="98" spans="2:7" x14ac:dyDescent="0.25">
      <c r="B98" s="8">
        <v>368</v>
      </c>
      <c r="C98" s="8">
        <v>421</v>
      </c>
      <c r="E98" s="112">
        <v>49</v>
      </c>
      <c r="F98" s="112">
        <v>228.52399688126303</v>
      </c>
      <c r="G98" s="112">
        <v>-3.5239968812630309</v>
      </c>
    </row>
    <row r="99" spans="2:7" x14ac:dyDescent="0.25">
      <c r="B99" s="8">
        <v>279</v>
      </c>
      <c r="C99" s="8">
        <v>282</v>
      </c>
      <c r="E99" s="112">
        <v>50</v>
      </c>
      <c r="F99" s="112">
        <v>203.74249453838948</v>
      </c>
      <c r="G99" s="112">
        <v>13.257505461610521</v>
      </c>
    </row>
    <row r="100" spans="2:7" x14ac:dyDescent="0.25">
      <c r="B100" s="8">
        <v>268</v>
      </c>
      <c r="C100" s="8">
        <v>256</v>
      </c>
      <c r="E100" s="112">
        <v>51</v>
      </c>
      <c r="F100" s="112">
        <v>316.29181767894022</v>
      </c>
      <c r="G100" s="112">
        <v>36.70818232105978</v>
      </c>
    </row>
    <row r="101" spans="2:7" x14ac:dyDescent="0.25">
      <c r="E101" s="112">
        <v>52</v>
      </c>
      <c r="F101" s="112">
        <v>318.35694287417959</v>
      </c>
      <c r="G101" s="112">
        <v>-4.3569428741795946</v>
      </c>
    </row>
    <row r="102" spans="2:7" x14ac:dyDescent="0.25">
      <c r="E102" s="112">
        <v>53</v>
      </c>
      <c r="F102" s="112">
        <v>214.06812051458678</v>
      </c>
      <c r="G102" s="112">
        <v>32.931879485413219</v>
      </c>
    </row>
    <row r="103" spans="2:7" x14ac:dyDescent="0.25">
      <c r="E103" s="112">
        <v>54</v>
      </c>
      <c r="F103" s="112">
        <v>394.76657509803977</v>
      </c>
      <c r="G103" s="112">
        <v>15.233424901960234</v>
      </c>
    </row>
    <row r="104" spans="2:7" x14ac:dyDescent="0.25">
      <c r="E104" s="112">
        <v>55</v>
      </c>
      <c r="F104" s="112">
        <v>401.99451328137786</v>
      </c>
      <c r="G104" s="112">
        <v>-6.9945132813778628</v>
      </c>
    </row>
    <row r="105" spans="2:7" x14ac:dyDescent="0.25">
      <c r="E105" s="112">
        <v>56</v>
      </c>
      <c r="F105" s="112">
        <v>392.70144990280028</v>
      </c>
      <c r="G105" s="112">
        <v>23.298550097199723</v>
      </c>
    </row>
    <row r="106" spans="2:7" x14ac:dyDescent="0.25">
      <c r="E106" s="112">
        <v>57</v>
      </c>
      <c r="F106" s="112">
        <v>276.02187637177065</v>
      </c>
      <c r="G106" s="112">
        <v>65.978123628229355</v>
      </c>
    </row>
    <row r="107" spans="2:7" x14ac:dyDescent="0.25">
      <c r="E107" s="112">
        <v>58</v>
      </c>
      <c r="F107" s="112">
        <v>463.94826913856173</v>
      </c>
      <c r="G107" s="112">
        <v>-17.948269138561727</v>
      </c>
    </row>
    <row r="108" spans="2:7" x14ac:dyDescent="0.25">
      <c r="E108" s="112">
        <v>59</v>
      </c>
      <c r="F108" s="112">
        <v>454.65520575998414</v>
      </c>
      <c r="G108" s="112">
        <v>22.344794240015858</v>
      </c>
    </row>
    <row r="109" spans="2:7" x14ac:dyDescent="0.25">
      <c r="E109" s="112">
        <v>60</v>
      </c>
      <c r="F109" s="112">
        <v>427.80857822187113</v>
      </c>
      <c r="G109" s="112">
        <v>16.19142177812887</v>
      </c>
    </row>
    <row r="110" spans="2:7" x14ac:dyDescent="0.25">
      <c r="E110" s="112">
        <v>61</v>
      </c>
      <c r="F110" s="112">
        <v>304.93362910512315</v>
      </c>
      <c r="G110" s="112">
        <v>46.066370894876854</v>
      </c>
    </row>
    <row r="111" spans="2:7" x14ac:dyDescent="0.25">
      <c r="E111" s="112">
        <v>62</v>
      </c>
      <c r="F111" s="112">
        <v>192.38430596457243</v>
      </c>
      <c r="G111" s="112">
        <v>-27.384305964572434</v>
      </c>
    </row>
    <row r="112" spans="2:7" x14ac:dyDescent="0.25">
      <c r="E112" s="112">
        <v>63</v>
      </c>
      <c r="F112" s="112">
        <v>297.70569092178505</v>
      </c>
      <c r="G112" s="112">
        <v>19.294309078214951</v>
      </c>
    </row>
    <row r="113" spans="5:7" x14ac:dyDescent="0.25">
      <c r="E113" s="112">
        <v>64</v>
      </c>
      <c r="F113" s="112">
        <v>246.07756104079846</v>
      </c>
      <c r="G113" s="112">
        <v>3.9224389592015427</v>
      </c>
    </row>
    <row r="114" spans="5:7" x14ac:dyDescent="0.25">
      <c r="E114" s="112">
        <v>65</v>
      </c>
      <c r="F114" s="112">
        <v>258.46831221223522</v>
      </c>
      <c r="G114" s="112">
        <v>-41.468312212235219</v>
      </c>
    </row>
    <row r="115" spans="5:7" x14ac:dyDescent="0.25">
      <c r="E115" s="112">
        <v>66</v>
      </c>
      <c r="F115" s="112">
        <v>152.11436465740292</v>
      </c>
      <c r="G115" s="112">
        <v>-14.114364657402916</v>
      </c>
    </row>
    <row r="116" spans="5:7" x14ac:dyDescent="0.25">
      <c r="E116" s="112">
        <v>67</v>
      </c>
      <c r="F116" s="112">
        <v>288.41262754320746</v>
      </c>
      <c r="G116" s="112">
        <v>13.587372456792536</v>
      </c>
    </row>
    <row r="117" spans="5:7" x14ac:dyDescent="0.25">
      <c r="E117" s="112">
        <v>68</v>
      </c>
      <c r="F117" s="112">
        <v>337.97563222895451</v>
      </c>
      <c r="G117" s="112">
        <v>-26.97563222895451</v>
      </c>
    </row>
    <row r="118" spans="5:7" x14ac:dyDescent="0.25">
      <c r="E118" s="112">
        <v>69</v>
      </c>
      <c r="F118" s="112">
        <v>392.70144990280028</v>
      </c>
      <c r="G118" s="112">
        <v>-19.701449902800277</v>
      </c>
    </row>
    <row r="119" spans="5:7" x14ac:dyDescent="0.25">
      <c r="E119" s="112">
        <v>70</v>
      </c>
      <c r="F119" s="112">
        <v>201.67736934315002</v>
      </c>
      <c r="G119" s="112">
        <v>-5.6773693431500192</v>
      </c>
    </row>
    <row r="120" spans="5:7" x14ac:dyDescent="0.25">
      <c r="E120" s="112">
        <v>71</v>
      </c>
      <c r="F120" s="112">
        <v>313.19412988608099</v>
      </c>
      <c r="G120" s="112">
        <v>-7.1941298860809866</v>
      </c>
    </row>
    <row r="121" spans="5:7" x14ac:dyDescent="0.25">
      <c r="E121" s="112">
        <v>72</v>
      </c>
      <c r="F121" s="112">
        <v>315.25925508132048</v>
      </c>
      <c r="G121" s="112">
        <v>-13.259255081320475</v>
      </c>
    </row>
    <row r="122" spans="5:7" x14ac:dyDescent="0.25">
      <c r="E122" s="112">
        <v>73</v>
      </c>
      <c r="F122" s="112">
        <v>298.73825351940479</v>
      </c>
      <c r="G122" s="112">
        <v>-20.738253519404793</v>
      </c>
    </row>
    <row r="123" spans="5:7" x14ac:dyDescent="0.25">
      <c r="E123" s="112">
        <v>74</v>
      </c>
      <c r="F123" s="112">
        <v>430.90626601473036</v>
      </c>
      <c r="G123" s="112">
        <v>-1.9062660147303632</v>
      </c>
    </row>
    <row r="124" spans="5:7" x14ac:dyDescent="0.25">
      <c r="E124" s="112">
        <v>75</v>
      </c>
      <c r="F124" s="112">
        <v>352.43150859563082</v>
      </c>
      <c r="G124" s="112">
        <v>-14.431508595630817</v>
      </c>
    </row>
    <row r="125" spans="5:7" x14ac:dyDescent="0.25">
      <c r="E125" s="112">
        <v>76</v>
      </c>
      <c r="F125" s="112">
        <v>291.51031533606658</v>
      </c>
      <c r="G125" s="112">
        <v>-30.510315336066583</v>
      </c>
    </row>
    <row r="126" spans="5:7" x14ac:dyDescent="0.25">
      <c r="E126" s="112">
        <v>77</v>
      </c>
      <c r="F126" s="112">
        <v>259.50087480985496</v>
      </c>
      <c r="G126" s="112">
        <v>-3.5008748098549631</v>
      </c>
    </row>
    <row r="127" spans="5:7" x14ac:dyDescent="0.25">
      <c r="E127" s="112">
        <v>78</v>
      </c>
      <c r="F127" s="112">
        <v>206.84018233124866</v>
      </c>
      <c r="G127" s="112">
        <v>-23.840182331248656</v>
      </c>
    </row>
    <row r="128" spans="5:7" x14ac:dyDescent="0.25">
      <c r="E128" s="112">
        <v>79</v>
      </c>
      <c r="F128" s="112">
        <v>266.72881299319306</v>
      </c>
      <c r="G128" s="112">
        <v>7.2711870068069402</v>
      </c>
    </row>
    <row r="129" spans="5:7" x14ac:dyDescent="0.25">
      <c r="E129" s="112">
        <v>80</v>
      </c>
      <c r="F129" s="112">
        <v>178.96099219551593</v>
      </c>
      <c r="G129" s="112">
        <v>3.039007804484072</v>
      </c>
    </row>
    <row r="130" spans="5:7" x14ac:dyDescent="0.25">
      <c r="E130" s="112">
        <v>81</v>
      </c>
      <c r="F130" s="112">
        <v>167.60280362169888</v>
      </c>
      <c r="G130" s="112">
        <v>15.397196378301118</v>
      </c>
    </row>
    <row r="131" spans="5:7" x14ac:dyDescent="0.25">
      <c r="E131" s="112">
        <v>82</v>
      </c>
      <c r="F131" s="112">
        <v>285.31493975034823</v>
      </c>
      <c r="G131" s="112">
        <v>23.685060249651769</v>
      </c>
    </row>
    <row r="132" spans="5:7" x14ac:dyDescent="0.25">
      <c r="E132" s="112">
        <v>83</v>
      </c>
      <c r="F132" s="112">
        <v>189.28661817171323</v>
      </c>
      <c r="G132" s="112">
        <v>-11.286618171713229</v>
      </c>
    </row>
    <row r="133" spans="5:7" x14ac:dyDescent="0.25">
      <c r="E133" s="112">
        <v>84</v>
      </c>
      <c r="F133" s="112">
        <v>407.15732626947647</v>
      </c>
      <c r="G133" s="112">
        <v>50.842673730523529</v>
      </c>
    </row>
    <row r="134" spans="5:7" x14ac:dyDescent="0.25">
      <c r="E134" s="112">
        <v>85</v>
      </c>
      <c r="F134" s="112">
        <v>262.59856260271414</v>
      </c>
      <c r="G134" s="112">
        <v>-28.598562602714139</v>
      </c>
    </row>
    <row r="135" spans="5:7" x14ac:dyDescent="0.25">
      <c r="E135" s="112">
        <v>86</v>
      </c>
      <c r="F135" s="112">
        <v>273.95675117653116</v>
      </c>
      <c r="G135" s="112">
        <v>32.043248823468844</v>
      </c>
    </row>
    <row r="136" spans="5:7" x14ac:dyDescent="0.25">
      <c r="E136" s="112">
        <v>87</v>
      </c>
      <c r="F136" s="112">
        <v>311.1290046908415</v>
      </c>
      <c r="G136" s="112">
        <v>88.870995309158502</v>
      </c>
    </row>
    <row r="137" spans="5:7" x14ac:dyDescent="0.25">
      <c r="E137" s="112">
        <v>88</v>
      </c>
      <c r="F137" s="112">
        <v>327.65000625275718</v>
      </c>
      <c r="G137" s="112">
        <v>9.3499937472428201</v>
      </c>
    </row>
    <row r="138" spans="5:7" x14ac:dyDescent="0.25">
      <c r="E138" s="112">
        <v>89</v>
      </c>
      <c r="F138" s="112">
        <v>332.8128192408559</v>
      </c>
      <c r="G138" s="112">
        <v>-7.8128192408559016</v>
      </c>
    </row>
    <row r="139" spans="5:7" x14ac:dyDescent="0.25">
      <c r="E139" s="112">
        <v>90</v>
      </c>
      <c r="F139" s="112">
        <v>374.11532314564511</v>
      </c>
      <c r="G139" s="112">
        <v>-45.115323145645107</v>
      </c>
    </row>
    <row r="140" spans="5:7" x14ac:dyDescent="0.25">
      <c r="E140" s="112">
        <v>91</v>
      </c>
      <c r="F140" s="112">
        <v>378.24557353612408</v>
      </c>
      <c r="G140" s="112">
        <v>-9.2455735361240841</v>
      </c>
    </row>
    <row r="141" spans="5:7" x14ac:dyDescent="0.25">
      <c r="E141" s="112">
        <v>92</v>
      </c>
      <c r="F141" s="112">
        <v>476.33902030999855</v>
      </c>
      <c r="G141" s="112">
        <v>-19.339020309998546</v>
      </c>
    </row>
    <row r="142" spans="5:7" x14ac:dyDescent="0.25">
      <c r="E142" s="112">
        <v>93</v>
      </c>
      <c r="F142" s="112">
        <v>421.61320263615278</v>
      </c>
      <c r="G142" s="112">
        <v>-0.61320263615277781</v>
      </c>
    </row>
    <row r="143" spans="5:7" x14ac:dyDescent="0.25">
      <c r="E143" s="112">
        <v>94</v>
      </c>
      <c r="F143" s="112">
        <v>329.71513144799667</v>
      </c>
      <c r="G143" s="112">
        <v>-47.715131447996669</v>
      </c>
    </row>
    <row r="144" spans="5:7" ht="15.75" thickBot="1" x14ac:dyDescent="0.3">
      <c r="E144" s="113">
        <v>95</v>
      </c>
      <c r="F144" s="113">
        <v>318.35694287417959</v>
      </c>
      <c r="G144" s="113">
        <v>-62.356942874179595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O124"/>
  <sheetViews>
    <sheetView showGridLines="0" tabSelected="1" topLeftCell="D3" workbookViewId="0">
      <selection activeCell="K9" sqref="K9"/>
    </sheetView>
  </sheetViews>
  <sheetFormatPr defaultRowHeight="15" x14ac:dyDescent="0.25"/>
  <cols>
    <col min="1" max="1" width="2.85546875" customWidth="1"/>
    <col min="2" max="2" width="16" bestFit="1" customWidth="1"/>
    <col min="3" max="3" width="20.7109375" customWidth="1"/>
    <col min="4" max="4" width="19.28515625" customWidth="1"/>
    <col min="7" max="7" width="21.42578125" bestFit="1" customWidth="1"/>
    <col min="8" max="8" width="28.7109375" bestFit="1" customWidth="1"/>
    <col min="9" max="9" width="14.5703125" bestFit="1" customWidth="1"/>
    <col min="10" max="10" width="16.7109375" bestFit="1" customWidth="1"/>
    <col min="11" max="11" width="12" bestFit="1" customWidth="1"/>
    <col min="12" max="12" width="13.42578125" bestFit="1" customWidth="1"/>
    <col min="13" max="15" width="12.7109375" bestFit="1" customWidth="1"/>
  </cols>
  <sheetData>
    <row r="1" spans="2:12" ht="25.5" customHeight="1" x14ac:dyDescent="0.3">
      <c r="B1" s="18" t="s">
        <v>246</v>
      </c>
    </row>
    <row r="2" spans="2:12" ht="15" customHeight="1" x14ac:dyDescent="0.25">
      <c r="B2" s="30" t="s">
        <v>267</v>
      </c>
    </row>
    <row r="3" spans="2:12" ht="18" customHeight="1" x14ac:dyDescent="0.25"/>
    <row r="4" spans="2:12" x14ac:dyDescent="0.25">
      <c r="J4" s="116" t="s">
        <v>369</v>
      </c>
    </row>
    <row r="5" spans="2:12" x14ac:dyDescent="0.25">
      <c r="B5" s="43" t="s">
        <v>76</v>
      </c>
      <c r="C5" s="43" t="s">
        <v>22</v>
      </c>
      <c r="D5" s="43" t="s">
        <v>23</v>
      </c>
      <c r="G5" t="s">
        <v>342</v>
      </c>
      <c r="J5" t="s">
        <v>231</v>
      </c>
      <c r="K5">
        <v>70</v>
      </c>
    </row>
    <row r="6" spans="2:12" ht="15.75" thickBot="1" x14ac:dyDescent="0.3">
      <c r="B6" s="51">
        <v>68.400000000000006</v>
      </c>
      <c r="C6" s="51">
        <v>252</v>
      </c>
      <c r="D6" s="51">
        <v>276</v>
      </c>
      <c r="J6" t="s">
        <v>235</v>
      </c>
      <c r="K6">
        <v>285</v>
      </c>
    </row>
    <row r="7" spans="2:12" x14ac:dyDescent="0.25">
      <c r="B7" s="8">
        <v>62.1</v>
      </c>
      <c r="C7" s="8">
        <v>423</v>
      </c>
      <c r="D7" s="51">
        <v>410</v>
      </c>
      <c r="G7" s="115" t="s">
        <v>343</v>
      </c>
      <c r="H7" s="115"/>
    </row>
    <row r="8" spans="2:12" x14ac:dyDescent="0.25">
      <c r="B8" s="8">
        <v>70.2</v>
      </c>
      <c r="C8" s="8">
        <v>101</v>
      </c>
      <c r="D8" s="51">
        <v>119</v>
      </c>
      <c r="G8" s="112" t="s">
        <v>344</v>
      </c>
      <c r="H8" s="112">
        <v>0.99279109999741466</v>
      </c>
      <c r="J8" t="s">
        <v>236</v>
      </c>
      <c r="K8">
        <f>H21+H22*K5+H23*K6</f>
        <v>315.95174010556502</v>
      </c>
    </row>
    <row r="9" spans="2:12" x14ac:dyDescent="0.25">
      <c r="B9" s="8">
        <v>75.099999999999994</v>
      </c>
      <c r="C9" s="8">
        <v>288</v>
      </c>
      <c r="D9" s="51">
        <v>334</v>
      </c>
      <c r="G9" s="112" t="s">
        <v>345</v>
      </c>
      <c r="H9" s="112">
        <v>0.98563416823407668</v>
      </c>
    </row>
    <row r="10" spans="2:12" x14ac:dyDescent="0.25">
      <c r="B10" s="8">
        <v>60.9</v>
      </c>
      <c r="C10" s="8">
        <v>248</v>
      </c>
      <c r="D10" s="51">
        <v>252</v>
      </c>
      <c r="G10" s="112" t="s">
        <v>346</v>
      </c>
      <c r="H10" s="112">
        <v>0.98532186754351314</v>
      </c>
    </row>
    <row r="11" spans="2:12" x14ac:dyDescent="0.25">
      <c r="B11" s="8">
        <v>74.5</v>
      </c>
      <c r="C11" s="8">
        <v>145</v>
      </c>
      <c r="D11" s="51">
        <v>209</v>
      </c>
      <c r="G11" s="112" t="s">
        <v>258</v>
      </c>
      <c r="H11" s="112">
        <v>11.330387674231808</v>
      </c>
    </row>
    <row r="12" spans="2:12" ht="15.75" thickBot="1" x14ac:dyDescent="0.3">
      <c r="B12" s="8">
        <v>76.400000000000006</v>
      </c>
      <c r="C12" s="8">
        <v>401</v>
      </c>
      <c r="D12" s="51">
        <v>462</v>
      </c>
      <c r="G12" s="113" t="s">
        <v>347</v>
      </c>
      <c r="H12" s="113">
        <v>95</v>
      </c>
    </row>
    <row r="13" spans="2:12" x14ac:dyDescent="0.25">
      <c r="B13" s="8">
        <v>82.6</v>
      </c>
      <c r="C13" s="8">
        <v>287</v>
      </c>
      <c r="D13" s="51">
        <v>342</v>
      </c>
    </row>
    <row r="14" spans="2:12" ht="15.75" thickBot="1" x14ac:dyDescent="0.3">
      <c r="B14" s="8">
        <v>76.900000000000006</v>
      </c>
      <c r="C14" s="8">
        <v>275</v>
      </c>
      <c r="D14" s="51">
        <v>347</v>
      </c>
      <c r="G14" t="s">
        <v>348</v>
      </c>
    </row>
    <row r="15" spans="2:12" x14ac:dyDescent="0.25">
      <c r="B15" s="8">
        <v>83.3</v>
      </c>
      <c r="C15" s="8">
        <v>254</v>
      </c>
      <c r="D15" s="51">
        <v>313</v>
      </c>
      <c r="G15" s="114"/>
      <c r="H15" s="114" t="s">
        <v>353</v>
      </c>
      <c r="I15" s="114" t="s">
        <v>354</v>
      </c>
      <c r="J15" s="114" t="s">
        <v>355</v>
      </c>
      <c r="K15" s="114" t="s">
        <v>356</v>
      </c>
      <c r="L15" s="114" t="s">
        <v>357</v>
      </c>
    </row>
    <row r="16" spans="2:12" x14ac:dyDescent="0.25">
      <c r="B16" s="8">
        <v>75.8</v>
      </c>
      <c r="C16" s="8">
        <v>182</v>
      </c>
      <c r="D16" s="51">
        <v>232</v>
      </c>
      <c r="G16" s="112" t="s">
        <v>349</v>
      </c>
      <c r="H16" s="112">
        <v>2</v>
      </c>
      <c r="I16" s="112">
        <v>810330.78983605374</v>
      </c>
      <c r="J16" s="112">
        <v>405165.39491802687</v>
      </c>
      <c r="K16" s="112">
        <v>3156.0422311442458</v>
      </c>
      <c r="L16" s="112">
        <v>1.726695298954031E-85</v>
      </c>
    </row>
    <row r="17" spans="2:15" x14ac:dyDescent="0.25">
      <c r="B17" s="8">
        <v>76</v>
      </c>
      <c r="C17" s="8">
        <v>117</v>
      </c>
      <c r="D17" s="51">
        <v>163</v>
      </c>
      <c r="G17" s="112" t="s">
        <v>350</v>
      </c>
      <c r="H17" s="112">
        <v>92</v>
      </c>
      <c r="I17" s="112">
        <v>11810.747006051333</v>
      </c>
      <c r="J17" s="112">
        <v>128.37768484838406</v>
      </c>
      <c r="K17" s="112"/>
      <c r="L17" s="112"/>
    </row>
    <row r="18" spans="2:15" ht="15.75" thickBot="1" x14ac:dyDescent="0.3">
      <c r="B18" s="8">
        <v>62.8</v>
      </c>
      <c r="C18" s="8">
        <v>130</v>
      </c>
      <c r="D18" s="51">
        <v>119</v>
      </c>
      <c r="G18" s="113" t="s">
        <v>351</v>
      </c>
      <c r="H18" s="113">
        <v>94</v>
      </c>
      <c r="I18" s="113">
        <v>822141.5368421051</v>
      </c>
      <c r="J18" s="113"/>
      <c r="K18" s="113"/>
      <c r="L18" s="113"/>
    </row>
    <row r="19" spans="2:15" ht="15.75" thickBot="1" x14ac:dyDescent="0.3">
      <c r="B19" s="8">
        <v>82.8</v>
      </c>
      <c r="C19" s="8">
        <v>219</v>
      </c>
      <c r="D19" s="51">
        <v>304</v>
      </c>
    </row>
    <row r="20" spans="2:15" x14ac:dyDescent="0.25">
      <c r="B20" s="8">
        <v>76</v>
      </c>
      <c r="C20" s="8">
        <v>152</v>
      </c>
      <c r="D20" s="51">
        <v>211</v>
      </c>
      <c r="G20" s="114"/>
      <c r="H20" s="114" t="s">
        <v>358</v>
      </c>
      <c r="I20" s="114" t="s">
        <v>258</v>
      </c>
      <c r="J20" s="114" t="s">
        <v>359</v>
      </c>
      <c r="K20" s="114" t="s">
        <v>360</v>
      </c>
      <c r="L20" s="114" t="s">
        <v>361</v>
      </c>
      <c r="M20" s="114" t="s">
        <v>362</v>
      </c>
      <c r="N20" s="114" t="s">
        <v>363</v>
      </c>
      <c r="O20" s="114" t="s">
        <v>364</v>
      </c>
    </row>
    <row r="21" spans="2:15" x14ac:dyDescent="0.25">
      <c r="B21" s="8">
        <v>76.900000000000006</v>
      </c>
      <c r="C21" s="8">
        <v>228</v>
      </c>
      <c r="D21" s="51">
        <v>286</v>
      </c>
      <c r="G21" s="112" t="s">
        <v>352</v>
      </c>
      <c r="H21" s="112">
        <v>-222.42619776853718</v>
      </c>
      <c r="I21" s="112">
        <v>11.817463801380203</v>
      </c>
      <c r="J21" s="112">
        <v>-18.821821797546715</v>
      </c>
      <c r="K21" s="112">
        <v>2.6360711568826702E-33</v>
      </c>
      <c r="L21" s="112">
        <v>-245.89670092552367</v>
      </c>
      <c r="M21" s="112">
        <v>-198.95569461155068</v>
      </c>
      <c r="N21" s="112">
        <v>-245.89670092552367</v>
      </c>
      <c r="O21" s="112">
        <v>-198.95569461155068</v>
      </c>
    </row>
    <row r="22" spans="2:15" x14ac:dyDescent="0.25">
      <c r="B22" s="8">
        <v>75.8</v>
      </c>
      <c r="C22" s="8">
        <v>62</v>
      </c>
      <c r="D22" s="51">
        <v>122</v>
      </c>
      <c r="G22" s="112" t="s">
        <v>76</v>
      </c>
      <c r="H22" s="112">
        <v>3.6500404966015521</v>
      </c>
      <c r="I22" s="112">
        <v>0.15618021349556055</v>
      </c>
      <c r="J22" s="112">
        <v>23.370697317591418</v>
      </c>
      <c r="K22" s="112">
        <v>1.8132199734321842E-40</v>
      </c>
      <c r="L22" s="112">
        <v>3.3398531115995129</v>
      </c>
      <c r="M22" s="112">
        <v>3.9602278816035912</v>
      </c>
      <c r="N22" s="112">
        <v>3.3398531115995129</v>
      </c>
      <c r="O22" s="112">
        <v>3.9602278816035912</v>
      </c>
    </row>
    <row r="23" spans="2:15" ht="15.75" thickBot="1" x14ac:dyDescent="0.3">
      <c r="B23" s="8">
        <v>78</v>
      </c>
      <c r="C23" s="8">
        <v>393</v>
      </c>
      <c r="D23" s="51">
        <v>443</v>
      </c>
      <c r="G23" s="113" t="s">
        <v>22</v>
      </c>
      <c r="H23" s="113">
        <v>0.99254422144559151</v>
      </c>
      <c r="I23" s="113">
        <v>1.3705636999396694E-2</v>
      </c>
      <c r="J23" s="113">
        <v>72.418685938441399</v>
      </c>
      <c r="K23" s="113">
        <v>6.355192075965976E-83</v>
      </c>
      <c r="L23" s="113">
        <v>0.96532364333599063</v>
      </c>
      <c r="M23" s="113">
        <v>1.0197647995551924</v>
      </c>
      <c r="N23" s="113">
        <v>0.96532364333599063</v>
      </c>
      <c r="O23" s="113">
        <v>1.0197647995551924</v>
      </c>
    </row>
    <row r="24" spans="2:15" x14ac:dyDescent="0.25">
      <c r="B24" s="8">
        <v>82.4</v>
      </c>
      <c r="C24" s="8">
        <v>277</v>
      </c>
      <c r="D24" s="51">
        <v>366</v>
      </c>
    </row>
    <row r="25" spans="2:15" x14ac:dyDescent="0.25">
      <c r="B25" s="8">
        <v>76.2</v>
      </c>
      <c r="C25" s="8">
        <v>206</v>
      </c>
      <c r="D25" s="51">
        <v>244</v>
      </c>
    </row>
    <row r="26" spans="2:15" x14ac:dyDescent="0.25">
      <c r="B26" s="8">
        <v>62.5</v>
      </c>
      <c r="C26" s="8">
        <v>229</v>
      </c>
      <c r="D26" s="51">
        <v>241</v>
      </c>
    </row>
    <row r="27" spans="2:15" x14ac:dyDescent="0.25">
      <c r="B27" s="8">
        <v>78</v>
      </c>
      <c r="C27" s="8">
        <v>182</v>
      </c>
      <c r="D27" s="51">
        <v>237</v>
      </c>
      <c r="G27" t="s">
        <v>365</v>
      </c>
    </row>
    <row r="28" spans="2:15" ht="15.75" thickBot="1" x14ac:dyDescent="0.3">
      <c r="B28" s="8">
        <v>66.5</v>
      </c>
      <c r="C28" s="8">
        <v>98</v>
      </c>
      <c r="D28" s="51">
        <v>122</v>
      </c>
    </row>
    <row r="29" spans="2:15" x14ac:dyDescent="0.25">
      <c r="B29" s="8">
        <v>63.5</v>
      </c>
      <c r="C29" s="8">
        <v>125</v>
      </c>
      <c r="D29" s="51">
        <v>129</v>
      </c>
      <c r="G29" s="114" t="s">
        <v>366</v>
      </c>
      <c r="H29" s="114" t="s">
        <v>367</v>
      </c>
      <c r="I29" s="114" t="s">
        <v>368</v>
      </c>
    </row>
    <row r="30" spans="2:15" x14ac:dyDescent="0.25">
      <c r="B30" s="8">
        <v>82.6</v>
      </c>
      <c r="C30" s="8">
        <v>164</v>
      </c>
      <c r="D30" s="51">
        <v>236</v>
      </c>
      <c r="G30" s="112">
        <v>1</v>
      </c>
      <c r="H30" s="112">
        <v>277.35771600329804</v>
      </c>
      <c r="I30" s="112">
        <v>-1.3577160032980373</v>
      </c>
    </row>
    <row r="31" spans="2:15" x14ac:dyDescent="0.25">
      <c r="B31" s="8">
        <v>79.2</v>
      </c>
      <c r="C31" s="8">
        <v>186</v>
      </c>
      <c r="D31" s="51">
        <v>251</v>
      </c>
      <c r="G31" s="112">
        <v>2</v>
      </c>
      <c r="H31" s="112">
        <v>424.08752274190442</v>
      </c>
      <c r="I31" s="112">
        <v>-14.087522741904422</v>
      </c>
    </row>
    <row r="32" spans="2:15" x14ac:dyDescent="0.25">
      <c r="B32" s="8">
        <v>75</v>
      </c>
      <c r="C32" s="8">
        <v>235</v>
      </c>
      <c r="D32" s="51">
        <v>283</v>
      </c>
      <c r="G32" s="112">
        <v>3</v>
      </c>
      <c r="H32" s="112">
        <v>134.05361145889657</v>
      </c>
      <c r="I32" s="112">
        <v>-15.053611458896569</v>
      </c>
    </row>
    <row r="33" spans="2:9" x14ac:dyDescent="0.25">
      <c r="B33" s="8">
        <v>74.400000000000006</v>
      </c>
      <c r="C33" s="8">
        <v>184</v>
      </c>
      <c r="D33" s="51">
        <v>225</v>
      </c>
      <c r="G33" s="112">
        <v>4</v>
      </c>
      <c r="H33" s="112">
        <v>337.54457930256973</v>
      </c>
      <c r="I33" s="112">
        <v>-3.5445793025697299</v>
      </c>
    </row>
    <row r="34" spans="2:9" x14ac:dyDescent="0.25">
      <c r="B34" s="8">
        <v>67.900000000000006</v>
      </c>
      <c r="C34" s="8">
        <v>76</v>
      </c>
      <c r="D34" s="51">
        <v>102</v>
      </c>
      <c r="G34" s="112">
        <v>5</v>
      </c>
      <c r="H34" s="112">
        <v>246.01223539300403</v>
      </c>
      <c r="I34" s="112">
        <v>5.9877646069959667</v>
      </c>
    </row>
    <row r="35" spans="2:9" x14ac:dyDescent="0.25">
      <c r="B35" s="8">
        <v>76.8</v>
      </c>
      <c r="C35" s="8">
        <v>126</v>
      </c>
      <c r="D35" s="51">
        <v>180</v>
      </c>
      <c r="G35" s="112">
        <v>6</v>
      </c>
      <c r="H35" s="112">
        <v>193.42073133788924</v>
      </c>
      <c r="I35" s="112">
        <v>15.579268662110763</v>
      </c>
    </row>
    <row r="36" spans="2:9" x14ac:dyDescent="0.25">
      <c r="B36" s="8">
        <v>83</v>
      </c>
      <c r="C36" s="8">
        <v>183</v>
      </c>
      <c r="D36" s="51">
        <v>247</v>
      </c>
      <c r="G36" s="112">
        <v>7</v>
      </c>
      <c r="H36" s="112">
        <v>454.44712897150362</v>
      </c>
      <c r="I36" s="112">
        <v>7.5528710284963836</v>
      </c>
    </row>
    <row r="37" spans="2:9" x14ac:dyDescent="0.25">
      <c r="B37" s="8">
        <v>88.9</v>
      </c>
      <c r="C37" s="8">
        <v>242</v>
      </c>
      <c r="D37" s="51">
        <v>343</v>
      </c>
      <c r="G37" s="112">
        <v>8</v>
      </c>
      <c r="H37" s="112">
        <v>363.92733880563577</v>
      </c>
      <c r="I37" s="112">
        <v>-21.92733880563577</v>
      </c>
    </row>
    <row r="38" spans="2:9" x14ac:dyDescent="0.25">
      <c r="B38" s="8">
        <v>76.5</v>
      </c>
      <c r="C38" s="8">
        <v>207</v>
      </c>
      <c r="D38" s="51">
        <v>283</v>
      </c>
      <c r="G38" s="112">
        <v>9</v>
      </c>
      <c r="H38" s="112">
        <v>331.21157731765987</v>
      </c>
      <c r="I38" s="112">
        <v>15.788422682340126</v>
      </c>
    </row>
    <row r="39" spans="2:9" x14ac:dyDescent="0.25">
      <c r="B39" s="8">
        <v>79.900000000000006</v>
      </c>
      <c r="C39" s="8">
        <v>181</v>
      </c>
      <c r="D39" s="51">
        <v>253</v>
      </c>
      <c r="G39" s="112">
        <v>10</v>
      </c>
      <c r="H39" s="112">
        <v>333.72840784555234</v>
      </c>
      <c r="I39" s="112">
        <v>-20.72840784555234</v>
      </c>
    </row>
    <row r="40" spans="2:9" x14ac:dyDescent="0.25">
      <c r="B40" s="8">
        <v>70.400000000000006</v>
      </c>
      <c r="C40" s="8">
        <v>239</v>
      </c>
      <c r="D40" s="51">
        <v>263</v>
      </c>
      <c r="G40" s="112">
        <v>11</v>
      </c>
      <c r="H40" s="112">
        <v>234.88992017695813</v>
      </c>
      <c r="I40" s="112">
        <v>-2.8899201769581282</v>
      </c>
    </row>
    <row r="41" spans="2:9" x14ac:dyDescent="0.25">
      <c r="B41" s="8">
        <v>83.4</v>
      </c>
      <c r="C41" s="8">
        <v>216</v>
      </c>
      <c r="D41" s="51">
        <v>291</v>
      </c>
      <c r="G41" s="112">
        <v>12</v>
      </c>
      <c r="H41" s="112">
        <v>171.10455388231497</v>
      </c>
      <c r="I41" s="112">
        <v>-8.1045538823149741</v>
      </c>
    </row>
    <row r="42" spans="2:9" x14ac:dyDescent="0.25">
      <c r="B42" s="8">
        <v>79.2</v>
      </c>
      <c r="C42" s="8">
        <v>289</v>
      </c>
      <c r="D42" s="51">
        <v>368</v>
      </c>
      <c r="G42" s="112">
        <v>13</v>
      </c>
      <c r="H42" s="112">
        <v>135.8270942059672</v>
      </c>
      <c r="I42" s="112">
        <v>-16.8270942059672</v>
      </c>
    </row>
    <row r="43" spans="2:9" x14ac:dyDescent="0.25">
      <c r="B43" s="8">
        <v>61.2</v>
      </c>
      <c r="C43" s="8">
        <v>213</v>
      </c>
      <c r="D43" s="51">
        <v>206</v>
      </c>
      <c r="G43" s="112">
        <v>14</v>
      </c>
      <c r="H43" s="112">
        <v>297.16433984665582</v>
      </c>
      <c r="I43" s="112">
        <v>6.835660153344179</v>
      </c>
    </row>
    <row r="44" spans="2:9" x14ac:dyDescent="0.25">
      <c r="B44" s="8">
        <v>64</v>
      </c>
      <c r="C44" s="8">
        <v>209</v>
      </c>
      <c r="D44" s="51">
        <v>231</v>
      </c>
      <c r="G44" s="112">
        <v>15</v>
      </c>
      <c r="H44" s="112">
        <v>205.84360163291066</v>
      </c>
      <c r="I44" s="112">
        <v>5.1563983670893379</v>
      </c>
    </row>
    <row r="45" spans="2:9" x14ac:dyDescent="0.25">
      <c r="B45" s="8">
        <v>68</v>
      </c>
      <c r="C45" s="8">
        <v>376</v>
      </c>
      <c r="D45" s="51">
        <v>389</v>
      </c>
      <c r="G45" s="112">
        <v>16</v>
      </c>
      <c r="H45" s="112">
        <v>284.56199890971709</v>
      </c>
      <c r="I45" s="112">
        <v>1.4380010902829099</v>
      </c>
    </row>
    <row r="46" spans="2:9" x14ac:dyDescent="0.25">
      <c r="B46" s="8">
        <v>78.5</v>
      </c>
      <c r="C46" s="8">
        <v>332</v>
      </c>
      <c r="D46" s="51">
        <v>396</v>
      </c>
      <c r="G46" s="112">
        <v>17</v>
      </c>
      <c r="H46" s="112">
        <v>115.78461360348714</v>
      </c>
      <c r="I46" s="112">
        <v>6.2153863965128551</v>
      </c>
    </row>
    <row r="47" spans="2:9" x14ac:dyDescent="0.25">
      <c r="B47" s="8">
        <v>83</v>
      </c>
      <c r="C47" s="8">
        <v>249</v>
      </c>
      <c r="D47" s="51">
        <v>339</v>
      </c>
      <c r="G47" s="112">
        <v>18</v>
      </c>
      <c r="H47" s="112">
        <v>452.34683999450129</v>
      </c>
      <c r="I47" s="112">
        <v>-9.3468399945012948</v>
      </c>
    </row>
    <row r="48" spans="2:9" x14ac:dyDescent="0.25">
      <c r="B48" s="8">
        <v>75.2</v>
      </c>
      <c r="C48" s="8">
        <v>228</v>
      </c>
      <c r="D48" s="51">
        <v>286</v>
      </c>
      <c r="G48" s="112">
        <v>19</v>
      </c>
      <c r="H48" s="112">
        <v>353.27188849185956</v>
      </c>
      <c r="I48" s="112">
        <v>12.728111508140444</v>
      </c>
    </row>
    <row r="49" spans="2:9" x14ac:dyDescent="0.25">
      <c r="B49" s="8">
        <v>68.099999999999994</v>
      </c>
      <c r="C49" s="8">
        <v>124</v>
      </c>
      <c r="D49" s="51">
        <v>146</v>
      </c>
      <c r="G49" s="112">
        <v>20</v>
      </c>
      <c r="H49" s="112">
        <v>260.17099769029295</v>
      </c>
      <c r="I49" s="112">
        <v>-16.17099769029295</v>
      </c>
    </row>
    <row r="50" spans="2:9" x14ac:dyDescent="0.25">
      <c r="B50" s="8">
        <v>93.6</v>
      </c>
      <c r="C50" s="8">
        <v>194</v>
      </c>
      <c r="D50" s="51">
        <v>315</v>
      </c>
      <c r="G50" s="112">
        <v>21</v>
      </c>
      <c r="H50" s="112">
        <v>232.9939599801003</v>
      </c>
      <c r="I50" s="112">
        <v>8.0060400198997002</v>
      </c>
    </row>
    <row r="51" spans="2:9" x14ac:dyDescent="0.25">
      <c r="B51" s="8">
        <v>75.599999999999994</v>
      </c>
      <c r="C51" s="8">
        <v>157</v>
      </c>
      <c r="D51" s="51">
        <v>183</v>
      </c>
      <c r="G51" s="112">
        <v>22</v>
      </c>
      <c r="H51" s="112">
        <v>242.92000926948151</v>
      </c>
      <c r="I51" s="112">
        <v>-5.9200092694815112</v>
      </c>
    </row>
    <row r="52" spans="2:9" x14ac:dyDescent="0.25">
      <c r="B52" s="8">
        <v>82.3</v>
      </c>
      <c r="C52" s="8">
        <v>402</v>
      </c>
      <c r="D52" s="51">
        <v>481</v>
      </c>
      <c r="G52" s="112">
        <v>23</v>
      </c>
      <c r="H52" s="112">
        <v>117.570828957134</v>
      </c>
      <c r="I52" s="112">
        <v>4.4291710428660025</v>
      </c>
    </row>
    <row r="53" spans="2:9" x14ac:dyDescent="0.25">
      <c r="B53" s="8">
        <v>71.400000000000006</v>
      </c>
      <c r="C53" s="8">
        <v>323</v>
      </c>
      <c r="D53" s="51">
        <v>349</v>
      </c>
      <c r="G53" s="112">
        <v>24</v>
      </c>
      <c r="H53" s="112">
        <v>133.41940144636033</v>
      </c>
      <c r="I53" s="112">
        <v>-4.4194014463603253</v>
      </c>
    </row>
    <row r="54" spans="2:9" x14ac:dyDescent="0.25">
      <c r="B54" s="8">
        <v>71.900000000000006</v>
      </c>
      <c r="C54" s="8">
        <v>181</v>
      </c>
      <c r="D54" s="51">
        <v>225</v>
      </c>
      <c r="G54" s="112">
        <v>25</v>
      </c>
      <c r="H54" s="112">
        <v>241.84439956782802</v>
      </c>
      <c r="I54" s="112">
        <v>-5.8443995678280203</v>
      </c>
    </row>
    <row r="55" spans="2:9" x14ac:dyDescent="0.25">
      <c r="B55" s="8">
        <v>79.099999999999994</v>
      </c>
      <c r="C55" s="8">
        <v>157</v>
      </c>
      <c r="D55" s="51">
        <v>217</v>
      </c>
      <c r="G55" s="112">
        <v>26</v>
      </c>
      <c r="H55" s="112">
        <v>251.27023475118577</v>
      </c>
      <c r="I55" s="112">
        <v>-0.27023475118576812</v>
      </c>
    </row>
    <row r="56" spans="2:9" x14ac:dyDescent="0.25">
      <c r="B56" s="8">
        <v>88.7</v>
      </c>
      <c r="C56" s="8">
        <v>266</v>
      </c>
      <c r="D56" s="51">
        <v>353</v>
      </c>
      <c r="G56" s="112">
        <v>27</v>
      </c>
      <c r="H56" s="112">
        <v>284.57473151629324</v>
      </c>
      <c r="I56" s="112">
        <v>-1.5747315162932409</v>
      </c>
    </row>
    <row r="57" spans="2:9" x14ac:dyDescent="0.25">
      <c r="B57" s="8">
        <v>69.400000000000006</v>
      </c>
      <c r="C57" s="8">
        <v>268</v>
      </c>
      <c r="D57" s="51">
        <v>314</v>
      </c>
      <c r="G57" s="112">
        <v>28</v>
      </c>
      <c r="H57" s="112">
        <v>231.76495192460712</v>
      </c>
      <c r="I57" s="112">
        <v>-6.7649519246071179</v>
      </c>
    </row>
    <row r="58" spans="2:9" x14ac:dyDescent="0.25">
      <c r="B58" s="8">
        <v>80.3</v>
      </c>
      <c r="C58" s="8">
        <v>167</v>
      </c>
      <c r="D58" s="51">
        <v>247</v>
      </c>
      <c r="G58" s="112">
        <v>29</v>
      </c>
      <c r="H58" s="112">
        <v>100.84491278057318</v>
      </c>
      <c r="I58" s="112">
        <v>1.155087219426818</v>
      </c>
    </row>
    <row r="59" spans="2:9" x14ac:dyDescent="0.25">
      <c r="B59" s="8">
        <v>83</v>
      </c>
      <c r="C59" s="8">
        <v>342</v>
      </c>
      <c r="D59" s="51">
        <v>410</v>
      </c>
      <c r="G59" s="112">
        <v>30</v>
      </c>
      <c r="H59" s="112">
        <v>182.95748427260656</v>
      </c>
      <c r="I59" s="112">
        <v>-2.957484272606564</v>
      </c>
    </row>
    <row r="60" spans="2:9" x14ac:dyDescent="0.25">
      <c r="B60" s="8">
        <v>74.099999999999994</v>
      </c>
      <c r="C60" s="8">
        <v>349</v>
      </c>
      <c r="D60" s="51">
        <v>395</v>
      </c>
      <c r="G60" s="112">
        <v>31</v>
      </c>
      <c r="H60" s="112">
        <v>262.16275597393491</v>
      </c>
      <c r="I60" s="112">
        <v>-15.162755973934907</v>
      </c>
    </row>
    <row r="61" spans="2:9" x14ac:dyDescent="0.25">
      <c r="B61" s="8">
        <v>79.400000000000006</v>
      </c>
      <c r="C61" s="8">
        <v>340</v>
      </c>
      <c r="D61" s="51">
        <v>416</v>
      </c>
      <c r="G61" s="112">
        <v>32</v>
      </c>
      <c r="H61" s="112">
        <v>342.25810396917393</v>
      </c>
      <c r="I61" s="112">
        <v>0.74189603082606936</v>
      </c>
    </row>
    <row r="62" spans="2:9" x14ac:dyDescent="0.25">
      <c r="B62" s="8">
        <v>88.1</v>
      </c>
      <c r="C62" s="8">
        <v>227</v>
      </c>
      <c r="D62" s="51">
        <v>342</v>
      </c>
      <c r="G62" s="112">
        <v>33</v>
      </c>
      <c r="H62" s="112">
        <v>262.25855406071901</v>
      </c>
      <c r="I62" s="112">
        <v>20.741445939280993</v>
      </c>
    </row>
    <row r="63" spans="2:9" x14ac:dyDescent="0.25">
      <c r="B63" s="8">
        <v>74.599999999999994</v>
      </c>
      <c r="C63" s="8">
        <v>409</v>
      </c>
      <c r="D63" s="51">
        <v>446</v>
      </c>
      <c r="G63" s="112">
        <v>34</v>
      </c>
      <c r="H63" s="112">
        <v>248.86254199157889</v>
      </c>
      <c r="I63" s="112">
        <v>4.1374580084211061</v>
      </c>
    </row>
    <row r="64" spans="2:9" x14ac:dyDescent="0.25">
      <c r="B64" s="8">
        <v>87.1</v>
      </c>
      <c r="C64" s="8">
        <v>400</v>
      </c>
      <c r="D64" s="51">
        <v>477</v>
      </c>
      <c r="G64" s="112">
        <v>35</v>
      </c>
      <c r="H64" s="112">
        <v>271.75472211770847</v>
      </c>
      <c r="I64" s="112">
        <v>-8.754722117708468</v>
      </c>
    </row>
    <row r="65" spans="2:9" x14ac:dyDescent="0.25">
      <c r="B65" s="8">
        <v>79.7</v>
      </c>
      <c r="C65" s="8">
        <v>374</v>
      </c>
      <c r="D65" s="51">
        <v>444</v>
      </c>
      <c r="G65" s="112">
        <v>36</v>
      </c>
      <c r="H65" s="112">
        <v>296.37673148028006</v>
      </c>
      <c r="I65" s="112">
        <v>-5.376731480280057</v>
      </c>
    </row>
    <row r="66" spans="2:9" x14ac:dyDescent="0.25">
      <c r="B66" s="8">
        <v>82.1</v>
      </c>
      <c r="C66" s="8">
        <v>255</v>
      </c>
      <c r="D66" s="51">
        <v>351</v>
      </c>
      <c r="G66" s="112">
        <v>37</v>
      </c>
      <c r="H66" s="112">
        <v>353.50228956008169</v>
      </c>
      <c r="I66" s="112">
        <v>14.497710439918308</v>
      </c>
    </row>
    <row r="67" spans="2:9" x14ac:dyDescent="0.25">
      <c r="B67" s="8">
        <v>70.2</v>
      </c>
      <c r="C67" s="8">
        <v>146</v>
      </c>
      <c r="D67" s="51">
        <v>165</v>
      </c>
      <c r="G67" s="112">
        <v>38</v>
      </c>
      <c r="H67" s="112">
        <v>212.3681997913888</v>
      </c>
      <c r="I67" s="112">
        <v>-6.368199791388804</v>
      </c>
    </row>
    <row r="68" spans="2:9" x14ac:dyDescent="0.25">
      <c r="B68" s="8">
        <v>81.7</v>
      </c>
      <c r="C68" s="8">
        <v>248</v>
      </c>
      <c r="D68" s="51">
        <v>317</v>
      </c>
      <c r="G68" s="112">
        <v>39</v>
      </c>
      <c r="H68" s="112">
        <v>218.61813629609077</v>
      </c>
      <c r="I68" s="112">
        <v>12.381863703909232</v>
      </c>
    </row>
    <row r="69" spans="2:9" x14ac:dyDescent="0.25">
      <c r="B69" s="8">
        <v>76.099999999999994</v>
      </c>
      <c r="C69" s="8">
        <v>198</v>
      </c>
      <c r="D69" s="51">
        <v>250</v>
      </c>
      <c r="G69" s="112">
        <v>40</v>
      </c>
      <c r="H69" s="112">
        <v>398.97318326391076</v>
      </c>
      <c r="I69" s="112">
        <v>-9.9731832639107552</v>
      </c>
    </row>
    <row r="70" spans="2:9" x14ac:dyDescent="0.25">
      <c r="B70" s="8">
        <v>65.400000000000006</v>
      </c>
      <c r="C70" s="8">
        <v>210</v>
      </c>
      <c r="D70" s="51">
        <v>217</v>
      </c>
      <c r="G70" s="112">
        <v>41</v>
      </c>
      <c r="H70" s="112">
        <v>393.62666273462105</v>
      </c>
      <c r="I70" s="112">
        <v>2.3733372653789502</v>
      </c>
    </row>
    <row r="71" spans="2:9" x14ac:dyDescent="0.25">
      <c r="B71" s="8">
        <v>70.099999999999994</v>
      </c>
      <c r="C71" s="8">
        <v>107</v>
      </c>
      <c r="D71" s="51">
        <v>138</v>
      </c>
      <c r="G71" s="112">
        <v>42</v>
      </c>
      <c r="H71" s="112">
        <v>327.67067458934395</v>
      </c>
      <c r="I71" s="112">
        <v>11.329325410656054</v>
      </c>
    </row>
    <row r="72" spans="2:9" x14ac:dyDescent="0.25">
      <c r="B72" s="8">
        <v>75.3</v>
      </c>
      <c r="C72" s="8">
        <v>239</v>
      </c>
      <c r="D72" s="51">
        <v>302</v>
      </c>
      <c r="G72" s="112">
        <v>43</v>
      </c>
      <c r="H72" s="112">
        <v>278.35693006549445</v>
      </c>
      <c r="I72" s="112">
        <v>7.6430699345055473</v>
      </c>
    </row>
    <row r="73" spans="2:9" x14ac:dyDescent="0.25">
      <c r="B73" s="8">
        <v>68.7</v>
      </c>
      <c r="C73" s="8">
        <v>287</v>
      </c>
      <c r="D73" s="51">
        <v>311</v>
      </c>
      <c r="G73" s="112">
        <v>44</v>
      </c>
      <c r="H73" s="112">
        <v>149.21704350928184</v>
      </c>
      <c r="I73" s="112">
        <v>-3.2170435092818366</v>
      </c>
    </row>
    <row r="74" spans="2:9" x14ac:dyDescent="0.25">
      <c r="B74" s="8">
        <v>75.7</v>
      </c>
      <c r="C74" s="8">
        <v>340</v>
      </c>
      <c r="D74" s="51">
        <v>373</v>
      </c>
      <c r="G74" s="112">
        <v>45</v>
      </c>
      <c r="H74" s="112">
        <v>311.77117167381277</v>
      </c>
      <c r="I74" s="112">
        <v>3.2288283261872266</v>
      </c>
    </row>
    <row r="75" spans="2:9" x14ac:dyDescent="0.25">
      <c r="B75" s="8">
        <v>68.7</v>
      </c>
      <c r="C75" s="8">
        <v>155</v>
      </c>
      <c r="D75" s="51">
        <v>196</v>
      </c>
      <c r="G75" s="112">
        <v>46</v>
      </c>
      <c r="H75" s="112">
        <v>209.346306541498</v>
      </c>
      <c r="I75" s="112">
        <v>-26.346306541497995</v>
      </c>
    </row>
    <row r="76" spans="2:9" x14ac:dyDescent="0.25">
      <c r="B76" s="8">
        <v>70.400000000000006</v>
      </c>
      <c r="C76" s="8">
        <v>263</v>
      </c>
      <c r="D76" s="51">
        <v>306</v>
      </c>
      <c r="G76" s="112">
        <v>47</v>
      </c>
      <c r="H76" s="112">
        <v>476.97491212289833</v>
      </c>
      <c r="I76" s="112">
        <v>4.0250878771016687</v>
      </c>
    </row>
    <row r="77" spans="2:9" x14ac:dyDescent="0.25">
      <c r="B77" s="8">
        <v>68.3</v>
      </c>
      <c r="C77" s="8">
        <v>265</v>
      </c>
      <c r="D77" s="51">
        <v>302</v>
      </c>
      <c r="G77" s="112">
        <v>48</v>
      </c>
      <c r="H77" s="112">
        <v>358.77847721573971</v>
      </c>
      <c r="I77" s="112">
        <v>-9.7784772157397128</v>
      </c>
    </row>
    <row r="78" spans="2:9" x14ac:dyDescent="0.25">
      <c r="B78" s="8">
        <v>71.7</v>
      </c>
      <c r="C78" s="8">
        <v>249</v>
      </c>
      <c r="D78" s="51">
        <v>278</v>
      </c>
      <c r="G78" s="112">
        <v>49</v>
      </c>
      <c r="H78" s="112">
        <v>219.66221801876651</v>
      </c>
      <c r="I78" s="112">
        <v>5.3377819812334906</v>
      </c>
    </row>
    <row r="79" spans="2:9" x14ac:dyDescent="0.25">
      <c r="B79" s="8">
        <v>70.900000000000006</v>
      </c>
      <c r="C79" s="8">
        <v>377</v>
      </c>
      <c r="D79" s="51">
        <v>429</v>
      </c>
      <c r="G79" s="112">
        <v>50</v>
      </c>
      <c r="H79" s="112">
        <v>222.12144827960344</v>
      </c>
      <c r="I79" s="112">
        <v>-5.1214482796034417</v>
      </c>
    </row>
    <row r="80" spans="2:9" x14ac:dyDescent="0.25">
      <c r="B80" s="8">
        <v>66.3</v>
      </c>
      <c r="C80" s="8">
        <v>301</v>
      </c>
      <c r="D80" s="51">
        <v>338</v>
      </c>
      <c r="G80" s="112">
        <v>51</v>
      </c>
      <c r="H80" s="112">
        <v>365.34915718454783</v>
      </c>
      <c r="I80" s="112">
        <v>-12.349157184547835</v>
      </c>
    </row>
    <row r="81" spans="2:9" x14ac:dyDescent="0.25">
      <c r="B81" s="8">
        <v>65.3</v>
      </c>
      <c r="C81" s="8">
        <v>242</v>
      </c>
      <c r="D81" s="51">
        <v>261</v>
      </c>
      <c r="G81" s="112">
        <v>52</v>
      </c>
      <c r="H81" s="112">
        <v>296.8884640430291</v>
      </c>
      <c r="I81" s="112">
        <v>17.111535956970897</v>
      </c>
    </row>
    <row r="82" spans="2:9" x14ac:dyDescent="0.25">
      <c r="B82" s="8">
        <v>75.7</v>
      </c>
      <c r="C82" s="8">
        <v>211</v>
      </c>
      <c r="D82" s="51">
        <v>256</v>
      </c>
      <c r="G82" s="112">
        <v>53</v>
      </c>
      <c r="H82" s="112">
        <v>236.42693908998126</v>
      </c>
      <c r="I82" s="112">
        <v>10.573060910018739</v>
      </c>
    </row>
    <row r="83" spans="2:9" x14ac:dyDescent="0.25">
      <c r="B83" s="8">
        <v>66</v>
      </c>
      <c r="C83" s="8">
        <v>160</v>
      </c>
      <c r="D83" s="51">
        <v>183</v>
      </c>
      <c r="G83" s="112">
        <v>54</v>
      </c>
      <c r="H83" s="112">
        <v>419.97728718378397</v>
      </c>
      <c r="I83" s="112">
        <v>-9.9772871837839716</v>
      </c>
    </row>
    <row r="84" spans="2:9" x14ac:dyDescent="0.25">
      <c r="B84" s="8">
        <v>78.900000000000006</v>
      </c>
      <c r="C84" s="8">
        <v>218</v>
      </c>
      <c r="D84" s="51">
        <v>274</v>
      </c>
      <c r="G84" s="112">
        <v>55</v>
      </c>
      <c r="H84" s="112">
        <v>394.43973631414929</v>
      </c>
      <c r="I84" s="112">
        <v>0.56026368585071396</v>
      </c>
    </row>
    <row r="85" spans="2:9" x14ac:dyDescent="0.25">
      <c r="B85" s="8">
        <v>74</v>
      </c>
      <c r="C85" s="8">
        <v>133</v>
      </c>
      <c r="D85" s="51">
        <v>182</v>
      </c>
      <c r="G85" s="112">
        <v>56</v>
      </c>
      <c r="H85" s="112">
        <v>404.85205295312721</v>
      </c>
      <c r="I85" s="112">
        <v>11.147947046872787</v>
      </c>
    </row>
    <row r="86" spans="2:9" x14ac:dyDescent="0.25">
      <c r="B86" s="8">
        <v>74.599999999999994</v>
      </c>
      <c r="C86" s="8">
        <v>122</v>
      </c>
      <c r="D86" s="51">
        <v>183</v>
      </c>
      <c r="G86" s="112">
        <v>57</v>
      </c>
      <c r="H86" s="112">
        <v>324.44990825020886</v>
      </c>
      <c r="I86" s="112">
        <v>17.550091749791136</v>
      </c>
    </row>
    <row r="87" spans="2:9" x14ac:dyDescent="0.25">
      <c r="B87" s="8">
        <v>79.3</v>
      </c>
      <c r="C87" s="8">
        <v>236</v>
      </c>
      <c r="D87" s="51">
        <v>309</v>
      </c>
      <c r="G87" s="112">
        <v>58</v>
      </c>
      <c r="H87" s="112">
        <v>455.81740984918548</v>
      </c>
      <c r="I87" s="112">
        <v>-9.8174098491854807</v>
      </c>
    </row>
    <row r="88" spans="2:9" x14ac:dyDescent="0.25">
      <c r="B88" s="8">
        <v>70.099999999999994</v>
      </c>
      <c r="C88" s="8">
        <v>143</v>
      </c>
      <c r="D88" s="51">
        <v>178</v>
      </c>
      <c r="G88" s="112">
        <v>59</v>
      </c>
      <c r="H88" s="112">
        <v>492.51001806369459</v>
      </c>
      <c r="I88" s="112">
        <v>-15.510018063694588</v>
      </c>
    </row>
    <row r="89" spans="2:9" x14ac:dyDescent="0.25">
      <c r="B89" s="8">
        <v>88.8</v>
      </c>
      <c r="C89" s="8">
        <v>354</v>
      </c>
      <c r="D89" s="51">
        <v>458</v>
      </c>
      <c r="G89" s="112">
        <v>60</v>
      </c>
      <c r="H89" s="112">
        <v>439.69356863125779</v>
      </c>
      <c r="I89" s="112">
        <v>4.30643136874221</v>
      </c>
    </row>
    <row r="90" spans="2:9" x14ac:dyDescent="0.25">
      <c r="B90" s="8">
        <v>66</v>
      </c>
      <c r="C90" s="8">
        <v>214</v>
      </c>
      <c r="D90" s="51">
        <v>234</v>
      </c>
      <c r="G90" s="112">
        <v>61</v>
      </c>
      <c r="H90" s="112">
        <v>330.34090347107605</v>
      </c>
      <c r="I90" s="112">
        <v>20.659096528923953</v>
      </c>
    </row>
    <row r="91" spans="2:9" x14ac:dyDescent="0.25">
      <c r="B91" s="8">
        <v>82.9</v>
      </c>
      <c r="C91" s="8">
        <v>225</v>
      </c>
      <c r="D91" s="51">
        <v>306</v>
      </c>
      <c r="G91" s="112">
        <v>62</v>
      </c>
      <c r="H91" s="112">
        <v>178.71810142394818</v>
      </c>
      <c r="I91" s="112">
        <v>-13.718101423948184</v>
      </c>
    </row>
    <row r="92" spans="2:9" x14ac:dyDescent="0.25">
      <c r="B92" s="8">
        <v>100</v>
      </c>
      <c r="C92" s="8">
        <v>261</v>
      </c>
      <c r="D92" s="51">
        <v>400</v>
      </c>
      <c r="G92" s="112">
        <v>63</v>
      </c>
      <c r="H92" s="112">
        <v>321.93307772231634</v>
      </c>
      <c r="I92" s="112">
        <v>-4.9330777223163409</v>
      </c>
    </row>
    <row r="93" spans="2:9" x14ac:dyDescent="0.25">
      <c r="B93" s="8">
        <v>75.599999999999994</v>
      </c>
      <c r="C93" s="8">
        <v>277</v>
      </c>
      <c r="D93" s="51">
        <v>337</v>
      </c>
      <c r="G93" s="112">
        <v>64</v>
      </c>
      <c r="H93" s="112">
        <v>251.86563986906805</v>
      </c>
      <c r="I93" s="112">
        <v>-1.8656398690680476</v>
      </c>
    </row>
    <row r="94" spans="2:9" x14ac:dyDescent="0.25">
      <c r="B94" s="8">
        <v>67.5</v>
      </c>
      <c r="C94" s="8">
        <v>282</v>
      </c>
      <c r="D94" s="51">
        <v>325</v>
      </c>
      <c r="G94" s="112">
        <v>65</v>
      </c>
      <c r="H94" s="112">
        <v>224.72073721277857</v>
      </c>
      <c r="I94" s="112">
        <v>-7.7207372127785732</v>
      </c>
    </row>
    <row r="95" spans="2:9" x14ac:dyDescent="0.25">
      <c r="B95" s="8">
        <v>68.7</v>
      </c>
      <c r="C95" s="8">
        <v>322</v>
      </c>
      <c r="D95" s="51">
        <v>329</v>
      </c>
      <c r="G95" s="112">
        <v>66</v>
      </c>
      <c r="H95" s="112">
        <v>139.6438727379099</v>
      </c>
      <c r="I95" s="112">
        <v>-1.6438727379099021</v>
      </c>
    </row>
    <row r="96" spans="2:9" x14ac:dyDescent="0.25">
      <c r="B96" s="8">
        <v>76</v>
      </c>
      <c r="C96" s="8">
        <v>326</v>
      </c>
      <c r="D96" s="51">
        <v>369</v>
      </c>
      <c r="G96" s="112">
        <v>67</v>
      </c>
      <c r="H96" s="112">
        <v>289.63992055105604</v>
      </c>
      <c r="I96" s="112">
        <v>12.360079448943964</v>
      </c>
    </row>
    <row r="97" spans="2:9" x14ac:dyDescent="0.25">
      <c r="B97" s="8">
        <v>67.7</v>
      </c>
      <c r="C97" s="8">
        <v>421</v>
      </c>
      <c r="D97" s="51">
        <v>457</v>
      </c>
      <c r="G97" s="112">
        <v>68</v>
      </c>
      <c r="H97" s="112">
        <v>313.19177590287421</v>
      </c>
      <c r="I97" s="112">
        <v>-2.1917759028742125</v>
      </c>
    </row>
    <row r="98" spans="2:9" x14ac:dyDescent="0.25">
      <c r="B98" s="8">
        <v>75.3</v>
      </c>
      <c r="C98" s="8">
        <v>368</v>
      </c>
      <c r="D98" s="51">
        <v>421</v>
      </c>
      <c r="G98" s="112">
        <v>69</v>
      </c>
      <c r="H98" s="112">
        <v>391.34690311570142</v>
      </c>
      <c r="I98" s="112">
        <v>-18.346903115701423</v>
      </c>
    </row>
    <row r="99" spans="2:9" x14ac:dyDescent="0.25">
      <c r="B99" s="8">
        <v>68.099999999999994</v>
      </c>
      <c r="C99" s="8">
        <v>279</v>
      </c>
      <c r="D99" s="51">
        <v>282</v>
      </c>
      <c r="G99" s="112">
        <v>70</v>
      </c>
      <c r="H99" s="112">
        <v>182.17593867205613</v>
      </c>
      <c r="I99" s="112">
        <v>13.824061327943866</v>
      </c>
    </row>
    <row r="100" spans="2:9" x14ac:dyDescent="0.25">
      <c r="B100" s="8">
        <v>63.3</v>
      </c>
      <c r="C100" s="8">
        <v>268</v>
      </c>
      <c r="D100" s="51">
        <v>256</v>
      </c>
      <c r="G100" s="112">
        <v>71</v>
      </c>
      <c r="H100" s="112">
        <v>295.57578343240266</v>
      </c>
      <c r="I100" s="112">
        <v>10.424216567597341</v>
      </c>
    </row>
    <row r="101" spans="2:9" x14ac:dyDescent="0.25">
      <c r="G101" s="112">
        <v>72</v>
      </c>
      <c r="H101" s="112">
        <v>289.89578683243053</v>
      </c>
      <c r="I101" s="112">
        <v>12.104213167569469</v>
      </c>
    </row>
    <row r="102" spans="2:9" x14ac:dyDescent="0.25">
      <c r="G102" s="112">
        <v>73</v>
      </c>
      <c r="H102" s="112">
        <v>286.4252169777464</v>
      </c>
      <c r="I102" s="112">
        <v>-8.4252169777464019</v>
      </c>
    </row>
    <row r="103" spans="2:9" x14ac:dyDescent="0.25">
      <c r="G103" s="112">
        <v>74</v>
      </c>
      <c r="H103" s="112">
        <v>410.55084492550088</v>
      </c>
      <c r="I103" s="112">
        <v>18.449155074499117</v>
      </c>
    </row>
    <row r="104" spans="2:9" x14ac:dyDescent="0.25">
      <c r="G104" s="112">
        <v>75</v>
      </c>
      <c r="H104" s="112">
        <v>318.32729781126875</v>
      </c>
      <c r="I104" s="112">
        <v>19.67270218873125</v>
      </c>
    </row>
    <row r="105" spans="2:9" x14ac:dyDescent="0.25">
      <c r="G105" s="112">
        <v>76</v>
      </c>
      <c r="H105" s="112">
        <v>256.11714824937729</v>
      </c>
      <c r="I105" s="112">
        <v>4.8828517506227058</v>
      </c>
    </row>
    <row r="106" spans="2:9" x14ac:dyDescent="0.25">
      <c r="G106" s="112">
        <v>77</v>
      </c>
      <c r="H106" s="112">
        <v>263.30869854922014</v>
      </c>
      <c r="I106" s="112">
        <v>-7.3086985492201393</v>
      </c>
    </row>
    <row r="107" spans="2:9" x14ac:dyDescent="0.25">
      <c r="G107" s="112">
        <v>78</v>
      </c>
      <c r="H107" s="112">
        <v>177.28355043845988</v>
      </c>
      <c r="I107" s="112">
        <v>5.7164495615401165</v>
      </c>
    </row>
    <row r="108" spans="2:9" x14ac:dyDescent="0.25">
      <c r="G108" s="112">
        <v>79</v>
      </c>
      <c r="H108" s="112">
        <v>281.9366376884642</v>
      </c>
      <c r="I108" s="112">
        <v>-7.9366376884642023</v>
      </c>
    </row>
    <row r="109" spans="2:9" x14ac:dyDescent="0.25">
      <c r="G109" s="112">
        <v>80</v>
      </c>
      <c r="H109" s="112">
        <v>179.68518043224134</v>
      </c>
      <c r="I109" s="112">
        <v>2.3148195677586614</v>
      </c>
    </row>
    <row r="110" spans="2:9" x14ac:dyDescent="0.25">
      <c r="G110" s="112">
        <v>81</v>
      </c>
      <c r="H110" s="112">
        <v>170.95721829430073</v>
      </c>
      <c r="I110" s="112">
        <v>12.042781705699269</v>
      </c>
    </row>
    <row r="111" spans="2:9" x14ac:dyDescent="0.25">
      <c r="G111" s="112">
        <v>82</v>
      </c>
      <c r="H111" s="112">
        <v>301.26244987312543</v>
      </c>
      <c r="I111" s="112">
        <v>7.7375501268745666</v>
      </c>
    </row>
    <row r="112" spans="2:9" x14ac:dyDescent="0.25">
      <c r="G112" s="112">
        <v>83</v>
      </c>
      <c r="H112" s="112">
        <v>175.37546470995119</v>
      </c>
      <c r="I112" s="112">
        <v>2.6245352900488115</v>
      </c>
    </row>
    <row r="113" spans="7:9" x14ac:dyDescent="0.25">
      <c r="G113" s="112">
        <v>84</v>
      </c>
      <c r="H113" s="112">
        <v>453.05805272142004</v>
      </c>
      <c r="I113" s="112">
        <v>4.9419472785799599</v>
      </c>
    </row>
    <row r="114" spans="7:9" x14ac:dyDescent="0.25">
      <c r="G114" s="112">
        <v>85</v>
      </c>
      <c r="H114" s="112">
        <v>230.88093839652183</v>
      </c>
      <c r="I114" s="112">
        <v>3.1190616034781726</v>
      </c>
    </row>
    <row r="115" spans="7:9" x14ac:dyDescent="0.25">
      <c r="G115" s="112">
        <v>86</v>
      </c>
      <c r="H115" s="112">
        <v>303.48460922498958</v>
      </c>
      <c r="I115" s="112">
        <v>2.5153907750104167</v>
      </c>
    </row>
    <row r="116" spans="7:9" x14ac:dyDescent="0.25">
      <c r="G116" s="112">
        <v>87</v>
      </c>
      <c r="H116" s="112">
        <v>401.63189368891739</v>
      </c>
      <c r="I116" s="112">
        <v>-1.631893688917387</v>
      </c>
    </row>
    <row r="117" spans="7:9" x14ac:dyDescent="0.25">
      <c r="G117" s="112">
        <v>88</v>
      </c>
      <c r="H117" s="112">
        <v>328.45161311496895</v>
      </c>
      <c r="I117" s="112">
        <v>8.54838688503105</v>
      </c>
    </row>
    <row r="118" spans="7:9" x14ac:dyDescent="0.25">
      <c r="G118" s="112">
        <v>89</v>
      </c>
      <c r="H118" s="112">
        <v>303.84900619972439</v>
      </c>
      <c r="I118" s="112">
        <v>21.150993800275614</v>
      </c>
    </row>
    <row r="119" spans="7:9" x14ac:dyDescent="0.25">
      <c r="G119" s="112">
        <v>90</v>
      </c>
      <c r="H119" s="112">
        <v>347.93082365346993</v>
      </c>
      <c r="I119" s="112">
        <v>-18.930823653469929</v>
      </c>
    </row>
    <row r="120" spans="7:9" x14ac:dyDescent="0.25">
      <c r="G120" s="112">
        <v>91</v>
      </c>
      <c r="H120" s="112">
        <v>378.54629616444362</v>
      </c>
      <c r="I120" s="112">
        <v>-9.5462961644436177</v>
      </c>
    </row>
    <row r="121" spans="7:9" x14ac:dyDescent="0.25">
      <c r="G121" s="112">
        <v>92</v>
      </c>
      <c r="H121" s="112">
        <v>442.54266107998194</v>
      </c>
      <c r="I121" s="112">
        <v>14.45733892001806</v>
      </c>
    </row>
    <row r="122" spans="7:9" x14ac:dyDescent="0.25">
      <c r="G122" s="112">
        <v>93</v>
      </c>
      <c r="H122" s="112">
        <v>417.67812511753732</v>
      </c>
      <c r="I122" s="112">
        <v>3.32187488246268</v>
      </c>
    </row>
    <row r="123" spans="7:9" x14ac:dyDescent="0.25">
      <c r="G123" s="112">
        <v>94</v>
      </c>
      <c r="H123" s="112">
        <v>303.06139783334851</v>
      </c>
      <c r="I123" s="112">
        <v>-21.061397833348508</v>
      </c>
    </row>
    <row r="124" spans="7:9" ht="15.75" thickBot="1" x14ac:dyDescent="0.3">
      <c r="G124" s="113">
        <v>95</v>
      </c>
      <c r="H124" s="113">
        <v>274.62321701375959</v>
      </c>
      <c r="I124" s="113">
        <v>-18.623217013759586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2022-08-25T18:47:42Z</dcterms:created>
  <dcterms:modified xsi:type="dcterms:W3CDTF">2023-07-21T09:34:09Z</dcterms:modified>
</cp:coreProperties>
</file>